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dcgal-my.sharepoint.com/personal/a_munin_udc_es/Documents/Documentos/GitHub/TESIS/Data/"/>
    </mc:Choice>
  </mc:AlternateContent>
  <xr:revisionPtr revIDLastSave="558" documentId="8_{4A415E85-6305-4205-86D2-14C475CE32C0}" xr6:coauthVersionLast="47" xr6:coauthVersionMax="47" xr10:uidLastSave="{96145786-052F-48CA-951A-90E567B1B444}"/>
  <bookViews>
    <workbookView xWindow="-28920" yWindow="-120" windowWidth="29040" windowHeight="15225" activeTab="2" xr2:uid="{BEE8EFE1-326B-491D-A3C0-D34DA12E5BBB}"/>
  </bookViews>
  <sheets>
    <sheet name="Info" sheetId="3" r:id="rId1"/>
    <sheet name="Nomenclatura" sheetId="6" r:id="rId2"/>
    <sheet name="Tabla_v3" sheetId="14" r:id="rId3"/>
    <sheet name="OD flujo mercancia carretera" sheetId="1" r:id="rId4"/>
    <sheet name="OD flujo mercancia multimodal" sheetId="2" r:id="rId5"/>
    <sheet name="TABLA" sheetId="10" r:id="rId6"/>
    <sheet name="Coste Carretera" sheetId="4" r:id="rId7"/>
    <sheet name="Coste multimodal" sheetId="7" r:id="rId8"/>
    <sheet name="Coste entre puertos" sheetId="5" r:id="rId9"/>
    <sheet name="Tiempos intermodal (horas)" sheetId="8" r:id="rId10"/>
    <sheet name="Tiempos carretera (horas)" sheetId="9" r:id="rId11"/>
  </sheets>
  <definedNames>
    <definedName name="_xlnm._FilterDatabase" localSheetId="6" hidden="1">'Coste Carretera'!$A$44:$E$1644</definedName>
    <definedName name="_xlnm._FilterDatabase" localSheetId="7" hidden="1">'Coste multimodal'!$A$45:$E$1645</definedName>
    <definedName name="_xlnm._FilterDatabase" localSheetId="3" hidden="1">'OD flujo mercancia carretera'!$A$44:$E$1644</definedName>
    <definedName name="_xlnm._FilterDatabase" localSheetId="4" hidden="1">'OD flujo mercancia multimodal'!$A$44:$E$1644</definedName>
    <definedName name="_xlnm._FilterDatabase" localSheetId="5" hidden="1">TABLA!$A$2:$J$1683</definedName>
    <definedName name="_xlnm._FilterDatabase" localSheetId="2" hidden="1">Tabla_v3!$A$2:$P$1505</definedName>
    <definedName name="_xlnm._FilterDatabase" localSheetId="10" hidden="1">'Tiempos carretera (horas)'!$A$45:$E$1645</definedName>
    <definedName name="_xlnm._FilterDatabase" localSheetId="9" hidden="1">'Tiempos intermodal (horas)'!$A$45:$E$1645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N43" i="9" l="1"/>
  <c r="AM43" i="9"/>
  <c r="AL43" i="9"/>
  <c r="AK43" i="9"/>
  <c r="AJ43" i="9"/>
  <c r="AI43" i="9"/>
  <c r="AH43" i="9"/>
  <c r="AG43" i="9"/>
  <c r="AF43" i="9"/>
  <c r="AE43" i="9"/>
  <c r="AD43" i="9"/>
  <c r="AC43" i="9"/>
  <c r="AB43" i="9"/>
  <c r="AA43" i="9"/>
  <c r="Z43" i="9"/>
  <c r="Y43" i="9"/>
  <c r="X43" i="9"/>
  <c r="W43" i="9"/>
  <c r="V43" i="9"/>
  <c r="U43" i="9"/>
  <c r="T43" i="9"/>
  <c r="S43" i="9"/>
  <c r="R43" i="9"/>
  <c r="Q43" i="9"/>
  <c r="P43" i="9"/>
  <c r="O43" i="9"/>
  <c r="N43" i="9"/>
  <c r="M43" i="9"/>
  <c r="L43" i="9"/>
  <c r="K43" i="9"/>
  <c r="J43" i="9"/>
  <c r="I43" i="9"/>
  <c r="H43" i="9"/>
  <c r="G43" i="9"/>
  <c r="F43" i="9"/>
  <c r="E43" i="9"/>
  <c r="D43" i="9"/>
  <c r="C43" i="9"/>
  <c r="AP42" i="9"/>
  <c r="AN42" i="9"/>
  <c r="AM42" i="9"/>
  <c r="AL42" i="9"/>
  <c r="AK42" i="9"/>
  <c r="AJ42" i="9"/>
  <c r="AI42" i="9"/>
  <c r="AH42" i="9"/>
  <c r="AG42" i="9"/>
  <c r="AF42" i="9"/>
  <c r="AE42" i="9"/>
  <c r="AD42" i="9"/>
  <c r="AC42" i="9"/>
  <c r="AB42" i="9"/>
  <c r="AA42" i="9"/>
  <c r="Z42" i="9"/>
  <c r="Y42" i="9"/>
  <c r="X42" i="9"/>
  <c r="W42" i="9"/>
  <c r="V42" i="9"/>
  <c r="U42" i="9"/>
  <c r="T42" i="9"/>
  <c r="S42" i="9"/>
  <c r="R42" i="9"/>
  <c r="Q42" i="9"/>
  <c r="P42" i="9"/>
  <c r="O42" i="9"/>
  <c r="N42" i="9"/>
  <c r="M42" i="9"/>
  <c r="L42" i="9"/>
  <c r="K42" i="9"/>
  <c r="J42" i="9"/>
  <c r="I42" i="9"/>
  <c r="H42" i="9"/>
  <c r="G42" i="9"/>
  <c r="F42" i="9"/>
  <c r="E42" i="9"/>
  <c r="D42" i="9"/>
  <c r="C42" i="9"/>
  <c r="AP41" i="9"/>
  <c r="AO41" i="9"/>
  <c r="AM41" i="9"/>
  <c r="AL41" i="9"/>
  <c r="AK41" i="9"/>
  <c r="AJ41" i="9"/>
  <c r="AI41" i="9"/>
  <c r="AH41" i="9"/>
  <c r="AG41" i="9"/>
  <c r="AF41" i="9"/>
  <c r="AE41" i="9"/>
  <c r="AD41" i="9"/>
  <c r="AC41" i="9"/>
  <c r="AB41" i="9"/>
  <c r="AA41" i="9"/>
  <c r="Z41" i="9"/>
  <c r="Y41" i="9"/>
  <c r="X41" i="9"/>
  <c r="W41" i="9"/>
  <c r="V41" i="9"/>
  <c r="U41" i="9"/>
  <c r="T41" i="9"/>
  <c r="S41" i="9"/>
  <c r="R41" i="9"/>
  <c r="Q41" i="9"/>
  <c r="P41" i="9"/>
  <c r="O41" i="9"/>
  <c r="N41" i="9"/>
  <c r="M41" i="9"/>
  <c r="L41" i="9"/>
  <c r="K41" i="9"/>
  <c r="J41" i="9"/>
  <c r="I41" i="9"/>
  <c r="H41" i="9"/>
  <c r="G41" i="9"/>
  <c r="F41" i="9"/>
  <c r="E41" i="9"/>
  <c r="D41" i="9"/>
  <c r="C41" i="9"/>
  <c r="AP40" i="9"/>
  <c r="AO40" i="9"/>
  <c r="AN40" i="9"/>
  <c r="AL40" i="9"/>
  <c r="AK40" i="9"/>
  <c r="AJ40" i="9"/>
  <c r="AI40" i="9"/>
  <c r="AH40" i="9"/>
  <c r="AG40" i="9"/>
  <c r="AF40" i="9"/>
  <c r="AD40" i="9"/>
  <c r="AC40" i="9"/>
  <c r="AB40" i="9"/>
  <c r="AA40" i="9"/>
  <c r="Z40" i="9"/>
  <c r="Y40" i="9"/>
  <c r="X40" i="9"/>
  <c r="W40" i="9"/>
  <c r="V40" i="9"/>
  <c r="U40" i="9"/>
  <c r="T40" i="9"/>
  <c r="S40" i="9"/>
  <c r="R40" i="9"/>
  <c r="Q40" i="9"/>
  <c r="P40" i="9"/>
  <c r="O40" i="9"/>
  <c r="N40" i="9"/>
  <c r="M40" i="9"/>
  <c r="L40" i="9"/>
  <c r="K40" i="9"/>
  <c r="J40" i="9"/>
  <c r="I40" i="9"/>
  <c r="H40" i="9"/>
  <c r="G40" i="9"/>
  <c r="F40" i="9"/>
  <c r="E40" i="9"/>
  <c r="D40" i="9"/>
  <c r="C40" i="9"/>
  <c r="AP39" i="9"/>
  <c r="AO39" i="9"/>
  <c r="AN39" i="9"/>
  <c r="AM39" i="9"/>
  <c r="AK39" i="9"/>
  <c r="AJ39" i="9"/>
  <c r="AI39" i="9"/>
  <c r="AH39" i="9"/>
  <c r="AG39" i="9"/>
  <c r="AF39" i="9"/>
  <c r="AE39" i="9"/>
  <c r="AD39" i="9"/>
  <c r="AC39" i="9"/>
  <c r="AB39" i="9"/>
  <c r="AA39" i="9"/>
  <c r="Z39" i="9"/>
  <c r="Y39" i="9"/>
  <c r="X39" i="9"/>
  <c r="W39" i="9"/>
  <c r="V39" i="9"/>
  <c r="U39" i="9"/>
  <c r="T39" i="9"/>
  <c r="S39" i="9"/>
  <c r="R39" i="9"/>
  <c r="Q39" i="9"/>
  <c r="P39" i="9"/>
  <c r="O39" i="9"/>
  <c r="N39" i="9"/>
  <c r="M39" i="9"/>
  <c r="L39" i="9"/>
  <c r="K39" i="9"/>
  <c r="J39" i="9"/>
  <c r="I39" i="9"/>
  <c r="H39" i="9"/>
  <c r="G39" i="9"/>
  <c r="F39" i="9"/>
  <c r="E39" i="9"/>
  <c r="D39" i="9"/>
  <c r="C39" i="9"/>
  <c r="AP38" i="9"/>
  <c r="AO38" i="9"/>
  <c r="AN38" i="9"/>
  <c r="AM38" i="9"/>
  <c r="AL38" i="9"/>
  <c r="AJ38" i="9"/>
  <c r="AI38" i="9"/>
  <c r="AH38" i="9"/>
  <c r="AG38" i="9"/>
  <c r="AF38" i="9"/>
  <c r="AE38" i="9"/>
  <c r="AD38" i="9"/>
  <c r="AC38" i="9"/>
  <c r="AB38" i="9"/>
  <c r="AA38" i="9"/>
  <c r="Z38" i="9"/>
  <c r="Y38" i="9"/>
  <c r="X38" i="9"/>
  <c r="W38" i="9"/>
  <c r="V38" i="9"/>
  <c r="U38" i="9"/>
  <c r="T38" i="9"/>
  <c r="S38" i="9"/>
  <c r="R38" i="9"/>
  <c r="Q38" i="9"/>
  <c r="P38" i="9"/>
  <c r="O38" i="9"/>
  <c r="N38" i="9"/>
  <c r="M38" i="9"/>
  <c r="L38" i="9"/>
  <c r="K38" i="9"/>
  <c r="J38" i="9"/>
  <c r="I38" i="9"/>
  <c r="H38" i="9"/>
  <c r="G38" i="9"/>
  <c r="F38" i="9"/>
  <c r="E38" i="9"/>
  <c r="D38" i="9"/>
  <c r="C38" i="9"/>
  <c r="AP37" i="9"/>
  <c r="AO37" i="9"/>
  <c r="AN37" i="9"/>
  <c r="AM37" i="9"/>
  <c r="AL37" i="9"/>
  <c r="AK37" i="9"/>
  <c r="AI37" i="9"/>
  <c r="AH37" i="9"/>
  <c r="AG37" i="9"/>
  <c r="AF37" i="9"/>
  <c r="AE37" i="9"/>
  <c r="AD37" i="9"/>
  <c r="AC37" i="9"/>
  <c r="AB37" i="9"/>
  <c r="AA37" i="9"/>
  <c r="Z37" i="9"/>
  <c r="Y37" i="9"/>
  <c r="X37" i="9"/>
  <c r="W37" i="9"/>
  <c r="V37" i="9"/>
  <c r="U37" i="9"/>
  <c r="T37" i="9"/>
  <c r="S37" i="9"/>
  <c r="R37" i="9"/>
  <c r="Q37" i="9"/>
  <c r="P37" i="9"/>
  <c r="O37" i="9"/>
  <c r="N37" i="9"/>
  <c r="M37" i="9"/>
  <c r="L37" i="9"/>
  <c r="K37" i="9"/>
  <c r="J37" i="9"/>
  <c r="I37" i="9"/>
  <c r="H37" i="9"/>
  <c r="G37" i="9"/>
  <c r="F37" i="9"/>
  <c r="E37" i="9"/>
  <c r="D37" i="9"/>
  <c r="C37" i="9"/>
  <c r="AP36" i="9"/>
  <c r="AO36" i="9"/>
  <c r="AN36" i="9"/>
  <c r="AM36" i="9"/>
  <c r="AL36" i="9"/>
  <c r="AK36" i="9"/>
  <c r="AJ36" i="9"/>
  <c r="AH36" i="9"/>
  <c r="AG36" i="9"/>
  <c r="AF36" i="9"/>
  <c r="AE36" i="9"/>
  <c r="AD36" i="9"/>
  <c r="AC36" i="9"/>
  <c r="AB36" i="9"/>
  <c r="AA36" i="9"/>
  <c r="Z36" i="9"/>
  <c r="Y36" i="9"/>
  <c r="X36" i="9"/>
  <c r="W36" i="9"/>
  <c r="V36" i="9"/>
  <c r="U36" i="9"/>
  <c r="T36" i="9"/>
  <c r="S36" i="9"/>
  <c r="R36" i="9"/>
  <c r="Q36" i="9"/>
  <c r="P36" i="9"/>
  <c r="O36" i="9"/>
  <c r="N36" i="9"/>
  <c r="M36" i="9"/>
  <c r="L36" i="9"/>
  <c r="K36" i="9"/>
  <c r="J36" i="9"/>
  <c r="I36" i="9"/>
  <c r="H36" i="9"/>
  <c r="G36" i="9"/>
  <c r="F36" i="9"/>
  <c r="E36" i="9"/>
  <c r="D36" i="9"/>
  <c r="C36" i="9"/>
  <c r="AP35" i="9"/>
  <c r="AO35" i="9"/>
  <c r="AN35" i="9"/>
  <c r="AM35" i="9"/>
  <c r="AL35" i="9"/>
  <c r="AK35" i="9"/>
  <c r="AJ35" i="9"/>
  <c r="AI35" i="9"/>
  <c r="AG35" i="9"/>
  <c r="AF35" i="9"/>
  <c r="AE35" i="9"/>
  <c r="AD35" i="9"/>
  <c r="AC35" i="9"/>
  <c r="AB35" i="9"/>
  <c r="AA35" i="9"/>
  <c r="Z35" i="9"/>
  <c r="Y35" i="9"/>
  <c r="X35" i="9"/>
  <c r="W35" i="9"/>
  <c r="V35" i="9"/>
  <c r="U35" i="9"/>
  <c r="T35" i="9"/>
  <c r="S35" i="9"/>
  <c r="R35" i="9"/>
  <c r="Q35" i="9"/>
  <c r="P35" i="9"/>
  <c r="O35" i="9"/>
  <c r="N35" i="9"/>
  <c r="M35" i="9"/>
  <c r="L35" i="9"/>
  <c r="K35" i="9"/>
  <c r="J35" i="9"/>
  <c r="I35" i="9"/>
  <c r="H35" i="9"/>
  <c r="G35" i="9"/>
  <c r="F35" i="9"/>
  <c r="E35" i="9"/>
  <c r="D35" i="9"/>
  <c r="C35" i="9"/>
  <c r="AP34" i="9"/>
  <c r="AO34" i="9"/>
  <c r="AN34" i="9"/>
  <c r="AM34" i="9"/>
  <c r="AL34" i="9"/>
  <c r="AK34" i="9"/>
  <c r="AJ34" i="9"/>
  <c r="AI34" i="9"/>
  <c r="AH34" i="9"/>
  <c r="AF34" i="9"/>
  <c r="AE34" i="9"/>
  <c r="AD34" i="9"/>
  <c r="AC34" i="9"/>
  <c r="AB34" i="9"/>
  <c r="AA34" i="9"/>
  <c r="Z34" i="9"/>
  <c r="Y34" i="9"/>
  <c r="X34" i="9"/>
  <c r="W34" i="9"/>
  <c r="V34" i="9"/>
  <c r="U34" i="9"/>
  <c r="T34" i="9"/>
  <c r="S34" i="9"/>
  <c r="R34" i="9"/>
  <c r="Q34" i="9"/>
  <c r="P34" i="9"/>
  <c r="O34" i="9"/>
  <c r="N34" i="9"/>
  <c r="M34" i="9"/>
  <c r="L34" i="9"/>
  <c r="K34" i="9"/>
  <c r="J34" i="9"/>
  <c r="I34" i="9"/>
  <c r="H34" i="9"/>
  <c r="G34" i="9"/>
  <c r="F34" i="9"/>
  <c r="E34" i="9"/>
  <c r="D34" i="9"/>
  <c r="C34" i="9"/>
  <c r="AP33" i="9"/>
  <c r="AO33" i="9"/>
  <c r="AN33" i="9"/>
  <c r="AM33" i="9"/>
  <c r="AL33" i="9"/>
  <c r="AK33" i="9"/>
  <c r="AJ33" i="9"/>
  <c r="AI33" i="9"/>
  <c r="AH33" i="9"/>
  <c r="AG33" i="9"/>
  <c r="AE33" i="9"/>
  <c r="AD33" i="9"/>
  <c r="AC33" i="9"/>
  <c r="AB33" i="9"/>
  <c r="AA33" i="9"/>
  <c r="Z33" i="9"/>
  <c r="Y33" i="9"/>
  <c r="X33" i="9"/>
  <c r="W33" i="9"/>
  <c r="V33" i="9"/>
  <c r="U33" i="9"/>
  <c r="T33" i="9"/>
  <c r="S33" i="9"/>
  <c r="R33" i="9"/>
  <c r="Q33" i="9"/>
  <c r="P33" i="9"/>
  <c r="O33" i="9"/>
  <c r="N33" i="9"/>
  <c r="M33" i="9"/>
  <c r="L33" i="9"/>
  <c r="K33" i="9"/>
  <c r="J33" i="9"/>
  <c r="I33" i="9"/>
  <c r="H33" i="9"/>
  <c r="G33" i="9"/>
  <c r="F33" i="9"/>
  <c r="E33" i="9"/>
  <c r="D33" i="9"/>
  <c r="C33" i="9"/>
  <c r="AP32" i="9"/>
  <c r="AO32" i="9"/>
  <c r="AN32" i="9"/>
  <c r="AL32" i="9"/>
  <c r="AK32" i="9"/>
  <c r="AJ32" i="9"/>
  <c r="AI32" i="9"/>
  <c r="AH32" i="9"/>
  <c r="AG32" i="9"/>
  <c r="AF32" i="9"/>
  <c r="AD32" i="9"/>
  <c r="AC32" i="9"/>
  <c r="AB32" i="9"/>
  <c r="AA32" i="9"/>
  <c r="Z32" i="9"/>
  <c r="Y32" i="9"/>
  <c r="X32" i="9"/>
  <c r="W32" i="9"/>
  <c r="V32" i="9"/>
  <c r="U32" i="9"/>
  <c r="T32" i="9"/>
  <c r="S32" i="9"/>
  <c r="R32" i="9"/>
  <c r="Q32" i="9"/>
  <c r="P32" i="9"/>
  <c r="O32" i="9"/>
  <c r="N32" i="9"/>
  <c r="M32" i="9"/>
  <c r="L32" i="9"/>
  <c r="K32" i="9"/>
  <c r="J32" i="9"/>
  <c r="I32" i="9"/>
  <c r="H32" i="9"/>
  <c r="G32" i="9"/>
  <c r="F32" i="9"/>
  <c r="E32" i="9"/>
  <c r="D32" i="9"/>
  <c r="C32" i="9"/>
  <c r="AP31" i="9"/>
  <c r="AO31" i="9"/>
  <c r="AN31" i="9"/>
  <c r="AM31" i="9"/>
  <c r="AL31" i="9"/>
  <c r="AK31" i="9"/>
  <c r="AJ31" i="9"/>
  <c r="AI31" i="9"/>
  <c r="AH31" i="9"/>
  <c r="AG31" i="9"/>
  <c r="AF31" i="9"/>
  <c r="AE31" i="9"/>
  <c r="AC31" i="9"/>
  <c r="AB31" i="9"/>
  <c r="AA31" i="9"/>
  <c r="Z31" i="9"/>
  <c r="Y31" i="9"/>
  <c r="X31" i="9"/>
  <c r="W31" i="9"/>
  <c r="V31" i="9"/>
  <c r="U31" i="9"/>
  <c r="T31" i="9"/>
  <c r="S31" i="9"/>
  <c r="R31" i="9"/>
  <c r="Q31" i="9"/>
  <c r="P31" i="9"/>
  <c r="O31" i="9"/>
  <c r="N31" i="9"/>
  <c r="M31" i="9"/>
  <c r="L31" i="9"/>
  <c r="K31" i="9"/>
  <c r="J31" i="9"/>
  <c r="I31" i="9"/>
  <c r="H31" i="9"/>
  <c r="G31" i="9"/>
  <c r="F31" i="9"/>
  <c r="E31" i="9"/>
  <c r="D31" i="9"/>
  <c r="C31" i="9"/>
  <c r="AP30" i="9"/>
  <c r="AO30" i="9"/>
  <c r="AN30" i="9"/>
  <c r="AM30" i="9"/>
  <c r="AL30" i="9"/>
  <c r="AK30" i="9"/>
  <c r="AJ30" i="9"/>
  <c r="AI30" i="9"/>
  <c r="AH30" i="9"/>
  <c r="AG30" i="9"/>
  <c r="AF30" i="9"/>
  <c r="AE30" i="9"/>
  <c r="AD30" i="9"/>
  <c r="AB30" i="9"/>
  <c r="AA30" i="9"/>
  <c r="Z30" i="9"/>
  <c r="Y30" i="9"/>
  <c r="X30" i="9"/>
  <c r="W30" i="9"/>
  <c r="V30" i="9"/>
  <c r="U30" i="9"/>
  <c r="T30" i="9"/>
  <c r="S30" i="9"/>
  <c r="R30" i="9"/>
  <c r="Q30" i="9"/>
  <c r="P30" i="9"/>
  <c r="O30" i="9"/>
  <c r="N30" i="9"/>
  <c r="M30" i="9"/>
  <c r="L30" i="9"/>
  <c r="K30" i="9"/>
  <c r="J30" i="9"/>
  <c r="I30" i="9"/>
  <c r="H30" i="9"/>
  <c r="G30" i="9"/>
  <c r="F30" i="9"/>
  <c r="E30" i="9"/>
  <c r="D30" i="9"/>
  <c r="C30" i="9"/>
  <c r="AP29" i="9"/>
  <c r="AO29" i="9"/>
  <c r="AN29" i="9"/>
  <c r="AM29" i="9"/>
  <c r="AL29" i="9"/>
  <c r="AK29" i="9"/>
  <c r="AJ29" i="9"/>
  <c r="AI29" i="9"/>
  <c r="AH29" i="9"/>
  <c r="AG29" i="9"/>
  <c r="AF29" i="9"/>
  <c r="AE29" i="9"/>
  <c r="AD29" i="9"/>
  <c r="AC29" i="9"/>
  <c r="AA29" i="9"/>
  <c r="Z29" i="9"/>
  <c r="Y29" i="9"/>
  <c r="X29" i="9"/>
  <c r="W29" i="9"/>
  <c r="V29" i="9"/>
  <c r="U29" i="9"/>
  <c r="T29" i="9"/>
  <c r="S29" i="9"/>
  <c r="R29" i="9"/>
  <c r="Q29" i="9"/>
  <c r="P29" i="9"/>
  <c r="O29" i="9"/>
  <c r="N29" i="9"/>
  <c r="M29" i="9"/>
  <c r="L29" i="9"/>
  <c r="K29" i="9"/>
  <c r="J29" i="9"/>
  <c r="I29" i="9"/>
  <c r="H29" i="9"/>
  <c r="G29" i="9"/>
  <c r="F29" i="9"/>
  <c r="E29" i="9"/>
  <c r="D29" i="9"/>
  <c r="C29" i="9"/>
  <c r="AP28" i="9"/>
  <c r="AO28" i="9"/>
  <c r="AN28" i="9"/>
  <c r="AM28" i="9"/>
  <c r="AL28" i="9"/>
  <c r="AK28" i="9"/>
  <c r="AJ28" i="9"/>
  <c r="AI28" i="9"/>
  <c r="AH28" i="9"/>
  <c r="AG28" i="9"/>
  <c r="AF28" i="9"/>
  <c r="AE28" i="9"/>
  <c r="AD28" i="9"/>
  <c r="AC28" i="9"/>
  <c r="AB28" i="9"/>
  <c r="Z28" i="9"/>
  <c r="Y28" i="9"/>
  <c r="X28" i="9"/>
  <c r="W28" i="9"/>
  <c r="V28" i="9"/>
  <c r="U28" i="9"/>
  <c r="T28" i="9"/>
  <c r="S28" i="9"/>
  <c r="R28" i="9"/>
  <c r="Q28" i="9"/>
  <c r="P28" i="9"/>
  <c r="O28" i="9"/>
  <c r="N28" i="9"/>
  <c r="M28" i="9"/>
  <c r="L28" i="9"/>
  <c r="K28" i="9"/>
  <c r="J28" i="9"/>
  <c r="I28" i="9"/>
  <c r="H28" i="9"/>
  <c r="G28" i="9"/>
  <c r="F28" i="9"/>
  <c r="E28" i="9"/>
  <c r="D28" i="9"/>
  <c r="C28" i="9"/>
  <c r="AP27" i="9"/>
  <c r="AO27" i="9"/>
  <c r="AN27" i="9"/>
  <c r="AM27" i="9"/>
  <c r="AL27" i="9"/>
  <c r="AK27" i="9"/>
  <c r="AJ27" i="9"/>
  <c r="AI27" i="9"/>
  <c r="AH27" i="9"/>
  <c r="AG27" i="9"/>
  <c r="AF27" i="9"/>
  <c r="AE27" i="9"/>
  <c r="AD27" i="9"/>
  <c r="AC27" i="9"/>
  <c r="AB27" i="9"/>
  <c r="AA27" i="9"/>
  <c r="Y27" i="9"/>
  <c r="X27" i="9"/>
  <c r="W27" i="9"/>
  <c r="V27" i="9"/>
  <c r="U27" i="9"/>
  <c r="T27" i="9"/>
  <c r="S27" i="9"/>
  <c r="R27" i="9"/>
  <c r="Q27" i="9"/>
  <c r="P27" i="9"/>
  <c r="O27" i="9"/>
  <c r="N27" i="9"/>
  <c r="M27" i="9"/>
  <c r="L27" i="9"/>
  <c r="K27" i="9"/>
  <c r="J27" i="9"/>
  <c r="I27" i="9"/>
  <c r="H27" i="9"/>
  <c r="G27" i="9"/>
  <c r="F27" i="9"/>
  <c r="E27" i="9"/>
  <c r="D27" i="9"/>
  <c r="C27" i="9"/>
  <c r="AP26" i="9"/>
  <c r="AO26" i="9"/>
  <c r="AN26" i="9"/>
  <c r="AM26" i="9"/>
  <c r="AL26" i="9"/>
  <c r="AK26" i="9"/>
  <c r="AJ26" i="9"/>
  <c r="AI26" i="9"/>
  <c r="AH26" i="9"/>
  <c r="AG26" i="9"/>
  <c r="AF26" i="9"/>
  <c r="AE26" i="9"/>
  <c r="AD26" i="9"/>
  <c r="AC26" i="9"/>
  <c r="AB26" i="9"/>
  <c r="AA26" i="9"/>
  <c r="Z26" i="9"/>
  <c r="X26" i="9"/>
  <c r="W26" i="9"/>
  <c r="V26" i="9"/>
  <c r="U26" i="9"/>
  <c r="T26" i="9"/>
  <c r="S26" i="9"/>
  <c r="R26" i="9"/>
  <c r="Q26" i="9"/>
  <c r="P26" i="9"/>
  <c r="O26" i="9"/>
  <c r="N26" i="9"/>
  <c r="M26" i="9"/>
  <c r="L26" i="9"/>
  <c r="K26" i="9"/>
  <c r="J26" i="9"/>
  <c r="I26" i="9"/>
  <c r="H26" i="9"/>
  <c r="G26" i="9"/>
  <c r="F26" i="9"/>
  <c r="E26" i="9"/>
  <c r="D26" i="9"/>
  <c r="C26" i="9"/>
  <c r="AP25" i="9"/>
  <c r="AO25" i="9"/>
  <c r="AN25" i="9"/>
  <c r="AM25" i="9"/>
  <c r="AL25" i="9"/>
  <c r="AK25" i="9"/>
  <c r="AJ25" i="9"/>
  <c r="AI25" i="9"/>
  <c r="AH25" i="9"/>
  <c r="AG25" i="9"/>
  <c r="AF25" i="9"/>
  <c r="AE25" i="9"/>
  <c r="AD25" i="9"/>
  <c r="AC25" i="9"/>
  <c r="AB25" i="9"/>
  <c r="AA25" i="9"/>
  <c r="Z25" i="9"/>
  <c r="Y25" i="9"/>
  <c r="W25" i="9"/>
  <c r="V25" i="9"/>
  <c r="U25" i="9"/>
  <c r="T25" i="9"/>
  <c r="S25" i="9"/>
  <c r="R25" i="9"/>
  <c r="Q25" i="9"/>
  <c r="P25" i="9"/>
  <c r="O25" i="9"/>
  <c r="N25" i="9"/>
  <c r="M25" i="9"/>
  <c r="L25" i="9"/>
  <c r="K25" i="9"/>
  <c r="J25" i="9"/>
  <c r="I25" i="9"/>
  <c r="H25" i="9"/>
  <c r="G25" i="9"/>
  <c r="F25" i="9"/>
  <c r="E25" i="9"/>
  <c r="D25" i="9"/>
  <c r="C25" i="9"/>
  <c r="AP24" i="9"/>
  <c r="AO24" i="9"/>
  <c r="AN24" i="9"/>
  <c r="AM24" i="9"/>
  <c r="AL24" i="9"/>
  <c r="AK24" i="9"/>
  <c r="AJ24" i="9"/>
  <c r="AI24" i="9"/>
  <c r="AH24" i="9"/>
  <c r="AG24" i="9"/>
  <c r="AF24" i="9"/>
  <c r="AE24" i="9"/>
  <c r="AD24" i="9"/>
  <c r="AC24" i="9"/>
  <c r="AB24" i="9"/>
  <c r="AA24" i="9"/>
  <c r="Z24" i="9"/>
  <c r="Y24" i="9"/>
  <c r="X24" i="9"/>
  <c r="V24" i="9"/>
  <c r="U24" i="9"/>
  <c r="T24" i="9"/>
  <c r="S24" i="9"/>
  <c r="R24" i="9"/>
  <c r="Q24" i="9"/>
  <c r="P24" i="9"/>
  <c r="O24" i="9"/>
  <c r="N24" i="9"/>
  <c r="M24" i="9"/>
  <c r="L24" i="9"/>
  <c r="K24" i="9"/>
  <c r="J24" i="9"/>
  <c r="I24" i="9"/>
  <c r="H24" i="9"/>
  <c r="G24" i="9"/>
  <c r="F24" i="9"/>
  <c r="E24" i="9"/>
  <c r="D24" i="9"/>
  <c r="C24" i="9"/>
  <c r="AP23" i="9"/>
  <c r="AO23" i="9"/>
  <c r="AN23" i="9"/>
  <c r="AM23" i="9"/>
  <c r="AL23" i="9"/>
  <c r="AK23" i="9"/>
  <c r="AJ23" i="9"/>
  <c r="AI23" i="9"/>
  <c r="AH23" i="9"/>
  <c r="AG23" i="9"/>
  <c r="AF23" i="9"/>
  <c r="AE23" i="9"/>
  <c r="AD23" i="9"/>
  <c r="AC23" i="9"/>
  <c r="AB23" i="9"/>
  <c r="AA23" i="9"/>
  <c r="Z23" i="9"/>
  <c r="Y23" i="9"/>
  <c r="X23" i="9"/>
  <c r="W23" i="9"/>
  <c r="U23" i="9"/>
  <c r="T23" i="9"/>
  <c r="S23" i="9"/>
  <c r="R23" i="9"/>
  <c r="Q23" i="9"/>
  <c r="P23" i="9"/>
  <c r="O23" i="9"/>
  <c r="N23" i="9"/>
  <c r="M23" i="9"/>
  <c r="L23" i="9"/>
  <c r="K23" i="9"/>
  <c r="J23" i="9"/>
  <c r="I23" i="9"/>
  <c r="H23" i="9"/>
  <c r="G23" i="9"/>
  <c r="F23" i="9"/>
  <c r="E23" i="9"/>
  <c r="D23" i="9"/>
  <c r="C23" i="9"/>
  <c r="AP22" i="9"/>
  <c r="AO22" i="9"/>
  <c r="AN22" i="9"/>
  <c r="AM22" i="9"/>
  <c r="AL22" i="9"/>
  <c r="AK22" i="9"/>
  <c r="AJ22" i="9"/>
  <c r="AI22" i="9"/>
  <c r="AH22" i="9"/>
  <c r="AG22" i="9"/>
  <c r="AF22" i="9"/>
  <c r="AE22" i="9"/>
  <c r="AD22" i="9"/>
  <c r="AC22" i="9"/>
  <c r="AB22" i="9"/>
  <c r="AA22" i="9"/>
  <c r="Z22" i="9"/>
  <c r="Y22" i="9"/>
  <c r="X22" i="9"/>
  <c r="W22" i="9"/>
  <c r="V22" i="9"/>
  <c r="T22" i="9"/>
  <c r="S22" i="9"/>
  <c r="R22" i="9"/>
  <c r="Q22" i="9"/>
  <c r="P22" i="9"/>
  <c r="O22" i="9"/>
  <c r="N22" i="9"/>
  <c r="M22" i="9"/>
  <c r="L22" i="9"/>
  <c r="K22" i="9"/>
  <c r="J22" i="9"/>
  <c r="I22" i="9"/>
  <c r="H22" i="9"/>
  <c r="G22" i="9"/>
  <c r="F22" i="9"/>
  <c r="E22" i="9"/>
  <c r="D22" i="9"/>
  <c r="C22" i="9"/>
  <c r="AP21" i="9"/>
  <c r="AO21" i="9"/>
  <c r="AN21" i="9"/>
  <c r="AM21" i="9"/>
  <c r="AL21" i="9"/>
  <c r="AK21" i="9"/>
  <c r="AJ21" i="9"/>
  <c r="AI21" i="9"/>
  <c r="AH21" i="9"/>
  <c r="AG21" i="9"/>
  <c r="AF21" i="9"/>
  <c r="AE21" i="9"/>
  <c r="AD21" i="9"/>
  <c r="AC21" i="9"/>
  <c r="AB21" i="9"/>
  <c r="AA21" i="9"/>
  <c r="Z21" i="9"/>
  <c r="Y21" i="9"/>
  <c r="X21" i="9"/>
  <c r="W21" i="9"/>
  <c r="V21" i="9"/>
  <c r="U21" i="9"/>
  <c r="S21" i="9"/>
  <c r="R21" i="9"/>
  <c r="Q21" i="9"/>
  <c r="P21" i="9"/>
  <c r="O21" i="9"/>
  <c r="N21" i="9"/>
  <c r="M21" i="9"/>
  <c r="L21" i="9"/>
  <c r="K21" i="9"/>
  <c r="J21" i="9"/>
  <c r="I21" i="9"/>
  <c r="H21" i="9"/>
  <c r="G21" i="9"/>
  <c r="F21" i="9"/>
  <c r="E21" i="9"/>
  <c r="D21" i="9"/>
  <c r="C21" i="9"/>
  <c r="AP20" i="9"/>
  <c r="AO20" i="9"/>
  <c r="AN20" i="9"/>
  <c r="AM20" i="9"/>
  <c r="AL20" i="9"/>
  <c r="AK20" i="9"/>
  <c r="AJ20" i="9"/>
  <c r="AI20" i="9"/>
  <c r="AH20" i="9"/>
  <c r="AG20" i="9"/>
  <c r="AF20" i="9"/>
  <c r="AE20" i="9"/>
  <c r="AD20" i="9"/>
  <c r="AC20" i="9"/>
  <c r="AB20" i="9"/>
  <c r="AA20" i="9"/>
  <c r="Z20" i="9"/>
  <c r="Y20" i="9"/>
  <c r="X20" i="9"/>
  <c r="W20" i="9"/>
  <c r="V20" i="9"/>
  <c r="U20" i="9"/>
  <c r="T20" i="9"/>
  <c r="R20" i="9"/>
  <c r="Q20" i="9"/>
  <c r="P20" i="9"/>
  <c r="O20" i="9"/>
  <c r="N20" i="9"/>
  <c r="M20" i="9"/>
  <c r="L20" i="9"/>
  <c r="K20" i="9"/>
  <c r="J20" i="9"/>
  <c r="I20" i="9"/>
  <c r="H20" i="9"/>
  <c r="G20" i="9"/>
  <c r="F20" i="9"/>
  <c r="E20" i="9"/>
  <c r="D20" i="9"/>
  <c r="C20" i="9"/>
  <c r="AP19" i="9"/>
  <c r="AO19" i="9"/>
  <c r="AN19" i="9"/>
  <c r="AM19" i="9"/>
  <c r="AL19" i="9"/>
  <c r="AK19" i="9"/>
  <c r="AJ19" i="9"/>
  <c r="AI19" i="9"/>
  <c r="AH19" i="9"/>
  <c r="AG19" i="9"/>
  <c r="AF19" i="9"/>
  <c r="AE19" i="9"/>
  <c r="AD19" i="9"/>
  <c r="AC19" i="9"/>
  <c r="AB19" i="9"/>
  <c r="AA19" i="9"/>
  <c r="Z19" i="9"/>
  <c r="Y19" i="9"/>
  <c r="X19" i="9"/>
  <c r="W19" i="9"/>
  <c r="V19" i="9"/>
  <c r="U19" i="9"/>
  <c r="T19" i="9"/>
  <c r="S19" i="9"/>
  <c r="Q19" i="9"/>
  <c r="P19" i="9"/>
  <c r="O19" i="9"/>
  <c r="N19" i="9"/>
  <c r="M19" i="9"/>
  <c r="L19" i="9"/>
  <c r="K19" i="9"/>
  <c r="J19" i="9"/>
  <c r="I19" i="9"/>
  <c r="H19" i="9"/>
  <c r="G19" i="9"/>
  <c r="F19" i="9"/>
  <c r="E19" i="9"/>
  <c r="D19" i="9"/>
  <c r="C19" i="9"/>
  <c r="AP18" i="9"/>
  <c r="AO18" i="9"/>
  <c r="AN18" i="9"/>
  <c r="AM18" i="9"/>
  <c r="AL18" i="9"/>
  <c r="AK18" i="9"/>
  <c r="AJ18" i="9"/>
  <c r="AI18" i="9"/>
  <c r="AH18" i="9"/>
  <c r="AG18" i="9"/>
  <c r="AF18" i="9"/>
  <c r="AE18" i="9"/>
  <c r="AD18" i="9"/>
  <c r="AC18" i="9"/>
  <c r="AB18" i="9"/>
  <c r="AA18" i="9"/>
  <c r="Z18" i="9"/>
  <c r="Y18" i="9"/>
  <c r="X18" i="9"/>
  <c r="W18" i="9"/>
  <c r="V18" i="9"/>
  <c r="U18" i="9"/>
  <c r="T18" i="9"/>
  <c r="S18" i="9"/>
  <c r="R18" i="9"/>
  <c r="P18" i="9"/>
  <c r="O18" i="9"/>
  <c r="N18" i="9"/>
  <c r="M18" i="9"/>
  <c r="L18" i="9"/>
  <c r="K18" i="9"/>
  <c r="J18" i="9"/>
  <c r="I18" i="9"/>
  <c r="H18" i="9"/>
  <c r="G18" i="9"/>
  <c r="F18" i="9"/>
  <c r="E18" i="9"/>
  <c r="D18" i="9"/>
  <c r="C18" i="9"/>
  <c r="AP17" i="9"/>
  <c r="AO17" i="9"/>
  <c r="AN17" i="9"/>
  <c r="AM17" i="9"/>
  <c r="AL17" i="9"/>
  <c r="AK17" i="9"/>
  <c r="AJ17" i="9"/>
  <c r="AI17" i="9"/>
  <c r="AH17" i="9"/>
  <c r="AG17" i="9"/>
  <c r="AF17" i="9"/>
  <c r="AE17" i="9"/>
  <c r="AD17" i="9"/>
  <c r="AC17" i="9"/>
  <c r="AB17" i="9"/>
  <c r="AA17" i="9"/>
  <c r="Z17" i="9"/>
  <c r="Y17" i="9"/>
  <c r="X17" i="9"/>
  <c r="W17" i="9"/>
  <c r="V17" i="9"/>
  <c r="U17" i="9"/>
  <c r="T17" i="9"/>
  <c r="S17" i="9"/>
  <c r="R17" i="9"/>
  <c r="Q17" i="9"/>
  <c r="N17" i="9"/>
  <c r="M17" i="9"/>
  <c r="L17" i="9"/>
  <c r="K17" i="9"/>
  <c r="J17" i="9"/>
  <c r="I17" i="9"/>
  <c r="H17" i="9"/>
  <c r="G17" i="9"/>
  <c r="F17" i="9"/>
  <c r="E17" i="9"/>
  <c r="D17" i="9"/>
  <c r="C17" i="9"/>
  <c r="AP16" i="9"/>
  <c r="AO16" i="9"/>
  <c r="AN16" i="9"/>
  <c r="AM16" i="9"/>
  <c r="AL16" i="9"/>
  <c r="AK16" i="9"/>
  <c r="AJ16" i="9"/>
  <c r="AI16" i="9"/>
  <c r="AH16" i="9"/>
  <c r="AG16" i="9"/>
  <c r="AF16" i="9"/>
  <c r="AE16" i="9"/>
  <c r="AD16" i="9"/>
  <c r="AC16" i="9"/>
  <c r="AB16" i="9"/>
  <c r="AA16" i="9"/>
  <c r="Z16" i="9"/>
  <c r="Y16" i="9"/>
  <c r="X16" i="9"/>
  <c r="W16" i="9"/>
  <c r="V16" i="9"/>
  <c r="U16" i="9"/>
  <c r="T16" i="9"/>
  <c r="S16" i="9"/>
  <c r="R16" i="9"/>
  <c r="Q16" i="9"/>
  <c r="N16" i="9"/>
  <c r="M16" i="9"/>
  <c r="L16" i="9"/>
  <c r="K16" i="9"/>
  <c r="J16" i="9"/>
  <c r="I16" i="9"/>
  <c r="H16" i="9"/>
  <c r="G16" i="9"/>
  <c r="F16" i="9"/>
  <c r="E16" i="9"/>
  <c r="D16" i="9"/>
  <c r="C16" i="9"/>
  <c r="AP15" i="9"/>
  <c r="AO15" i="9"/>
  <c r="AN15" i="9"/>
  <c r="AM15" i="9"/>
  <c r="AL15" i="9"/>
  <c r="AK15" i="9"/>
  <c r="AJ15" i="9"/>
  <c r="AI15" i="9"/>
  <c r="AH15" i="9"/>
  <c r="AG15" i="9"/>
  <c r="AF15" i="9"/>
  <c r="AE15" i="9"/>
  <c r="AD15" i="9"/>
  <c r="AC15" i="9"/>
  <c r="AB15" i="9"/>
  <c r="AA15" i="9"/>
  <c r="Z15" i="9"/>
  <c r="Y15" i="9"/>
  <c r="X15" i="9"/>
  <c r="W15" i="9"/>
  <c r="V15" i="9"/>
  <c r="U15" i="9"/>
  <c r="T15" i="9"/>
  <c r="S15" i="9"/>
  <c r="R15" i="9"/>
  <c r="Q15" i="9"/>
  <c r="P15" i="9"/>
  <c r="O15" i="9"/>
  <c r="M15" i="9"/>
  <c r="L15" i="9"/>
  <c r="K15" i="9"/>
  <c r="J15" i="9"/>
  <c r="I15" i="9"/>
  <c r="H15" i="9"/>
  <c r="G15" i="9"/>
  <c r="F15" i="9"/>
  <c r="E15" i="9"/>
  <c r="D15" i="9"/>
  <c r="C15" i="9"/>
  <c r="AP14" i="9"/>
  <c r="AO14" i="9"/>
  <c r="AN14" i="9"/>
  <c r="AM14" i="9"/>
  <c r="AL14" i="9"/>
  <c r="AK14" i="9"/>
  <c r="AJ14" i="9"/>
  <c r="AI14" i="9"/>
  <c r="AH14" i="9"/>
  <c r="AG14" i="9"/>
  <c r="AF14" i="9"/>
  <c r="AE14" i="9"/>
  <c r="AD14" i="9"/>
  <c r="AC14" i="9"/>
  <c r="AB14" i="9"/>
  <c r="AA14" i="9"/>
  <c r="Z14" i="9"/>
  <c r="Y14" i="9"/>
  <c r="X14" i="9"/>
  <c r="W14" i="9"/>
  <c r="V14" i="9"/>
  <c r="U14" i="9"/>
  <c r="T14" i="9"/>
  <c r="S14" i="9"/>
  <c r="R14" i="9"/>
  <c r="Q14" i="9"/>
  <c r="P14" i="9"/>
  <c r="O14" i="9"/>
  <c r="N14" i="9"/>
  <c r="L14" i="9"/>
  <c r="K14" i="9"/>
  <c r="J14" i="9"/>
  <c r="I14" i="9"/>
  <c r="H14" i="9"/>
  <c r="G14" i="9"/>
  <c r="F14" i="9"/>
  <c r="E14" i="9"/>
  <c r="D14" i="9"/>
  <c r="C14" i="9"/>
  <c r="AP13" i="9"/>
  <c r="AO13" i="9"/>
  <c r="AN13" i="9"/>
  <c r="AM13" i="9"/>
  <c r="AL13" i="9"/>
  <c r="AK13" i="9"/>
  <c r="AJ13" i="9"/>
  <c r="AI13" i="9"/>
  <c r="AH13" i="9"/>
  <c r="AG13" i="9"/>
  <c r="AF13" i="9"/>
  <c r="AE13" i="9"/>
  <c r="AD13" i="9"/>
  <c r="AC13" i="9"/>
  <c r="AB13" i="9"/>
  <c r="AA13" i="9"/>
  <c r="Z13" i="9"/>
  <c r="Y13" i="9"/>
  <c r="X13" i="9"/>
  <c r="W13" i="9"/>
  <c r="V13" i="9"/>
  <c r="U13" i="9"/>
  <c r="T13" i="9"/>
  <c r="S13" i="9"/>
  <c r="R13" i="9"/>
  <c r="Q13" i="9"/>
  <c r="P13" i="9"/>
  <c r="O13" i="9"/>
  <c r="N13" i="9"/>
  <c r="M13" i="9"/>
  <c r="K13" i="9"/>
  <c r="J13" i="9"/>
  <c r="I13" i="9"/>
  <c r="H13" i="9"/>
  <c r="G13" i="9"/>
  <c r="F13" i="9"/>
  <c r="E13" i="9"/>
  <c r="D13" i="9"/>
  <c r="C13" i="9"/>
  <c r="AP12" i="9"/>
  <c r="AO12" i="9"/>
  <c r="AN12" i="9"/>
  <c r="AM12" i="9"/>
  <c r="AL12" i="9"/>
  <c r="AK12" i="9"/>
  <c r="AJ12" i="9"/>
  <c r="AI12" i="9"/>
  <c r="AH12" i="9"/>
  <c r="AG12" i="9"/>
  <c r="AF12" i="9"/>
  <c r="AE12" i="9"/>
  <c r="AD12" i="9"/>
  <c r="AC12" i="9"/>
  <c r="AB12" i="9"/>
  <c r="AA12" i="9"/>
  <c r="Z12" i="9"/>
  <c r="Y12" i="9"/>
  <c r="X12" i="9"/>
  <c r="W12" i="9"/>
  <c r="V12" i="9"/>
  <c r="U12" i="9"/>
  <c r="T12" i="9"/>
  <c r="S12" i="9"/>
  <c r="R12" i="9"/>
  <c r="Q12" i="9"/>
  <c r="P12" i="9"/>
  <c r="O12" i="9"/>
  <c r="N12" i="9"/>
  <c r="M12" i="9"/>
  <c r="L12" i="9"/>
  <c r="J12" i="9"/>
  <c r="I12" i="9"/>
  <c r="H12" i="9"/>
  <c r="G12" i="9"/>
  <c r="F12" i="9"/>
  <c r="E12" i="9"/>
  <c r="D12" i="9"/>
  <c r="C12" i="9"/>
  <c r="AP11" i="9"/>
  <c r="AO11" i="9"/>
  <c r="AN11" i="9"/>
  <c r="AM11" i="9"/>
  <c r="AL11" i="9"/>
  <c r="AK11" i="9"/>
  <c r="AJ11" i="9"/>
  <c r="AI11" i="9"/>
  <c r="AH11" i="9"/>
  <c r="AG11" i="9"/>
  <c r="AF11" i="9"/>
  <c r="AE11" i="9"/>
  <c r="AD11" i="9"/>
  <c r="AC11" i="9"/>
  <c r="AB11" i="9"/>
  <c r="AA11" i="9"/>
  <c r="Z11" i="9"/>
  <c r="Y11" i="9"/>
  <c r="X11" i="9"/>
  <c r="W11" i="9"/>
  <c r="V11" i="9"/>
  <c r="U11" i="9"/>
  <c r="T11" i="9"/>
  <c r="S11" i="9"/>
  <c r="R11" i="9"/>
  <c r="Q11" i="9"/>
  <c r="P11" i="9"/>
  <c r="O11" i="9"/>
  <c r="N11" i="9"/>
  <c r="M11" i="9"/>
  <c r="L11" i="9"/>
  <c r="K11" i="9"/>
  <c r="I11" i="9"/>
  <c r="H11" i="9"/>
  <c r="G11" i="9"/>
  <c r="F11" i="9"/>
  <c r="E11" i="9"/>
  <c r="D11" i="9"/>
  <c r="C11" i="9"/>
  <c r="AP10" i="9"/>
  <c r="AO10" i="9"/>
  <c r="AN10" i="9"/>
  <c r="AM10" i="9"/>
  <c r="AL10" i="9"/>
  <c r="AK10" i="9"/>
  <c r="AJ10" i="9"/>
  <c r="AI10" i="9"/>
  <c r="AH10" i="9"/>
  <c r="AG10" i="9"/>
  <c r="AF10" i="9"/>
  <c r="AE10" i="9"/>
  <c r="AD10" i="9"/>
  <c r="AC10" i="9"/>
  <c r="AB10" i="9"/>
  <c r="AA10" i="9"/>
  <c r="Z10" i="9"/>
  <c r="Y10" i="9"/>
  <c r="X10" i="9"/>
  <c r="W10" i="9"/>
  <c r="V10" i="9"/>
  <c r="U10" i="9"/>
  <c r="T10" i="9"/>
  <c r="S10" i="9"/>
  <c r="R10" i="9"/>
  <c r="Q10" i="9"/>
  <c r="P10" i="9"/>
  <c r="O10" i="9"/>
  <c r="N10" i="9"/>
  <c r="M10" i="9"/>
  <c r="L10" i="9"/>
  <c r="K10" i="9"/>
  <c r="J10" i="9"/>
  <c r="H10" i="9"/>
  <c r="G10" i="9"/>
  <c r="F10" i="9"/>
  <c r="E10" i="9"/>
  <c r="D10" i="9"/>
  <c r="C10" i="9"/>
  <c r="AP9" i="9"/>
  <c r="AO9" i="9"/>
  <c r="AN9" i="9"/>
  <c r="AM9" i="9"/>
  <c r="AL9" i="9"/>
  <c r="AK9" i="9"/>
  <c r="AJ9" i="9"/>
  <c r="AI9" i="9"/>
  <c r="AH9" i="9"/>
  <c r="AG9" i="9"/>
  <c r="AF9" i="9"/>
  <c r="AE9" i="9"/>
  <c r="AD9" i="9"/>
  <c r="AC9" i="9"/>
  <c r="AB9" i="9"/>
  <c r="AA9" i="9"/>
  <c r="Z9" i="9"/>
  <c r="Y9" i="9"/>
  <c r="X9" i="9"/>
  <c r="W9" i="9"/>
  <c r="V9" i="9"/>
  <c r="U9" i="9"/>
  <c r="T9" i="9"/>
  <c r="S9" i="9"/>
  <c r="R9" i="9"/>
  <c r="Q9" i="9"/>
  <c r="P9" i="9"/>
  <c r="O9" i="9"/>
  <c r="N9" i="9"/>
  <c r="M9" i="9"/>
  <c r="L9" i="9"/>
  <c r="K9" i="9"/>
  <c r="J9" i="9"/>
  <c r="I9" i="9"/>
  <c r="G9" i="9"/>
  <c r="F9" i="9"/>
  <c r="E9" i="9"/>
  <c r="D9" i="9"/>
  <c r="C9" i="9"/>
  <c r="AP8" i="9"/>
  <c r="AO8" i="9"/>
  <c r="AN8" i="9"/>
  <c r="AM8" i="9"/>
  <c r="AL8" i="9"/>
  <c r="AK8" i="9"/>
  <c r="AJ8" i="9"/>
  <c r="AI8" i="9"/>
  <c r="AH8" i="9"/>
  <c r="AG8" i="9"/>
  <c r="AF8" i="9"/>
  <c r="AE8" i="9"/>
  <c r="AD8" i="9"/>
  <c r="AC8" i="9"/>
  <c r="AB8" i="9"/>
  <c r="AA8" i="9"/>
  <c r="Z8" i="9"/>
  <c r="Y8" i="9"/>
  <c r="X8" i="9"/>
  <c r="W8" i="9"/>
  <c r="V8" i="9"/>
  <c r="U8" i="9"/>
  <c r="T8" i="9"/>
  <c r="S8" i="9"/>
  <c r="R8" i="9"/>
  <c r="Q8" i="9"/>
  <c r="P8" i="9"/>
  <c r="O8" i="9"/>
  <c r="N8" i="9"/>
  <c r="M8" i="9"/>
  <c r="L8" i="9"/>
  <c r="K8" i="9"/>
  <c r="J8" i="9"/>
  <c r="I8" i="9"/>
  <c r="H8" i="9"/>
  <c r="F8" i="9"/>
  <c r="E8" i="9"/>
  <c r="D8" i="9"/>
  <c r="C8" i="9"/>
  <c r="AP7" i="9"/>
  <c r="AO7" i="9"/>
  <c r="AN7" i="9"/>
  <c r="AM7" i="9"/>
  <c r="AL7" i="9"/>
  <c r="AK7" i="9"/>
  <c r="AJ7" i="9"/>
  <c r="AI7" i="9"/>
  <c r="AH7" i="9"/>
  <c r="AG7" i="9"/>
  <c r="AF7" i="9"/>
  <c r="AE7" i="9"/>
  <c r="AD7" i="9"/>
  <c r="AC7" i="9"/>
  <c r="AB7" i="9"/>
  <c r="AA7" i="9"/>
  <c r="Z7" i="9"/>
  <c r="Y7" i="9"/>
  <c r="X7" i="9"/>
  <c r="W7" i="9"/>
  <c r="V7" i="9"/>
  <c r="U7" i="9"/>
  <c r="T7" i="9"/>
  <c r="S7" i="9"/>
  <c r="R7" i="9"/>
  <c r="Q7" i="9"/>
  <c r="P7" i="9"/>
  <c r="O7" i="9"/>
  <c r="N7" i="9"/>
  <c r="M7" i="9"/>
  <c r="L7" i="9"/>
  <c r="K7" i="9"/>
  <c r="J7" i="9"/>
  <c r="I7" i="9"/>
  <c r="H7" i="9"/>
  <c r="G7" i="9"/>
  <c r="E7" i="9"/>
  <c r="D7" i="9"/>
  <c r="C7" i="9"/>
  <c r="AP6" i="9"/>
  <c r="AO6" i="9"/>
  <c r="AN6" i="9"/>
  <c r="AM6" i="9"/>
  <c r="AL6" i="9"/>
  <c r="AK6" i="9"/>
  <c r="AJ6" i="9"/>
  <c r="AI6" i="9"/>
  <c r="AH6" i="9"/>
  <c r="AG6" i="9"/>
  <c r="AF6" i="9"/>
  <c r="AE6" i="9"/>
  <c r="AD6" i="9"/>
  <c r="AC6" i="9"/>
  <c r="AB6" i="9"/>
  <c r="AA6" i="9"/>
  <c r="Z6" i="9"/>
  <c r="Y6" i="9"/>
  <c r="X6" i="9"/>
  <c r="W6" i="9"/>
  <c r="V6" i="9"/>
  <c r="U6" i="9"/>
  <c r="T6" i="9"/>
  <c r="S6" i="9"/>
  <c r="R6" i="9"/>
  <c r="Q6" i="9"/>
  <c r="P6" i="9"/>
  <c r="O6" i="9"/>
  <c r="N6" i="9"/>
  <c r="M6" i="9"/>
  <c r="L6" i="9"/>
  <c r="K6" i="9"/>
  <c r="J6" i="9"/>
  <c r="I6" i="9"/>
  <c r="H6" i="9"/>
  <c r="G6" i="9"/>
  <c r="F6" i="9"/>
  <c r="D6" i="9"/>
  <c r="C6" i="9"/>
  <c r="AP5" i="9"/>
  <c r="AO5" i="9"/>
  <c r="AN5" i="9"/>
  <c r="AM5" i="9"/>
  <c r="AL5" i="9"/>
  <c r="AK5" i="9"/>
  <c r="AJ5" i="9"/>
  <c r="AI5" i="9"/>
  <c r="AH5" i="9"/>
  <c r="AG5" i="9"/>
  <c r="AF5" i="9"/>
  <c r="AE5" i="9"/>
  <c r="AD5" i="9"/>
  <c r="AC5" i="9"/>
  <c r="AB5" i="9"/>
  <c r="AA5" i="9"/>
  <c r="Z5" i="9"/>
  <c r="Y5" i="9"/>
  <c r="X5" i="9"/>
  <c r="W5" i="9"/>
  <c r="V5" i="9"/>
  <c r="U5" i="9"/>
  <c r="T5" i="9"/>
  <c r="S5" i="9"/>
  <c r="R5" i="9"/>
  <c r="Q5" i="9"/>
  <c r="P5" i="9"/>
  <c r="O5" i="9"/>
  <c r="N5" i="9"/>
  <c r="M5" i="9"/>
  <c r="L5" i="9"/>
  <c r="K5" i="9"/>
  <c r="J5" i="9"/>
  <c r="I5" i="9"/>
  <c r="H5" i="9"/>
  <c r="G5" i="9"/>
  <c r="F5" i="9"/>
  <c r="E5" i="9"/>
  <c r="C5" i="9"/>
  <c r="AP4" i="9"/>
  <c r="AO4" i="9"/>
  <c r="AN4" i="9"/>
  <c r="AM4" i="9"/>
  <c r="AL4" i="9"/>
  <c r="AK4" i="9"/>
  <c r="AJ4" i="9"/>
  <c r="AI4" i="9"/>
  <c r="AH4" i="9"/>
  <c r="AG4" i="9"/>
  <c r="AF4" i="9"/>
  <c r="AE4" i="9"/>
  <c r="AD4" i="9"/>
  <c r="AC4" i="9"/>
  <c r="AB4" i="9"/>
  <c r="AA4" i="9"/>
  <c r="Z4" i="9"/>
  <c r="Y4" i="9"/>
  <c r="X4" i="9"/>
  <c r="W4" i="9"/>
  <c r="V4" i="9"/>
  <c r="U4" i="9"/>
  <c r="T4" i="9"/>
  <c r="S4" i="9"/>
  <c r="R4" i="9"/>
  <c r="Q4" i="9"/>
  <c r="P4" i="9"/>
  <c r="O4" i="9"/>
  <c r="N4" i="9"/>
  <c r="M4" i="9"/>
  <c r="L4" i="9"/>
  <c r="K4" i="9"/>
  <c r="J4" i="9"/>
  <c r="I4" i="9"/>
  <c r="H4" i="9"/>
  <c r="G4" i="9"/>
  <c r="F4" i="9"/>
  <c r="E4" i="9"/>
  <c r="D4" i="9"/>
  <c r="E1191" i="1" l="1"/>
  <c r="F640" i="14" l="1" a="1"/>
  <c r="F640" i="14" s="1"/>
  <c r="E47" i="7" l="1"/>
  <c r="E48" i="7"/>
  <c r="E49" i="7"/>
  <c r="H325" i="14" l="1" a="1"/>
  <c r="H325" i="14" s="1"/>
  <c r="H55" i="14" a="1"/>
  <c r="H55" i="14" s="1"/>
  <c r="E1645" i="9"/>
  <c r="E1644" i="9"/>
  <c r="E1643" i="9"/>
  <c r="E1642" i="9"/>
  <c r="E1641" i="9"/>
  <c r="E1640" i="9"/>
  <c r="E1639" i="9"/>
  <c r="E1638" i="9"/>
  <c r="E1637" i="9"/>
  <c r="E1636" i="9"/>
  <c r="E1635" i="9"/>
  <c r="E1634" i="9"/>
  <c r="E1633" i="9"/>
  <c r="E1632" i="9"/>
  <c r="E1631" i="9"/>
  <c r="E1630" i="9"/>
  <c r="E1629" i="9"/>
  <c r="E1628" i="9"/>
  <c r="E1627" i="9"/>
  <c r="E1626" i="9"/>
  <c r="E1625" i="9"/>
  <c r="E1624" i="9"/>
  <c r="E1623" i="9"/>
  <c r="E1622" i="9"/>
  <c r="E1621" i="9"/>
  <c r="E1620" i="9"/>
  <c r="E1619" i="9"/>
  <c r="E1618" i="9"/>
  <c r="E1617" i="9"/>
  <c r="E1616" i="9"/>
  <c r="E1615" i="9"/>
  <c r="E1614" i="9"/>
  <c r="E1613" i="9"/>
  <c r="E1612" i="9"/>
  <c r="E1611" i="9"/>
  <c r="E1610" i="9"/>
  <c r="E1609" i="9"/>
  <c r="E1608" i="9"/>
  <c r="E1607" i="9"/>
  <c r="E1606" i="9"/>
  <c r="E1605" i="9"/>
  <c r="E1604" i="9"/>
  <c r="E1603" i="9"/>
  <c r="E1602" i="9"/>
  <c r="E1601" i="9"/>
  <c r="E1600" i="9"/>
  <c r="E1599" i="9"/>
  <c r="E1598" i="9"/>
  <c r="E1597" i="9"/>
  <c r="E1596" i="9"/>
  <c r="E1595" i="9"/>
  <c r="E1594" i="9"/>
  <c r="E1593" i="9"/>
  <c r="E1592" i="9"/>
  <c r="E1591" i="9"/>
  <c r="E1590" i="9"/>
  <c r="E1589" i="9"/>
  <c r="E1588" i="9"/>
  <c r="E1587" i="9"/>
  <c r="E1586" i="9"/>
  <c r="E1585" i="9"/>
  <c r="E1584" i="9"/>
  <c r="E1583" i="9"/>
  <c r="E1582" i="9"/>
  <c r="E1581" i="9"/>
  <c r="E1580" i="9"/>
  <c r="E1579" i="9"/>
  <c r="E1578" i="9"/>
  <c r="E1577" i="9"/>
  <c r="E1576" i="9"/>
  <c r="E1575" i="9"/>
  <c r="E1574" i="9"/>
  <c r="E1573" i="9"/>
  <c r="E1572" i="9"/>
  <c r="E1571" i="9"/>
  <c r="E1570" i="9"/>
  <c r="E1569" i="9"/>
  <c r="E1568" i="9"/>
  <c r="E1567" i="9"/>
  <c r="E1566" i="9"/>
  <c r="E1565" i="9"/>
  <c r="E1564" i="9"/>
  <c r="E1563" i="9"/>
  <c r="E1562" i="9"/>
  <c r="E1561" i="9"/>
  <c r="E1560" i="9"/>
  <c r="E1559" i="9"/>
  <c r="E1558" i="9"/>
  <c r="E1557" i="9"/>
  <c r="E1556" i="9"/>
  <c r="E1555" i="9"/>
  <c r="E1554" i="9"/>
  <c r="E1553" i="9"/>
  <c r="E1552" i="9"/>
  <c r="E1551" i="9"/>
  <c r="E1550" i="9"/>
  <c r="E1549" i="9"/>
  <c r="E1548" i="9"/>
  <c r="E1547" i="9"/>
  <c r="E1546" i="9"/>
  <c r="E1545" i="9"/>
  <c r="E1544" i="9"/>
  <c r="E1543" i="9"/>
  <c r="E1542" i="9"/>
  <c r="E1541" i="9"/>
  <c r="E1540" i="9"/>
  <c r="E1539" i="9"/>
  <c r="E1538" i="9"/>
  <c r="E1537" i="9"/>
  <c r="E1536" i="9"/>
  <c r="E1535" i="9"/>
  <c r="E1534" i="9"/>
  <c r="E1533" i="9"/>
  <c r="E1532" i="9"/>
  <c r="E1531" i="9"/>
  <c r="E1530" i="9"/>
  <c r="E1529" i="9"/>
  <c r="E1528" i="9"/>
  <c r="E1527" i="9"/>
  <c r="E1526" i="9"/>
  <c r="E1525" i="9"/>
  <c r="E1524" i="9"/>
  <c r="E1523" i="9"/>
  <c r="E1522" i="9"/>
  <c r="E1521" i="9"/>
  <c r="E1520" i="9"/>
  <c r="E1519" i="9"/>
  <c r="E1518" i="9"/>
  <c r="E1517" i="9"/>
  <c r="E1516" i="9"/>
  <c r="E1515" i="9"/>
  <c r="E1514" i="9"/>
  <c r="E1513" i="9"/>
  <c r="E1512" i="9"/>
  <c r="E1511" i="9"/>
  <c r="E1510" i="9"/>
  <c r="E1509" i="9"/>
  <c r="E1508" i="9"/>
  <c r="E1507" i="9"/>
  <c r="E1506" i="9"/>
  <c r="E1505" i="9"/>
  <c r="E1504" i="9"/>
  <c r="E1503" i="9"/>
  <c r="E1502" i="9"/>
  <c r="E1501" i="9"/>
  <c r="E1500" i="9"/>
  <c r="E1499" i="9"/>
  <c r="E1498" i="9"/>
  <c r="E1497" i="9"/>
  <c r="E1496" i="9"/>
  <c r="E1495" i="9"/>
  <c r="E1494" i="9"/>
  <c r="E1493" i="9"/>
  <c r="E1492" i="9"/>
  <c r="E1491" i="9"/>
  <c r="E1490" i="9"/>
  <c r="E1489" i="9"/>
  <c r="E1488" i="9"/>
  <c r="E1487" i="9"/>
  <c r="E1486" i="9"/>
  <c r="E1485" i="9"/>
  <c r="E1484" i="9"/>
  <c r="E1483" i="9"/>
  <c r="E1482" i="9"/>
  <c r="E1481" i="9"/>
  <c r="E1480" i="9"/>
  <c r="E1479" i="9"/>
  <c r="E1478" i="9"/>
  <c r="E1477" i="9"/>
  <c r="E1476" i="9"/>
  <c r="E1475" i="9"/>
  <c r="E1474" i="9"/>
  <c r="E1473" i="9"/>
  <c r="E1472" i="9"/>
  <c r="E1471" i="9"/>
  <c r="E1470" i="9"/>
  <c r="E1469" i="9"/>
  <c r="E1468" i="9"/>
  <c r="E1467" i="9"/>
  <c r="E1466" i="9"/>
  <c r="E1465" i="9"/>
  <c r="E1464" i="9"/>
  <c r="E1463" i="9"/>
  <c r="E1462" i="9"/>
  <c r="E1461" i="9"/>
  <c r="E1460" i="9"/>
  <c r="E1459" i="9"/>
  <c r="E1458" i="9"/>
  <c r="E1457" i="9"/>
  <c r="E1456" i="9"/>
  <c r="E1455" i="9"/>
  <c r="E1454" i="9"/>
  <c r="E1453" i="9"/>
  <c r="E1452" i="9"/>
  <c r="E1451" i="9"/>
  <c r="E1450" i="9"/>
  <c r="E1449" i="9"/>
  <c r="E1448" i="9"/>
  <c r="E1447" i="9"/>
  <c r="E1446" i="9"/>
  <c r="E1445" i="9"/>
  <c r="E1444" i="9"/>
  <c r="E1443" i="9"/>
  <c r="E1442" i="9"/>
  <c r="E1441" i="9"/>
  <c r="E1440" i="9"/>
  <c r="E1439" i="9"/>
  <c r="E1438" i="9"/>
  <c r="E1437" i="9"/>
  <c r="E1436" i="9"/>
  <c r="E1435" i="9"/>
  <c r="E1434" i="9"/>
  <c r="E1433" i="9"/>
  <c r="E1432" i="9"/>
  <c r="E1431" i="9"/>
  <c r="E1430" i="9"/>
  <c r="E1429" i="9"/>
  <c r="E1428" i="9"/>
  <c r="E1427" i="9"/>
  <c r="E1426" i="9"/>
  <c r="E1425" i="9"/>
  <c r="E1424" i="9"/>
  <c r="E1423" i="9"/>
  <c r="E1422" i="9"/>
  <c r="E1421" i="9"/>
  <c r="E1420" i="9"/>
  <c r="E1419" i="9"/>
  <c r="E1418" i="9"/>
  <c r="E1417" i="9"/>
  <c r="E1416" i="9"/>
  <c r="E1415" i="9"/>
  <c r="E1414" i="9"/>
  <c r="E1413" i="9"/>
  <c r="E1412" i="9"/>
  <c r="E1411" i="9"/>
  <c r="E1410" i="9"/>
  <c r="E1409" i="9"/>
  <c r="E1408" i="9"/>
  <c r="E1407" i="9"/>
  <c r="E1406" i="9"/>
  <c r="E1405" i="9"/>
  <c r="E1404" i="9"/>
  <c r="E1403" i="9"/>
  <c r="E1402" i="9"/>
  <c r="E1401" i="9"/>
  <c r="E1400" i="9"/>
  <c r="E1399" i="9"/>
  <c r="E1398" i="9"/>
  <c r="E1397" i="9"/>
  <c r="E1396" i="9"/>
  <c r="E1395" i="9"/>
  <c r="E1394" i="9"/>
  <c r="E1393" i="9"/>
  <c r="E1392" i="9"/>
  <c r="E1391" i="9"/>
  <c r="E1390" i="9"/>
  <c r="E1389" i="9"/>
  <c r="E1388" i="9"/>
  <c r="E1387" i="9"/>
  <c r="E1386" i="9"/>
  <c r="E1385" i="9"/>
  <c r="E1384" i="9"/>
  <c r="E1383" i="9"/>
  <c r="E1382" i="9"/>
  <c r="E1381" i="9"/>
  <c r="E1380" i="9"/>
  <c r="E1379" i="9"/>
  <c r="E1378" i="9"/>
  <c r="E1377" i="9"/>
  <c r="E1376" i="9"/>
  <c r="E1375" i="9"/>
  <c r="E1374" i="9"/>
  <c r="E1373" i="9"/>
  <c r="E1372" i="9"/>
  <c r="E1371" i="9"/>
  <c r="E1370" i="9"/>
  <c r="E1369" i="9"/>
  <c r="E1368" i="9"/>
  <c r="E1367" i="9"/>
  <c r="E1366" i="9"/>
  <c r="E1365" i="9"/>
  <c r="E1364" i="9"/>
  <c r="E1363" i="9"/>
  <c r="E1362" i="9"/>
  <c r="E1361" i="9"/>
  <c r="E1360" i="9"/>
  <c r="E1359" i="9"/>
  <c r="E1358" i="9"/>
  <c r="E1357" i="9"/>
  <c r="E1356" i="9"/>
  <c r="E1355" i="9"/>
  <c r="E1354" i="9"/>
  <c r="E1353" i="9"/>
  <c r="E1352" i="9"/>
  <c r="E1351" i="9"/>
  <c r="E1350" i="9"/>
  <c r="E1349" i="9"/>
  <c r="E1348" i="9"/>
  <c r="E1347" i="9"/>
  <c r="E1346" i="9"/>
  <c r="E1345" i="9"/>
  <c r="E1344" i="9"/>
  <c r="E1343" i="9"/>
  <c r="E1342" i="9"/>
  <c r="E1341" i="9"/>
  <c r="E1340" i="9"/>
  <c r="E1339" i="9"/>
  <c r="E1338" i="9"/>
  <c r="E1337" i="9"/>
  <c r="E1336" i="9"/>
  <c r="E1335" i="9"/>
  <c r="E1334" i="9"/>
  <c r="E1333" i="9"/>
  <c r="E1332" i="9"/>
  <c r="E1331" i="9"/>
  <c r="E1330" i="9"/>
  <c r="E1329" i="9"/>
  <c r="E1328" i="9"/>
  <c r="E1327" i="9"/>
  <c r="E1326" i="9"/>
  <c r="E1325" i="9"/>
  <c r="E1324" i="9"/>
  <c r="E1323" i="9"/>
  <c r="E1322" i="9"/>
  <c r="E1321" i="9"/>
  <c r="E1320" i="9"/>
  <c r="E1319" i="9"/>
  <c r="E1318" i="9"/>
  <c r="E1317" i="9"/>
  <c r="E1316" i="9"/>
  <c r="E1315" i="9"/>
  <c r="E1314" i="9"/>
  <c r="E1313" i="9"/>
  <c r="E1312" i="9"/>
  <c r="E1311" i="9"/>
  <c r="E1310" i="9"/>
  <c r="E1309" i="9"/>
  <c r="E1308" i="9"/>
  <c r="E1307" i="9"/>
  <c r="E1306" i="9"/>
  <c r="E1305" i="9"/>
  <c r="E1304" i="9"/>
  <c r="E1303" i="9"/>
  <c r="E1302" i="9"/>
  <c r="E1301" i="9"/>
  <c r="E1300" i="9"/>
  <c r="E1299" i="9"/>
  <c r="E1298" i="9"/>
  <c r="E1297" i="9"/>
  <c r="E1296" i="9"/>
  <c r="E1295" i="9"/>
  <c r="E1294" i="9"/>
  <c r="E1293" i="9"/>
  <c r="E1292" i="9"/>
  <c r="E1291" i="9"/>
  <c r="E1290" i="9"/>
  <c r="E1289" i="9"/>
  <c r="E1288" i="9"/>
  <c r="E1287" i="9"/>
  <c r="E1286" i="9"/>
  <c r="E1285" i="9"/>
  <c r="E1284" i="9"/>
  <c r="E1283" i="9"/>
  <c r="E1282" i="9"/>
  <c r="E1281" i="9"/>
  <c r="E1280" i="9"/>
  <c r="E1279" i="9"/>
  <c r="E1278" i="9"/>
  <c r="E1277" i="9"/>
  <c r="E1276" i="9"/>
  <c r="E1275" i="9"/>
  <c r="E1274" i="9"/>
  <c r="E1273" i="9"/>
  <c r="E1272" i="9"/>
  <c r="E1271" i="9"/>
  <c r="E1270" i="9"/>
  <c r="E1269" i="9"/>
  <c r="E1268" i="9"/>
  <c r="E1267" i="9"/>
  <c r="E1266" i="9"/>
  <c r="E1265" i="9"/>
  <c r="E1264" i="9"/>
  <c r="E1263" i="9"/>
  <c r="E1262" i="9"/>
  <c r="E1261" i="9"/>
  <c r="E1260" i="9"/>
  <c r="E1259" i="9"/>
  <c r="E1258" i="9"/>
  <c r="E1257" i="9"/>
  <c r="E1256" i="9"/>
  <c r="E1255" i="9"/>
  <c r="E1254" i="9"/>
  <c r="E1253" i="9"/>
  <c r="E1252" i="9"/>
  <c r="E1251" i="9"/>
  <c r="E1250" i="9"/>
  <c r="E1249" i="9"/>
  <c r="E1248" i="9"/>
  <c r="E1247" i="9"/>
  <c r="E1246" i="9"/>
  <c r="E1245" i="9"/>
  <c r="E1244" i="9"/>
  <c r="E1243" i="9"/>
  <c r="E1242" i="9"/>
  <c r="E1241" i="9"/>
  <c r="E1240" i="9"/>
  <c r="E1239" i="9"/>
  <c r="E1238" i="9"/>
  <c r="E1237" i="9"/>
  <c r="E1236" i="9"/>
  <c r="E1235" i="9"/>
  <c r="E1234" i="9"/>
  <c r="E1233" i="9"/>
  <c r="E1232" i="9"/>
  <c r="E1231" i="9"/>
  <c r="E1230" i="9"/>
  <c r="E1229" i="9"/>
  <c r="E1228" i="9"/>
  <c r="E1227" i="9"/>
  <c r="E1226" i="9"/>
  <c r="E1225" i="9"/>
  <c r="E1224" i="9"/>
  <c r="E1223" i="9"/>
  <c r="E1222" i="9"/>
  <c r="E1221" i="9"/>
  <c r="E1220" i="9"/>
  <c r="E1219" i="9"/>
  <c r="E1218" i="9"/>
  <c r="E1217" i="9"/>
  <c r="E1216" i="9"/>
  <c r="E1215" i="9"/>
  <c r="E1214" i="9"/>
  <c r="E1213" i="9"/>
  <c r="E1212" i="9"/>
  <c r="E1211" i="9"/>
  <c r="E1210" i="9"/>
  <c r="E1209" i="9"/>
  <c r="E1208" i="9"/>
  <c r="E1207" i="9"/>
  <c r="E1206" i="9"/>
  <c r="E1205" i="9"/>
  <c r="E1204" i="9"/>
  <c r="E1203" i="9"/>
  <c r="E1202" i="9"/>
  <c r="E1201" i="9"/>
  <c r="E1200" i="9"/>
  <c r="E1199" i="9"/>
  <c r="E1198" i="9"/>
  <c r="E1197" i="9"/>
  <c r="E1196" i="9"/>
  <c r="E1195" i="9"/>
  <c r="E1194" i="9"/>
  <c r="E1193" i="9"/>
  <c r="E1192" i="9"/>
  <c r="E1191" i="9"/>
  <c r="E1190" i="9"/>
  <c r="E1189" i="9"/>
  <c r="E1188" i="9"/>
  <c r="E1187" i="9"/>
  <c r="E1186" i="9"/>
  <c r="E1185" i="9"/>
  <c r="E1184" i="9"/>
  <c r="E1183" i="9"/>
  <c r="E1182" i="9"/>
  <c r="E1181" i="9"/>
  <c r="E1180" i="9"/>
  <c r="E1179" i="9"/>
  <c r="E1178" i="9"/>
  <c r="E1177" i="9"/>
  <c r="E1176" i="9"/>
  <c r="E1175" i="9"/>
  <c r="E1174" i="9"/>
  <c r="E1173" i="9"/>
  <c r="E1172" i="9"/>
  <c r="E1171" i="9"/>
  <c r="E1170" i="9"/>
  <c r="E1169" i="9"/>
  <c r="E1168" i="9"/>
  <c r="E1167" i="9"/>
  <c r="E1166" i="9"/>
  <c r="E1165" i="9"/>
  <c r="E1164" i="9"/>
  <c r="E1163" i="9"/>
  <c r="E1162" i="9"/>
  <c r="E1161" i="9"/>
  <c r="E1160" i="9"/>
  <c r="E1159" i="9"/>
  <c r="E1158" i="9"/>
  <c r="E1157" i="9"/>
  <c r="E1156" i="9"/>
  <c r="E1155" i="9"/>
  <c r="E1154" i="9"/>
  <c r="E1153" i="9"/>
  <c r="E1152" i="9"/>
  <c r="E1151" i="9"/>
  <c r="E1150" i="9"/>
  <c r="E1149" i="9"/>
  <c r="E1148" i="9"/>
  <c r="E1147" i="9"/>
  <c r="E1146" i="9"/>
  <c r="E1145" i="9"/>
  <c r="E1144" i="9"/>
  <c r="E1143" i="9"/>
  <c r="E1142" i="9"/>
  <c r="E1141" i="9"/>
  <c r="E1140" i="9"/>
  <c r="E1139" i="9"/>
  <c r="E1138" i="9"/>
  <c r="E1137" i="9"/>
  <c r="E1136" i="9"/>
  <c r="E1135" i="9"/>
  <c r="E1134" i="9"/>
  <c r="E1133" i="9"/>
  <c r="E1132" i="9"/>
  <c r="E1131" i="9"/>
  <c r="E1130" i="9"/>
  <c r="E1129" i="9"/>
  <c r="E1128" i="9"/>
  <c r="E1127" i="9"/>
  <c r="E1126" i="9"/>
  <c r="E1125" i="9"/>
  <c r="E1124" i="9"/>
  <c r="E1123" i="9"/>
  <c r="E1122" i="9"/>
  <c r="E1121" i="9"/>
  <c r="E1120" i="9"/>
  <c r="E1119" i="9"/>
  <c r="E1118" i="9"/>
  <c r="E1117" i="9"/>
  <c r="E1116" i="9"/>
  <c r="E1115" i="9"/>
  <c r="E1114" i="9"/>
  <c r="E1113" i="9"/>
  <c r="E1112" i="9"/>
  <c r="E1111" i="9"/>
  <c r="E1110" i="9"/>
  <c r="E1109" i="9"/>
  <c r="E1108" i="9"/>
  <c r="E1107" i="9"/>
  <c r="E1106" i="9"/>
  <c r="E1105" i="9"/>
  <c r="E1104" i="9"/>
  <c r="E1103" i="9"/>
  <c r="E1102" i="9"/>
  <c r="E1101" i="9"/>
  <c r="E1100" i="9"/>
  <c r="E1099" i="9"/>
  <c r="E1098" i="9"/>
  <c r="E1097" i="9"/>
  <c r="E1096" i="9"/>
  <c r="E1095" i="9"/>
  <c r="E1094" i="9"/>
  <c r="E1093" i="9"/>
  <c r="E1092" i="9"/>
  <c r="E1091" i="9"/>
  <c r="E1090" i="9"/>
  <c r="E1089" i="9"/>
  <c r="E1088" i="9"/>
  <c r="E1087" i="9"/>
  <c r="E1086" i="9"/>
  <c r="E1085" i="9"/>
  <c r="E1084" i="9"/>
  <c r="E1083" i="9"/>
  <c r="E1082" i="9"/>
  <c r="E1081" i="9"/>
  <c r="E1080" i="9"/>
  <c r="E1079" i="9"/>
  <c r="E1078" i="9"/>
  <c r="E1077" i="9"/>
  <c r="E1076" i="9"/>
  <c r="E1075" i="9"/>
  <c r="E1074" i="9"/>
  <c r="E1073" i="9"/>
  <c r="E1072" i="9"/>
  <c r="E1071" i="9"/>
  <c r="E1070" i="9"/>
  <c r="E1069" i="9"/>
  <c r="E1068" i="9"/>
  <c r="E1067" i="9"/>
  <c r="E1066" i="9"/>
  <c r="E1065" i="9"/>
  <c r="E1064" i="9"/>
  <c r="E1063" i="9"/>
  <c r="E1062" i="9"/>
  <c r="E1061" i="9"/>
  <c r="E1060" i="9"/>
  <c r="E1059" i="9"/>
  <c r="E1058" i="9"/>
  <c r="E1057" i="9"/>
  <c r="E1056" i="9"/>
  <c r="E1055" i="9"/>
  <c r="E1054" i="9"/>
  <c r="E1053" i="9"/>
  <c r="E1052" i="9"/>
  <c r="E1051" i="9"/>
  <c r="E1050" i="9"/>
  <c r="E1049" i="9"/>
  <c r="E1048" i="9"/>
  <c r="E1047" i="9"/>
  <c r="E1046" i="9"/>
  <c r="E1045" i="9"/>
  <c r="E1044" i="9"/>
  <c r="E1043" i="9"/>
  <c r="E1042" i="9"/>
  <c r="E1041" i="9"/>
  <c r="E1040" i="9"/>
  <c r="E1039" i="9"/>
  <c r="E1038" i="9"/>
  <c r="E1037" i="9"/>
  <c r="E1036" i="9"/>
  <c r="E1035" i="9"/>
  <c r="E1034" i="9"/>
  <c r="E1033" i="9"/>
  <c r="E1032" i="9"/>
  <c r="E1031" i="9"/>
  <c r="E1030" i="9"/>
  <c r="E1029" i="9"/>
  <c r="E1028" i="9"/>
  <c r="E1027" i="9"/>
  <c r="E1026" i="9"/>
  <c r="E1025" i="9"/>
  <c r="E1024" i="9"/>
  <c r="E1023" i="9"/>
  <c r="E1022" i="9"/>
  <c r="E1021" i="9"/>
  <c r="E1020" i="9"/>
  <c r="E1019" i="9"/>
  <c r="E1018" i="9"/>
  <c r="E1017" i="9"/>
  <c r="E1016" i="9"/>
  <c r="E1015" i="9"/>
  <c r="E1014" i="9"/>
  <c r="E1013" i="9"/>
  <c r="E1012" i="9"/>
  <c r="E1011" i="9"/>
  <c r="E1010" i="9"/>
  <c r="E1009" i="9"/>
  <c r="E1008" i="9"/>
  <c r="E1007" i="9"/>
  <c r="E1006" i="9"/>
  <c r="E1005" i="9"/>
  <c r="E1004" i="9"/>
  <c r="E1003" i="9"/>
  <c r="E1002" i="9"/>
  <c r="E1001" i="9"/>
  <c r="E1000" i="9"/>
  <c r="E999" i="9"/>
  <c r="E998" i="9"/>
  <c r="E997" i="9"/>
  <c r="E996" i="9"/>
  <c r="E995" i="9"/>
  <c r="E994" i="9"/>
  <c r="E993" i="9"/>
  <c r="E992" i="9"/>
  <c r="E991" i="9"/>
  <c r="E990" i="9"/>
  <c r="E989" i="9"/>
  <c r="E988" i="9"/>
  <c r="E987" i="9"/>
  <c r="E986" i="9"/>
  <c r="E985" i="9"/>
  <c r="E984" i="9"/>
  <c r="E983" i="9"/>
  <c r="E982" i="9"/>
  <c r="E981" i="9"/>
  <c r="E980" i="9"/>
  <c r="E979" i="9"/>
  <c r="E978" i="9"/>
  <c r="E977" i="9"/>
  <c r="E976" i="9"/>
  <c r="E975" i="9"/>
  <c r="E974" i="9"/>
  <c r="E973" i="9"/>
  <c r="E972" i="9"/>
  <c r="E971" i="9"/>
  <c r="E970" i="9"/>
  <c r="E969" i="9"/>
  <c r="E968" i="9"/>
  <c r="E967" i="9"/>
  <c r="E966" i="9"/>
  <c r="E965" i="9"/>
  <c r="E964" i="9"/>
  <c r="E963" i="9"/>
  <c r="E962" i="9"/>
  <c r="E961" i="9"/>
  <c r="E960" i="9"/>
  <c r="E959" i="9"/>
  <c r="E958" i="9"/>
  <c r="E957" i="9"/>
  <c r="E956" i="9"/>
  <c r="E955" i="9"/>
  <c r="E954" i="9"/>
  <c r="E953" i="9"/>
  <c r="E952" i="9"/>
  <c r="E951" i="9"/>
  <c r="E950" i="9"/>
  <c r="E949" i="9"/>
  <c r="E948" i="9"/>
  <c r="E947" i="9"/>
  <c r="E946" i="9"/>
  <c r="E945" i="9"/>
  <c r="E944" i="9"/>
  <c r="E943" i="9"/>
  <c r="E942" i="9"/>
  <c r="E941" i="9"/>
  <c r="E940" i="9"/>
  <c r="E939" i="9"/>
  <c r="E938" i="9"/>
  <c r="E937" i="9"/>
  <c r="E936" i="9"/>
  <c r="E935" i="9"/>
  <c r="E934" i="9"/>
  <c r="E933" i="9"/>
  <c r="E932" i="9"/>
  <c r="E931" i="9"/>
  <c r="E930" i="9"/>
  <c r="E929" i="9"/>
  <c r="E928" i="9"/>
  <c r="E927" i="9"/>
  <c r="E926" i="9"/>
  <c r="E925" i="9"/>
  <c r="E924" i="9"/>
  <c r="E923" i="9"/>
  <c r="E922" i="9"/>
  <c r="E921" i="9"/>
  <c r="E920" i="9"/>
  <c r="E919" i="9"/>
  <c r="E918" i="9"/>
  <c r="E917" i="9"/>
  <c r="E916" i="9"/>
  <c r="E915" i="9"/>
  <c r="E914" i="9"/>
  <c r="E913" i="9"/>
  <c r="E912" i="9"/>
  <c r="E911" i="9"/>
  <c r="E910" i="9"/>
  <c r="E909" i="9"/>
  <c r="E908" i="9"/>
  <c r="E907" i="9"/>
  <c r="E906" i="9"/>
  <c r="E905" i="9"/>
  <c r="E904" i="9"/>
  <c r="E903" i="9"/>
  <c r="E902" i="9"/>
  <c r="E901" i="9"/>
  <c r="E900" i="9"/>
  <c r="E899" i="9"/>
  <c r="E898" i="9"/>
  <c r="E897" i="9"/>
  <c r="E896" i="9"/>
  <c r="E895" i="9"/>
  <c r="E894" i="9"/>
  <c r="E893" i="9"/>
  <c r="E892" i="9"/>
  <c r="E891" i="9"/>
  <c r="E890" i="9"/>
  <c r="E889" i="9"/>
  <c r="E888" i="9"/>
  <c r="E887" i="9"/>
  <c r="E886" i="9"/>
  <c r="E885" i="9"/>
  <c r="E884" i="9"/>
  <c r="E883" i="9"/>
  <c r="E882" i="9"/>
  <c r="E881" i="9"/>
  <c r="E880" i="9"/>
  <c r="E879" i="9"/>
  <c r="E878" i="9"/>
  <c r="E877" i="9"/>
  <c r="E876" i="9"/>
  <c r="E875" i="9"/>
  <c r="E874" i="9"/>
  <c r="E873" i="9"/>
  <c r="E872" i="9"/>
  <c r="E871" i="9"/>
  <c r="E870" i="9"/>
  <c r="E869" i="9"/>
  <c r="E868" i="9"/>
  <c r="E867" i="9"/>
  <c r="E866" i="9"/>
  <c r="E865" i="9"/>
  <c r="E864" i="9"/>
  <c r="E863" i="9"/>
  <c r="E862" i="9"/>
  <c r="E861" i="9"/>
  <c r="E860" i="9"/>
  <c r="E859" i="9"/>
  <c r="E858" i="9"/>
  <c r="E857" i="9"/>
  <c r="E856" i="9"/>
  <c r="E855" i="9"/>
  <c r="E854" i="9"/>
  <c r="E853" i="9"/>
  <c r="E852" i="9"/>
  <c r="E851" i="9"/>
  <c r="E850" i="9"/>
  <c r="E849" i="9"/>
  <c r="E848" i="9"/>
  <c r="E847" i="9"/>
  <c r="E846" i="9"/>
  <c r="E845" i="9"/>
  <c r="E844" i="9"/>
  <c r="E843" i="9"/>
  <c r="E842" i="9"/>
  <c r="E841" i="9"/>
  <c r="E840" i="9"/>
  <c r="E839" i="9"/>
  <c r="E838" i="9"/>
  <c r="E837" i="9"/>
  <c r="E836" i="9"/>
  <c r="E835" i="9"/>
  <c r="E834" i="9"/>
  <c r="E833" i="9"/>
  <c r="E832" i="9"/>
  <c r="E831" i="9"/>
  <c r="E830" i="9"/>
  <c r="E829" i="9"/>
  <c r="E828" i="9"/>
  <c r="E827" i="9"/>
  <c r="E826" i="9"/>
  <c r="E825" i="9"/>
  <c r="E824" i="9"/>
  <c r="E823" i="9"/>
  <c r="E822" i="9"/>
  <c r="E821" i="9"/>
  <c r="E820" i="9"/>
  <c r="E819" i="9"/>
  <c r="E818" i="9"/>
  <c r="E817" i="9"/>
  <c r="E816" i="9"/>
  <c r="E815" i="9"/>
  <c r="E814" i="9"/>
  <c r="E813" i="9"/>
  <c r="E812" i="9"/>
  <c r="E811" i="9"/>
  <c r="E810" i="9"/>
  <c r="E809" i="9"/>
  <c r="E808" i="9"/>
  <c r="E807" i="9"/>
  <c r="E806" i="9"/>
  <c r="E805" i="9"/>
  <c r="E804" i="9"/>
  <c r="E803" i="9"/>
  <c r="E802" i="9"/>
  <c r="E801" i="9"/>
  <c r="E800" i="9"/>
  <c r="E799" i="9"/>
  <c r="E798" i="9"/>
  <c r="E797" i="9"/>
  <c r="E796" i="9"/>
  <c r="E795" i="9"/>
  <c r="E794" i="9"/>
  <c r="E793" i="9"/>
  <c r="E792" i="9"/>
  <c r="E791" i="9"/>
  <c r="E790" i="9"/>
  <c r="E789" i="9"/>
  <c r="E788" i="9"/>
  <c r="E787" i="9"/>
  <c r="E786" i="9"/>
  <c r="E785" i="9"/>
  <c r="E784" i="9"/>
  <c r="E783" i="9"/>
  <c r="E782" i="9"/>
  <c r="E781" i="9"/>
  <c r="E780" i="9"/>
  <c r="E779" i="9"/>
  <c r="E778" i="9"/>
  <c r="E777" i="9"/>
  <c r="E776" i="9"/>
  <c r="E775" i="9"/>
  <c r="E774" i="9"/>
  <c r="E773" i="9"/>
  <c r="E772" i="9"/>
  <c r="E771" i="9"/>
  <c r="E770" i="9"/>
  <c r="E769" i="9"/>
  <c r="E768" i="9"/>
  <c r="E767" i="9"/>
  <c r="E766" i="9"/>
  <c r="E765" i="9"/>
  <c r="E764" i="9"/>
  <c r="E763" i="9"/>
  <c r="E762" i="9"/>
  <c r="E761" i="9"/>
  <c r="E760" i="9"/>
  <c r="E759" i="9"/>
  <c r="E758" i="9"/>
  <c r="E757" i="9"/>
  <c r="E756" i="9"/>
  <c r="E755" i="9"/>
  <c r="E754" i="9"/>
  <c r="E753" i="9"/>
  <c r="E752" i="9"/>
  <c r="E751" i="9"/>
  <c r="E750" i="9"/>
  <c r="E749" i="9"/>
  <c r="E748" i="9"/>
  <c r="E747" i="9"/>
  <c r="E746" i="9"/>
  <c r="E745" i="9"/>
  <c r="E744" i="9"/>
  <c r="E743" i="9"/>
  <c r="E742" i="9"/>
  <c r="E741" i="9"/>
  <c r="E740" i="9"/>
  <c r="E739" i="9"/>
  <c r="E738" i="9"/>
  <c r="E737" i="9"/>
  <c r="E736" i="9"/>
  <c r="E735" i="9"/>
  <c r="E734" i="9"/>
  <c r="E733" i="9"/>
  <c r="E732" i="9"/>
  <c r="E731" i="9"/>
  <c r="E730" i="9"/>
  <c r="E729" i="9"/>
  <c r="E728" i="9"/>
  <c r="E727" i="9"/>
  <c r="E726" i="9"/>
  <c r="E725" i="9"/>
  <c r="E724" i="9"/>
  <c r="E723" i="9"/>
  <c r="E722" i="9"/>
  <c r="E721" i="9"/>
  <c r="E720" i="9"/>
  <c r="E719" i="9"/>
  <c r="E718" i="9"/>
  <c r="E717" i="9"/>
  <c r="E716" i="9"/>
  <c r="E715" i="9"/>
  <c r="E714" i="9"/>
  <c r="E713" i="9"/>
  <c r="E712" i="9"/>
  <c r="E711" i="9"/>
  <c r="E710" i="9"/>
  <c r="E709" i="9"/>
  <c r="E708" i="9"/>
  <c r="E707" i="9"/>
  <c r="E706" i="9"/>
  <c r="E705" i="9"/>
  <c r="E704" i="9"/>
  <c r="E703" i="9"/>
  <c r="E702" i="9"/>
  <c r="E701" i="9"/>
  <c r="E700" i="9"/>
  <c r="E699" i="9"/>
  <c r="E698" i="9"/>
  <c r="E697" i="9"/>
  <c r="E696" i="9"/>
  <c r="E695" i="9"/>
  <c r="E694" i="9"/>
  <c r="E693" i="9"/>
  <c r="E692" i="9"/>
  <c r="E691" i="9"/>
  <c r="E690" i="9"/>
  <c r="E689" i="9"/>
  <c r="E688" i="9"/>
  <c r="E687" i="9"/>
  <c r="E686" i="9"/>
  <c r="E685" i="9"/>
  <c r="E684" i="9"/>
  <c r="E683" i="9"/>
  <c r="E682" i="9"/>
  <c r="E681" i="9"/>
  <c r="E680" i="9"/>
  <c r="E679" i="9"/>
  <c r="E678" i="9"/>
  <c r="E677" i="9"/>
  <c r="E676" i="9"/>
  <c r="E675" i="9"/>
  <c r="E674" i="9"/>
  <c r="E673" i="9"/>
  <c r="E672" i="9"/>
  <c r="E671" i="9"/>
  <c r="E670" i="9"/>
  <c r="E669" i="9"/>
  <c r="E668" i="9"/>
  <c r="E667" i="9"/>
  <c r="E666" i="9"/>
  <c r="E665" i="9"/>
  <c r="E664" i="9"/>
  <c r="E663" i="9"/>
  <c r="E662" i="9"/>
  <c r="E661" i="9"/>
  <c r="E660" i="9"/>
  <c r="E659" i="9"/>
  <c r="E658" i="9"/>
  <c r="E657" i="9"/>
  <c r="E656" i="9"/>
  <c r="E655" i="9"/>
  <c r="E654" i="9"/>
  <c r="E653" i="9"/>
  <c r="E652" i="9"/>
  <c r="E651" i="9"/>
  <c r="E650" i="9"/>
  <c r="E649" i="9"/>
  <c r="E648" i="9"/>
  <c r="E647" i="9"/>
  <c r="E646" i="9"/>
  <c r="E645" i="9"/>
  <c r="E644" i="9"/>
  <c r="E643" i="9"/>
  <c r="E642" i="9"/>
  <c r="E641" i="9"/>
  <c r="E640" i="9"/>
  <c r="E639" i="9"/>
  <c r="E638" i="9"/>
  <c r="E637" i="9"/>
  <c r="E636" i="9"/>
  <c r="E635" i="9"/>
  <c r="E634" i="9"/>
  <c r="E633" i="9"/>
  <c r="E632" i="9"/>
  <c r="E631" i="9"/>
  <c r="E630" i="9"/>
  <c r="E629" i="9"/>
  <c r="E628" i="9"/>
  <c r="E627" i="9"/>
  <c r="E626" i="9"/>
  <c r="E625" i="9"/>
  <c r="E624" i="9"/>
  <c r="E623" i="9"/>
  <c r="E622" i="9"/>
  <c r="E621" i="9"/>
  <c r="E620" i="9"/>
  <c r="E619" i="9"/>
  <c r="E618" i="9"/>
  <c r="E617" i="9"/>
  <c r="E616" i="9"/>
  <c r="E615" i="9"/>
  <c r="E614" i="9"/>
  <c r="E613" i="9"/>
  <c r="E612" i="9"/>
  <c r="E611" i="9"/>
  <c r="E610" i="9"/>
  <c r="E609" i="9"/>
  <c r="E608" i="9"/>
  <c r="E607" i="9"/>
  <c r="E606" i="9"/>
  <c r="E605" i="9"/>
  <c r="E604" i="9"/>
  <c r="E603" i="9"/>
  <c r="E602" i="9"/>
  <c r="E601" i="9"/>
  <c r="E600" i="9"/>
  <c r="E599" i="9"/>
  <c r="E598" i="9"/>
  <c r="E597" i="9"/>
  <c r="E596" i="9"/>
  <c r="E595" i="9"/>
  <c r="E594" i="9"/>
  <c r="E593" i="9"/>
  <c r="E592" i="9"/>
  <c r="E591" i="9"/>
  <c r="E590" i="9"/>
  <c r="E589" i="9"/>
  <c r="E588" i="9"/>
  <c r="E587" i="9"/>
  <c r="E586" i="9"/>
  <c r="E585" i="9"/>
  <c r="E584" i="9"/>
  <c r="E583" i="9"/>
  <c r="E582" i="9"/>
  <c r="E581" i="9"/>
  <c r="E580" i="9"/>
  <c r="E579" i="9"/>
  <c r="E578" i="9"/>
  <c r="E577" i="9"/>
  <c r="E576" i="9"/>
  <c r="E575" i="9"/>
  <c r="E574" i="9"/>
  <c r="E573" i="9"/>
  <c r="E572" i="9"/>
  <c r="E571" i="9"/>
  <c r="E570" i="9"/>
  <c r="E569" i="9"/>
  <c r="E568" i="9"/>
  <c r="E567" i="9"/>
  <c r="E566" i="9"/>
  <c r="E565" i="9"/>
  <c r="E564" i="9"/>
  <c r="E563" i="9"/>
  <c r="E562" i="9"/>
  <c r="E561" i="9"/>
  <c r="E560" i="9"/>
  <c r="E559" i="9"/>
  <c r="E558" i="9"/>
  <c r="E557" i="9"/>
  <c r="E556" i="9"/>
  <c r="E555" i="9"/>
  <c r="E554" i="9"/>
  <c r="E553" i="9"/>
  <c r="E552" i="9"/>
  <c r="E551" i="9"/>
  <c r="E550" i="9"/>
  <c r="E549" i="9"/>
  <c r="E548" i="9"/>
  <c r="E547" i="9"/>
  <c r="E546" i="9"/>
  <c r="E545" i="9"/>
  <c r="E544" i="9"/>
  <c r="E543" i="9"/>
  <c r="E542" i="9"/>
  <c r="E541" i="9"/>
  <c r="E540" i="9"/>
  <c r="E539" i="9"/>
  <c r="E538" i="9"/>
  <c r="E537" i="9"/>
  <c r="E536" i="9"/>
  <c r="E535" i="9"/>
  <c r="E534" i="9"/>
  <c r="E533" i="9"/>
  <c r="E532" i="9"/>
  <c r="E531" i="9"/>
  <c r="E530" i="9"/>
  <c r="E529" i="9"/>
  <c r="E528" i="9"/>
  <c r="E527" i="9"/>
  <c r="E526" i="9"/>
  <c r="E525" i="9"/>
  <c r="E524" i="9"/>
  <c r="E523" i="9"/>
  <c r="E522" i="9"/>
  <c r="E521" i="9"/>
  <c r="E520" i="9"/>
  <c r="E519" i="9"/>
  <c r="E518" i="9"/>
  <c r="E517" i="9"/>
  <c r="E516" i="9"/>
  <c r="E515" i="9"/>
  <c r="E514" i="9"/>
  <c r="E513" i="9"/>
  <c r="E512" i="9"/>
  <c r="E511" i="9"/>
  <c r="E510" i="9"/>
  <c r="E509" i="9"/>
  <c r="E508" i="9"/>
  <c r="E507" i="9"/>
  <c r="E506" i="9"/>
  <c r="E505" i="9"/>
  <c r="E504" i="9"/>
  <c r="E503" i="9"/>
  <c r="E502" i="9"/>
  <c r="E501" i="9"/>
  <c r="E500" i="9"/>
  <c r="E499" i="9"/>
  <c r="E498" i="9"/>
  <c r="E497" i="9"/>
  <c r="E496" i="9"/>
  <c r="E495" i="9"/>
  <c r="E494" i="9"/>
  <c r="E493" i="9"/>
  <c r="E492" i="9"/>
  <c r="E491" i="9"/>
  <c r="E490" i="9"/>
  <c r="E489" i="9"/>
  <c r="E488" i="9"/>
  <c r="E487" i="9"/>
  <c r="E486" i="9"/>
  <c r="E485" i="9"/>
  <c r="E484" i="9"/>
  <c r="E483" i="9"/>
  <c r="E482" i="9"/>
  <c r="E481" i="9"/>
  <c r="E480" i="9"/>
  <c r="E479" i="9"/>
  <c r="E478" i="9"/>
  <c r="E477" i="9"/>
  <c r="E476" i="9"/>
  <c r="E475" i="9"/>
  <c r="E474" i="9"/>
  <c r="E473" i="9"/>
  <c r="E472" i="9"/>
  <c r="E471" i="9"/>
  <c r="E470" i="9"/>
  <c r="E469" i="9"/>
  <c r="E468" i="9"/>
  <c r="E467" i="9"/>
  <c r="E466" i="9"/>
  <c r="E465" i="9"/>
  <c r="E464" i="9"/>
  <c r="E463" i="9"/>
  <c r="E462" i="9"/>
  <c r="E461" i="9"/>
  <c r="E460" i="9"/>
  <c r="E459" i="9"/>
  <c r="E458" i="9"/>
  <c r="E457" i="9"/>
  <c r="E456" i="9"/>
  <c r="E455" i="9"/>
  <c r="E454" i="9"/>
  <c r="E453" i="9"/>
  <c r="E452" i="9"/>
  <c r="E451" i="9"/>
  <c r="E450" i="9"/>
  <c r="E449" i="9"/>
  <c r="E448" i="9"/>
  <c r="E447" i="9"/>
  <c r="E446" i="9"/>
  <c r="E445" i="9"/>
  <c r="E444" i="9"/>
  <c r="E443" i="9"/>
  <c r="E442" i="9"/>
  <c r="E441" i="9"/>
  <c r="E440" i="9"/>
  <c r="E439" i="9"/>
  <c r="E438" i="9"/>
  <c r="E437" i="9"/>
  <c r="E436" i="9"/>
  <c r="E435" i="9"/>
  <c r="E434" i="9"/>
  <c r="E433" i="9"/>
  <c r="E432" i="9"/>
  <c r="E431" i="9"/>
  <c r="E430" i="9"/>
  <c r="E429" i="9"/>
  <c r="E428" i="9"/>
  <c r="E427" i="9"/>
  <c r="E426" i="9"/>
  <c r="E425" i="9"/>
  <c r="E424" i="9"/>
  <c r="E423" i="9"/>
  <c r="E422" i="9"/>
  <c r="E421" i="9"/>
  <c r="E420" i="9"/>
  <c r="E419" i="9"/>
  <c r="E418" i="9"/>
  <c r="E417" i="9"/>
  <c r="E416" i="9"/>
  <c r="E415" i="9"/>
  <c r="E414" i="9"/>
  <c r="E413" i="9"/>
  <c r="E412" i="9"/>
  <c r="E411" i="9"/>
  <c r="E410" i="9"/>
  <c r="E409" i="9"/>
  <c r="E408" i="9"/>
  <c r="E407" i="9"/>
  <c r="E406" i="9"/>
  <c r="E405" i="9"/>
  <c r="E404" i="9"/>
  <c r="E403" i="9"/>
  <c r="E402" i="9"/>
  <c r="E401" i="9"/>
  <c r="E400" i="9"/>
  <c r="E399" i="9"/>
  <c r="E398" i="9"/>
  <c r="E397" i="9"/>
  <c r="E396" i="9"/>
  <c r="E395" i="9"/>
  <c r="E394" i="9"/>
  <c r="E393" i="9"/>
  <c r="E392" i="9"/>
  <c r="E391" i="9"/>
  <c r="E390" i="9"/>
  <c r="E389" i="9"/>
  <c r="E388" i="9"/>
  <c r="E387" i="9"/>
  <c r="E386" i="9"/>
  <c r="E385" i="9"/>
  <c r="E384" i="9"/>
  <c r="E383" i="9"/>
  <c r="E382" i="9"/>
  <c r="E381" i="9"/>
  <c r="E380" i="9"/>
  <c r="E379" i="9"/>
  <c r="E378" i="9"/>
  <c r="E377" i="9"/>
  <c r="E376" i="9"/>
  <c r="E375" i="9"/>
  <c r="E374" i="9"/>
  <c r="E373" i="9"/>
  <c r="E372" i="9"/>
  <c r="E371" i="9"/>
  <c r="E370" i="9"/>
  <c r="E369" i="9"/>
  <c r="E368" i="9"/>
  <c r="E367" i="9"/>
  <c r="E366" i="9"/>
  <c r="E365" i="9"/>
  <c r="E364" i="9"/>
  <c r="E363" i="9"/>
  <c r="E362" i="9"/>
  <c r="E361" i="9"/>
  <c r="E360" i="9"/>
  <c r="E359" i="9"/>
  <c r="E358" i="9"/>
  <c r="E357" i="9"/>
  <c r="E356" i="9"/>
  <c r="E355" i="9"/>
  <c r="E354" i="9"/>
  <c r="E353" i="9"/>
  <c r="E352" i="9"/>
  <c r="E351" i="9"/>
  <c r="E350" i="9"/>
  <c r="E349" i="9"/>
  <c r="E348" i="9"/>
  <c r="E347" i="9"/>
  <c r="E346" i="9"/>
  <c r="E345" i="9"/>
  <c r="E344" i="9"/>
  <c r="E343" i="9"/>
  <c r="E342" i="9"/>
  <c r="E341" i="9"/>
  <c r="E340" i="9"/>
  <c r="E339" i="9"/>
  <c r="E338" i="9"/>
  <c r="E337" i="9"/>
  <c r="E336" i="9"/>
  <c r="E335" i="9"/>
  <c r="E334" i="9"/>
  <c r="E333" i="9"/>
  <c r="E332" i="9"/>
  <c r="E331" i="9"/>
  <c r="E330" i="9"/>
  <c r="E329" i="9"/>
  <c r="E328" i="9"/>
  <c r="E327" i="9"/>
  <c r="E326" i="9"/>
  <c r="E325" i="9"/>
  <c r="E324" i="9"/>
  <c r="E323" i="9"/>
  <c r="E322" i="9"/>
  <c r="E321" i="9"/>
  <c r="E320" i="9"/>
  <c r="E319" i="9"/>
  <c r="E318" i="9"/>
  <c r="E317" i="9"/>
  <c r="E316" i="9"/>
  <c r="E315" i="9"/>
  <c r="E314" i="9"/>
  <c r="E313" i="9"/>
  <c r="E312" i="9"/>
  <c r="E311" i="9"/>
  <c r="E310" i="9"/>
  <c r="E309" i="9"/>
  <c r="E308" i="9"/>
  <c r="E307" i="9"/>
  <c r="E306" i="9"/>
  <c r="E305" i="9"/>
  <c r="E304" i="9"/>
  <c r="E303" i="9"/>
  <c r="E302" i="9"/>
  <c r="E301" i="9"/>
  <c r="E300" i="9"/>
  <c r="E299" i="9"/>
  <c r="E298" i="9"/>
  <c r="E297" i="9"/>
  <c r="E296" i="9"/>
  <c r="E295" i="9"/>
  <c r="E294" i="9"/>
  <c r="E293" i="9"/>
  <c r="E292" i="9"/>
  <c r="E291" i="9"/>
  <c r="E290" i="9"/>
  <c r="E289" i="9"/>
  <c r="E288" i="9"/>
  <c r="E287" i="9"/>
  <c r="E286" i="9"/>
  <c r="E285" i="9"/>
  <c r="E284" i="9"/>
  <c r="E283" i="9"/>
  <c r="E282" i="9"/>
  <c r="E281" i="9"/>
  <c r="E280" i="9"/>
  <c r="E279" i="9"/>
  <c r="E278" i="9"/>
  <c r="E277" i="9"/>
  <c r="E276" i="9"/>
  <c r="E275" i="9"/>
  <c r="E274" i="9"/>
  <c r="E273" i="9"/>
  <c r="E272" i="9"/>
  <c r="E271" i="9"/>
  <c r="E270" i="9"/>
  <c r="E269" i="9"/>
  <c r="E268" i="9"/>
  <c r="E267" i="9"/>
  <c r="E266" i="9"/>
  <c r="E265" i="9"/>
  <c r="E264" i="9"/>
  <c r="E263" i="9"/>
  <c r="E262" i="9"/>
  <c r="E261" i="9"/>
  <c r="E260" i="9"/>
  <c r="E259" i="9"/>
  <c r="E258" i="9"/>
  <c r="E257" i="9"/>
  <c r="E256" i="9"/>
  <c r="E255" i="9"/>
  <c r="E254" i="9"/>
  <c r="E253" i="9"/>
  <c r="E252" i="9"/>
  <c r="E251" i="9"/>
  <c r="E250" i="9"/>
  <c r="E249" i="9"/>
  <c r="E248" i="9"/>
  <c r="E247" i="9"/>
  <c r="E246" i="9"/>
  <c r="E245" i="9"/>
  <c r="E244" i="9"/>
  <c r="E243" i="9"/>
  <c r="E242" i="9"/>
  <c r="E241" i="9"/>
  <c r="E240" i="9"/>
  <c r="E239" i="9"/>
  <c r="E238" i="9"/>
  <c r="E237" i="9"/>
  <c r="E236" i="9"/>
  <c r="E235" i="9"/>
  <c r="E234" i="9"/>
  <c r="E233" i="9"/>
  <c r="E232" i="9"/>
  <c r="E231" i="9"/>
  <c r="E230" i="9"/>
  <c r="E229" i="9"/>
  <c r="E228" i="9"/>
  <c r="E227" i="9"/>
  <c r="E226" i="9"/>
  <c r="E225" i="9"/>
  <c r="E224" i="9"/>
  <c r="E223" i="9"/>
  <c r="E222" i="9"/>
  <c r="E221" i="9"/>
  <c r="E220" i="9"/>
  <c r="E219" i="9"/>
  <c r="E218" i="9"/>
  <c r="E217" i="9"/>
  <c r="E216" i="9"/>
  <c r="E215" i="9"/>
  <c r="E214" i="9"/>
  <c r="E213" i="9"/>
  <c r="E212" i="9"/>
  <c r="E211" i="9"/>
  <c r="E210" i="9"/>
  <c r="E209" i="9"/>
  <c r="E208" i="9"/>
  <c r="E207" i="9"/>
  <c r="E206" i="9"/>
  <c r="E205" i="9"/>
  <c r="E204" i="9"/>
  <c r="E203" i="9"/>
  <c r="E202" i="9"/>
  <c r="E201" i="9"/>
  <c r="E200" i="9"/>
  <c r="E199" i="9"/>
  <c r="E198" i="9"/>
  <c r="E197" i="9"/>
  <c r="E196" i="9"/>
  <c r="E195" i="9"/>
  <c r="E194" i="9"/>
  <c r="E193" i="9"/>
  <c r="E192" i="9"/>
  <c r="E191" i="9"/>
  <c r="E190" i="9"/>
  <c r="E189" i="9"/>
  <c r="E188" i="9"/>
  <c r="E187" i="9"/>
  <c r="E186" i="9"/>
  <c r="E185" i="9"/>
  <c r="E184" i="9"/>
  <c r="E183" i="9"/>
  <c r="E182" i="9"/>
  <c r="E181" i="9"/>
  <c r="E180" i="9"/>
  <c r="E179" i="9"/>
  <c r="E178" i="9"/>
  <c r="E177" i="9"/>
  <c r="E176" i="9"/>
  <c r="E175" i="9"/>
  <c r="E174" i="9"/>
  <c r="E173" i="9"/>
  <c r="E172" i="9"/>
  <c r="E171" i="9"/>
  <c r="E170" i="9"/>
  <c r="E169" i="9"/>
  <c r="E168" i="9"/>
  <c r="E167" i="9"/>
  <c r="E166" i="9"/>
  <c r="E165" i="9"/>
  <c r="E164" i="9"/>
  <c r="E163" i="9"/>
  <c r="E162" i="9"/>
  <c r="E161" i="9"/>
  <c r="E160" i="9"/>
  <c r="E159" i="9"/>
  <c r="E158" i="9"/>
  <c r="E157" i="9"/>
  <c r="E156" i="9"/>
  <c r="E155" i="9"/>
  <c r="E154" i="9"/>
  <c r="E153" i="9"/>
  <c r="E152" i="9"/>
  <c r="E151" i="9"/>
  <c r="E150" i="9"/>
  <c r="E149" i="9"/>
  <c r="E148" i="9"/>
  <c r="E147" i="9"/>
  <c r="E146" i="9"/>
  <c r="E145" i="9"/>
  <c r="E144" i="9"/>
  <c r="E143" i="9"/>
  <c r="E142" i="9"/>
  <c r="E141" i="9"/>
  <c r="E140" i="9"/>
  <c r="E139" i="9"/>
  <c r="E138" i="9"/>
  <c r="E137" i="9"/>
  <c r="E136" i="9"/>
  <c r="E135" i="9"/>
  <c r="E134" i="9"/>
  <c r="E133" i="9"/>
  <c r="E132" i="9"/>
  <c r="E131" i="9"/>
  <c r="E130" i="9"/>
  <c r="E129" i="9"/>
  <c r="E128" i="9"/>
  <c r="E127" i="9"/>
  <c r="E126" i="9"/>
  <c r="E125" i="9"/>
  <c r="E124" i="9"/>
  <c r="E123" i="9"/>
  <c r="E122" i="9"/>
  <c r="E121" i="9"/>
  <c r="E120" i="9"/>
  <c r="E119" i="9"/>
  <c r="E118" i="9"/>
  <c r="E117" i="9"/>
  <c r="E116" i="9"/>
  <c r="E115" i="9"/>
  <c r="E114" i="9"/>
  <c r="E113" i="9"/>
  <c r="E112" i="9"/>
  <c r="E111" i="9"/>
  <c r="E110" i="9"/>
  <c r="E109" i="9"/>
  <c r="E108" i="9"/>
  <c r="E107" i="9"/>
  <c r="E106" i="9"/>
  <c r="E105" i="9"/>
  <c r="E104" i="9"/>
  <c r="E103" i="9"/>
  <c r="E102" i="9"/>
  <c r="E101" i="9"/>
  <c r="E100" i="9"/>
  <c r="E99" i="9"/>
  <c r="E98" i="9"/>
  <c r="E97" i="9"/>
  <c r="E96" i="9"/>
  <c r="E95" i="9"/>
  <c r="E94" i="9"/>
  <c r="E93" i="9"/>
  <c r="E92" i="9"/>
  <c r="E91" i="9"/>
  <c r="E90" i="9"/>
  <c r="E89" i="9"/>
  <c r="E88" i="9"/>
  <c r="E87" i="9"/>
  <c r="E86" i="9"/>
  <c r="E85" i="9"/>
  <c r="E84" i="9"/>
  <c r="E83" i="9"/>
  <c r="E82" i="9"/>
  <c r="E81" i="9"/>
  <c r="E80" i="9"/>
  <c r="E79" i="9"/>
  <c r="E78" i="9"/>
  <c r="E77" i="9"/>
  <c r="E76" i="9"/>
  <c r="E75" i="9"/>
  <c r="E74" i="9"/>
  <c r="E73" i="9"/>
  <c r="E72" i="9"/>
  <c r="E71" i="9"/>
  <c r="E70" i="9"/>
  <c r="E69" i="9"/>
  <c r="E68" i="9"/>
  <c r="E67" i="9"/>
  <c r="E66" i="9"/>
  <c r="E65" i="9"/>
  <c r="E64" i="9"/>
  <c r="E63" i="9"/>
  <c r="E62" i="9"/>
  <c r="E61" i="9"/>
  <c r="E60" i="9"/>
  <c r="E59" i="9"/>
  <c r="E58" i="9"/>
  <c r="E57" i="9"/>
  <c r="E56" i="9"/>
  <c r="E55" i="9"/>
  <c r="E54" i="9"/>
  <c r="E53" i="9"/>
  <c r="E52" i="9"/>
  <c r="E51" i="9"/>
  <c r="E50" i="9"/>
  <c r="E49" i="9"/>
  <c r="E48" i="9"/>
  <c r="E47" i="9"/>
  <c r="E46" i="9"/>
  <c r="E1645" i="8"/>
  <c r="E1644" i="8"/>
  <c r="E1643" i="8"/>
  <c r="E1642" i="8"/>
  <c r="E1641" i="8"/>
  <c r="E1640" i="8"/>
  <c r="E1639" i="8"/>
  <c r="E1638" i="8"/>
  <c r="E1637" i="8"/>
  <c r="E1636" i="8"/>
  <c r="E1635" i="8"/>
  <c r="E1634" i="8"/>
  <c r="E1633" i="8"/>
  <c r="E1632" i="8"/>
  <c r="E1631" i="8"/>
  <c r="E1630" i="8"/>
  <c r="E1629" i="8"/>
  <c r="E1628" i="8"/>
  <c r="E1627" i="8"/>
  <c r="E1626" i="8"/>
  <c r="E1625" i="8"/>
  <c r="E1624" i="8"/>
  <c r="E1623" i="8"/>
  <c r="E1622" i="8"/>
  <c r="E1621" i="8"/>
  <c r="E1620" i="8"/>
  <c r="E1619" i="8"/>
  <c r="E1618" i="8"/>
  <c r="E1617" i="8"/>
  <c r="E1616" i="8"/>
  <c r="E1615" i="8"/>
  <c r="E1614" i="8"/>
  <c r="E1613" i="8"/>
  <c r="E1612" i="8"/>
  <c r="E1611" i="8"/>
  <c r="E1610" i="8"/>
  <c r="E1609" i="8"/>
  <c r="E1608" i="8"/>
  <c r="E1607" i="8"/>
  <c r="E1606" i="8"/>
  <c r="E1605" i="8"/>
  <c r="E1604" i="8"/>
  <c r="E1603" i="8"/>
  <c r="E1602" i="8"/>
  <c r="E1601" i="8"/>
  <c r="E1600" i="8"/>
  <c r="E1599" i="8"/>
  <c r="E1598" i="8"/>
  <c r="E1597" i="8"/>
  <c r="E1596" i="8"/>
  <c r="E1595" i="8"/>
  <c r="E1594" i="8"/>
  <c r="E1593" i="8"/>
  <c r="E1592" i="8"/>
  <c r="E1591" i="8"/>
  <c r="E1590" i="8"/>
  <c r="E1589" i="8"/>
  <c r="E1588" i="8"/>
  <c r="E1587" i="8"/>
  <c r="E1586" i="8"/>
  <c r="E1585" i="8"/>
  <c r="E1584" i="8"/>
  <c r="E1583" i="8"/>
  <c r="E1582" i="8"/>
  <c r="E1581" i="8"/>
  <c r="E1580" i="8"/>
  <c r="E1579" i="8"/>
  <c r="E1578" i="8"/>
  <c r="E1577" i="8"/>
  <c r="E1576" i="8"/>
  <c r="E1575" i="8"/>
  <c r="E1574" i="8"/>
  <c r="E1573" i="8"/>
  <c r="E1572" i="8"/>
  <c r="E1571" i="8"/>
  <c r="E1570" i="8"/>
  <c r="E1569" i="8"/>
  <c r="E1568" i="8"/>
  <c r="E1567" i="8"/>
  <c r="E1566" i="8"/>
  <c r="E1565" i="8"/>
  <c r="E1564" i="8"/>
  <c r="E1563" i="8"/>
  <c r="E1562" i="8"/>
  <c r="E1561" i="8"/>
  <c r="E1560" i="8"/>
  <c r="E1559" i="8"/>
  <c r="E1558" i="8"/>
  <c r="E1557" i="8"/>
  <c r="E1556" i="8"/>
  <c r="E1555" i="8"/>
  <c r="E1554" i="8"/>
  <c r="E1553" i="8"/>
  <c r="E1552" i="8"/>
  <c r="E1551" i="8"/>
  <c r="E1550" i="8"/>
  <c r="E1549" i="8"/>
  <c r="E1548" i="8"/>
  <c r="E1547" i="8"/>
  <c r="E1546" i="8"/>
  <c r="E1545" i="8"/>
  <c r="E1544" i="8"/>
  <c r="E1543" i="8"/>
  <c r="E1542" i="8"/>
  <c r="E1541" i="8"/>
  <c r="E1540" i="8"/>
  <c r="E1539" i="8"/>
  <c r="E1538" i="8"/>
  <c r="E1537" i="8"/>
  <c r="E1536" i="8"/>
  <c r="E1535" i="8"/>
  <c r="E1534" i="8"/>
  <c r="E1533" i="8"/>
  <c r="E1532" i="8"/>
  <c r="E1531" i="8"/>
  <c r="E1530" i="8"/>
  <c r="E1529" i="8"/>
  <c r="E1528" i="8"/>
  <c r="E1527" i="8"/>
  <c r="E1526" i="8"/>
  <c r="E1525" i="8"/>
  <c r="E1524" i="8"/>
  <c r="E1523" i="8"/>
  <c r="E1522" i="8"/>
  <c r="E1521" i="8"/>
  <c r="E1520" i="8"/>
  <c r="E1519" i="8"/>
  <c r="E1518" i="8"/>
  <c r="E1517" i="8"/>
  <c r="E1516" i="8"/>
  <c r="E1515" i="8"/>
  <c r="E1514" i="8"/>
  <c r="E1513" i="8"/>
  <c r="E1512" i="8"/>
  <c r="E1511" i="8"/>
  <c r="E1510" i="8"/>
  <c r="E1509" i="8"/>
  <c r="E1508" i="8"/>
  <c r="E1507" i="8"/>
  <c r="E1506" i="8"/>
  <c r="E1505" i="8"/>
  <c r="E1504" i="8"/>
  <c r="E1503" i="8"/>
  <c r="E1502" i="8"/>
  <c r="E1501" i="8"/>
  <c r="E1500" i="8"/>
  <c r="E1499" i="8"/>
  <c r="E1498" i="8"/>
  <c r="E1497" i="8"/>
  <c r="E1496" i="8"/>
  <c r="E1495" i="8"/>
  <c r="E1494" i="8"/>
  <c r="E1493" i="8"/>
  <c r="E1492" i="8"/>
  <c r="E1491" i="8"/>
  <c r="E1490" i="8"/>
  <c r="E1489" i="8"/>
  <c r="E1488" i="8"/>
  <c r="E1487" i="8"/>
  <c r="E1486" i="8"/>
  <c r="E1485" i="8"/>
  <c r="E1484" i="8"/>
  <c r="E1483" i="8"/>
  <c r="E1482" i="8"/>
  <c r="E1481" i="8"/>
  <c r="E1480" i="8"/>
  <c r="E1479" i="8"/>
  <c r="E1478" i="8"/>
  <c r="E1477" i="8"/>
  <c r="E1476" i="8"/>
  <c r="E1475" i="8"/>
  <c r="E1474" i="8"/>
  <c r="E1473" i="8"/>
  <c r="E1472" i="8"/>
  <c r="E1471" i="8"/>
  <c r="E1470" i="8"/>
  <c r="E1469" i="8"/>
  <c r="E1468" i="8"/>
  <c r="E1467" i="8"/>
  <c r="E1466" i="8"/>
  <c r="E1465" i="8"/>
  <c r="E1464" i="8"/>
  <c r="E1463" i="8"/>
  <c r="E1462" i="8"/>
  <c r="E1461" i="8"/>
  <c r="E1460" i="8"/>
  <c r="E1459" i="8"/>
  <c r="E1458" i="8"/>
  <c r="E1457" i="8"/>
  <c r="E1456" i="8"/>
  <c r="E1455" i="8"/>
  <c r="E1454" i="8"/>
  <c r="E1453" i="8"/>
  <c r="E1452" i="8"/>
  <c r="E1451" i="8"/>
  <c r="E1450" i="8"/>
  <c r="E1449" i="8"/>
  <c r="E1448" i="8"/>
  <c r="E1447" i="8"/>
  <c r="E1446" i="8"/>
  <c r="E1445" i="8"/>
  <c r="E1444" i="8"/>
  <c r="E1443" i="8"/>
  <c r="E1442" i="8"/>
  <c r="E1441" i="8"/>
  <c r="E1440" i="8"/>
  <c r="E1439" i="8"/>
  <c r="E1438" i="8"/>
  <c r="E1437" i="8"/>
  <c r="E1436" i="8"/>
  <c r="E1435" i="8"/>
  <c r="E1434" i="8"/>
  <c r="E1433" i="8"/>
  <c r="E1432" i="8"/>
  <c r="E1431" i="8"/>
  <c r="E1430" i="8"/>
  <c r="E1429" i="8"/>
  <c r="E1428" i="8"/>
  <c r="E1427" i="8"/>
  <c r="E1426" i="8"/>
  <c r="E1425" i="8"/>
  <c r="E1424" i="8"/>
  <c r="E1423" i="8"/>
  <c r="E1422" i="8"/>
  <c r="E1421" i="8"/>
  <c r="E1420" i="8"/>
  <c r="E1419" i="8"/>
  <c r="E1418" i="8"/>
  <c r="E1417" i="8"/>
  <c r="E1416" i="8"/>
  <c r="E1415" i="8"/>
  <c r="E1414" i="8"/>
  <c r="E1413" i="8"/>
  <c r="E1412" i="8"/>
  <c r="E1411" i="8"/>
  <c r="E1410" i="8"/>
  <c r="E1409" i="8"/>
  <c r="E1408" i="8"/>
  <c r="E1407" i="8"/>
  <c r="E1406" i="8"/>
  <c r="E1405" i="8"/>
  <c r="E1404" i="8"/>
  <c r="E1403" i="8"/>
  <c r="E1402" i="8"/>
  <c r="E1401" i="8"/>
  <c r="E1400" i="8"/>
  <c r="E1399" i="8"/>
  <c r="E1398" i="8"/>
  <c r="E1397" i="8"/>
  <c r="E1396" i="8"/>
  <c r="E1395" i="8"/>
  <c r="E1394" i="8"/>
  <c r="E1393" i="8"/>
  <c r="E1392" i="8"/>
  <c r="E1391" i="8"/>
  <c r="E1390" i="8"/>
  <c r="E1389" i="8"/>
  <c r="E1388" i="8"/>
  <c r="E1387" i="8"/>
  <c r="E1386" i="8"/>
  <c r="E1385" i="8"/>
  <c r="E1384" i="8"/>
  <c r="E1383" i="8"/>
  <c r="E1382" i="8"/>
  <c r="E1381" i="8"/>
  <c r="E1380" i="8"/>
  <c r="E1379" i="8"/>
  <c r="E1378" i="8"/>
  <c r="E1377" i="8"/>
  <c r="E1376" i="8"/>
  <c r="E1375" i="8"/>
  <c r="E1374" i="8"/>
  <c r="E1373" i="8"/>
  <c r="E1372" i="8"/>
  <c r="E1371" i="8"/>
  <c r="E1370" i="8"/>
  <c r="E1369" i="8"/>
  <c r="E1368" i="8"/>
  <c r="E1367" i="8"/>
  <c r="E1366" i="8"/>
  <c r="E1365" i="8"/>
  <c r="E1364" i="8"/>
  <c r="E1363" i="8"/>
  <c r="E1362" i="8"/>
  <c r="E1361" i="8"/>
  <c r="E1360" i="8"/>
  <c r="E1359" i="8"/>
  <c r="E1358" i="8"/>
  <c r="E1357" i="8"/>
  <c r="E1356" i="8"/>
  <c r="E1355" i="8"/>
  <c r="E1354" i="8"/>
  <c r="E1353" i="8"/>
  <c r="E1352" i="8"/>
  <c r="E1351" i="8"/>
  <c r="E1350" i="8"/>
  <c r="E1349" i="8"/>
  <c r="E1348" i="8"/>
  <c r="E1347" i="8"/>
  <c r="E1346" i="8"/>
  <c r="E1345" i="8"/>
  <c r="E1344" i="8"/>
  <c r="E1343" i="8"/>
  <c r="E1342" i="8"/>
  <c r="E1341" i="8"/>
  <c r="E1340" i="8"/>
  <c r="E1339" i="8"/>
  <c r="E1338" i="8"/>
  <c r="E1337" i="8"/>
  <c r="E1336" i="8"/>
  <c r="E1335" i="8"/>
  <c r="E1334" i="8"/>
  <c r="E1333" i="8"/>
  <c r="E1332" i="8"/>
  <c r="E1331" i="8"/>
  <c r="E1330" i="8"/>
  <c r="E1329" i="8"/>
  <c r="E1328" i="8"/>
  <c r="E1327" i="8"/>
  <c r="E1326" i="8"/>
  <c r="E1325" i="8"/>
  <c r="E1324" i="8"/>
  <c r="E1323" i="8"/>
  <c r="E1322" i="8"/>
  <c r="E1321" i="8"/>
  <c r="E1320" i="8"/>
  <c r="E1319" i="8"/>
  <c r="E1318" i="8"/>
  <c r="E1317" i="8"/>
  <c r="E1316" i="8"/>
  <c r="E1315" i="8"/>
  <c r="E1314" i="8"/>
  <c r="E1313" i="8"/>
  <c r="E1312" i="8"/>
  <c r="E1311" i="8"/>
  <c r="E1310" i="8"/>
  <c r="E1309" i="8"/>
  <c r="E1308" i="8"/>
  <c r="E1307" i="8"/>
  <c r="E1306" i="8"/>
  <c r="E1305" i="8"/>
  <c r="E1304" i="8"/>
  <c r="E1303" i="8"/>
  <c r="E1302" i="8"/>
  <c r="E1301" i="8"/>
  <c r="E1300" i="8"/>
  <c r="E1299" i="8"/>
  <c r="E1298" i="8"/>
  <c r="E1297" i="8"/>
  <c r="E1296" i="8"/>
  <c r="E1295" i="8"/>
  <c r="E1294" i="8"/>
  <c r="E1293" i="8"/>
  <c r="E1292" i="8"/>
  <c r="E1291" i="8"/>
  <c r="E1290" i="8"/>
  <c r="E1289" i="8"/>
  <c r="E1288" i="8"/>
  <c r="E1287" i="8"/>
  <c r="E1286" i="8"/>
  <c r="E1285" i="8"/>
  <c r="E1284" i="8"/>
  <c r="E1283" i="8"/>
  <c r="E1282" i="8"/>
  <c r="E1281" i="8"/>
  <c r="E1280" i="8"/>
  <c r="E1279" i="8"/>
  <c r="E1278" i="8"/>
  <c r="E1277" i="8"/>
  <c r="E1276" i="8"/>
  <c r="E1275" i="8"/>
  <c r="E1274" i="8"/>
  <c r="E1273" i="8"/>
  <c r="E1272" i="8"/>
  <c r="E1271" i="8"/>
  <c r="E1270" i="8"/>
  <c r="E1269" i="8"/>
  <c r="E1268" i="8"/>
  <c r="E1267" i="8"/>
  <c r="E1266" i="8"/>
  <c r="E1265" i="8"/>
  <c r="E1264" i="8"/>
  <c r="E1263" i="8"/>
  <c r="E1262" i="8"/>
  <c r="E1261" i="8"/>
  <c r="E1260" i="8"/>
  <c r="E1259" i="8"/>
  <c r="E1258" i="8"/>
  <c r="E1257" i="8"/>
  <c r="E1256" i="8"/>
  <c r="E1255" i="8"/>
  <c r="E1254" i="8"/>
  <c r="E1253" i="8"/>
  <c r="E1252" i="8"/>
  <c r="E1251" i="8"/>
  <c r="E1250" i="8"/>
  <c r="E1249" i="8"/>
  <c r="E1248" i="8"/>
  <c r="E1247" i="8"/>
  <c r="E1246" i="8"/>
  <c r="E1245" i="8"/>
  <c r="E1244" i="8"/>
  <c r="E1243" i="8"/>
  <c r="E1242" i="8"/>
  <c r="E1241" i="8"/>
  <c r="E1240" i="8"/>
  <c r="E1239" i="8"/>
  <c r="E1238" i="8"/>
  <c r="E1237" i="8"/>
  <c r="E1236" i="8"/>
  <c r="E1235" i="8"/>
  <c r="E1234" i="8"/>
  <c r="E1233" i="8"/>
  <c r="E1232" i="8"/>
  <c r="E1231" i="8"/>
  <c r="E1230" i="8"/>
  <c r="E1229" i="8"/>
  <c r="E1228" i="8"/>
  <c r="E1227" i="8"/>
  <c r="E1226" i="8"/>
  <c r="E1225" i="8"/>
  <c r="E1224" i="8"/>
  <c r="E1223" i="8"/>
  <c r="E1222" i="8"/>
  <c r="E1221" i="8"/>
  <c r="E1220" i="8"/>
  <c r="E1219" i="8"/>
  <c r="E1218" i="8"/>
  <c r="E1217" i="8"/>
  <c r="E1216" i="8"/>
  <c r="E1215" i="8"/>
  <c r="E1214" i="8"/>
  <c r="E1213" i="8"/>
  <c r="E1212" i="8"/>
  <c r="E1211" i="8"/>
  <c r="E1210" i="8"/>
  <c r="E1209" i="8"/>
  <c r="E1208" i="8"/>
  <c r="E1207" i="8"/>
  <c r="E1206" i="8"/>
  <c r="E1205" i="8"/>
  <c r="E1204" i="8"/>
  <c r="E1203" i="8"/>
  <c r="E1202" i="8"/>
  <c r="E1201" i="8"/>
  <c r="E1200" i="8"/>
  <c r="E1199" i="8"/>
  <c r="E1198" i="8"/>
  <c r="E1197" i="8"/>
  <c r="E1196" i="8"/>
  <c r="E1195" i="8"/>
  <c r="E1194" i="8"/>
  <c r="E1193" i="8"/>
  <c r="E1192" i="8"/>
  <c r="E1191" i="8"/>
  <c r="E1190" i="8"/>
  <c r="E1189" i="8"/>
  <c r="E1188" i="8"/>
  <c r="E1187" i="8"/>
  <c r="E1186" i="8"/>
  <c r="E1185" i="8"/>
  <c r="E1184" i="8"/>
  <c r="E1183" i="8"/>
  <c r="E1182" i="8"/>
  <c r="E1181" i="8"/>
  <c r="E1180" i="8"/>
  <c r="E1179" i="8"/>
  <c r="E1178" i="8"/>
  <c r="E1177" i="8"/>
  <c r="E1176" i="8"/>
  <c r="E1175" i="8"/>
  <c r="E1174" i="8"/>
  <c r="E1173" i="8"/>
  <c r="E1172" i="8"/>
  <c r="E1171" i="8"/>
  <c r="E1170" i="8"/>
  <c r="E1169" i="8"/>
  <c r="E1168" i="8"/>
  <c r="E1167" i="8"/>
  <c r="E1166" i="8"/>
  <c r="E1165" i="8"/>
  <c r="E1164" i="8"/>
  <c r="E1163" i="8"/>
  <c r="E1162" i="8"/>
  <c r="E1161" i="8"/>
  <c r="E1160" i="8"/>
  <c r="E1159" i="8"/>
  <c r="E1158" i="8"/>
  <c r="E1157" i="8"/>
  <c r="E1156" i="8"/>
  <c r="E1155" i="8"/>
  <c r="E1154" i="8"/>
  <c r="E1153" i="8"/>
  <c r="E1152" i="8"/>
  <c r="E1151" i="8"/>
  <c r="E1150" i="8"/>
  <c r="E1149" i="8"/>
  <c r="E1148" i="8"/>
  <c r="E1147" i="8"/>
  <c r="E1146" i="8"/>
  <c r="E1145" i="8"/>
  <c r="E1144" i="8"/>
  <c r="E1143" i="8"/>
  <c r="E1142" i="8"/>
  <c r="E1141" i="8"/>
  <c r="E1140" i="8"/>
  <c r="E1139" i="8"/>
  <c r="E1138" i="8"/>
  <c r="E1137" i="8"/>
  <c r="E1136" i="8"/>
  <c r="E1135" i="8"/>
  <c r="E1134" i="8"/>
  <c r="E1133" i="8"/>
  <c r="E1132" i="8"/>
  <c r="E1131" i="8"/>
  <c r="E1130" i="8"/>
  <c r="E1129" i="8"/>
  <c r="E1128" i="8"/>
  <c r="E1127" i="8"/>
  <c r="E1126" i="8"/>
  <c r="E1125" i="8"/>
  <c r="E1124" i="8"/>
  <c r="E1123" i="8"/>
  <c r="E1122" i="8"/>
  <c r="E1121" i="8"/>
  <c r="E1120" i="8"/>
  <c r="E1119" i="8"/>
  <c r="E1118" i="8"/>
  <c r="E1117" i="8"/>
  <c r="E1116" i="8"/>
  <c r="E1115" i="8"/>
  <c r="E1114" i="8"/>
  <c r="E1113" i="8"/>
  <c r="E1112" i="8"/>
  <c r="E1111" i="8"/>
  <c r="E1110" i="8"/>
  <c r="E1109" i="8"/>
  <c r="E1108" i="8"/>
  <c r="E1107" i="8"/>
  <c r="E1106" i="8"/>
  <c r="E1105" i="8"/>
  <c r="E1104" i="8"/>
  <c r="E1103" i="8"/>
  <c r="E1102" i="8"/>
  <c r="E1101" i="8"/>
  <c r="E1100" i="8"/>
  <c r="E1099" i="8"/>
  <c r="E1098" i="8"/>
  <c r="E1097" i="8"/>
  <c r="E1096" i="8"/>
  <c r="E1095" i="8"/>
  <c r="E1094" i="8"/>
  <c r="E1093" i="8"/>
  <c r="E1092" i="8"/>
  <c r="E1091" i="8"/>
  <c r="E1090" i="8"/>
  <c r="E1089" i="8"/>
  <c r="E1088" i="8"/>
  <c r="E1087" i="8"/>
  <c r="E1086" i="8"/>
  <c r="E1085" i="8"/>
  <c r="E1084" i="8"/>
  <c r="E1083" i="8"/>
  <c r="E1082" i="8"/>
  <c r="E1081" i="8"/>
  <c r="E1080" i="8"/>
  <c r="E1079" i="8"/>
  <c r="E1078" i="8"/>
  <c r="E1077" i="8"/>
  <c r="E1076" i="8"/>
  <c r="E1075" i="8"/>
  <c r="E1074" i="8"/>
  <c r="E1073" i="8"/>
  <c r="E1072" i="8"/>
  <c r="E1071" i="8"/>
  <c r="E1070" i="8"/>
  <c r="E1069" i="8"/>
  <c r="E1068" i="8"/>
  <c r="E1067" i="8"/>
  <c r="E1066" i="8"/>
  <c r="E1065" i="8"/>
  <c r="E1064" i="8"/>
  <c r="E1063" i="8"/>
  <c r="E1062" i="8"/>
  <c r="E1061" i="8"/>
  <c r="E1060" i="8"/>
  <c r="E1059" i="8"/>
  <c r="E1058" i="8"/>
  <c r="E1057" i="8"/>
  <c r="E1056" i="8"/>
  <c r="E1055" i="8"/>
  <c r="E1054" i="8"/>
  <c r="E1053" i="8"/>
  <c r="E1052" i="8"/>
  <c r="E1051" i="8"/>
  <c r="E1050" i="8"/>
  <c r="E1049" i="8"/>
  <c r="E1048" i="8"/>
  <c r="E1047" i="8"/>
  <c r="E1046" i="8"/>
  <c r="E1045" i="8"/>
  <c r="E1044" i="8"/>
  <c r="E1043" i="8"/>
  <c r="E1042" i="8"/>
  <c r="E1041" i="8"/>
  <c r="E1040" i="8"/>
  <c r="E1039" i="8"/>
  <c r="E1038" i="8"/>
  <c r="E1037" i="8"/>
  <c r="E1036" i="8"/>
  <c r="E1035" i="8"/>
  <c r="E1034" i="8"/>
  <c r="E1033" i="8"/>
  <c r="E1032" i="8"/>
  <c r="E1031" i="8"/>
  <c r="E1030" i="8"/>
  <c r="E1029" i="8"/>
  <c r="E1028" i="8"/>
  <c r="E1027" i="8"/>
  <c r="E1026" i="8"/>
  <c r="E1025" i="8"/>
  <c r="E1024" i="8"/>
  <c r="E1023" i="8"/>
  <c r="E1022" i="8"/>
  <c r="E1021" i="8"/>
  <c r="E1020" i="8"/>
  <c r="E1019" i="8"/>
  <c r="E1018" i="8"/>
  <c r="E1017" i="8"/>
  <c r="E1016" i="8"/>
  <c r="E1015" i="8"/>
  <c r="E1014" i="8"/>
  <c r="E1013" i="8"/>
  <c r="E1012" i="8"/>
  <c r="E1011" i="8"/>
  <c r="E1010" i="8"/>
  <c r="E1009" i="8"/>
  <c r="E1008" i="8"/>
  <c r="E1007" i="8"/>
  <c r="E1006" i="8"/>
  <c r="E1005" i="8"/>
  <c r="E1004" i="8"/>
  <c r="E1003" i="8"/>
  <c r="E1002" i="8"/>
  <c r="E1001" i="8"/>
  <c r="E1000" i="8"/>
  <c r="E999" i="8"/>
  <c r="E998" i="8"/>
  <c r="E997" i="8"/>
  <c r="E996" i="8"/>
  <c r="E995" i="8"/>
  <c r="E994" i="8"/>
  <c r="E993" i="8"/>
  <c r="E992" i="8"/>
  <c r="E991" i="8"/>
  <c r="E990" i="8"/>
  <c r="E989" i="8"/>
  <c r="E988" i="8"/>
  <c r="E987" i="8"/>
  <c r="E986" i="8"/>
  <c r="E985" i="8"/>
  <c r="E984" i="8"/>
  <c r="E983" i="8"/>
  <c r="E982" i="8"/>
  <c r="E981" i="8"/>
  <c r="E980" i="8"/>
  <c r="E979" i="8"/>
  <c r="E978" i="8"/>
  <c r="E977" i="8"/>
  <c r="E976" i="8"/>
  <c r="E975" i="8"/>
  <c r="E974" i="8"/>
  <c r="E973" i="8"/>
  <c r="E972" i="8"/>
  <c r="E971" i="8"/>
  <c r="E970" i="8"/>
  <c r="E969" i="8"/>
  <c r="E968" i="8"/>
  <c r="E967" i="8"/>
  <c r="E966" i="8"/>
  <c r="E965" i="8"/>
  <c r="E964" i="8"/>
  <c r="E963" i="8"/>
  <c r="E962" i="8"/>
  <c r="E961" i="8"/>
  <c r="E960" i="8"/>
  <c r="E959" i="8"/>
  <c r="E958" i="8"/>
  <c r="E957" i="8"/>
  <c r="E956" i="8"/>
  <c r="E955" i="8"/>
  <c r="E954" i="8"/>
  <c r="E953" i="8"/>
  <c r="E952" i="8"/>
  <c r="E951" i="8"/>
  <c r="E950" i="8"/>
  <c r="E949" i="8"/>
  <c r="E948" i="8"/>
  <c r="E947" i="8"/>
  <c r="E946" i="8"/>
  <c r="E945" i="8"/>
  <c r="E944" i="8"/>
  <c r="E943" i="8"/>
  <c r="E942" i="8"/>
  <c r="E941" i="8"/>
  <c r="E940" i="8"/>
  <c r="E939" i="8"/>
  <c r="E938" i="8"/>
  <c r="E937" i="8"/>
  <c r="E936" i="8"/>
  <c r="E935" i="8"/>
  <c r="E934" i="8"/>
  <c r="E933" i="8"/>
  <c r="E932" i="8"/>
  <c r="E931" i="8"/>
  <c r="E930" i="8"/>
  <c r="E929" i="8"/>
  <c r="E928" i="8"/>
  <c r="E927" i="8"/>
  <c r="E926" i="8"/>
  <c r="E925" i="8"/>
  <c r="E924" i="8"/>
  <c r="E923" i="8"/>
  <c r="E922" i="8"/>
  <c r="E921" i="8"/>
  <c r="E920" i="8"/>
  <c r="E919" i="8"/>
  <c r="E918" i="8"/>
  <c r="E917" i="8"/>
  <c r="E916" i="8"/>
  <c r="E915" i="8"/>
  <c r="E914" i="8"/>
  <c r="E913" i="8"/>
  <c r="E912" i="8"/>
  <c r="E911" i="8"/>
  <c r="E910" i="8"/>
  <c r="E909" i="8"/>
  <c r="E908" i="8"/>
  <c r="E907" i="8"/>
  <c r="E906" i="8"/>
  <c r="E905" i="8"/>
  <c r="E904" i="8"/>
  <c r="E903" i="8"/>
  <c r="E902" i="8"/>
  <c r="E901" i="8"/>
  <c r="E900" i="8"/>
  <c r="E899" i="8"/>
  <c r="E898" i="8"/>
  <c r="E897" i="8"/>
  <c r="E896" i="8"/>
  <c r="E895" i="8"/>
  <c r="E894" i="8"/>
  <c r="E893" i="8"/>
  <c r="E892" i="8"/>
  <c r="E891" i="8"/>
  <c r="E890" i="8"/>
  <c r="E889" i="8"/>
  <c r="E888" i="8"/>
  <c r="E887" i="8"/>
  <c r="E886" i="8"/>
  <c r="E885" i="8"/>
  <c r="E884" i="8"/>
  <c r="E883" i="8"/>
  <c r="E882" i="8"/>
  <c r="E881" i="8"/>
  <c r="E880" i="8"/>
  <c r="E879" i="8"/>
  <c r="E878" i="8"/>
  <c r="E877" i="8"/>
  <c r="E876" i="8"/>
  <c r="E875" i="8"/>
  <c r="E874" i="8"/>
  <c r="E873" i="8"/>
  <c r="E872" i="8"/>
  <c r="E871" i="8"/>
  <c r="E870" i="8"/>
  <c r="E869" i="8"/>
  <c r="E868" i="8"/>
  <c r="E867" i="8"/>
  <c r="E866" i="8"/>
  <c r="E865" i="8"/>
  <c r="E864" i="8"/>
  <c r="E863" i="8"/>
  <c r="E862" i="8"/>
  <c r="E861" i="8"/>
  <c r="E860" i="8"/>
  <c r="E859" i="8"/>
  <c r="E858" i="8"/>
  <c r="E857" i="8"/>
  <c r="E856" i="8"/>
  <c r="E855" i="8"/>
  <c r="E854" i="8"/>
  <c r="E853" i="8"/>
  <c r="E852" i="8"/>
  <c r="E851" i="8"/>
  <c r="E850" i="8"/>
  <c r="E849" i="8"/>
  <c r="E848" i="8"/>
  <c r="E847" i="8"/>
  <c r="E846" i="8"/>
  <c r="E845" i="8"/>
  <c r="E844" i="8"/>
  <c r="E843" i="8"/>
  <c r="E842" i="8"/>
  <c r="E841" i="8"/>
  <c r="E840" i="8"/>
  <c r="E839" i="8"/>
  <c r="E838" i="8"/>
  <c r="E837" i="8"/>
  <c r="E836" i="8"/>
  <c r="E835" i="8"/>
  <c r="E834" i="8"/>
  <c r="E833" i="8"/>
  <c r="E832" i="8"/>
  <c r="E831" i="8"/>
  <c r="E830" i="8"/>
  <c r="E829" i="8"/>
  <c r="E828" i="8"/>
  <c r="E827" i="8"/>
  <c r="E826" i="8"/>
  <c r="E825" i="8"/>
  <c r="E824" i="8"/>
  <c r="E823" i="8"/>
  <c r="E822" i="8"/>
  <c r="E821" i="8"/>
  <c r="E820" i="8"/>
  <c r="E819" i="8"/>
  <c r="E818" i="8"/>
  <c r="E817" i="8"/>
  <c r="E816" i="8"/>
  <c r="E815" i="8"/>
  <c r="E814" i="8"/>
  <c r="E813" i="8"/>
  <c r="E812" i="8"/>
  <c r="E811" i="8"/>
  <c r="E810" i="8"/>
  <c r="E809" i="8"/>
  <c r="E808" i="8"/>
  <c r="E807" i="8"/>
  <c r="E806" i="8"/>
  <c r="E805" i="8"/>
  <c r="E804" i="8"/>
  <c r="E803" i="8"/>
  <c r="E802" i="8"/>
  <c r="E801" i="8"/>
  <c r="E800" i="8"/>
  <c r="E799" i="8"/>
  <c r="E798" i="8"/>
  <c r="E797" i="8"/>
  <c r="E796" i="8"/>
  <c r="E795" i="8"/>
  <c r="E794" i="8"/>
  <c r="E793" i="8"/>
  <c r="E792" i="8"/>
  <c r="E791" i="8"/>
  <c r="E790" i="8"/>
  <c r="E789" i="8"/>
  <c r="E788" i="8"/>
  <c r="E787" i="8"/>
  <c r="E786" i="8"/>
  <c r="E785" i="8"/>
  <c r="E784" i="8"/>
  <c r="E783" i="8"/>
  <c r="E782" i="8"/>
  <c r="E781" i="8"/>
  <c r="E780" i="8"/>
  <c r="E779" i="8"/>
  <c r="E778" i="8"/>
  <c r="E777" i="8"/>
  <c r="E776" i="8"/>
  <c r="E775" i="8"/>
  <c r="E774" i="8"/>
  <c r="E773" i="8"/>
  <c r="E772" i="8"/>
  <c r="E771" i="8"/>
  <c r="E770" i="8"/>
  <c r="E769" i="8"/>
  <c r="E768" i="8"/>
  <c r="E767" i="8"/>
  <c r="E766" i="8"/>
  <c r="E765" i="8"/>
  <c r="E764" i="8"/>
  <c r="E763" i="8"/>
  <c r="E762" i="8"/>
  <c r="E761" i="8"/>
  <c r="E760" i="8"/>
  <c r="E759" i="8"/>
  <c r="E758" i="8"/>
  <c r="E757" i="8"/>
  <c r="E756" i="8"/>
  <c r="E755" i="8"/>
  <c r="E754" i="8"/>
  <c r="E753" i="8"/>
  <c r="E752" i="8"/>
  <c r="E751" i="8"/>
  <c r="E750" i="8"/>
  <c r="E749" i="8"/>
  <c r="E748" i="8"/>
  <c r="E747" i="8"/>
  <c r="E746" i="8"/>
  <c r="E745" i="8"/>
  <c r="E744" i="8"/>
  <c r="E743" i="8"/>
  <c r="E742" i="8"/>
  <c r="E741" i="8"/>
  <c r="E740" i="8"/>
  <c r="E739" i="8"/>
  <c r="E738" i="8"/>
  <c r="E737" i="8"/>
  <c r="E736" i="8"/>
  <c r="E735" i="8"/>
  <c r="E734" i="8"/>
  <c r="E733" i="8"/>
  <c r="E732" i="8"/>
  <c r="E731" i="8"/>
  <c r="E730" i="8"/>
  <c r="E729" i="8"/>
  <c r="E728" i="8"/>
  <c r="E727" i="8"/>
  <c r="E726" i="8"/>
  <c r="E725" i="8"/>
  <c r="E724" i="8"/>
  <c r="E723" i="8"/>
  <c r="E722" i="8"/>
  <c r="E721" i="8"/>
  <c r="E720" i="8"/>
  <c r="E719" i="8"/>
  <c r="E718" i="8"/>
  <c r="E717" i="8"/>
  <c r="E716" i="8"/>
  <c r="E715" i="8"/>
  <c r="E714" i="8"/>
  <c r="E713" i="8"/>
  <c r="E712" i="8"/>
  <c r="E711" i="8"/>
  <c r="E710" i="8"/>
  <c r="E709" i="8"/>
  <c r="E708" i="8"/>
  <c r="E707" i="8"/>
  <c r="E706" i="8"/>
  <c r="E705" i="8"/>
  <c r="E704" i="8"/>
  <c r="E703" i="8"/>
  <c r="E702" i="8"/>
  <c r="E701" i="8"/>
  <c r="E700" i="8"/>
  <c r="E699" i="8"/>
  <c r="E698" i="8"/>
  <c r="E697" i="8"/>
  <c r="E696" i="8"/>
  <c r="E695" i="8"/>
  <c r="E694" i="8"/>
  <c r="E693" i="8"/>
  <c r="E692" i="8"/>
  <c r="E691" i="8"/>
  <c r="E690" i="8"/>
  <c r="E689" i="8"/>
  <c r="E688" i="8"/>
  <c r="E687" i="8"/>
  <c r="E686" i="8"/>
  <c r="E685" i="8"/>
  <c r="E684" i="8"/>
  <c r="E683" i="8"/>
  <c r="E682" i="8"/>
  <c r="E681" i="8"/>
  <c r="E680" i="8"/>
  <c r="E679" i="8"/>
  <c r="E678" i="8"/>
  <c r="E677" i="8"/>
  <c r="E676" i="8"/>
  <c r="E675" i="8"/>
  <c r="E674" i="8"/>
  <c r="E673" i="8"/>
  <c r="E672" i="8"/>
  <c r="E671" i="8"/>
  <c r="E670" i="8"/>
  <c r="E669" i="8"/>
  <c r="E668" i="8"/>
  <c r="E667" i="8"/>
  <c r="E666" i="8"/>
  <c r="E665" i="8"/>
  <c r="E664" i="8"/>
  <c r="E663" i="8"/>
  <c r="E662" i="8"/>
  <c r="E661" i="8"/>
  <c r="E660" i="8"/>
  <c r="E659" i="8"/>
  <c r="E658" i="8"/>
  <c r="E657" i="8"/>
  <c r="E656" i="8"/>
  <c r="E655" i="8"/>
  <c r="E654" i="8"/>
  <c r="E653" i="8"/>
  <c r="E652" i="8"/>
  <c r="E651" i="8"/>
  <c r="E650" i="8"/>
  <c r="E649" i="8"/>
  <c r="E648" i="8"/>
  <c r="E647" i="8"/>
  <c r="E646" i="8"/>
  <c r="E645" i="8"/>
  <c r="E644" i="8"/>
  <c r="E643" i="8"/>
  <c r="E642" i="8"/>
  <c r="E641" i="8"/>
  <c r="E640" i="8"/>
  <c r="E639" i="8"/>
  <c r="E638" i="8"/>
  <c r="E637" i="8"/>
  <c r="E636" i="8"/>
  <c r="E635" i="8"/>
  <c r="E634" i="8"/>
  <c r="E633" i="8"/>
  <c r="E632" i="8"/>
  <c r="E631" i="8"/>
  <c r="E630" i="8"/>
  <c r="E629" i="8"/>
  <c r="E628" i="8"/>
  <c r="E627" i="8"/>
  <c r="E626" i="8"/>
  <c r="E625" i="8"/>
  <c r="E624" i="8"/>
  <c r="E623" i="8"/>
  <c r="E622" i="8"/>
  <c r="E621" i="8"/>
  <c r="E620" i="8"/>
  <c r="E619" i="8"/>
  <c r="E618" i="8"/>
  <c r="E617" i="8"/>
  <c r="E616" i="8"/>
  <c r="E615" i="8"/>
  <c r="E614" i="8"/>
  <c r="E613" i="8"/>
  <c r="E612" i="8"/>
  <c r="E611" i="8"/>
  <c r="E610" i="8"/>
  <c r="E609" i="8"/>
  <c r="E608" i="8"/>
  <c r="E607" i="8"/>
  <c r="E606" i="8"/>
  <c r="E605" i="8"/>
  <c r="E604" i="8"/>
  <c r="E603" i="8"/>
  <c r="E602" i="8"/>
  <c r="E601" i="8"/>
  <c r="E600" i="8"/>
  <c r="E599" i="8"/>
  <c r="E598" i="8"/>
  <c r="E597" i="8"/>
  <c r="E596" i="8"/>
  <c r="E595" i="8"/>
  <c r="E594" i="8"/>
  <c r="E593" i="8"/>
  <c r="E592" i="8"/>
  <c r="E591" i="8"/>
  <c r="E590" i="8"/>
  <c r="E589" i="8"/>
  <c r="E588" i="8"/>
  <c r="E587" i="8"/>
  <c r="E586" i="8"/>
  <c r="E585" i="8"/>
  <c r="E584" i="8"/>
  <c r="E583" i="8"/>
  <c r="E582" i="8"/>
  <c r="E581" i="8"/>
  <c r="E580" i="8"/>
  <c r="E579" i="8"/>
  <c r="E578" i="8"/>
  <c r="E577" i="8"/>
  <c r="E576" i="8"/>
  <c r="E575" i="8"/>
  <c r="E574" i="8"/>
  <c r="E573" i="8"/>
  <c r="E572" i="8"/>
  <c r="E571" i="8"/>
  <c r="E570" i="8"/>
  <c r="E569" i="8"/>
  <c r="E568" i="8"/>
  <c r="E567" i="8"/>
  <c r="E566" i="8"/>
  <c r="E565" i="8"/>
  <c r="E564" i="8"/>
  <c r="E563" i="8"/>
  <c r="E562" i="8"/>
  <c r="E561" i="8"/>
  <c r="E560" i="8"/>
  <c r="E559" i="8"/>
  <c r="E558" i="8"/>
  <c r="E557" i="8"/>
  <c r="E556" i="8"/>
  <c r="E555" i="8"/>
  <c r="E554" i="8"/>
  <c r="E553" i="8"/>
  <c r="E552" i="8"/>
  <c r="E551" i="8"/>
  <c r="E550" i="8"/>
  <c r="E549" i="8"/>
  <c r="E548" i="8"/>
  <c r="E547" i="8"/>
  <c r="E546" i="8"/>
  <c r="E545" i="8"/>
  <c r="E544" i="8"/>
  <c r="E543" i="8"/>
  <c r="E542" i="8"/>
  <c r="E541" i="8"/>
  <c r="E540" i="8"/>
  <c r="E539" i="8"/>
  <c r="E538" i="8"/>
  <c r="E537" i="8"/>
  <c r="E536" i="8"/>
  <c r="E535" i="8"/>
  <c r="E534" i="8"/>
  <c r="E533" i="8"/>
  <c r="E532" i="8"/>
  <c r="E531" i="8"/>
  <c r="E530" i="8"/>
  <c r="E529" i="8"/>
  <c r="E528" i="8"/>
  <c r="E527" i="8"/>
  <c r="E526" i="8"/>
  <c r="E525" i="8"/>
  <c r="E524" i="8"/>
  <c r="E523" i="8"/>
  <c r="E522" i="8"/>
  <c r="E521" i="8"/>
  <c r="E520" i="8"/>
  <c r="E519" i="8"/>
  <c r="E518" i="8"/>
  <c r="E517" i="8"/>
  <c r="E516" i="8"/>
  <c r="E515" i="8"/>
  <c r="E514" i="8"/>
  <c r="E513" i="8"/>
  <c r="E512" i="8"/>
  <c r="E511" i="8"/>
  <c r="E510" i="8"/>
  <c r="E509" i="8"/>
  <c r="E508" i="8"/>
  <c r="E507" i="8"/>
  <c r="E506" i="8"/>
  <c r="E505" i="8"/>
  <c r="E504" i="8"/>
  <c r="E503" i="8"/>
  <c r="E502" i="8"/>
  <c r="E501" i="8"/>
  <c r="E500" i="8"/>
  <c r="E499" i="8"/>
  <c r="E498" i="8"/>
  <c r="E497" i="8"/>
  <c r="E496" i="8"/>
  <c r="E495" i="8"/>
  <c r="E494" i="8"/>
  <c r="E493" i="8"/>
  <c r="E492" i="8"/>
  <c r="E491" i="8"/>
  <c r="E490" i="8"/>
  <c r="E489" i="8"/>
  <c r="E488" i="8"/>
  <c r="E487" i="8"/>
  <c r="E486" i="8"/>
  <c r="E485" i="8"/>
  <c r="E484" i="8"/>
  <c r="E483" i="8"/>
  <c r="E482" i="8"/>
  <c r="E481" i="8"/>
  <c r="E480" i="8"/>
  <c r="E479" i="8"/>
  <c r="E478" i="8"/>
  <c r="E477" i="8"/>
  <c r="E476" i="8"/>
  <c r="E475" i="8"/>
  <c r="E474" i="8"/>
  <c r="E473" i="8"/>
  <c r="E472" i="8"/>
  <c r="E471" i="8"/>
  <c r="E470" i="8"/>
  <c r="E469" i="8"/>
  <c r="E468" i="8"/>
  <c r="E467" i="8"/>
  <c r="E466" i="8"/>
  <c r="E465" i="8"/>
  <c r="E464" i="8"/>
  <c r="E463" i="8"/>
  <c r="E462" i="8"/>
  <c r="E461" i="8"/>
  <c r="E460" i="8"/>
  <c r="E459" i="8"/>
  <c r="E458" i="8"/>
  <c r="E457" i="8"/>
  <c r="E456" i="8"/>
  <c r="E455" i="8"/>
  <c r="E454" i="8"/>
  <c r="E453" i="8"/>
  <c r="E452" i="8"/>
  <c r="E451" i="8"/>
  <c r="E450" i="8"/>
  <c r="E449" i="8"/>
  <c r="E448" i="8"/>
  <c r="E447" i="8"/>
  <c r="E446" i="8"/>
  <c r="E445" i="8"/>
  <c r="E444" i="8"/>
  <c r="E443" i="8"/>
  <c r="E442" i="8"/>
  <c r="E441" i="8"/>
  <c r="E440" i="8"/>
  <c r="E439" i="8"/>
  <c r="E438" i="8"/>
  <c r="E437" i="8"/>
  <c r="E436" i="8"/>
  <c r="E435" i="8"/>
  <c r="E434" i="8"/>
  <c r="E433" i="8"/>
  <c r="E432" i="8"/>
  <c r="E431" i="8"/>
  <c r="E430" i="8"/>
  <c r="E429" i="8"/>
  <c r="E428" i="8"/>
  <c r="E427" i="8"/>
  <c r="E426" i="8"/>
  <c r="E425" i="8"/>
  <c r="E424" i="8"/>
  <c r="E423" i="8"/>
  <c r="E422" i="8"/>
  <c r="E421" i="8"/>
  <c r="E420" i="8"/>
  <c r="E419" i="8"/>
  <c r="E418" i="8"/>
  <c r="E417" i="8"/>
  <c r="E416" i="8"/>
  <c r="E415" i="8"/>
  <c r="E414" i="8"/>
  <c r="E413" i="8"/>
  <c r="E412" i="8"/>
  <c r="E411" i="8"/>
  <c r="E410" i="8"/>
  <c r="E409" i="8"/>
  <c r="E408" i="8"/>
  <c r="E407" i="8"/>
  <c r="E406" i="8"/>
  <c r="E405" i="8"/>
  <c r="E404" i="8"/>
  <c r="E403" i="8"/>
  <c r="E402" i="8"/>
  <c r="E401" i="8"/>
  <c r="E400" i="8"/>
  <c r="E399" i="8"/>
  <c r="E398" i="8"/>
  <c r="E397" i="8"/>
  <c r="E396" i="8"/>
  <c r="E395" i="8"/>
  <c r="E394" i="8"/>
  <c r="E393" i="8"/>
  <c r="E392" i="8"/>
  <c r="E391" i="8"/>
  <c r="E390" i="8"/>
  <c r="E389" i="8"/>
  <c r="E388" i="8"/>
  <c r="E387" i="8"/>
  <c r="E386" i="8"/>
  <c r="E385" i="8"/>
  <c r="E384" i="8"/>
  <c r="E383" i="8"/>
  <c r="E382" i="8"/>
  <c r="E381" i="8"/>
  <c r="E380" i="8"/>
  <c r="E379" i="8"/>
  <c r="E378" i="8"/>
  <c r="E377" i="8"/>
  <c r="E376" i="8"/>
  <c r="E375" i="8"/>
  <c r="E374" i="8"/>
  <c r="E373" i="8"/>
  <c r="E372" i="8"/>
  <c r="E371" i="8"/>
  <c r="E370" i="8"/>
  <c r="E369" i="8"/>
  <c r="E368" i="8"/>
  <c r="E367" i="8"/>
  <c r="E366" i="8"/>
  <c r="E365" i="8"/>
  <c r="E364" i="8"/>
  <c r="E363" i="8"/>
  <c r="E362" i="8"/>
  <c r="E361" i="8"/>
  <c r="E360" i="8"/>
  <c r="E359" i="8"/>
  <c r="E358" i="8"/>
  <c r="E357" i="8"/>
  <c r="E356" i="8"/>
  <c r="E355" i="8"/>
  <c r="E354" i="8"/>
  <c r="E353" i="8"/>
  <c r="E352" i="8"/>
  <c r="E351" i="8"/>
  <c r="E350" i="8"/>
  <c r="E349" i="8"/>
  <c r="E348" i="8"/>
  <c r="E347" i="8"/>
  <c r="E346" i="8"/>
  <c r="E345" i="8"/>
  <c r="E344" i="8"/>
  <c r="E343" i="8"/>
  <c r="E342" i="8"/>
  <c r="E341" i="8"/>
  <c r="E340" i="8"/>
  <c r="E339" i="8"/>
  <c r="E338" i="8"/>
  <c r="E337" i="8"/>
  <c r="E336" i="8"/>
  <c r="E335" i="8"/>
  <c r="E334" i="8"/>
  <c r="E333" i="8"/>
  <c r="E332" i="8"/>
  <c r="E331" i="8"/>
  <c r="E330" i="8"/>
  <c r="E329" i="8"/>
  <c r="E328" i="8"/>
  <c r="E327" i="8"/>
  <c r="E326" i="8"/>
  <c r="E325" i="8"/>
  <c r="E324" i="8"/>
  <c r="E323" i="8"/>
  <c r="E322" i="8"/>
  <c r="E321" i="8"/>
  <c r="E320" i="8"/>
  <c r="E319" i="8"/>
  <c r="E318" i="8"/>
  <c r="E317" i="8"/>
  <c r="E316" i="8"/>
  <c r="E315" i="8"/>
  <c r="E314" i="8"/>
  <c r="E313" i="8"/>
  <c r="E312" i="8"/>
  <c r="E311" i="8"/>
  <c r="E310" i="8"/>
  <c r="E309" i="8"/>
  <c r="E308" i="8"/>
  <c r="E307" i="8"/>
  <c r="E306" i="8"/>
  <c r="E305" i="8"/>
  <c r="E304" i="8"/>
  <c r="E303" i="8"/>
  <c r="E302" i="8"/>
  <c r="E301" i="8"/>
  <c r="E300" i="8"/>
  <c r="E299" i="8"/>
  <c r="E298" i="8"/>
  <c r="E297" i="8"/>
  <c r="E296" i="8"/>
  <c r="E295" i="8"/>
  <c r="E294" i="8"/>
  <c r="E293" i="8"/>
  <c r="E292" i="8"/>
  <c r="E291" i="8"/>
  <c r="E290" i="8"/>
  <c r="E289" i="8"/>
  <c r="E288" i="8"/>
  <c r="E287" i="8"/>
  <c r="E286" i="8"/>
  <c r="E285" i="8"/>
  <c r="E284" i="8"/>
  <c r="E283" i="8"/>
  <c r="E282" i="8"/>
  <c r="E281" i="8"/>
  <c r="E280" i="8"/>
  <c r="E279" i="8"/>
  <c r="E278" i="8"/>
  <c r="E277" i="8"/>
  <c r="E276" i="8"/>
  <c r="E275" i="8"/>
  <c r="E274" i="8"/>
  <c r="E273" i="8"/>
  <c r="E272" i="8"/>
  <c r="E271" i="8"/>
  <c r="E270" i="8"/>
  <c r="E269" i="8"/>
  <c r="E268" i="8"/>
  <c r="E267" i="8"/>
  <c r="E266" i="8"/>
  <c r="E265" i="8"/>
  <c r="E264" i="8"/>
  <c r="E263" i="8"/>
  <c r="E262" i="8"/>
  <c r="E261" i="8"/>
  <c r="E260" i="8"/>
  <c r="E259" i="8"/>
  <c r="E258" i="8"/>
  <c r="E257" i="8"/>
  <c r="E256" i="8"/>
  <c r="E255" i="8"/>
  <c r="E254" i="8"/>
  <c r="E253" i="8"/>
  <c r="E252" i="8"/>
  <c r="E251" i="8"/>
  <c r="E250" i="8"/>
  <c r="E249" i="8"/>
  <c r="E248" i="8"/>
  <c r="E247" i="8"/>
  <c r="E246" i="8"/>
  <c r="E245" i="8"/>
  <c r="E244" i="8"/>
  <c r="E243" i="8"/>
  <c r="E242" i="8"/>
  <c r="E241" i="8"/>
  <c r="E240" i="8"/>
  <c r="E239" i="8"/>
  <c r="E238" i="8"/>
  <c r="E237" i="8"/>
  <c r="E236" i="8"/>
  <c r="E235" i="8"/>
  <c r="E234" i="8"/>
  <c r="E233" i="8"/>
  <c r="E232" i="8"/>
  <c r="E231" i="8"/>
  <c r="E230" i="8"/>
  <c r="E229" i="8"/>
  <c r="E228" i="8"/>
  <c r="E227" i="8"/>
  <c r="E226" i="8"/>
  <c r="E225" i="8"/>
  <c r="E224" i="8"/>
  <c r="E223" i="8"/>
  <c r="E222" i="8"/>
  <c r="E221" i="8"/>
  <c r="E220" i="8"/>
  <c r="E219" i="8"/>
  <c r="E218" i="8"/>
  <c r="E217" i="8"/>
  <c r="E216" i="8"/>
  <c r="E215" i="8"/>
  <c r="E214" i="8"/>
  <c r="E213" i="8"/>
  <c r="E212" i="8"/>
  <c r="E211" i="8"/>
  <c r="E210" i="8"/>
  <c r="E209" i="8"/>
  <c r="E208" i="8"/>
  <c r="E207" i="8"/>
  <c r="E206" i="8"/>
  <c r="E205" i="8"/>
  <c r="E204" i="8"/>
  <c r="E203" i="8"/>
  <c r="E202" i="8"/>
  <c r="E201" i="8"/>
  <c r="E200" i="8"/>
  <c r="E199" i="8"/>
  <c r="E198" i="8"/>
  <c r="E197" i="8"/>
  <c r="E196" i="8"/>
  <c r="E195" i="8"/>
  <c r="E194" i="8"/>
  <c r="E193" i="8"/>
  <c r="E192" i="8"/>
  <c r="E191" i="8"/>
  <c r="E190" i="8"/>
  <c r="E189" i="8"/>
  <c r="E188" i="8"/>
  <c r="E187" i="8"/>
  <c r="E186" i="8"/>
  <c r="E185" i="8"/>
  <c r="E184" i="8"/>
  <c r="E183" i="8"/>
  <c r="E182" i="8"/>
  <c r="E181" i="8"/>
  <c r="E180" i="8"/>
  <c r="E179" i="8"/>
  <c r="E178" i="8"/>
  <c r="E177" i="8"/>
  <c r="E176" i="8"/>
  <c r="E175" i="8"/>
  <c r="E174" i="8"/>
  <c r="E173" i="8"/>
  <c r="E172" i="8"/>
  <c r="E171" i="8"/>
  <c r="E170" i="8"/>
  <c r="E169" i="8"/>
  <c r="E168" i="8"/>
  <c r="E167" i="8"/>
  <c r="E166" i="8"/>
  <c r="E165" i="8"/>
  <c r="E164" i="8"/>
  <c r="E163" i="8"/>
  <c r="E162" i="8"/>
  <c r="E161" i="8"/>
  <c r="E160" i="8"/>
  <c r="E159" i="8"/>
  <c r="E158" i="8"/>
  <c r="E157" i="8"/>
  <c r="E156" i="8"/>
  <c r="E155" i="8"/>
  <c r="E154" i="8"/>
  <c r="E153" i="8"/>
  <c r="E152" i="8"/>
  <c r="E151" i="8"/>
  <c r="E150" i="8"/>
  <c r="E149" i="8"/>
  <c r="E148" i="8"/>
  <c r="E147" i="8"/>
  <c r="E146" i="8"/>
  <c r="E145" i="8"/>
  <c r="E144" i="8"/>
  <c r="E143" i="8"/>
  <c r="E142" i="8"/>
  <c r="E141" i="8"/>
  <c r="E140" i="8"/>
  <c r="E139" i="8"/>
  <c r="E138" i="8"/>
  <c r="E137" i="8"/>
  <c r="E136" i="8"/>
  <c r="E135" i="8"/>
  <c r="E134" i="8"/>
  <c r="E133" i="8"/>
  <c r="E132" i="8"/>
  <c r="E131" i="8"/>
  <c r="E130" i="8"/>
  <c r="E129" i="8"/>
  <c r="E128" i="8"/>
  <c r="E127" i="8"/>
  <c r="E126" i="8"/>
  <c r="E125" i="8"/>
  <c r="E124" i="8"/>
  <c r="E123" i="8"/>
  <c r="E122" i="8"/>
  <c r="E121" i="8"/>
  <c r="E120" i="8"/>
  <c r="E119" i="8"/>
  <c r="E118" i="8"/>
  <c r="E117" i="8"/>
  <c r="E116" i="8"/>
  <c r="E115" i="8"/>
  <c r="E114" i="8"/>
  <c r="E113" i="8"/>
  <c r="E112" i="8"/>
  <c r="E111" i="8"/>
  <c r="E110" i="8"/>
  <c r="E109" i="8"/>
  <c r="E108" i="8"/>
  <c r="E107" i="8"/>
  <c r="E106" i="8"/>
  <c r="E105" i="8"/>
  <c r="E104" i="8"/>
  <c r="E103" i="8"/>
  <c r="E102" i="8"/>
  <c r="E101" i="8"/>
  <c r="E100" i="8"/>
  <c r="E99" i="8"/>
  <c r="E98" i="8"/>
  <c r="E97" i="8"/>
  <c r="E96" i="8"/>
  <c r="E95" i="8"/>
  <c r="E94" i="8"/>
  <c r="E93" i="8"/>
  <c r="E92" i="8"/>
  <c r="E91" i="8"/>
  <c r="E90" i="8"/>
  <c r="E89" i="8"/>
  <c r="E88" i="8"/>
  <c r="E87" i="8"/>
  <c r="E86" i="8"/>
  <c r="E85" i="8"/>
  <c r="E84" i="8"/>
  <c r="E83" i="8"/>
  <c r="E82" i="8"/>
  <c r="E81" i="8"/>
  <c r="E80" i="8"/>
  <c r="E79" i="8"/>
  <c r="E78" i="8"/>
  <c r="E77" i="8"/>
  <c r="E76" i="8"/>
  <c r="E75" i="8"/>
  <c r="E74" i="8"/>
  <c r="E73" i="8"/>
  <c r="E72" i="8"/>
  <c r="E71" i="8"/>
  <c r="E70" i="8"/>
  <c r="E69" i="8"/>
  <c r="E68" i="8"/>
  <c r="E67" i="8"/>
  <c r="E66" i="8"/>
  <c r="E65" i="8"/>
  <c r="E64" i="8"/>
  <c r="E63" i="8"/>
  <c r="E62" i="8"/>
  <c r="E61" i="8"/>
  <c r="E60" i="8"/>
  <c r="E59" i="8"/>
  <c r="E58" i="8"/>
  <c r="E57" i="8"/>
  <c r="E56" i="8"/>
  <c r="E55" i="8"/>
  <c r="E54" i="8"/>
  <c r="E53" i="8"/>
  <c r="E52" i="8"/>
  <c r="E51" i="8"/>
  <c r="E50" i="8"/>
  <c r="E49" i="8"/>
  <c r="E48" i="8"/>
  <c r="E47" i="8"/>
  <c r="E46" i="8"/>
  <c r="E1645" i="7"/>
  <c r="E1644" i="7"/>
  <c r="E1643" i="7"/>
  <c r="E1642" i="7"/>
  <c r="E1641" i="7"/>
  <c r="E1640" i="7"/>
  <c r="E1639" i="7"/>
  <c r="E1638" i="7"/>
  <c r="E1637" i="7"/>
  <c r="E1636" i="7"/>
  <c r="E1635" i="7"/>
  <c r="E1634" i="7"/>
  <c r="E1633" i="7"/>
  <c r="E1632" i="7"/>
  <c r="E1631" i="7"/>
  <c r="E1630" i="7"/>
  <c r="E1629" i="7"/>
  <c r="E1628" i="7"/>
  <c r="E1627" i="7"/>
  <c r="E1626" i="7"/>
  <c r="E1625" i="7"/>
  <c r="E1624" i="7"/>
  <c r="E1623" i="7"/>
  <c r="E1622" i="7"/>
  <c r="E1621" i="7"/>
  <c r="E1620" i="7"/>
  <c r="E1619" i="7"/>
  <c r="E1618" i="7"/>
  <c r="E1617" i="7"/>
  <c r="E1616" i="7"/>
  <c r="E1615" i="7"/>
  <c r="E1614" i="7"/>
  <c r="E1613" i="7"/>
  <c r="E1612" i="7"/>
  <c r="E1611" i="7"/>
  <c r="E1610" i="7"/>
  <c r="E1609" i="7"/>
  <c r="E1608" i="7"/>
  <c r="E1607" i="7"/>
  <c r="E1606" i="7"/>
  <c r="E1605" i="7"/>
  <c r="E1604" i="7"/>
  <c r="E1603" i="7"/>
  <c r="E1602" i="7"/>
  <c r="E1601" i="7"/>
  <c r="E1600" i="7"/>
  <c r="E1599" i="7"/>
  <c r="E1598" i="7"/>
  <c r="E1597" i="7"/>
  <c r="E1596" i="7"/>
  <c r="E1595" i="7"/>
  <c r="E1594" i="7"/>
  <c r="E1593" i="7"/>
  <c r="E1592" i="7"/>
  <c r="E1591" i="7"/>
  <c r="E1590" i="7"/>
  <c r="E1589" i="7"/>
  <c r="E1588" i="7"/>
  <c r="E1587" i="7"/>
  <c r="E1586" i="7"/>
  <c r="E1585" i="7"/>
  <c r="E1584" i="7"/>
  <c r="E1583" i="7"/>
  <c r="E1582" i="7"/>
  <c r="E1581" i="7"/>
  <c r="E1580" i="7"/>
  <c r="E1579" i="7"/>
  <c r="E1578" i="7"/>
  <c r="E1577" i="7"/>
  <c r="E1576" i="7"/>
  <c r="E1575" i="7"/>
  <c r="E1574" i="7"/>
  <c r="E1573" i="7"/>
  <c r="E1572" i="7"/>
  <c r="E1571" i="7"/>
  <c r="E1570" i="7"/>
  <c r="E1569" i="7"/>
  <c r="E1568" i="7"/>
  <c r="E1567" i="7"/>
  <c r="E1566" i="7"/>
  <c r="E1565" i="7"/>
  <c r="E1564" i="7"/>
  <c r="E1563" i="7"/>
  <c r="E1562" i="7"/>
  <c r="E1561" i="7"/>
  <c r="E1560" i="7"/>
  <c r="E1559" i="7"/>
  <c r="E1558" i="7"/>
  <c r="E1557" i="7"/>
  <c r="E1556" i="7"/>
  <c r="E1555" i="7"/>
  <c r="E1554" i="7"/>
  <c r="E1553" i="7"/>
  <c r="E1552" i="7"/>
  <c r="E1551" i="7"/>
  <c r="E1550" i="7"/>
  <c r="E1549" i="7"/>
  <c r="E1548" i="7"/>
  <c r="E1547" i="7"/>
  <c r="E1546" i="7"/>
  <c r="E1545" i="7"/>
  <c r="E1544" i="7"/>
  <c r="E1543" i="7"/>
  <c r="E1542" i="7"/>
  <c r="E1541" i="7"/>
  <c r="E1540" i="7"/>
  <c r="E1539" i="7"/>
  <c r="E1538" i="7"/>
  <c r="E1537" i="7"/>
  <c r="E1536" i="7"/>
  <c r="E1535" i="7"/>
  <c r="E1534" i="7"/>
  <c r="E1533" i="7"/>
  <c r="E1532" i="7"/>
  <c r="E1531" i="7"/>
  <c r="E1530" i="7"/>
  <c r="E1529" i="7"/>
  <c r="E1528" i="7"/>
  <c r="E1527" i="7"/>
  <c r="E1526" i="7"/>
  <c r="E1525" i="7"/>
  <c r="E1524" i="7"/>
  <c r="E1523" i="7"/>
  <c r="E1522" i="7"/>
  <c r="E1521" i="7"/>
  <c r="E1520" i="7"/>
  <c r="E1519" i="7"/>
  <c r="E1518" i="7"/>
  <c r="E1517" i="7"/>
  <c r="E1516" i="7"/>
  <c r="E1515" i="7"/>
  <c r="E1514" i="7"/>
  <c r="E1513" i="7"/>
  <c r="E1512" i="7"/>
  <c r="E1511" i="7"/>
  <c r="E1510" i="7"/>
  <c r="E1509" i="7"/>
  <c r="E1508" i="7"/>
  <c r="E1507" i="7"/>
  <c r="E1506" i="7"/>
  <c r="E1505" i="7"/>
  <c r="E1504" i="7"/>
  <c r="E1503" i="7"/>
  <c r="E1502" i="7"/>
  <c r="E1501" i="7"/>
  <c r="E1500" i="7"/>
  <c r="E1499" i="7"/>
  <c r="E1498" i="7"/>
  <c r="E1497" i="7"/>
  <c r="E1496" i="7"/>
  <c r="E1495" i="7"/>
  <c r="E1494" i="7"/>
  <c r="E1493" i="7"/>
  <c r="E1492" i="7"/>
  <c r="E1491" i="7"/>
  <c r="E1490" i="7"/>
  <c r="E1489" i="7"/>
  <c r="E1488" i="7"/>
  <c r="E1487" i="7"/>
  <c r="E1486" i="7"/>
  <c r="E1485" i="7"/>
  <c r="E1484" i="7"/>
  <c r="E1483" i="7"/>
  <c r="E1482" i="7"/>
  <c r="E1481" i="7"/>
  <c r="E1480" i="7"/>
  <c r="E1479" i="7"/>
  <c r="E1478" i="7"/>
  <c r="E1477" i="7"/>
  <c r="E1476" i="7"/>
  <c r="E1475" i="7"/>
  <c r="E1474" i="7"/>
  <c r="E1473" i="7"/>
  <c r="E1472" i="7"/>
  <c r="E1471" i="7"/>
  <c r="E1470" i="7"/>
  <c r="E1469" i="7"/>
  <c r="E1468" i="7"/>
  <c r="E1467" i="7"/>
  <c r="E1466" i="7"/>
  <c r="E1465" i="7"/>
  <c r="E1464" i="7"/>
  <c r="E1463" i="7"/>
  <c r="E1462" i="7"/>
  <c r="E1461" i="7"/>
  <c r="E1460" i="7"/>
  <c r="E1459" i="7"/>
  <c r="E1458" i="7"/>
  <c r="E1457" i="7"/>
  <c r="E1456" i="7"/>
  <c r="E1455" i="7"/>
  <c r="E1454" i="7"/>
  <c r="E1453" i="7"/>
  <c r="E1452" i="7"/>
  <c r="E1451" i="7"/>
  <c r="E1450" i="7"/>
  <c r="E1449" i="7"/>
  <c r="E1448" i="7"/>
  <c r="E1447" i="7"/>
  <c r="E1446" i="7"/>
  <c r="E1445" i="7"/>
  <c r="E1444" i="7"/>
  <c r="E1443" i="7"/>
  <c r="E1442" i="7"/>
  <c r="E1441" i="7"/>
  <c r="E1440" i="7"/>
  <c r="E1439" i="7"/>
  <c r="E1438" i="7"/>
  <c r="E1437" i="7"/>
  <c r="E1436" i="7"/>
  <c r="E1435" i="7"/>
  <c r="E1434" i="7"/>
  <c r="E1433" i="7"/>
  <c r="E1432" i="7"/>
  <c r="E1431" i="7"/>
  <c r="E1430" i="7"/>
  <c r="E1429" i="7"/>
  <c r="E1428" i="7"/>
  <c r="E1427" i="7"/>
  <c r="E1426" i="7"/>
  <c r="E1425" i="7"/>
  <c r="E1424" i="7"/>
  <c r="E1423" i="7"/>
  <c r="E1422" i="7"/>
  <c r="E1421" i="7"/>
  <c r="E1420" i="7"/>
  <c r="E1419" i="7"/>
  <c r="E1418" i="7"/>
  <c r="E1417" i="7"/>
  <c r="E1416" i="7"/>
  <c r="E1415" i="7"/>
  <c r="E1414" i="7"/>
  <c r="E1413" i="7"/>
  <c r="E1412" i="7"/>
  <c r="E1411" i="7"/>
  <c r="E1410" i="7"/>
  <c r="E1409" i="7"/>
  <c r="E1408" i="7"/>
  <c r="E1407" i="7"/>
  <c r="E1406" i="7"/>
  <c r="E1405" i="7"/>
  <c r="E1404" i="7"/>
  <c r="E1403" i="7"/>
  <c r="E1402" i="7"/>
  <c r="E1401" i="7"/>
  <c r="E1400" i="7"/>
  <c r="E1399" i="7"/>
  <c r="E1398" i="7"/>
  <c r="E1397" i="7"/>
  <c r="E1396" i="7"/>
  <c r="E1395" i="7"/>
  <c r="E1394" i="7"/>
  <c r="E1393" i="7"/>
  <c r="E1392" i="7"/>
  <c r="E1391" i="7"/>
  <c r="E1390" i="7"/>
  <c r="E1389" i="7"/>
  <c r="E1388" i="7"/>
  <c r="E1387" i="7"/>
  <c r="E1386" i="7"/>
  <c r="E1385" i="7"/>
  <c r="E1384" i="7"/>
  <c r="E1383" i="7"/>
  <c r="E1382" i="7"/>
  <c r="E1381" i="7"/>
  <c r="E1380" i="7"/>
  <c r="E1379" i="7"/>
  <c r="E1378" i="7"/>
  <c r="E1377" i="7"/>
  <c r="E1376" i="7"/>
  <c r="E1375" i="7"/>
  <c r="E1374" i="7"/>
  <c r="E1373" i="7"/>
  <c r="E1372" i="7"/>
  <c r="E1371" i="7"/>
  <c r="E1370" i="7"/>
  <c r="E1369" i="7"/>
  <c r="E1368" i="7"/>
  <c r="E1367" i="7"/>
  <c r="E1366" i="7"/>
  <c r="E1365" i="7"/>
  <c r="E1364" i="7"/>
  <c r="E1363" i="7"/>
  <c r="E1362" i="7"/>
  <c r="E1361" i="7"/>
  <c r="E1360" i="7"/>
  <c r="E1359" i="7"/>
  <c r="E1358" i="7"/>
  <c r="E1357" i="7"/>
  <c r="E1356" i="7"/>
  <c r="E1355" i="7"/>
  <c r="E1354" i="7"/>
  <c r="E1353" i="7"/>
  <c r="E1352" i="7"/>
  <c r="E1351" i="7"/>
  <c r="E1350" i="7"/>
  <c r="E1349" i="7"/>
  <c r="E1348" i="7"/>
  <c r="E1347" i="7"/>
  <c r="E1346" i="7"/>
  <c r="E1345" i="7"/>
  <c r="E1344" i="7"/>
  <c r="E1343" i="7"/>
  <c r="E1342" i="7"/>
  <c r="E1341" i="7"/>
  <c r="E1340" i="7"/>
  <c r="E1339" i="7"/>
  <c r="E1338" i="7"/>
  <c r="E1337" i="7"/>
  <c r="E1336" i="7"/>
  <c r="E1335" i="7"/>
  <c r="E1334" i="7"/>
  <c r="E1333" i="7"/>
  <c r="E1332" i="7"/>
  <c r="E1331" i="7"/>
  <c r="E1330" i="7"/>
  <c r="E1329" i="7"/>
  <c r="E1328" i="7"/>
  <c r="E1327" i="7"/>
  <c r="E1326" i="7"/>
  <c r="E1325" i="7"/>
  <c r="E1324" i="7"/>
  <c r="E1323" i="7"/>
  <c r="E1322" i="7"/>
  <c r="E1321" i="7"/>
  <c r="E1320" i="7"/>
  <c r="E1319" i="7"/>
  <c r="E1318" i="7"/>
  <c r="E1317" i="7"/>
  <c r="E1316" i="7"/>
  <c r="E1315" i="7"/>
  <c r="E1314" i="7"/>
  <c r="E1313" i="7"/>
  <c r="E1312" i="7"/>
  <c r="E1311" i="7"/>
  <c r="E1310" i="7"/>
  <c r="E1309" i="7"/>
  <c r="E1308" i="7"/>
  <c r="E1307" i="7"/>
  <c r="E1306" i="7"/>
  <c r="E1305" i="7"/>
  <c r="E1304" i="7"/>
  <c r="E1303" i="7"/>
  <c r="E1302" i="7"/>
  <c r="E1301" i="7"/>
  <c r="E1300" i="7"/>
  <c r="E1299" i="7"/>
  <c r="E1298" i="7"/>
  <c r="E1297" i="7"/>
  <c r="E1296" i="7"/>
  <c r="E1295" i="7"/>
  <c r="E1294" i="7"/>
  <c r="E1293" i="7"/>
  <c r="E1292" i="7"/>
  <c r="E1291" i="7"/>
  <c r="E1290" i="7"/>
  <c r="E1289" i="7"/>
  <c r="E1288" i="7"/>
  <c r="E1287" i="7"/>
  <c r="E1286" i="7"/>
  <c r="E1285" i="7"/>
  <c r="E1284" i="7"/>
  <c r="E1283" i="7"/>
  <c r="E1282" i="7"/>
  <c r="E1281" i="7"/>
  <c r="E1280" i="7"/>
  <c r="E1279" i="7"/>
  <c r="E1278" i="7"/>
  <c r="E1277" i="7"/>
  <c r="E1276" i="7"/>
  <c r="E1275" i="7"/>
  <c r="E1274" i="7"/>
  <c r="E1273" i="7"/>
  <c r="E1272" i="7"/>
  <c r="E1271" i="7"/>
  <c r="E1270" i="7"/>
  <c r="E1269" i="7"/>
  <c r="E1268" i="7"/>
  <c r="E1267" i="7"/>
  <c r="E1266" i="7"/>
  <c r="E1265" i="7"/>
  <c r="E1264" i="7"/>
  <c r="E1263" i="7"/>
  <c r="E1262" i="7"/>
  <c r="E1261" i="7"/>
  <c r="E1260" i="7"/>
  <c r="E1259" i="7"/>
  <c r="E1258" i="7"/>
  <c r="E1257" i="7"/>
  <c r="E1256" i="7"/>
  <c r="E1255" i="7"/>
  <c r="E1254" i="7"/>
  <c r="E1253" i="7"/>
  <c r="E1252" i="7"/>
  <c r="E1251" i="7"/>
  <c r="E1250" i="7"/>
  <c r="E1249" i="7"/>
  <c r="E1248" i="7"/>
  <c r="E1247" i="7"/>
  <c r="E1246" i="7"/>
  <c r="E1245" i="7"/>
  <c r="E1244" i="7"/>
  <c r="E1243" i="7"/>
  <c r="E1242" i="7"/>
  <c r="E1241" i="7"/>
  <c r="E1240" i="7"/>
  <c r="E1239" i="7"/>
  <c r="E1238" i="7"/>
  <c r="E1237" i="7"/>
  <c r="E1236" i="7"/>
  <c r="E1235" i="7"/>
  <c r="E1234" i="7"/>
  <c r="E1233" i="7"/>
  <c r="E1232" i="7"/>
  <c r="E1231" i="7"/>
  <c r="E1230" i="7"/>
  <c r="E1229" i="7"/>
  <c r="E1228" i="7"/>
  <c r="E1227" i="7"/>
  <c r="E1226" i="7"/>
  <c r="E1225" i="7"/>
  <c r="E1224" i="7"/>
  <c r="E1223" i="7"/>
  <c r="E1222" i="7"/>
  <c r="E1221" i="7"/>
  <c r="E1220" i="7"/>
  <c r="E1219" i="7"/>
  <c r="E1218" i="7"/>
  <c r="E1217" i="7"/>
  <c r="E1216" i="7"/>
  <c r="E1215" i="7"/>
  <c r="E1214" i="7"/>
  <c r="E1213" i="7"/>
  <c r="E1212" i="7"/>
  <c r="E1211" i="7"/>
  <c r="E1210" i="7"/>
  <c r="E1209" i="7"/>
  <c r="E1208" i="7"/>
  <c r="E1207" i="7"/>
  <c r="E1206" i="7"/>
  <c r="E1205" i="7"/>
  <c r="E1204" i="7"/>
  <c r="E1203" i="7"/>
  <c r="E1202" i="7"/>
  <c r="E1201" i="7"/>
  <c r="E1200" i="7"/>
  <c r="E1199" i="7"/>
  <c r="E1198" i="7"/>
  <c r="E1197" i="7"/>
  <c r="E1196" i="7"/>
  <c r="E1195" i="7"/>
  <c r="E1194" i="7"/>
  <c r="E1193" i="7"/>
  <c r="E1192" i="7"/>
  <c r="E1191" i="7"/>
  <c r="E1190" i="7"/>
  <c r="E1189" i="7"/>
  <c r="E1188" i="7"/>
  <c r="E1187" i="7"/>
  <c r="E1186" i="7"/>
  <c r="E1185" i="7"/>
  <c r="E1184" i="7"/>
  <c r="E1183" i="7"/>
  <c r="E1182" i="7"/>
  <c r="E1181" i="7"/>
  <c r="E1180" i="7"/>
  <c r="E1179" i="7"/>
  <c r="E1178" i="7"/>
  <c r="E1177" i="7"/>
  <c r="E1176" i="7"/>
  <c r="E1175" i="7"/>
  <c r="E1174" i="7"/>
  <c r="E1173" i="7"/>
  <c r="E1172" i="7"/>
  <c r="E1171" i="7"/>
  <c r="E1170" i="7"/>
  <c r="E1169" i="7"/>
  <c r="E1168" i="7"/>
  <c r="E1167" i="7"/>
  <c r="E1166" i="7"/>
  <c r="E1165" i="7"/>
  <c r="E1164" i="7"/>
  <c r="E1163" i="7"/>
  <c r="E1162" i="7"/>
  <c r="E1161" i="7"/>
  <c r="E1160" i="7"/>
  <c r="E1159" i="7"/>
  <c r="E1158" i="7"/>
  <c r="E1157" i="7"/>
  <c r="E1156" i="7"/>
  <c r="E1155" i="7"/>
  <c r="E1154" i="7"/>
  <c r="E1153" i="7"/>
  <c r="E1152" i="7"/>
  <c r="E1151" i="7"/>
  <c r="E1150" i="7"/>
  <c r="E1149" i="7"/>
  <c r="E1148" i="7"/>
  <c r="E1147" i="7"/>
  <c r="E1146" i="7"/>
  <c r="E1145" i="7"/>
  <c r="E1144" i="7"/>
  <c r="E1143" i="7"/>
  <c r="E1142" i="7"/>
  <c r="E1141" i="7"/>
  <c r="E1140" i="7"/>
  <c r="E1139" i="7"/>
  <c r="E1138" i="7"/>
  <c r="E1137" i="7"/>
  <c r="E1136" i="7"/>
  <c r="E1135" i="7"/>
  <c r="E1134" i="7"/>
  <c r="E1133" i="7"/>
  <c r="E1132" i="7"/>
  <c r="E1131" i="7"/>
  <c r="E1130" i="7"/>
  <c r="E1129" i="7"/>
  <c r="E1128" i="7"/>
  <c r="E1127" i="7"/>
  <c r="E1126" i="7"/>
  <c r="E1125" i="7"/>
  <c r="E1124" i="7"/>
  <c r="E1123" i="7"/>
  <c r="E1122" i="7"/>
  <c r="E1121" i="7"/>
  <c r="E1120" i="7"/>
  <c r="E1119" i="7"/>
  <c r="E1118" i="7"/>
  <c r="E1117" i="7"/>
  <c r="E1116" i="7"/>
  <c r="E1115" i="7"/>
  <c r="E1114" i="7"/>
  <c r="E1113" i="7"/>
  <c r="E1112" i="7"/>
  <c r="E1111" i="7"/>
  <c r="E1110" i="7"/>
  <c r="E1109" i="7"/>
  <c r="E1108" i="7"/>
  <c r="E1107" i="7"/>
  <c r="E1106" i="7"/>
  <c r="E1105" i="7"/>
  <c r="E1104" i="7"/>
  <c r="E1103" i="7"/>
  <c r="E1102" i="7"/>
  <c r="E1101" i="7"/>
  <c r="E1100" i="7"/>
  <c r="E1099" i="7"/>
  <c r="E1098" i="7"/>
  <c r="E1097" i="7"/>
  <c r="E1096" i="7"/>
  <c r="E1095" i="7"/>
  <c r="E1094" i="7"/>
  <c r="E1093" i="7"/>
  <c r="E1092" i="7"/>
  <c r="E1091" i="7"/>
  <c r="E1090" i="7"/>
  <c r="E1089" i="7"/>
  <c r="E1088" i="7"/>
  <c r="E1087" i="7"/>
  <c r="E1086" i="7"/>
  <c r="E1085" i="7"/>
  <c r="E1084" i="7"/>
  <c r="E1083" i="7"/>
  <c r="E1082" i="7"/>
  <c r="E1081" i="7"/>
  <c r="E1080" i="7"/>
  <c r="E1079" i="7"/>
  <c r="E1078" i="7"/>
  <c r="E1077" i="7"/>
  <c r="E1076" i="7"/>
  <c r="E1075" i="7"/>
  <c r="E1074" i="7"/>
  <c r="E1073" i="7"/>
  <c r="E1072" i="7"/>
  <c r="E1071" i="7"/>
  <c r="E1070" i="7"/>
  <c r="E1069" i="7"/>
  <c r="E1068" i="7"/>
  <c r="E1067" i="7"/>
  <c r="E1066" i="7"/>
  <c r="E1065" i="7"/>
  <c r="E1064" i="7"/>
  <c r="E1063" i="7"/>
  <c r="E1062" i="7"/>
  <c r="E1061" i="7"/>
  <c r="E1060" i="7"/>
  <c r="E1059" i="7"/>
  <c r="E1058" i="7"/>
  <c r="E1057" i="7"/>
  <c r="E1056" i="7"/>
  <c r="E1055" i="7"/>
  <c r="E1054" i="7"/>
  <c r="E1053" i="7"/>
  <c r="E1052" i="7"/>
  <c r="E1051" i="7"/>
  <c r="E1050" i="7"/>
  <c r="E1049" i="7"/>
  <c r="E1048" i="7"/>
  <c r="E1047" i="7"/>
  <c r="E1046" i="7"/>
  <c r="E1045" i="7"/>
  <c r="E1044" i="7"/>
  <c r="E1043" i="7"/>
  <c r="E1042" i="7"/>
  <c r="E1041" i="7"/>
  <c r="E1040" i="7"/>
  <c r="E1039" i="7"/>
  <c r="E1038" i="7"/>
  <c r="E1037" i="7"/>
  <c r="E1036" i="7"/>
  <c r="E1035" i="7"/>
  <c r="E1034" i="7"/>
  <c r="E1033" i="7"/>
  <c r="E1032" i="7"/>
  <c r="E1031" i="7"/>
  <c r="E1030" i="7"/>
  <c r="E1029" i="7"/>
  <c r="E1028" i="7"/>
  <c r="E1027" i="7"/>
  <c r="E1026" i="7"/>
  <c r="E1025" i="7"/>
  <c r="E1024" i="7"/>
  <c r="E1023" i="7"/>
  <c r="E1022" i="7"/>
  <c r="E1021" i="7"/>
  <c r="E1020" i="7"/>
  <c r="E1019" i="7"/>
  <c r="E1018" i="7"/>
  <c r="E1017" i="7"/>
  <c r="E1016" i="7"/>
  <c r="E1015" i="7"/>
  <c r="E1014" i="7"/>
  <c r="E1013" i="7"/>
  <c r="E1012" i="7"/>
  <c r="E1011" i="7"/>
  <c r="E1010" i="7"/>
  <c r="E1009" i="7"/>
  <c r="E1008" i="7"/>
  <c r="E1007" i="7"/>
  <c r="E1006" i="7"/>
  <c r="E1005" i="7"/>
  <c r="E1004" i="7"/>
  <c r="E1003" i="7"/>
  <c r="E1002" i="7"/>
  <c r="E1001" i="7"/>
  <c r="E1000" i="7"/>
  <c r="E999" i="7"/>
  <c r="E998" i="7"/>
  <c r="E997" i="7"/>
  <c r="E996" i="7"/>
  <c r="E995" i="7"/>
  <c r="E994" i="7"/>
  <c r="E993" i="7"/>
  <c r="E992" i="7"/>
  <c r="E991" i="7"/>
  <c r="E990" i="7"/>
  <c r="E989" i="7"/>
  <c r="E988" i="7"/>
  <c r="E987" i="7"/>
  <c r="E986" i="7"/>
  <c r="E985" i="7"/>
  <c r="E984" i="7"/>
  <c r="E983" i="7"/>
  <c r="E982" i="7"/>
  <c r="E981" i="7"/>
  <c r="E980" i="7"/>
  <c r="E979" i="7"/>
  <c r="E978" i="7"/>
  <c r="E977" i="7"/>
  <c r="E976" i="7"/>
  <c r="E975" i="7"/>
  <c r="E974" i="7"/>
  <c r="E973" i="7"/>
  <c r="E972" i="7"/>
  <c r="E971" i="7"/>
  <c r="E970" i="7"/>
  <c r="E969" i="7"/>
  <c r="E968" i="7"/>
  <c r="E967" i="7"/>
  <c r="E966" i="7"/>
  <c r="E965" i="7"/>
  <c r="E964" i="7"/>
  <c r="E963" i="7"/>
  <c r="E962" i="7"/>
  <c r="E961" i="7"/>
  <c r="E960" i="7"/>
  <c r="E959" i="7"/>
  <c r="E958" i="7"/>
  <c r="E957" i="7"/>
  <c r="E956" i="7"/>
  <c r="E955" i="7"/>
  <c r="E954" i="7"/>
  <c r="E953" i="7"/>
  <c r="E952" i="7"/>
  <c r="E951" i="7"/>
  <c r="E950" i="7"/>
  <c r="E949" i="7"/>
  <c r="E948" i="7"/>
  <c r="E947" i="7"/>
  <c r="E946" i="7"/>
  <c r="E945" i="7"/>
  <c r="E944" i="7"/>
  <c r="E943" i="7"/>
  <c r="E942" i="7"/>
  <c r="E941" i="7"/>
  <c r="E940" i="7"/>
  <c r="E939" i="7"/>
  <c r="E938" i="7"/>
  <c r="E937" i="7"/>
  <c r="E936" i="7"/>
  <c r="E935" i="7"/>
  <c r="E934" i="7"/>
  <c r="E933" i="7"/>
  <c r="E932" i="7"/>
  <c r="E931" i="7"/>
  <c r="E930" i="7"/>
  <c r="E929" i="7"/>
  <c r="E928" i="7"/>
  <c r="E927" i="7"/>
  <c r="E926" i="7"/>
  <c r="E925" i="7"/>
  <c r="E924" i="7"/>
  <c r="E923" i="7"/>
  <c r="E922" i="7"/>
  <c r="E921" i="7"/>
  <c r="E920" i="7"/>
  <c r="E919" i="7"/>
  <c r="E918" i="7"/>
  <c r="E917" i="7"/>
  <c r="E916" i="7"/>
  <c r="E915" i="7"/>
  <c r="E914" i="7"/>
  <c r="E913" i="7"/>
  <c r="E912" i="7"/>
  <c r="E911" i="7"/>
  <c r="E910" i="7"/>
  <c r="E909" i="7"/>
  <c r="E908" i="7"/>
  <c r="E907" i="7"/>
  <c r="E906" i="7"/>
  <c r="E905" i="7"/>
  <c r="E904" i="7"/>
  <c r="E903" i="7"/>
  <c r="E902" i="7"/>
  <c r="E901" i="7"/>
  <c r="E900" i="7"/>
  <c r="E899" i="7"/>
  <c r="E898" i="7"/>
  <c r="E897" i="7"/>
  <c r="E896" i="7"/>
  <c r="E895" i="7"/>
  <c r="E894" i="7"/>
  <c r="E893" i="7"/>
  <c r="E892" i="7"/>
  <c r="E891" i="7"/>
  <c r="E890" i="7"/>
  <c r="E889" i="7"/>
  <c r="E888" i="7"/>
  <c r="E887" i="7"/>
  <c r="E886" i="7"/>
  <c r="E885" i="7"/>
  <c r="E884" i="7"/>
  <c r="E883" i="7"/>
  <c r="E882" i="7"/>
  <c r="E881" i="7"/>
  <c r="E880" i="7"/>
  <c r="E879" i="7"/>
  <c r="E878" i="7"/>
  <c r="E877" i="7"/>
  <c r="E876" i="7"/>
  <c r="E875" i="7"/>
  <c r="E874" i="7"/>
  <c r="E873" i="7"/>
  <c r="E872" i="7"/>
  <c r="E871" i="7"/>
  <c r="E870" i="7"/>
  <c r="E869" i="7"/>
  <c r="E868" i="7"/>
  <c r="E867" i="7"/>
  <c r="E866" i="7"/>
  <c r="E865" i="7"/>
  <c r="E864" i="7"/>
  <c r="E863" i="7"/>
  <c r="E862" i="7"/>
  <c r="E861" i="7"/>
  <c r="E860" i="7"/>
  <c r="E859" i="7"/>
  <c r="E858" i="7"/>
  <c r="E857" i="7"/>
  <c r="E856" i="7"/>
  <c r="E855" i="7"/>
  <c r="E854" i="7"/>
  <c r="E853" i="7"/>
  <c r="E852" i="7"/>
  <c r="E851" i="7"/>
  <c r="E850" i="7"/>
  <c r="E849" i="7"/>
  <c r="E848" i="7"/>
  <c r="E847" i="7"/>
  <c r="E846" i="7"/>
  <c r="E845" i="7"/>
  <c r="E844" i="7"/>
  <c r="E843" i="7"/>
  <c r="E842" i="7"/>
  <c r="E841" i="7"/>
  <c r="E840" i="7"/>
  <c r="E839" i="7"/>
  <c r="E838" i="7"/>
  <c r="E837" i="7"/>
  <c r="E836" i="7"/>
  <c r="E835" i="7"/>
  <c r="E834" i="7"/>
  <c r="E833" i="7"/>
  <c r="E832" i="7"/>
  <c r="E831" i="7"/>
  <c r="E830" i="7"/>
  <c r="E829" i="7"/>
  <c r="E828" i="7"/>
  <c r="E827" i="7"/>
  <c r="E826" i="7"/>
  <c r="E825" i="7"/>
  <c r="E824" i="7"/>
  <c r="E823" i="7"/>
  <c r="E822" i="7"/>
  <c r="E821" i="7"/>
  <c r="E820" i="7"/>
  <c r="E819" i="7"/>
  <c r="E818" i="7"/>
  <c r="E817" i="7"/>
  <c r="E816" i="7"/>
  <c r="E815" i="7"/>
  <c r="E814" i="7"/>
  <c r="E813" i="7"/>
  <c r="E812" i="7"/>
  <c r="E811" i="7"/>
  <c r="E810" i="7"/>
  <c r="E809" i="7"/>
  <c r="E808" i="7"/>
  <c r="E807" i="7"/>
  <c r="E806" i="7"/>
  <c r="E805" i="7"/>
  <c r="E804" i="7"/>
  <c r="E803" i="7"/>
  <c r="E802" i="7"/>
  <c r="E801" i="7"/>
  <c r="E800" i="7"/>
  <c r="E799" i="7"/>
  <c r="E798" i="7"/>
  <c r="E797" i="7"/>
  <c r="E796" i="7"/>
  <c r="E795" i="7"/>
  <c r="E794" i="7"/>
  <c r="E793" i="7"/>
  <c r="E792" i="7"/>
  <c r="E791" i="7"/>
  <c r="E790" i="7"/>
  <c r="E789" i="7"/>
  <c r="E788" i="7"/>
  <c r="E787" i="7"/>
  <c r="E786" i="7"/>
  <c r="E785" i="7"/>
  <c r="E784" i="7"/>
  <c r="E783" i="7"/>
  <c r="E782" i="7"/>
  <c r="E781" i="7"/>
  <c r="E780" i="7"/>
  <c r="E779" i="7"/>
  <c r="E778" i="7"/>
  <c r="E777" i="7"/>
  <c r="E776" i="7"/>
  <c r="E775" i="7"/>
  <c r="E774" i="7"/>
  <c r="E773" i="7"/>
  <c r="E772" i="7"/>
  <c r="E771" i="7"/>
  <c r="E770" i="7"/>
  <c r="E769" i="7"/>
  <c r="E768" i="7"/>
  <c r="E767" i="7"/>
  <c r="E766" i="7"/>
  <c r="E765" i="7"/>
  <c r="E764" i="7"/>
  <c r="E763" i="7"/>
  <c r="E762" i="7"/>
  <c r="E761" i="7"/>
  <c r="E760" i="7"/>
  <c r="E759" i="7"/>
  <c r="E758" i="7"/>
  <c r="E757" i="7"/>
  <c r="E756" i="7"/>
  <c r="E755" i="7"/>
  <c r="E754" i="7"/>
  <c r="E753" i="7"/>
  <c r="E752" i="7"/>
  <c r="E751" i="7"/>
  <c r="E750" i="7"/>
  <c r="E749" i="7"/>
  <c r="E748" i="7"/>
  <c r="E747" i="7"/>
  <c r="E746" i="7"/>
  <c r="E745" i="7"/>
  <c r="E744" i="7"/>
  <c r="E743" i="7"/>
  <c r="E742" i="7"/>
  <c r="E741" i="7"/>
  <c r="E740" i="7"/>
  <c r="E739" i="7"/>
  <c r="E738" i="7"/>
  <c r="E737" i="7"/>
  <c r="E736" i="7"/>
  <c r="E735" i="7"/>
  <c r="E734" i="7"/>
  <c r="E733" i="7"/>
  <c r="E732" i="7"/>
  <c r="E731" i="7"/>
  <c r="E730" i="7"/>
  <c r="E729" i="7"/>
  <c r="E728" i="7"/>
  <c r="E727" i="7"/>
  <c r="E726" i="7"/>
  <c r="E725" i="7"/>
  <c r="E724" i="7"/>
  <c r="E723" i="7"/>
  <c r="E722" i="7"/>
  <c r="E721" i="7"/>
  <c r="E720" i="7"/>
  <c r="E719" i="7"/>
  <c r="E718" i="7"/>
  <c r="E717" i="7"/>
  <c r="E716" i="7"/>
  <c r="E715" i="7"/>
  <c r="E714" i="7"/>
  <c r="E713" i="7"/>
  <c r="E712" i="7"/>
  <c r="E711" i="7"/>
  <c r="E710" i="7"/>
  <c r="E709" i="7"/>
  <c r="E708" i="7"/>
  <c r="E707" i="7"/>
  <c r="E706" i="7"/>
  <c r="E705" i="7"/>
  <c r="E704" i="7"/>
  <c r="E703" i="7"/>
  <c r="E702" i="7"/>
  <c r="E701" i="7"/>
  <c r="E700" i="7"/>
  <c r="E699" i="7"/>
  <c r="E698" i="7"/>
  <c r="E697" i="7"/>
  <c r="E696" i="7"/>
  <c r="E695" i="7"/>
  <c r="E694" i="7"/>
  <c r="E693" i="7"/>
  <c r="E692" i="7"/>
  <c r="E691" i="7"/>
  <c r="E690" i="7"/>
  <c r="E689" i="7"/>
  <c r="E688" i="7"/>
  <c r="E687" i="7"/>
  <c r="E686" i="7"/>
  <c r="E685" i="7"/>
  <c r="E684" i="7"/>
  <c r="E683" i="7"/>
  <c r="E682" i="7"/>
  <c r="E681" i="7"/>
  <c r="E680" i="7"/>
  <c r="E679" i="7"/>
  <c r="E678" i="7"/>
  <c r="E677" i="7"/>
  <c r="E676" i="7"/>
  <c r="E675" i="7"/>
  <c r="E674" i="7"/>
  <c r="E673" i="7"/>
  <c r="E672" i="7"/>
  <c r="E671" i="7"/>
  <c r="E670" i="7"/>
  <c r="E669" i="7"/>
  <c r="E668" i="7"/>
  <c r="E667" i="7"/>
  <c r="E666" i="7"/>
  <c r="E665" i="7"/>
  <c r="E664" i="7"/>
  <c r="E663" i="7"/>
  <c r="E662" i="7"/>
  <c r="E661" i="7"/>
  <c r="E660" i="7"/>
  <c r="E659" i="7"/>
  <c r="E658" i="7"/>
  <c r="E657" i="7"/>
  <c r="E656" i="7"/>
  <c r="E655" i="7"/>
  <c r="E654" i="7"/>
  <c r="E653" i="7"/>
  <c r="E652" i="7"/>
  <c r="E651" i="7"/>
  <c r="E650" i="7"/>
  <c r="E649" i="7"/>
  <c r="E648" i="7"/>
  <c r="E647" i="7"/>
  <c r="E646" i="7"/>
  <c r="E645" i="7"/>
  <c r="E644" i="7"/>
  <c r="E643" i="7"/>
  <c r="E642" i="7"/>
  <c r="E641" i="7"/>
  <c r="E640" i="7"/>
  <c r="E639" i="7"/>
  <c r="E638" i="7"/>
  <c r="E637" i="7"/>
  <c r="E636" i="7"/>
  <c r="E635" i="7"/>
  <c r="E634" i="7"/>
  <c r="E633" i="7"/>
  <c r="E632" i="7"/>
  <c r="E631" i="7"/>
  <c r="E630" i="7"/>
  <c r="E629" i="7"/>
  <c r="E628" i="7"/>
  <c r="E627" i="7"/>
  <c r="E626" i="7"/>
  <c r="E625" i="7"/>
  <c r="E624" i="7"/>
  <c r="E623" i="7"/>
  <c r="E622" i="7"/>
  <c r="E621" i="7"/>
  <c r="E620" i="7"/>
  <c r="E619" i="7"/>
  <c r="E618" i="7"/>
  <c r="E617" i="7"/>
  <c r="E616" i="7"/>
  <c r="E615" i="7"/>
  <c r="E614" i="7"/>
  <c r="E613" i="7"/>
  <c r="E612" i="7"/>
  <c r="E611" i="7"/>
  <c r="E610" i="7"/>
  <c r="E609" i="7"/>
  <c r="E608" i="7"/>
  <c r="E607" i="7"/>
  <c r="E606" i="7"/>
  <c r="E605" i="7"/>
  <c r="E604" i="7"/>
  <c r="E603" i="7"/>
  <c r="E602" i="7"/>
  <c r="E601" i="7"/>
  <c r="E600" i="7"/>
  <c r="E599" i="7"/>
  <c r="E598" i="7"/>
  <c r="E597" i="7"/>
  <c r="E596" i="7"/>
  <c r="E595" i="7"/>
  <c r="E594" i="7"/>
  <c r="E593" i="7"/>
  <c r="E592" i="7"/>
  <c r="E591" i="7"/>
  <c r="E590" i="7"/>
  <c r="E589" i="7"/>
  <c r="E588" i="7"/>
  <c r="E587" i="7"/>
  <c r="E586" i="7"/>
  <c r="E585" i="7"/>
  <c r="E584" i="7"/>
  <c r="E583" i="7"/>
  <c r="E582" i="7"/>
  <c r="E581" i="7"/>
  <c r="E580" i="7"/>
  <c r="E579" i="7"/>
  <c r="E578" i="7"/>
  <c r="E577" i="7"/>
  <c r="E576" i="7"/>
  <c r="E575" i="7"/>
  <c r="E574" i="7"/>
  <c r="E573" i="7"/>
  <c r="E572" i="7"/>
  <c r="E571" i="7"/>
  <c r="E570" i="7"/>
  <c r="E569" i="7"/>
  <c r="E568" i="7"/>
  <c r="E567" i="7"/>
  <c r="E566" i="7"/>
  <c r="E565" i="7"/>
  <c r="E564" i="7"/>
  <c r="E563" i="7"/>
  <c r="E562" i="7"/>
  <c r="E561" i="7"/>
  <c r="E560" i="7"/>
  <c r="E559" i="7"/>
  <c r="E558" i="7"/>
  <c r="E557" i="7"/>
  <c r="E556" i="7"/>
  <c r="E555" i="7"/>
  <c r="E554" i="7"/>
  <c r="E553" i="7"/>
  <c r="E552" i="7"/>
  <c r="E551" i="7"/>
  <c r="E550" i="7"/>
  <c r="E549" i="7"/>
  <c r="E548" i="7"/>
  <c r="E547" i="7"/>
  <c r="E546" i="7"/>
  <c r="E545" i="7"/>
  <c r="E544" i="7"/>
  <c r="E543" i="7"/>
  <c r="E542" i="7"/>
  <c r="E541" i="7"/>
  <c r="E540" i="7"/>
  <c r="E539" i="7"/>
  <c r="E538" i="7"/>
  <c r="E537" i="7"/>
  <c r="E536" i="7"/>
  <c r="E535" i="7"/>
  <c r="E534" i="7"/>
  <c r="E533" i="7"/>
  <c r="E532" i="7"/>
  <c r="E531" i="7"/>
  <c r="E530" i="7"/>
  <c r="E529" i="7"/>
  <c r="E528" i="7"/>
  <c r="E527" i="7"/>
  <c r="E526" i="7"/>
  <c r="E525" i="7"/>
  <c r="E524" i="7"/>
  <c r="E523" i="7"/>
  <c r="E522" i="7"/>
  <c r="E521" i="7"/>
  <c r="E520" i="7"/>
  <c r="E519" i="7"/>
  <c r="E518" i="7"/>
  <c r="E517" i="7"/>
  <c r="E516" i="7"/>
  <c r="E515" i="7"/>
  <c r="E514" i="7"/>
  <c r="E513" i="7"/>
  <c r="E512" i="7"/>
  <c r="E511" i="7"/>
  <c r="E510" i="7"/>
  <c r="E509" i="7"/>
  <c r="E508" i="7"/>
  <c r="E507" i="7"/>
  <c r="E506" i="7"/>
  <c r="E505" i="7"/>
  <c r="E504" i="7"/>
  <c r="E503" i="7"/>
  <c r="E502" i="7"/>
  <c r="E501" i="7"/>
  <c r="E500" i="7"/>
  <c r="E499" i="7"/>
  <c r="E498" i="7"/>
  <c r="E497" i="7"/>
  <c r="E496" i="7"/>
  <c r="E495" i="7"/>
  <c r="E494" i="7"/>
  <c r="E493" i="7"/>
  <c r="E492" i="7"/>
  <c r="E491" i="7"/>
  <c r="E490" i="7"/>
  <c r="E489" i="7"/>
  <c r="E488" i="7"/>
  <c r="E487" i="7"/>
  <c r="E486" i="7"/>
  <c r="E485" i="7"/>
  <c r="E484" i="7"/>
  <c r="E483" i="7"/>
  <c r="E482" i="7"/>
  <c r="E481" i="7"/>
  <c r="E480" i="7"/>
  <c r="E479" i="7"/>
  <c r="E478" i="7"/>
  <c r="E477" i="7"/>
  <c r="E476" i="7"/>
  <c r="E475" i="7"/>
  <c r="E474" i="7"/>
  <c r="E473" i="7"/>
  <c r="E472" i="7"/>
  <c r="E471" i="7"/>
  <c r="E470" i="7"/>
  <c r="E469" i="7"/>
  <c r="E468" i="7"/>
  <c r="E467" i="7"/>
  <c r="E466" i="7"/>
  <c r="E465" i="7"/>
  <c r="E464" i="7"/>
  <c r="E463" i="7"/>
  <c r="E462" i="7"/>
  <c r="E461" i="7"/>
  <c r="E460" i="7"/>
  <c r="E459" i="7"/>
  <c r="E458" i="7"/>
  <c r="E457" i="7"/>
  <c r="E456" i="7"/>
  <c r="E455" i="7"/>
  <c r="E454" i="7"/>
  <c r="E453" i="7"/>
  <c r="E452" i="7"/>
  <c r="E451" i="7"/>
  <c r="E450" i="7"/>
  <c r="E449" i="7"/>
  <c r="E448" i="7"/>
  <c r="E447" i="7"/>
  <c r="E446" i="7"/>
  <c r="E445" i="7"/>
  <c r="E444" i="7"/>
  <c r="E443" i="7"/>
  <c r="E442" i="7"/>
  <c r="E441" i="7"/>
  <c r="E440" i="7"/>
  <c r="E439" i="7"/>
  <c r="E438" i="7"/>
  <c r="E437" i="7"/>
  <c r="E436" i="7"/>
  <c r="E435" i="7"/>
  <c r="E434" i="7"/>
  <c r="E433" i="7"/>
  <c r="E432" i="7"/>
  <c r="E431" i="7"/>
  <c r="E430" i="7"/>
  <c r="E429" i="7"/>
  <c r="E428" i="7"/>
  <c r="E427" i="7"/>
  <c r="E426" i="7"/>
  <c r="E425" i="7"/>
  <c r="E424" i="7"/>
  <c r="E423" i="7"/>
  <c r="E422" i="7"/>
  <c r="E421" i="7"/>
  <c r="E420" i="7"/>
  <c r="E419" i="7"/>
  <c r="E418" i="7"/>
  <c r="E417" i="7"/>
  <c r="E416" i="7"/>
  <c r="E415" i="7"/>
  <c r="E414" i="7"/>
  <c r="E413" i="7"/>
  <c r="E412" i="7"/>
  <c r="E411" i="7"/>
  <c r="E410" i="7"/>
  <c r="E409" i="7"/>
  <c r="E408" i="7"/>
  <c r="E407" i="7"/>
  <c r="E406" i="7"/>
  <c r="E405" i="7"/>
  <c r="E404" i="7"/>
  <c r="E403" i="7"/>
  <c r="E402" i="7"/>
  <c r="E401" i="7"/>
  <c r="E400" i="7"/>
  <c r="E399" i="7"/>
  <c r="E398" i="7"/>
  <c r="E397" i="7"/>
  <c r="E396" i="7"/>
  <c r="E395" i="7"/>
  <c r="E394" i="7"/>
  <c r="E393" i="7"/>
  <c r="E392" i="7"/>
  <c r="E391" i="7"/>
  <c r="E390" i="7"/>
  <c r="E389" i="7"/>
  <c r="E388" i="7"/>
  <c r="E387" i="7"/>
  <c r="E386" i="7"/>
  <c r="E385" i="7"/>
  <c r="E384" i="7"/>
  <c r="E383" i="7"/>
  <c r="E382" i="7"/>
  <c r="E381" i="7"/>
  <c r="E380" i="7"/>
  <c r="E379" i="7"/>
  <c r="E378" i="7"/>
  <c r="E377" i="7"/>
  <c r="E376" i="7"/>
  <c r="E375" i="7"/>
  <c r="E374" i="7"/>
  <c r="E373" i="7"/>
  <c r="E372" i="7"/>
  <c r="E371" i="7"/>
  <c r="E370" i="7"/>
  <c r="E369" i="7"/>
  <c r="E368" i="7"/>
  <c r="E367" i="7"/>
  <c r="E366" i="7"/>
  <c r="E365" i="7"/>
  <c r="E364" i="7"/>
  <c r="E363" i="7"/>
  <c r="E362" i="7"/>
  <c r="E361" i="7"/>
  <c r="E360" i="7"/>
  <c r="E359" i="7"/>
  <c r="E358" i="7"/>
  <c r="E357" i="7"/>
  <c r="E356" i="7"/>
  <c r="E355" i="7"/>
  <c r="E354" i="7"/>
  <c r="E353" i="7"/>
  <c r="E352" i="7"/>
  <c r="E351" i="7"/>
  <c r="E350" i="7"/>
  <c r="E349" i="7"/>
  <c r="E348" i="7"/>
  <c r="E347" i="7"/>
  <c r="E346" i="7"/>
  <c r="E345" i="7"/>
  <c r="E344" i="7"/>
  <c r="E343" i="7"/>
  <c r="E342" i="7"/>
  <c r="E341" i="7"/>
  <c r="E340" i="7"/>
  <c r="E339" i="7"/>
  <c r="E338" i="7"/>
  <c r="E337" i="7"/>
  <c r="E336" i="7"/>
  <c r="E335" i="7"/>
  <c r="E334" i="7"/>
  <c r="E333" i="7"/>
  <c r="E332" i="7"/>
  <c r="E331" i="7"/>
  <c r="E330" i="7"/>
  <c r="E329" i="7"/>
  <c r="E328" i="7"/>
  <c r="E327" i="7"/>
  <c r="E326" i="7"/>
  <c r="E325" i="7"/>
  <c r="E324" i="7"/>
  <c r="E323" i="7"/>
  <c r="E322" i="7"/>
  <c r="E321" i="7"/>
  <c r="E320" i="7"/>
  <c r="E319" i="7"/>
  <c r="E318" i="7"/>
  <c r="E317" i="7"/>
  <c r="E316" i="7"/>
  <c r="E315" i="7"/>
  <c r="E314" i="7"/>
  <c r="E313" i="7"/>
  <c r="E312" i="7"/>
  <c r="E311" i="7"/>
  <c r="E310" i="7"/>
  <c r="E309" i="7"/>
  <c r="E308" i="7"/>
  <c r="E307" i="7"/>
  <c r="E306" i="7"/>
  <c r="E305" i="7"/>
  <c r="E304" i="7"/>
  <c r="E303" i="7"/>
  <c r="E302" i="7"/>
  <c r="E301" i="7"/>
  <c r="E300" i="7"/>
  <c r="E299" i="7"/>
  <c r="E298" i="7"/>
  <c r="E297" i="7"/>
  <c r="E296" i="7"/>
  <c r="E295" i="7"/>
  <c r="E294" i="7"/>
  <c r="E293" i="7"/>
  <c r="E292" i="7"/>
  <c r="E291" i="7"/>
  <c r="E290" i="7"/>
  <c r="E289" i="7"/>
  <c r="E288" i="7"/>
  <c r="E287" i="7"/>
  <c r="E286" i="7"/>
  <c r="E285" i="7"/>
  <c r="E284" i="7"/>
  <c r="E283" i="7"/>
  <c r="E282" i="7"/>
  <c r="E281" i="7"/>
  <c r="E280" i="7"/>
  <c r="E279" i="7"/>
  <c r="E278" i="7"/>
  <c r="E277" i="7"/>
  <c r="E276" i="7"/>
  <c r="E275" i="7"/>
  <c r="E274" i="7"/>
  <c r="E273" i="7"/>
  <c r="E272" i="7"/>
  <c r="E271" i="7"/>
  <c r="E270" i="7"/>
  <c r="E269" i="7"/>
  <c r="E268" i="7"/>
  <c r="E267" i="7"/>
  <c r="E266" i="7"/>
  <c r="E265" i="7"/>
  <c r="E264" i="7"/>
  <c r="E263" i="7"/>
  <c r="E262" i="7"/>
  <c r="E261" i="7"/>
  <c r="E260" i="7"/>
  <c r="E259" i="7"/>
  <c r="E258" i="7"/>
  <c r="E257" i="7"/>
  <c r="E256" i="7"/>
  <c r="E255" i="7"/>
  <c r="E254" i="7"/>
  <c r="E253" i="7"/>
  <c r="E252" i="7"/>
  <c r="E251" i="7"/>
  <c r="E250" i="7"/>
  <c r="E249" i="7"/>
  <c r="E248" i="7"/>
  <c r="E247" i="7"/>
  <c r="E246" i="7"/>
  <c r="E245" i="7"/>
  <c r="E244" i="7"/>
  <c r="E243" i="7"/>
  <c r="E242" i="7"/>
  <c r="E241" i="7"/>
  <c r="E240" i="7"/>
  <c r="E239" i="7"/>
  <c r="E238" i="7"/>
  <c r="E237" i="7"/>
  <c r="E236" i="7"/>
  <c r="E235" i="7"/>
  <c r="E234" i="7"/>
  <c r="E233" i="7"/>
  <c r="E232" i="7"/>
  <c r="E231" i="7"/>
  <c r="E230" i="7"/>
  <c r="E229" i="7"/>
  <c r="E228" i="7"/>
  <c r="E227" i="7"/>
  <c r="E226" i="7"/>
  <c r="E225" i="7"/>
  <c r="E224" i="7"/>
  <c r="E223" i="7"/>
  <c r="E222" i="7"/>
  <c r="E221" i="7"/>
  <c r="E220" i="7"/>
  <c r="E219" i="7"/>
  <c r="E218" i="7"/>
  <c r="E217" i="7"/>
  <c r="E216" i="7"/>
  <c r="E215" i="7"/>
  <c r="E214" i="7"/>
  <c r="E213" i="7"/>
  <c r="E212" i="7"/>
  <c r="E211" i="7"/>
  <c r="E210" i="7"/>
  <c r="E209" i="7"/>
  <c r="E208" i="7"/>
  <c r="E207" i="7"/>
  <c r="E206" i="7"/>
  <c r="E205" i="7"/>
  <c r="E204" i="7"/>
  <c r="E203" i="7"/>
  <c r="E202" i="7"/>
  <c r="E201" i="7"/>
  <c r="E200" i="7"/>
  <c r="E199" i="7"/>
  <c r="E198" i="7"/>
  <c r="E197" i="7"/>
  <c r="E196" i="7"/>
  <c r="E195" i="7"/>
  <c r="E194" i="7"/>
  <c r="E193" i="7"/>
  <c r="E192" i="7"/>
  <c r="E191" i="7"/>
  <c r="E190" i="7"/>
  <c r="E189" i="7"/>
  <c r="E188" i="7"/>
  <c r="E187" i="7"/>
  <c r="E186" i="7"/>
  <c r="E185" i="7"/>
  <c r="E184" i="7"/>
  <c r="E183" i="7"/>
  <c r="E182" i="7"/>
  <c r="E181" i="7"/>
  <c r="E180" i="7"/>
  <c r="E179" i="7"/>
  <c r="E178" i="7"/>
  <c r="E177" i="7"/>
  <c r="E176" i="7"/>
  <c r="E175" i="7"/>
  <c r="E174" i="7"/>
  <c r="E173" i="7"/>
  <c r="E172" i="7"/>
  <c r="E171" i="7"/>
  <c r="E170" i="7"/>
  <c r="E169" i="7"/>
  <c r="E168" i="7"/>
  <c r="E167" i="7"/>
  <c r="E166" i="7"/>
  <c r="E165" i="7"/>
  <c r="E164" i="7"/>
  <c r="E163" i="7"/>
  <c r="E162" i="7"/>
  <c r="E161" i="7"/>
  <c r="E160" i="7"/>
  <c r="E159" i="7"/>
  <c r="E158" i="7"/>
  <c r="E157" i="7"/>
  <c r="E156" i="7"/>
  <c r="E155" i="7"/>
  <c r="E154" i="7"/>
  <c r="E153" i="7"/>
  <c r="E152" i="7"/>
  <c r="E151" i="7"/>
  <c r="E150" i="7"/>
  <c r="E149" i="7"/>
  <c r="E148" i="7"/>
  <c r="E147" i="7"/>
  <c r="E146" i="7"/>
  <c r="E145" i="7"/>
  <c r="E144" i="7"/>
  <c r="E143" i="7"/>
  <c r="E142" i="7"/>
  <c r="E141" i="7"/>
  <c r="E140" i="7"/>
  <c r="E139" i="7"/>
  <c r="E138" i="7"/>
  <c r="E137" i="7"/>
  <c r="E136" i="7"/>
  <c r="E135" i="7"/>
  <c r="E134" i="7"/>
  <c r="E133" i="7"/>
  <c r="E132" i="7"/>
  <c r="E131" i="7"/>
  <c r="E130" i="7"/>
  <c r="E129" i="7"/>
  <c r="E128" i="7"/>
  <c r="E127" i="7"/>
  <c r="E126" i="7"/>
  <c r="E125" i="7"/>
  <c r="E124" i="7"/>
  <c r="E123" i="7"/>
  <c r="E122" i="7"/>
  <c r="E121" i="7"/>
  <c r="E120" i="7"/>
  <c r="E119" i="7"/>
  <c r="E118" i="7"/>
  <c r="E117" i="7"/>
  <c r="E116" i="7"/>
  <c r="E115" i="7"/>
  <c r="E114" i="7"/>
  <c r="E113" i="7"/>
  <c r="E112" i="7"/>
  <c r="E111" i="7"/>
  <c r="E110" i="7"/>
  <c r="E109" i="7"/>
  <c r="E108" i="7"/>
  <c r="E107" i="7"/>
  <c r="E106" i="7"/>
  <c r="E105" i="7"/>
  <c r="E104" i="7"/>
  <c r="E103" i="7"/>
  <c r="E102" i="7"/>
  <c r="E101" i="7"/>
  <c r="E100" i="7"/>
  <c r="E99" i="7"/>
  <c r="E98" i="7"/>
  <c r="E97" i="7"/>
  <c r="E96" i="7"/>
  <c r="E95" i="7"/>
  <c r="E94" i="7"/>
  <c r="E93" i="7"/>
  <c r="E92" i="7"/>
  <c r="E91" i="7"/>
  <c r="E90" i="7"/>
  <c r="E89" i="7"/>
  <c r="E88" i="7"/>
  <c r="E87" i="7"/>
  <c r="E86" i="7"/>
  <c r="E85" i="7"/>
  <c r="E84" i="7"/>
  <c r="E83" i="7"/>
  <c r="E82" i="7"/>
  <c r="E81" i="7"/>
  <c r="E80" i="7"/>
  <c r="E79" i="7"/>
  <c r="E78" i="7"/>
  <c r="E77" i="7"/>
  <c r="E76" i="7"/>
  <c r="E75" i="7"/>
  <c r="E74" i="7"/>
  <c r="E73" i="7"/>
  <c r="E72" i="7"/>
  <c r="E71" i="7"/>
  <c r="E70" i="7"/>
  <c r="E69" i="7"/>
  <c r="E68" i="7"/>
  <c r="E67" i="7"/>
  <c r="E66" i="7"/>
  <c r="E65" i="7"/>
  <c r="E64" i="7"/>
  <c r="E63" i="7"/>
  <c r="E62" i="7"/>
  <c r="E61" i="7"/>
  <c r="E60" i="7"/>
  <c r="E59" i="7"/>
  <c r="E58" i="7"/>
  <c r="E57" i="7"/>
  <c r="E56" i="7"/>
  <c r="E55" i="7"/>
  <c r="E54" i="7"/>
  <c r="E53" i="7"/>
  <c r="E52" i="7"/>
  <c r="E51" i="7"/>
  <c r="E50" i="7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45" i="4"/>
  <c r="E1644" i="4"/>
  <c r="E1643" i="4"/>
  <c r="E1642" i="4"/>
  <c r="E1641" i="4"/>
  <c r="E1640" i="4"/>
  <c r="E1639" i="4"/>
  <c r="E1638" i="4"/>
  <c r="E1637" i="4"/>
  <c r="E1636" i="4"/>
  <c r="E1635" i="4"/>
  <c r="E1634" i="4"/>
  <c r="E1633" i="4"/>
  <c r="E1632" i="4"/>
  <c r="E1631" i="4"/>
  <c r="E1630" i="4"/>
  <c r="E1629" i="4"/>
  <c r="E1628" i="4"/>
  <c r="E1627" i="4"/>
  <c r="E1626" i="4"/>
  <c r="E1625" i="4"/>
  <c r="E1624" i="4"/>
  <c r="E1623" i="4"/>
  <c r="E1622" i="4"/>
  <c r="E1621" i="4"/>
  <c r="E1620" i="4"/>
  <c r="E1619" i="4"/>
  <c r="E1618" i="4"/>
  <c r="E1617" i="4"/>
  <c r="E1616" i="4"/>
  <c r="E1615" i="4"/>
  <c r="E1614" i="4"/>
  <c r="E1613" i="4"/>
  <c r="E1612" i="4"/>
  <c r="E1611" i="4"/>
  <c r="E1610" i="4"/>
  <c r="E1609" i="4"/>
  <c r="E1608" i="4"/>
  <c r="E1607" i="4"/>
  <c r="E1606" i="4"/>
  <c r="E1605" i="4"/>
  <c r="E1604" i="4"/>
  <c r="E1603" i="4"/>
  <c r="E1602" i="4"/>
  <c r="E1601" i="4"/>
  <c r="E1600" i="4"/>
  <c r="E1599" i="4"/>
  <c r="E1598" i="4"/>
  <c r="E1597" i="4"/>
  <c r="E1596" i="4"/>
  <c r="E1595" i="4"/>
  <c r="E1594" i="4"/>
  <c r="E1593" i="4"/>
  <c r="E1592" i="4"/>
  <c r="E1591" i="4"/>
  <c r="E1590" i="4"/>
  <c r="E1589" i="4"/>
  <c r="E1588" i="4"/>
  <c r="E1587" i="4"/>
  <c r="E1586" i="4"/>
  <c r="E1585" i="4"/>
  <c r="E1584" i="4"/>
  <c r="E1583" i="4"/>
  <c r="E1582" i="4"/>
  <c r="E1581" i="4"/>
  <c r="E1580" i="4"/>
  <c r="E1579" i="4"/>
  <c r="E1578" i="4"/>
  <c r="E1577" i="4"/>
  <c r="E1576" i="4"/>
  <c r="E1575" i="4"/>
  <c r="E1574" i="4"/>
  <c r="E1573" i="4"/>
  <c r="E1572" i="4"/>
  <c r="E1571" i="4"/>
  <c r="E1570" i="4"/>
  <c r="E1569" i="4"/>
  <c r="E1568" i="4"/>
  <c r="E1567" i="4"/>
  <c r="E1566" i="4"/>
  <c r="E1565" i="4"/>
  <c r="E1564" i="4"/>
  <c r="E1563" i="4"/>
  <c r="E1562" i="4"/>
  <c r="E1561" i="4"/>
  <c r="E1560" i="4"/>
  <c r="E1559" i="4"/>
  <c r="E1558" i="4"/>
  <c r="E1557" i="4"/>
  <c r="E1556" i="4"/>
  <c r="E1555" i="4"/>
  <c r="E1554" i="4"/>
  <c r="E1553" i="4"/>
  <c r="E1552" i="4"/>
  <c r="E1551" i="4"/>
  <c r="E1550" i="4"/>
  <c r="E1549" i="4"/>
  <c r="E1548" i="4"/>
  <c r="E1547" i="4"/>
  <c r="E1546" i="4"/>
  <c r="E1545" i="4"/>
  <c r="E1544" i="4"/>
  <c r="E1543" i="4"/>
  <c r="E1542" i="4"/>
  <c r="E1541" i="4"/>
  <c r="E1540" i="4"/>
  <c r="E1539" i="4"/>
  <c r="E1538" i="4"/>
  <c r="E1537" i="4"/>
  <c r="E1536" i="4"/>
  <c r="E1535" i="4"/>
  <c r="E1534" i="4"/>
  <c r="E1533" i="4"/>
  <c r="E1532" i="4"/>
  <c r="E1531" i="4"/>
  <c r="E1530" i="4"/>
  <c r="E1529" i="4"/>
  <c r="E1528" i="4"/>
  <c r="E1527" i="4"/>
  <c r="E1526" i="4"/>
  <c r="E1525" i="4"/>
  <c r="E1524" i="4"/>
  <c r="E1523" i="4"/>
  <c r="E1522" i="4"/>
  <c r="E1521" i="4"/>
  <c r="E1520" i="4"/>
  <c r="E1519" i="4"/>
  <c r="E1518" i="4"/>
  <c r="E1517" i="4"/>
  <c r="E1516" i="4"/>
  <c r="E1515" i="4"/>
  <c r="E1514" i="4"/>
  <c r="E1513" i="4"/>
  <c r="E1512" i="4"/>
  <c r="E1511" i="4"/>
  <c r="E1510" i="4"/>
  <c r="E1509" i="4"/>
  <c r="E1508" i="4"/>
  <c r="E1507" i="4"/>
  <c r="E1506" i="4"/>
  <c r="E1505" i="4"/>
  <c r="E1504" i="4"/>
  <c r="E1503" i="4"/>
  <c r="E1502" i="4"/>
  <c r="E1501" i="4"/>
  <c r="E1500" i="4"/>
  <c r="E1499" i="4"/>
  <c r="E1498" i="4"/>
  <c r="E1497" i="4"/>
  <c r="E1496" i="4"/>
  <c r="E1495" i="4"/>
  <c r="E1494" i="4"/>
  <c r="E1493" i="4"/>
  <c r="E1492" i="4"/>
  <c r="E1491" i="4"/>
  <c r="E1490" i="4"/>
  <c r="E1489" i="4"/>
  <c r="E1488" i="4"/>
  <c r="E1487" i="4"/>
  <c r="E1486" i="4"/>
  <c r="E1485" i="4"/>
  <c r="E1484" i="4"/>
  <c r="E1483" i="4"/>
  <c r="E1482" i="4"/>
  <c r="E1481" i="4"/>
  <c r="E1480" i="4"/>
  <c r="E1479" i="4"/>
  <c r="E1478" i="4"/>
  <c r="E1477" i="4"/>
  <c r="E1476" i="4"/>
  <c r="E1475" i="4"/>
  <c r="E1474" i="4"/>
  <c r="E1473" i="4"/>
  <c r="E1472" i="4"/>
  <c r="E1471" i="4"/>
  <c r="E1470" i="4"/>
  <c r="E1469" i="4"/>
  <c r="E1468" i="4"/>
  <c r="E1467" i="4"/>
  <c r="E1466" i="4"/>
  <c r="E1465" i="4"/>
  <c r="E1464" i="4"/>
  <c r="E1463" i="4"/>
  <c r="E1462" i="4"/>
  <c r="E1461" i="4"/>
  <c r="E1460" i="4"/>
  <c r="E1459" i="4"/>
  <c r="E1458" i="4"/>
  <c r="E1457" i="4"/>
  <c r="E1456" i="4"/>
  <c r="E1455" i="4"/>
  <c r="E1454" i="4"/>
  <c r="E1453" i="4"/>
  <c r="E1452" i="4"/>
  <c r="E1451" i="4"/>
  <c r="E1450" i="4"/>
  <c r="E1449" i="4"/>
  <c r="E1448" i="4"/>
  <c r="E1447" i="4"/>
  <c r="E1446" i="4"/>
  <c r="E1445" i="4"/>
  <c r="E1444" i="4"/>
  <c r="E1443" i="4"/>
  <c r="E1442" i="4"/>
  <c r="E1441" i="4"/>
  <c r="E1440" i="4"/>
  <c r="E1439" i="4"/>
  <c r="E1438" i="4"/>
  <c r="E1437" i="4"/>
  <c r="E1436" i="4"/>
  <c r="E1435" i="4"/>
  <c r="E1434" i="4"/>
  <c r="E1433" i="4"/>
  <c r="E1432" i="4"/>
  <c r="E1431" i="4"/>
  <c r="E1430" i="4"/>
  <c r="E1429" i="4"/>
  <c r="E1428" i="4"/>
  <c r="E1427" i="4"/>
  <c r="E1426" i="4"/>
  <c r="E1425" i="4"/>
  <c r="E1424" i="4"/>
  <c r="E1423" i="4"/>
  <c r="E1422" i="4"/>
  <c r="E1421" i="4"/>
  <c r="E1420" i="4"/>
  <c r="E1419" i="4"/>
  <c r="E1418" i="4"/>
  <c r="E1417" i="4"/>
  <c r="E1416" i="4"/>
  <c r="E1415" i="4"/>
  <c r="E1414" i="4"/>
  <c r="E1413" i="4"/>
  <c r="E1412" i="4"/>
  <c r="E1411" i="4"/>
  <c r="E1410" i="4"/>
  <c r="E1409" i="4"/>
  <c r="E1408" i="4"/>
  <c r="E1407" i="4"/>
  <c r="E1406" i="4"/>
  <c r="E1405" i="4"/>
  <c r="E1404" i="4"/>
  <c r="E1403" i="4"/>
  <c r="E1402" i="4"/>
  <c r="E1401" i="4"/>
  <c r="E1400" i="4"/>
  <c r="E1399" i="4"/>
  <c r="E1398" i="4"/>
  <c r="E1397" i="4"/>
  <c r="E1396" i="4"/>
  <c r="E1395" i="4"/>
  <c r="E1394" i="4"/>
  <c r="E1393" i="4"/>
  <c r="E1392" i="4"/>
  <c r="E1391" i="4"/>
  <c r="E1390" i="4"/>
  <c r="E1389" i="4"/>
  <c r="E1388" i="4"/>
  <c r="E1387" i="4"/>
  <c r="E1386" i="4"/>
  <c r="E1385" i="4"/>
  <c r="E1384" i="4"/>
  <c r="E1383" i="4"/>
  <c r="E1382" i="4"/>
  <c r="E1381" i="4"/>
  <c r="E1380" i="4"/>
  <c r="E1379" i="4"/>
  <c r="E1378" i="4"/>
  <c r="E1377" i="4"/>
  <c r="E1376" i="4"/>
  <c r="E1375" i="4"/>
  <c r="E1374" i="4"/>
  <c r="E1373" i="4"/>
  <c r="E1372" i="4"/>
  <c r="E1371" i="4"/>
  <c r="E1370" i="4"/>
  <c r="E1369" i="4"/>
  <c r="E1368" i="4"/>
  <c r="E1367" i="4"/>
  <c r="E1366" i="4"/>
  <c r="E1365" i="4"/>
  <c r="E1364" i="4"/>
  <c r="E1363" i="4"/>
  <c r="E1362" i="4"/>
  <c r="E1361" i="4"/>
  <c r="E1360" i="4"/>
  <c r="E1359" i="4"/>
  <c r="E1358" i="4"/>
  <c r="E1357" i="4"/>
  <c r="E1356" i="4"/>
  <c r="E1355" i="4"/>
  <c r="E1354" i="4"/>
  <c r="E1353" i="4"/>
  <c r="E1352" i="4"/>
  <c r="E1351" i="4"/>
  <c r="E1350" i="4"/>
  <c r="E1349" i="4"/>
  <c r="E1348" i="4"/>
  <c r="E1347" i="4"/>
  <c r="E1346" i="4"/>
  <c r="E1345" i="4"/>
  <c r="E1344" i="4"/>
  <c r="E1343" i="4"/>
  <c r="E1342" i="4"/>
  <c r="E1341" i="4"/>
  <c r="E1340" i="4"/>
  <c r="E1339" i="4"/>
  <c r="E1338" i="4"/>
  <c r="E1337" i="4"/>
  <c r="E1336" i="4"/>
  <c r="E1335" i="4"/>
  <c r="E1334" i="4"/>
  <c r="E1333" i="4"/>
  <c r="E1332" i="4"/>
  <c r="E1331" i="4"/>
  <c r="E1330" i="4"/>
  <c r="E1329" i="4"/>
  <c r="E1328" i="4"/>
  <c r="E1327" i="4"/>
  <c r="E1326" i="4"/>
  <c r="E1325" i="4"/>
  <c r="E1324" i="4"/>
  <c r="E1323" i="4"/>
  <c r="E1322" i="4"/>
  <c r="E1321" i="4"/>
  <c r="E1320" i="4"/>
  <c r="E1319" i="4"/>
  <c r="E1318" i="4"/>
  <c r="E1317" i="4"/>
  <c r="E1316" i="4"/>
  <c r="E1315" i="4"/>
  <c r="E1314" i="4"/>
  <c r="E1313" i="4"/>
  <c r="E1312" i="4"/>
  <c r="E1311" i="4"/>
  <c r="E1310" i="4"/>
  <c r="E1309" i="4"/>
  <c r="E1308" i="4"/>
  <c r="E1307" i="4"/>
  <c r="E1306" i="4"/>
  <c r="E1305" i="4"/>
  <c r="E1304" i="4"/>
  <c r="E1303" i="4"/>
  <c r="E1302" i="4"/>
  <c r="E1301" i="4"/>
  <c r="E1300" i="4"/>
  <c r="E1299" i="4"/>
  <c r="E1298" i="4"/>
  <c r="E1297" i="4"/>
  <c r="E1296" i="4"/>
  <c r="E1295" i="4"/>
  <c r="E1294" i="4"/>
  <c r="E1293" i="4"/>
  <c r="E1292" i="4"/>
  <c r="E1291" i="4"/>
  <c r="E1290" i="4"/>
  <c r="E1289" i="4"/>
  <c r="E1288" i="4"/>
  <c r="E1287" i="4"/>
  <c r="E1286" i="4"/>
  <c r="E1285" i="4"/>
  <c r="E1284" i="4"/>
  <c r="E1283" i="4"/>
  <c r="E1282" i="4"/>
  <c r="E1281" i="4"/>
  <c r="E1280" i="4"/>
  <c r="E1279" i="4"/>
  <c r="E1278" i="4"/>
  <c r="E1277" i="4"/>
  <c r="E1276" i="4"/>
  <c r="E1275" i="4"/>
  <c r="E1274" i="4"/>
  <c r="E1273" i="4"/>
  <c r="E1272" i="4"/>
  <c r="E1271" i="4"/>
  <c r="E1270" i="4"/>
  <c r="E1269" i="4"/>
  <c r="E1268" i="4"/>
  <c r="E1267" i="4"/>
  <c r="E1266" i="4"/>
  <c r="E1265" i="4"/>
  <c r="E1264" i="4"/>
  <c r="E1263" i="4"/>
  <c r="E1262" i="4"/>
  <c r="E1261" i="4"/>
  <c r="E1260" i="4"/>
  <c r="E1259" i="4"/>
  <c r="E1258" i="4"/>
  <c r="E1257" i="4"/>
  <c r="E1256" i="4"/>
  <c r="E1255" i="4"/>
  <c r="E1254" i="4"/>
  <c r="E1253" i="4"/>
  <c r="E1252" i="4"/>
  <c r="E1251" i="4"/>
  <c r="E1250" i="4"/>
  <c r="E1249" i="4"/>
  <c r="E1248" i="4"/>
  <c r="E1247" i="4"/>
  <c r="E1246" i="4"/>
  <c r="E1245" i="4"/>
  <c r="E1244" i="4"/>
  <c r="E1243" i="4"/>
  <c r="E1242" i="4"/>
  <c r="E1241" i="4"/>
  <c r="E1240" i="4"/>
  <c r="E1239" i="4"/>
  <c r="E1238" i="4"/>
  <c r="E1237" i="4"/>
  <c r="E1236" i="4"/>
  <c r="E1235" i="4"/>
  <c r="E1234" i="4"/>
  <c r="E1233" i="4"/>
  <c r="E1232" i="4"/>
  <c r="E1231" i="4"/>
  <c r="E1230" i="4"/>
  <c r="E1229" i="4"/>
  <c r="E1228" i="4"/>
  <c r="E1227" i="4"/>
  <c r="E1226" i="4"/>
  <c r="E1225" i="4"/>
  <c r="E1224" i="4"/>
  <c r="E1223" i="4"/>
  <c r="E1222" i="4"/>
  <c r="E1221" i="4"/>
  <c r="E1220" i="4"/>
  <c r="E1219" i="4"/>
  <c r="E1218" i="4"/>
  <c r="E1217" i="4"/>
  <c r="E1216" i="4"/>
  <c r="E1215" i="4"/>
  <c r="E1214" i="4"/>
  <c r="E1213" i="4"/>
  <c r="E1212" i="4"/>
  <c r="E1211" i="4"/>
  <c r="E1210" i="4"/>
  <c r="E1209" i="4"/>
  <c r="E1208" i="4"/>
  <c r="E1207" i="4"/>
  <c r="E1206" i="4"/>
  <c r="E1205" i="4"/>
  <c r="E1204" i="4"/>
  <c r="E1203" i="4"/>
  <c r="E1202" i="4"/>
  <c r="E1201" i="4"/>
  <c r="E1200" i="4"/>
  <c r="E1199" i="4"/>
  <c r="E1198" i="4"/>
  <c r="E1197" i="4"/>
  <c r="E1196" i="4"/>
  <c r="E1195" i="4"/>
  <c r="E1194" i="4"/>
  <c r="E1193" i="4"/>
  <c r="E1192" i="4"/>
  <c r="E1191" i="4"/>
  <c r="E1190" i="4"/>
  <c r="E1189" i="4"/>
  <c r="E1188" i="4"/>
  <c r="E1187" i="4"/>
  <c r="E1186" i="4"/>
  <c r="E1185" i="4"/>
  <c r="E1184" i="4"/>
  <c r="E1183" i="4"/>
  <c r="E1182" i="4"/>
  <c r="E1181" i="4"/>
  <c r="E1180" i="4"/>
  <c r="E1179" i="4"/>
  <c r="E1178" i="4"/>
  <c r="E1177" i="4"/>
  <c r="E1176" i="4"/>
  <c r="E1175" i="4"/>
  <c r="E1174" i="4"/>
  <c r="E1173" i="4"/>
  <c r="E1172" i="4"/>
  <c r="E1171" i="4"/>
  <c r="E1170" i="4"/>
  <c r="E1169" i="4"/>
  <c r="E1168" i="4"/>
  <c r="E1167" i="4"/>
  <c r="E1166" i="4"/>
  <c r="E1165" i="4"/>
  <c r="E1164" i="4"/>
  <c r="E1163" i="4"/>
  <c r="E1162" i="4"/>
  <c r="E1161" i="4"/>
  <c r="E1160" i="4"/>
  <c r="E1159" i="4"/>
  <c r="E1158" i="4"/>
  <c r="E1157" i="4"/>
  <c r="E1156" i="4"/>
  <c r="E1155" i="4"/>
  <c r="E1154" i="4"/>
  <c r="E1153" i="4"/>
  <c r="E1152" i="4"/>
  <c r="E1151" i="4"/>
  <c r="E1150" i="4"/>
  <c r="E1149" i="4"/>
  <c r="E1148" i="4"/>
  <c r="E1147" i="4"/>
  <c r="E1146" i="4"/>
  <c r="E1145" i="4"/>
  <c r="E1144" i="4"/>
  <c r="E1143" i="4"/>
  <c r="E1142" i="4"/>
  <c r="E1141" i="4"/>
  <c r="E1140" i="4"/>
  <c r="E1139" i="4"/>
  <c r="E1138" i="4"/>
  <c r="E1137" i="4"/>
  <c r="E1136" i="4"/>
  <c r="E1135" i="4"/>
  <c r="E1134" i="4"/>
  <c r="E1133" i="4"/>
  <c r="E1132" i="4"/>
  <c r="E1131" i="4"/>
  <c r="E1130" i="4"/>
  <c r="E1129" i="4"/>
  <c r="E1128" i="4"/>
  <c r="E1127" i="4"/>
  <c r="E1126" i="4"/>
  <c r="E1125" i="4"/>
  <c r="E1124" i="4"/>
  <c r="E1123" i="4"/>
  <c r="E1122" i="4"/>
  <c r="E1121" i="4"/>
  <c r="E1120" i="4"/>
  <c r="E1119" i="4"/>
  <c r="E1118" i="4"/>
  <c r="E1117" i="4"/>
  <c r="E1116" i="4"/>
  <c r="E1115" i="4"/>
  <c r="E1114" i="4"/>
  <c r="E1113" i="4"/>
  <c r="E1112" i="4"/>
  <c r="E1111" i="4"/>
  <c r="E1110" i="4"/>
  <c r="E1109" i="4"/>
  <c r="E1108" i="4"/>
  <c r="E1107" i="4"/>
  <c r="E1106" i="4"/>
  <c r="E1105" i="4"/>
  <c r="E1104" i="4"/>
  <c r="E1103" i="4"/>
  <c r="E1102" i="4"/>
  <c r="E1101" i="4"/>
  <c r="E1100" i="4"/>
  <c r="E1099" i="4"/>
  <c r="E1098" i="4"/>
  <c r="E1097" i="4"/>
  <c r="E1096" i="4"/>
  <c r="E1095" i="4"/>
  <c r="E1094" i="4"/>
  <c r="E1093" i="4"/>
  <c r="E1092" i="4"/>
  <c r="E1091" i="4"/>
  <c r="E1090" i="4"/>
  <c r="E1089" i="4"/>
  <c r="E1088" i="4"/>
  <c r="E1087" i="4"/>
  <c r="E1086" i="4"/>
  <c r="E1085" i="4"/>
  <c r="E1084" i="4"/>
  <c r="E1083" i="4"/>
  <c r="E1082" i="4"/>
  <c r="E1081" i="4"/>
  <c r="E1080" i="4"/>
  <c r="E1079" i="4"/>
  <c r="E1078" i="4"/>
  <c r="E1077" i="4"/>
  <c r="E1076" i="4"/>
  <c r="E1075" i="4"/>
  <c r="E1074" i="4"/>
  <c r="E1073" i="4"/>
  <c r="E1072" i="4"/>
  <c r="E1071" i="4"/>
  <c r="E1070" i="4"/>
  <c r="E1069" i="4"/>
  <c r="E1068" i="4"/>
  <c r="E1067" i="4"/>
  <c r="E1066" i="4"/>
  <c r="E1065" i="4"/>
  <c r="E1064" i="4"/>
  <c r="E1063" i="4"/>
  <c r="E1062" i="4"/>
  <c r="E1061" i="4"/>
  <c r="E1060" i="4"/>
  <c r="E1059" i="4"/>
  <c r="E1058" i="4"/>
  <c r="E1057" i="4"/>
  <c r="E1056" i="4"/>
  <c r="E1055" i="4"/>
  <c r="E1054" i="4"/>
  <c r="E1053" i="4"/>
  <c r="E1052" i="4"/>
  <c r="E1051" i="4"/>
  <c r="E1050" i="4"/>
  <c r="E1049" i="4"/>
  <c r="E1048" i="4"/>
  <c r="E1047" i="4"/>
  <c r="E1046" i="4"/>
  <c r="E1045" i="4"/>
  <c r="E1044" i="4"/>
  <c r="E1043" i="4"/>
  <c r="E1042" i="4"/>
  <c r="E1041" i="4"/>
  <c r="E1040" i="4"/>
  <c r="E1039" i="4"/>
  <c r="E1038" i="4"/>
  <c r="E1037" i="4"/>
  <c r="E1036" i="4"/>
  <c r="E1035" i="4"/>
  <c r="E1034" i="4"/>
  <c r="E1033" i="4"/>
  <c r="E1032" i="4"/>
  <c r="E1031" i="4"/>
  <c r="E1030" i="4"/>
  <c r="E1029" i="4"/>
  <c r="E1028" i="4"/>
  <c r="E1027" i="4"/>
  <c r="E1026" i="4"/>
  <c r="E1025" i="4"/>
  <c r="E1024" i="4"/>
  <c r="E1023" i="4"/>
  <c r="E1022" i="4"/>
  <c r="E1021" i="4"/>
  <c r="E1020" i="4"/>
  <c r="E1019" i="4"/>
  <c r="E1018" i="4"/>
  <c r="E1017" i="4"/>
  <c r="E1016" i="4"/>
  <c r="E1015" i="4"/>
  <c r="E1014" i="4"/>
  <c r="E1013" i="4"/>
  <c r="E1012" i="4"/>
  <c r="E1011" i="4"/>
  <c r="E1010" i="4"/>
  <c r="E1009" i="4"/>
  <c r="E1008" i="4"/>
  <c r="E1007" i="4"/>
  <c r="E1006" i="4"/>
  <c r="E1005" i="4"/>
  <c r="E1004" i="4"/>
  <c r="E1003" i="4"/>
  <c r="E1002" i="4"/>
  <c r="E1001" i="4"/>
  <c r="E1000" i="4"/>
  <c r="E999" i="4"/>
  <c r="E998" i="4"/>
  <c r="E997" i="4"/>
  <c r="E996" i="4"/>
  <c r="E995" i="4"/>
  <c r="E994" i="4"/>
  <c r="E993" i="4"/>
  <c r="E992" i="4"/>
  <c r="E991" i="4"/>
  <c r="E990" i="4"/>
  <c r="E989" i="4"/>
  <c r="E988" i="4"/>
  <c r="E987" i="4"/>
  <c r="E986" i="4"/>
  <c r="E985" i="4"/>
  <c r="E984" i="4"/>
  <c r="E983" i="4"/>
  <c r="E982" i="4"/>
  <c r="E981" i="4"/>
  <c r="E980" i="4"/>
  <c r="E979" i="4"/>
  <c r="E978" i="4"/>
  <c r="E977" i="4"/>
  <c r="E976" i="4"/>
  <c r="E975" i="4"/>
  <c r="E974" i="4"/>
  <c r="E973" i="4"/>
  <c r="E972" i="4"/>
  <c r="E971" i="4"/>
  <c r="E970" i="4"/>
  <c r="E969" i="4"/>
  <c r="E968" i="4"/>
  <c r="E967" i="4"/>
  <c r="E966" i="4"/>
  <c r="E965" i="4"/>
  <c r="E964" i="4"/>
  <c r="E963" i="4"/>
  <c r="E962" i="4"/>
  <c r="E961" i="4"/>
  <c r="E960" i="4"/>
  <c r="E959" i="4"/>
  <c r="E958" i="4"/>
  <c r="E957" i="4"/>
  <c r="E956" i="4"/>
  <c r="E955" i="4"/>
  <c r="E954" i="4"/>
  <c r="E953" i="4"/>
  <c r="E952" i="4"/>
  <c r="E951" i="4"/>
  <c r="E950" i="4"/>
  <c r="E949" i="4"/>
  <c r="E948" i="4"/>
  <c r="E947" i="4"/>
  <c r="E946" i="4"/>
  <c r="E945" i="4"/>
  <c r="E944" i="4"/>
  <c r="E943" i="4"/>
  <c r="E942" i="4"/>
  <c r="E941" i="4"/>
  <c r="E940" i="4"/>
  <c r="E939" i="4"/>
  <c r="E938" i="4"/>
  <c r="E937" i="4"/>
  <c r="E936" i="4"/>
  <c r="E935" i="4"/>
  <c r="E934" i="4"/>
  <c r="E933" i="4"/>
  <c r="E932" i="4"/>
  <c r="E931" i="4"/>
  <c r="E930" i="4"/>
  <c r="E929" i="4"/>
  <c r="E928" i="4"/>
  <c r="E927" i="4"/>
  <c r="E926" i="4"/>
  <c r="E925" i="4"/>
  <c r="E924" i="4"/>
  <c r="E923" i="4"/>
  <c r="E922" i="4"/>
  <c r="E921" i="4"/>
  <c r="E920" i="4"/>
  <c r="E919" i="4"/>
  <c r="E918" i="4"/>
  <c r="E917" i="4"/>
  <c r="E916" i="4"/>
  <c r="E915" i="4"/>
  <c r="E914" i="4"/>
  <c r="E913" i="4"/>
  <c r="E912" i="4"/>
  <c r="E911" i="4"/>
  <c r="E910" i="4"/>
  <c r="E909" i="4"/>
  <c r="E908" i="4"/>
  <c r="E907" i="4"/>
  <c r="E906" i="4"/>
  <c r="E905" i="4"/>
  <c r="E904" i="4"/>
  <c r="E903" i="4"/>
  <c r="E902" i="4"/>
  <c r="E901" i="4"/>
  <c r="E900" i="4"/>
  <c r="E899" i="4"/>
  <c r="E898" i="4"/>
  <c r="E897" i="4"/>
  <c r="E896" i="4"/>
  <c r="E895" i="4"/>
  <c r="E894" i="4"/>
  <c r="E893" i="4"/>
  <c r="E892" i="4"/>
  <c r="E891" i="4"/>
  <c r="E890" i="4"/>
  <c r="E889" i="4"/>
  <c r="E888" i="4"/>
  <c r="E887" i="4"/>
  <c r="E886" i="4"/>
  <c r="E885" i="4"/>
  <c r="E884" i="4"/>
  <c r="E883" i="4"/>
  <c r="E882" i="4"/>
  <c r="E881" i="4"/>
  <c r="E880" i="4"/>
  <c r="E879" i="4"/>
  <c r="E878" i="4"/>
  <c r="E877" i="4"/>
  <c r="E876" i="4"/>
  <c r="E875" i="4"/>
  <c r="E874" i="4"/>
  <c r="E873" i="4"/>
  <c r="E872" i="4"/>
  <c r="E871" i="4"/>
  <c r="E870" i="4"/>
  <c r="E869" i="4"/>
  <c r="E868" i="4"/>
  <c r="E867" i="4"/>
  <c r="E866" i="4"/>
  <c r="E865" i="4"/>
  <c r="E864" i="4"/>
  <c r="E863" i="4"/>
  <c r="E862" i="4"/>
  <c r="E861" i="4"/>
  <c r="E860" i="4"/>
  <c r="E859" i="4"/>
  <c r="E858" i="4"/>
  <c r="E857" i="4"/>
  <c r="E856" i="4"/>
  <c r="E855" i="4"/>
  <c r="E854" i="4"/>
  <c r="E853" i="4"/>
  <c r="E852" i="4"/>
  <c r="E851" i="4"/>
  <c r="E850" i="4"/>
  <c r="E849" i="4"/>
  <c r="E848" i="4"/>
  <c r="E847" i="4"/>
  <c r="E846" i="4"/>
  <c r="E845" i="4"/>
  <c r="E844" i="4"/>
  <c r="E843" i="4"/>
  <c r="E842" i="4"/>
  <c r="E841" i="4"/>
  <c r="E840" i="4"/>
  <c r="E839" i="4"/>
  <c r="E838" i="4"/>
  <c r="E837" i="4"/>
  <c r="E836" i="4"/>
  <c r="E835" i="4"/>
  <c r="E834" i="4"/>
  <c r="E833" i="4"/>
  <c r="E832" i="4"/>
  <c r="E831" i="4"/>
  <c r="E830" i="4"/>
  <c r="E829" i="4"/>
  <c r="E828" i="4"/>
  <c r="E827" i="4"/>
  <c r="E826" i="4"/>
  <c r="E825" i="4"/>
  <c r="E824" i="4"/>
  <c r="E823" i="4"/>
  <c r="E822" i="4"/>
  <c r="E821" i="4"/>
  <c r="E820" i="4"/>
  <c r="E819" i="4"/>
  <c r="E818" i="4"/>
  <c r="E817" i="4"/>
  <c r="E816" i="4"/>
  <c r="E815" i="4"/>
  <c r="E814" i="4"/>
  <c r="E813" i="4"/>
  <c r="E812" i="4"/>
  <c r="E811" i="4"/>
  <c r="E810" i="4"/>
  <c r="E809" i="4"/>
  <c r="E808" i="4"/>
  <c r="E807" i="4"/>
  <c r="E806" i="4"/>
  <c r="E805" i="4"/>
  <c r="E804" i="4"/>
  <c r="E803" i="4"/>
  <c r="E802" i="4"/>
  <c r="E801" i="4"/>
  <c r="E800" i="4"/>
  <c r="E799" i="4"/>
  <c r="E798" i="4"/>
  <c r="E797" i="4"/>
  <c r="E796" i="4"/>
  <c r="E795" i="4"/>
  <c r="E794" i="4"/>
  <c r="E793" i="4"/>
  <c r="E792" i="4"/>
  <c r="E791" i="4"/>
  <c r="E790" i="4"/>
  <c r="E789" i="4"/>
  <c r="E788" i="4"/>
  <c r="E787" i="4"/>
  <c r="E786" i="4"/>
  <c r="E785" i="4"/>
  <c r="E784" i="4"/>
  <c r="E783" i="4"/>
  <c r="E782" i="4"/>
  <c r="E781" i="4"/>
  <c r="E780" i="4"/>
  <c r="E779" i="4"/>
  <c r="E778" i="4"/>
  <c r="E777" i="4"/>
  <c r="E776" i="4"/>
  <c r="E775" i="4"/>
  <c r="E774" i="4"/>
  <c r="E773" i="4"/>
  <c r="E772" i="4"/>
  <c r="E771" i="4"/>
  <c r="E770" i="4"/>
  <c r="E769" i="4"/>
  <c r="E768" i="4"/>
  <c r="E767" i="4"/>
  <c r="E766" i="4"/>
  <c r="E765" i="4"/>
  <c r="E764" i="4"/>
  <c r="E763" i="4"/>
  <c r="E762" i="4"/>
  <c r="E761" i="4"/>
  <c r="E760" i="4"/>
  <c r="E759" i="4"/>
  <c r="E758" i="4"/>
  <c r="E757" i="4"/>
  <c r="E756" i="4"/>
  <c r="E755" i="4"/>
  <c r="E754" i="4"/>
  <c r="E753" i="4"/>
  <c r="E752" i="4"/>
  <c r="E751" i="4"/>
  <c r="E750" i="4"/>
  <c r="E749" i="4"/>
  <c r="E748" i="4"/>
  <c r="E747" i="4"/>
  <c r="E746" i="4"/>
  <c r="E745" i="4"/>
  <c r="E744" i="4"/>
  <c r="E743" i="4"/>
  <c r="E742" i="4"/>
  <c r="E741" i="4"/>
  <c r="E740" i="4"/>
  <c r="E739" i="4"/>
  <c r="E738" i="4"/>
  <c r="E737" i="4"/>
  <c r="E736" i="4"/>
  <c r="E735" i="4"/>
  <c r="E734" i="4"/>
  <c r="E733" i="4"/>
  <c r="E732" i="4"/>
  <c r="E731" i="4"/>
  <c r="E730" i="4"/>
  <c r="E729" i="4"/>
  <c r="E728" i="4"/>
  <c r="E727" i="4"/>
  <c r="E726" i="4"/>
  <c r="E725" i="4"/>
  <c r="E724" i="4"/>
  <c r="E723" i="4"/>
  <c r="E722" i="4"/>
  <c r="E721" i="4"/>
  <c r="E720" i="4"/>
  <c r="E719" i="4"/>
  <c r="E718" i="4"/>
  <c r="E717" i="4"/>
  <c r="E716" i="4"/>
  <c r="E715" i="4"/>
  <c r="E714" i="4"/>
  <c r="E713" i="4"/>
  <c r="E712" i="4"/>
  <c r="E711" i="4"/>
  <c r="E710" i="4"/>
  <c r="E709" i="4"/>
  <c r="E708" i="4"/>
  <c r="E707" i="4"/>
  <c r="E706" i="4"/>
  <c r="E705" i="4"/>
  <c r="E704" i="4"/>
  <c r="E703" i="4"/>
  <c r="E702" i="4"/>
  <c r="E701" i="4"/>
  <c r="E700" i="4"/>
  <c r="E699" i="4"/>
  <c r="E698" i="4"/>
  <c r="E697" i="4"/>
  <c r="E696" i="4"/>
  <c r="E695" i="4"/>
  <c r="E694" i="4"/>
  <c r="E693" i="4"/>
  <c r="E692" i="4"/>
  <c r="E691" i="4"/>
  <c r="E690" i="4"/>
  <c r="E689" i="4"/>
  <c r="E688" i="4"/>
  <c r="E687" i="4"/>
  <c r="E686" i="4"/>
  <c r="E685" i="4"/>
  <c r="E684" i="4"/>
  <c r="E683" i="4"/>
  <c r="E682" i="4"/>
  <c r="E681" i="4"/>
  <c r="E680" i="4"/>
  <c r="E679" i="4"/>
  <c r="E678" i="4"/>
  <c r="E677" i="4"/>
  <c r="E676" i="4"/>
  <c r="E675" i="4"/>
  <c r="E674" i="4"/>
  <c r="E673" i="4"/>
  <c r="E672" i="4"/>
  <c r="E671" i="4"/>
  <c r="E670" i="4"/>
  <c r="E669" i="4"/>
  <c r="E668" i="4"/>
  <c r="E667" i="4"/>
  <c r="E666" i="4"/>
  <c r="E665" i="4"/>
  <c r="E664" i="4"/>
  <c r="E663" i="4"/>
  <c r="E662" i="4"/>
  <c r="E661" i="4"/>
  <c r="E660" i="4"/>
  <c r="E659" i="4"/>
  <c r="E658" i="4"/>
  <c r="E657" i="4"/>
  <c r="E656" i="4"/>
  <c r="E655" i="4"/>
  <c r="E654" i="4"/>
  <c r="E653" i="4"/>
  <c r="E652" i="4"/>
  <c r="E651" i="4"/>
  <c r="E650" i="4"/>
  <c r="E649" i="4"/>
  <c r="E648" i="4"/>
  <c r="E647" i="4"/>
  <c r="E646" i="4"/>
  <c r="E645" i="4"/>
  <c r="E644" i="4"/>
  <c r="E643" i="4"/>
  <c r="E642" i="4"/>
  <c r="E641" i="4"/>
  <c r="E640" i="4"/>
  <c r="E639" i="4"/>
  <c r="E638" i="4"/>
  <c r="E637" i="4"/>
  <c r="E636" i="4"/>
  <c r="E635" i="4"/>
  <c r="E634" i="4"/>
  <c r="E633" i="4"/>
  <c r="E632" i="4"/>
  <c r="E631" i="4"/>
  <c r="E630" i="4"/>
  <c r="E629" i="4"/>
  <c r="E628" i="4"/>
  <c r="E627" i="4"/>
  <c r="E626" i="4"/>
  <c r="E625" i="4"/>
  <c r="E624" i="4"/>
  <c r="E623" i="4"/>
  <c r="E622" i="4"/>
  <c r="E621" i="4"/>
  <c r="E620" i="4"/>
  <c r="E619" i="4"/>
  <c r="E618" i="4"/>
  <c r="E617" i="4"/>
  <c r="E616" i="4"/>
  <c r="E615" i="4"/>
  <c r="E614" i="4"/>
  <c r="E613" i="4"/>
  <c r="E612" i="4"/>
  <c r="E611" i="4"/>
  <c r="E610" i="4"/>
  <c r="E609" i="4"/>
  <c r="E608" i="4"/>
  <c r="E607" i="4"/>
  <c r="E606" i="4"/>
  <c r="E605" i="4"/>
  <c r="E604" i="4"/>
  <c r="E603" i="4"/>
  <c r="E602" i="4"/>
  <c r="E601" i="4"/>
  <c r="E600" i="4"/>
  <c r="E599" i="4"/>
  <c r="E598" i="4"/>
  <c r="E597" i="4"/>
  <c r="E596" i="4"/>
  <c r="E595" i="4"/>
  <c r="E594" i="4"/>
  <c r="E593" i="4"/>
  <c r="E592" i="4"/>
  <c r="E591" i="4"/>
  <c r="E590" i="4"/>
  <c r="E589" i="4"/>
  <c r="E588" i="4"/>
  <c r="E587" i="4"/>
  <c r="E586" i="4"/>
  <c r="E585" i="4"/>
  <c r="E584" i="4"/>
  <c r="E583" i="4"/>
  <c r="E582" i="4"/>
  <c r="E581" i="4"/>
  <c r="E580" i="4"/>
  <c r="E579" i="4"/>
  <c r="E578" i="4"/>
  <c r="E577" i="4"/>
  <c r="E576" i="4"/>
  <c r="E575" i="4"/>
  <c r="E574" i="4"/>
  <c r="E573" i="4"/>
  <c r="E572" i="4"/>
  <c r="E571" i="4"/>
  <c r="E570" i="4"/>
  <c r="E569" i="4"/>
  <c r="E568" i="4"/>
  <c r="E567" i="4"/>
  <c r="E566" i="4"/>
  <c r="E565" i="4"/>
  <c r="E564" i="4"/>
  <c r="E563" i="4"/>
  <c r="E562" i="4"/>
  <c r="E561" i="4"/>
  <c r="E560" i="4"/>
  <c r="E559" i="4"/>
  <c r="E558" i="4"/>
  <c r="E557" i="4"/>
  <c r="E556" i="4"/>
  <c r="E555" i="4"/>
  <c r="E554" i="4"/>
  <c r="E553" i="4"/>
  <c r="E552" i="4"/>
  <c r="E551" i="4"/>
  <c r="E550" i="4"/>
  <c r="E549" i="4"/>
  <c r="E548" i="4"/>
  <c r="E547" i="4"/>
  <c r="E546" i="4"/>
  <c r="E545" i="4"/>
  <c r="E544" i="4"/>
  <c r="E543" i="4"/>
  <c r="E542" i="4"/>
  <c r="E541" i="4"/>
  <c r="E540" i="4"/>
  <c r="E539" i="4"/>
  <c r="E538" i="4"/>
  <c r="E537" i="4"/>
  <c r="E536" i="4"/>
  <c r="E535" i="4"/>
  <c r="E534" i="4"/>
  <c r="E533" i="4"/>
  <c r="E532" i="4"/>
  <c r="E531" i="4"/>
  <c r="E530" i="4"/>
  <c r="E529" i="4"/>
  <c r="E528" i="4"/>
  <c r="E527" i="4"/>
  <c r="E526" i="4"/>
  <c r="E525" i="4"/>
  <c r="E524" i="4"/>
  <c r="E523" i="4"/>
  <c r="E522" i="4"/>
  <c r="E521" i="4"/>
  <c r="E520" i="4"/>
  <c r="E519" i="4"/>
  <c r="E518" i="4"/>
  <c r="E517" i="4"/>
  <c r="E516" i="4"/>
  <c r="E515" i="4"/>
  <c r="E514" i="4"/>
  <c r="E513" i="4"/>
  <c r="E512" i="4"/>
  <c r="E511" i="4"/>
  <c r="E510" i="4"/>
  <c r="E509" i="4"/>
  <c r="E508" i="4"/>
  <c r="E507" i="4"/>
  <c r="E506" i="4"/>
  <c r="E505" i="4"/>
  <c r="E504" i="4"/>
  <c r="E503" i="4"/>
  <c r="E502" i="4"/>
  <c r="E501" i="4"/>
  <c r="E500" i="4"/>
  <c r="E499" i="4"/>
  <c r="E498" i="4"/>
  <c r="E497" i="4"/>
  <c r="E496" i="4"/>
  <c r="E495" i="4"/>
  <c r="E494" i="4"/>
  <c r="E493" i="4"/>
  <c r="E492" i="4"/>
  <c r="E491" i="4"/>
  <c r="E490" i="4"/>
  <c r="E489" i="4"/>
  <c r="E488" i="4"/>
  <c r="E487" i="4"/>
  <c r="E486" i="4"/>
  <c r="E485" i="4"/>
  <c r="E484" i="4"/>
  <c r="E483" i="4"/>
  <c r="E482" i="4"/>
  <c r="E481" i="4"/>
  <c r="E480" i="4"/>
  <c r="E479" i="4"/>
  <c r="E478" i="4"/>
  <c r="E477" i="4"/>
  <c r="E476" i="4"/>
  <c r="E475" i="4"/>
  <c r="E474" i="4"/>
  <c r="E473" i="4"/>
  <c r="E472" i="4"/>
  <c r="E471" i="4"/>
  <c r="E470" i="4"/>
  <c r="E469" i="4"/>
  <c r="E468" i="4"/>
  <c r="E467" i="4"/>
  <c r="E466" i="4"/>
  <c r="E465" i="4"/>
  <c r="E464" i="4"/>
  <c r="E463" i="4"/>
  <c r="E462" i="4"/>
  <c r="E461" i="4"/>
  <c r="E460" i="4"/>
  <c r="E459" i="4"/>
  <c r="E458" i="4"/>
  <c r="E457" i="4"/>
  <c r="E456" i="4"/>
  <c r="E455" i="4"/>
  <c r="E454" i="4"/>
  <c r="E453" i="4"/>
  <c r="E452" i="4"/>
  <c r="E451" i="4"/>
  <c r="E450" i="4"/>
  <c r="E449" i="4"/>
  <c r="E448" i="4"/>
  <c r="E447" i="4"/>
  <c r="E446" i="4"/>
  <c r="E445" i="4"/>
  <c r="E444" i="4"/>
  <c r="E443" i="4"/>
  <c r="E442" i="4"/>
  <c r="E441" i="4"/>
  <c r="E440" i="4"/>
  <c r="E439" i="4"/>
  <c r="E438" i="4"/>
  <c r="E437" i="4"/>
  <c r="E436" i="4"/>
  <c r="E435" i="4"/>
  <c r="E434" i="4"/>
  <c r="E433" i="4"/>
  <c r="E432" i="4"/>
  <c r="E431" i="4"/>
  <c r="E430" i="4"/>
  <c r="E429" i="4"/>
  <c r="E428" i="4"/>
  <c r="E427" i="4"/>
  <c r="E426" i="4"/>
  <c r="E425" i="4"/>
  <c r="E424" i="4"/>
  <c r="E423" i="4"/>
  <c r="E422" i="4"/>
  <c r="E421" i="4"/>
  <c r="E420" i="4"/>
  <c r="E419" i="4"/>
  <c r="E418" i="4"/>
  <c r="E417" i="4"/>
  <c r="E416" i="4"/>
  <c r="E415" i="4"/>
  <c r="E414" i="4"/>
  <c r="E413" i="4"/>
  <c r="E412" i="4"/>
  <c r="E411" i="4"/>
  <c r="E410" i="4"/>
  <c r="E409" i="4"/>
  <c r="E408" i="4"/>
  <c r="E407" i="4"/>
  <c r="E406" i="4"/>
  <c r="E405" i="4"/>
  <c r="E404" i="4"/>
  <c r="E403" i="4"/>
  <c r="E402" i="4"/>
  <c r="E401" i="4"/>
  <c r="E400" i="4"/>
  <c r="E399" i="4"/>
  <c r="E398" i="4"/>
  <c r="E397" i="4"/>
  <c r="E396" i="4"/>
  <c r="E395" i="4"/>
  <c r="E394" i="4"/>
  <c r="E393" i="4"/>
  <c r="E392" i="4"/>
  <c r="E391" i="4"/>
  <c r="E390" i="4"/>
  <c r="E389" i="4"/>
  <c r="E388" i="4"/>
  <c r="E387" i="4"/>
  <c r="E386" i="4"/>
  <c r="E385" i="4"/>
  <c r="E384" i="4"/>
  <c r="E383" i="4"/>
  <c r="E382" i="4"/>
  <c r="E381" i="4"/>
  <c r="E380" i="4"/>
  <c r="E379" i="4"/>
  <c r="E378" i="4"/>
  <c r="E377" i="4"/>
  <c r="E376" i="4"/>
  <c r="E375" i="4"/>
  <c r="E374" i="4"/>
  <c r="E373" i="4"/>
  <c r="E372" i="4"/>
  <c r="E371" i="4"/>
  <c r="E370" i="4"/>
  <c r="E369" i="4"/>
  <c r="E368" i="4"/>
  <c r="E367" i="4"/>
  <c r="E366" i="4"/>
  <c r="E365" i="4"/>
  <c r="E364" i="4"/>
  <c r="E363" i="4"/>
  <c r="E362" i="4"/>
  <c r="E361" i="4"/>
  <c r="E360" i="4"/>
  <c r="E359" i="4"/>
  <c r="E358" i="4"/>
  <c r="E357" i="4"/>
  <c r="E356" i="4"/>
  <c r="E355" i="4"/>
  <c r="E354" i="4"/>
  <c r="E353" i="4"/>
  <c r="E352" i="4"/>
  <c r="E351" i="4"/>
  <c r="E350" i="4"/>
  <c r="E349" i="4"/>
  <c r="E348" i="4"/>
  <c r="E347" i="4"/>
  <c r="E346" i="4"/>
  <c r="E345" i="4"/>
  <c r="E344" i="4"/>
  <c r="E343" i="4"/>
  <c r="E342" i="4"/>
  <c r="E341" i="4"/>
  <c r="E340" i="4"/>
  <c r="E339" i="4"/>
  <c r="E338" i="4"/>
  <c r="E337" i="4"/>
  <c r="E336" i="4"/>
  <c r="E335" i="4"/>
  <c r="E334" i="4"/>
  <c r="E333" i="4"/>
  <c r="E332" i="4"/>
  <c r="E331" i="4"/>
  <c r="E330" i="4"/>
  <c r="E329" i="4"/>
  <c r="E328" i="4"/>
  <c r="E327" i="4"/>
  <c r="E326" i="4"/>
  <c r="E325" i="4"/>
  <c r="E324" i="4"/>
  <c r="E323" i="4"/>
  <c r="E322" i="4"/>
  <c r="E321" i="4"/>
  <c r="E320" i="4"/>
  <c r="E319" i="4"/>
  <c r="E318" i="4"/>
  <c r="E317" i="4"/>
  <c r="E316" i="4"/>
  <c r="E315" i="4"/>
  <c r="E314" i="4"/>
  <c r="E313" i="4"/>
  <c r="E312" i="4"/>
  <c r="E311" i="4"/>
  <c r="E310" i="4"/>
  <c r="E309" i="4"/>
  <c r="E308" i="4"/>
  <c r="E307" i="4"/>
  <c r="E306" i="4"/>
  <c r="E305" i="4"/>
  <c r="E304" i="4"/>
  <c r="E303" i="4"/>
  <c r="E302" i="4"/>
  <c r="E301" i="4"/>
  <c r="E300" i="4"/>
  <c r="E299" i="4"/>
  <c r="E298" i="4"/>
  <c r="E297" i="4"/>
  <c r="E296" i="4"/>
  <c r="E295" i="4"/>
  <c r="E294" i="4"/>
  <c r="E293" i="4"/>
  <c r="E292" i="4"/>
  <c r="E291" i="4"/>
  <c r="E290" i="4"/>
  <c r="E289" i="4"/>
  <c r="E288" i="4"/>
  <c r="E287" i="4"/>
  <c r="E286" i="4"/>
  <c r="E285" i="4"/>
  <c r="E284" i="4"/>
  <c r="E283" i="4"/>
  <c r="E282" i="4"/>
  <c r="E281" i="4"/>
  <c r="E280" i="4"/>
  <c r="E279" i="4"/>
  <c r="E278" i="4"/>
  <c r="E277" i="4"/>
  <c r="E276" i="4"/>
  <c r="E275" i="4"/>
  <c r="E274" i="4"/>
  <c r="E273" i="4"/>
  <c r="E272" i="4"/>
  <c r="E271" i="4"/>
  <c r="E270" i="4"/>
  <c r="E269" i="4"/>
  <c r="E268" i="4"/>
  <c r="E267" i="4"/>
  <c r="E266" i="4"/>
  <c r="E265" i="4"/>
  <c r="E264" i="4"/>
  <c r="E263" i="4"/>
  <c r="E262" i="4"/>
  <c r="E261" i="4"/>
  <c r="E260" i="4"/>
  <c r="E259" i="4"/>
  <c r="E258" i="4"/>
  <c r="E257" i="4"/>
  <c r="E256" i="4"/>
  <c r="E255" i="4"/>
  <c r="E254" i="4"/>
  <c r="E253" i="4"/>
  <c r="E252" i="4"/>
  <c r="E251" i="4"/>
  <c r="E250" i="4"/>
  <c r="E249" i="4"/>
  <c r="E248" i="4"/>
  <c r="E247" i="4"/>
  <c r="E246" i="4"/>
  <c r="E245" i="4"/>
  <c r="E244" i="4"/>
  <c r="E243" i="4"/>
  <c r="E242" i="4"/>
  <c r="E241" i="4"/>
  <c r="E240" i="4"/>
  <c r="E239" i="4"/>
  <c r="E238" i="4"/>
  <c r="E237" i="4"/>
  <c r="E236" i="4"/>
  <c r="E235" i="4"/>
  <c r="E234" i="4"/>
  <c r="E233" i="4"/>
  <c r="E232" i="4"/>
  <c r="E231" i="4"/>
  <c r="E230" i="4"/>
  <c r="E229" i="4"/>
  <c r="E228" i="4"/>
  <c r="E227" i="4"/>
  <c r="E226" i="4"/>
  <c r="E225" i="4"/>
  <c r="E224" i="4"/>
  <c r="E223" i="4"/>
  <c r="E222" i="4"/>
  <c r="E221" i="4"/>
  <c r="E220" i="4"/>
  <c r="E219" i="4"/>
  <c r="E218" i="4"/>
  <c r="E217" i="4"/>
  <c r="E216" i="4"/>
  <c r="E215" i="4"/>
  <c r="E214" i="4"/>
  <c r="E213" i="4"/>
  <c r="E212" i="4"/>
  <c r="E211" i="4"/>
  <c r="E210" i="4"/>
  <c r="E209" i="4"/>
  <c r="E208" i="4"/>
  <c r="E207" i="4"/>
  <c r="E206" i="4"/>
  <c r="E205" i="4"/>
  <c r="E204" i="4"/>
  <c r="E203" i="4"/>
  <c r="E202" i="4"/>
  <c r="E201" i="4"/>
  <c r="E200" i="4"/>
  <c r="E199" i="4"/>
  <c r="E198" i="4"/>
  <c r="E197" i="4"/>
  <c r="E196" i="4"/>
  <c r="E195" i="4"/>
  <c r="E194" i="4"/>
  <c r="E193" i="4"/>
  <c r="E192" i="4"/>
  <c r="E191" i="4"/>
  <c r="E190" i="4"/>
  <c r="E189" i="4"/>
  <c r="E188" i="4"/>
  <c r="E187" i="4"/>
  <c r="E186" i="4"/>
  <c r="E185" i="4"/>
  <c r="E184" i="4"/>
  <c r="E183" i="4"/>
  <c r="E182" i="4"/>
  <c r="E181" i="4"/>
  <c r="E180" i="4"/>
  <c r="E179" i="4"/>
  <c r="E178" i="4"/>
  <c r="E177" i="4"/>
  <c r="E176" i="4"/>
  <c r="E175" i="4"/>
  <c r="E174" i="4"/>
  <c r="E173" i="4"/>
  <c r="E172" i="4"/>
  <c r="E171" i="4"/>
  <c r="E170" i="4"/>
  <c r="E169" i="4"/>
  <c r="E168" i="4"/>
  <c r="E167" i="4"/>
  <c r="E166" i="4"/>
  <c r="E165" i="4"/>
  <c r="E164" i="4"/>
  <c r="E163" i="4"/>
  <c r="E162" i="4"/>
  <c r="E161" i="4"/>
  <c r="E160" i="4"/>
  <c r="E159" i="4"/>
  <c r="E158" i="4"/>
  <c r="E157" i="4"/>
  <c r="E156" i="4"/>
  <c r="E155" i="4"/>
  <c r="E154" i="4"/>
  <c r="E153" i="4"/>
  <c r="E152" i="4"/>
  <c r="E151" i="4"/>
  <c r="E150" i="4"/>
  <c r="E149" i="4"/>
  <c r="E148" i="4"/>
  <c r="E147" i="4"/>
  <c r="E146" i="4"/>
  <c r="E145" i="4"/>
  <c r="E144" i="4"/>
  <c r="E143" i="4"/>
  <c r="E142" i="4"/>
  <c r="E141" i="4"/>
  <c r="E140" i="4"/>
  <c r="E139" i="4"/>
  <c r="E138" i="4"/>
  <c r="E137" i="4"/>
  <c r="E136" i="4"/>
  <c r="E135" i="4"/>
  <c r="E134" i="4"/>
  <c r="E133" i="4"/>
  <c r="E132" i="4"/>
  <c r="E131" i="4"/>
  <c r="E130" i="4"/>
  <c r="E129" i="4"/>
  <c r="E128" i="4"/>
  <c r="E127" i="4"/>
  <c r="E126" i="4"/>
  <c r="E125" i="4"/>
  <c r="E124" i="4"/>
  <c r="E123" i="4"/>
  <c r="E122" i="4"/>
  <c r="E121" i="4"/>
  <c r="E120" i="4"/>
  <c r="E119" i="4"/>
  <c r="E118" i="4"/>
  <c r="E117" i="4"/>
  <c r="E116" i="4"/>
  <c r="E115" i="4"/>
  <c r="E114" i="4"/>
  <c r="E113" i="4"/>
  <c r="E112" i="4"/>
  <c r="E111" i="4"/>
  <c r="E110" i="4"/>
  <c r="E109" i="4"/>
  <c r="E108" i="4"/>
  <c r="E107" i="4"/>
  <c r="E106" i="4"/>
  <c r="E105" i="4"/>
  <c r="E104" i="4"/>
  <c r="E103" i="4"/>
  <c r="E102" i="4"/>
  <c r="E101" i="4"/>
  <c r="E100" i="4"/>
  <c r="E99" i="4"/>
  <c r="E98" i="4"/>
  <c r="E97" i="4"/>
  <c r="E96" i="4"/>
  <c r="E95" i="4"/>
  <c r="E94" i="4"/>
  <c r="E93" i="4"/>
  <c r="E92" i="4"/>
  <c r="E91" i="4"/>
  <c r="E90" i="4"/>
  <c r="E89" i="4"/>
  <c r="E88" i="4"/>
  <c r="E87" i="4"/>
  <c r="E86" i="4"/>
  <c r="E85" i="4"/>
  <c r="E84" i="4"/>
  <c r="E83" i="4"/>
  <c r="E82" i="4"/>
  <c r="E81" i="4"/>
  <c r="E80" i="4"/>
  <c r="E79" i="4"/>
  <c r="E78" i="4"/>
  <c r="E77" i="4"/>
  <c r="E76" i="4"/>
  <c r="E75" i="4"/>
  <c r="E74" i="4"/>
  <c r="E73" i="4"/>
  <c r="E72" i="4"/>
  <c r="E71" i="4"/>
  <c r="E70" i="4"/>
  <c r="E69" i="4"/>
  <c r="E68" i="4"/>
  <c r="E67" i="4"/>
  <c r="E66" i="4"/>
  <c r="E65" i="4"/>
  <c r="E64" i="4"/>
  <c r="E63" i="4"/>
  <c r="E62" i="4"/>
  <c r="E61" i="4"/>
  <c r="E60" i="4"/>
  <c r="E59" i="4"/>
  <c r="E58" i="4"/>
  <c r="E57" i="4"/>
  <c r="E56" i="4"/>
  <c r="E55" i="4"/>
  <c r="E54" i="4"/>
  <c r="E53" i="4"/>
  <c r="E52" i="4"/>
  <c r="E51" i="4"/>
  <c r="E50" i="4"/>
  <c r="E49" i="4"/>
  <c r="E48" i="4"/>
  <c r="E47" i="4"/>
  <c r="E46" i="4"/>
  <c r="E45" i="4"/>
  <c r="E1644" i="1"/>
  <c r="E1643" i="1"/>
  <c r="E1642" i="1"/>
  <c r="E1641" i="1"/>
  <c r="E1640" i="1"/>
  <c r="E1639" i="1"/>
  <c r="E1638" i="1"/>
  <c r="E1637" i="1"/>
  <c r="E1636" i="1"/>
  <c r="E1635" i="1"/>
  <c r="E1634" i="1"/>
  <c r="E1633" i="1"/>
  <c r="E1632" i="1"/>
  <c r="E1631" i="1"/>
  <c r="E1630" i="1"/>
  <c r="E1629" i="1"/>
  <c r="E1628" i="1"/>
  <c r="E1627" i="1"/>
  <c r="E1626" i="1"/>
  <c r="E1625" i="1"/>
  <c r="E1624" i="1"/>
  <c r="E1623" i="1"/>
  <c r="E1622" i="1"/>
  <c r="E1621" i="1"/>
  <c r="E1620" i="1"/>
  <c r="E1619" i="1"/>
  <c r="E1618" i="1"/>
  <c r="E1617" i="1"/>
  <c r="E1616" i="1"/>
  <c r="E1615" i="1"/>
  <c r="E1614" i="1"/>
  <c r="E1613" i="1"/>
  <c r="E1612" i="1"/>
  <c r="E1611" i="1"/>
  <c r="E1610" i="1"/>
  <c r="E1609" i="1"/>
  <c r="E1608" i="1"/>
  <c r="E1607" i="1"/>
  <c r="E1606" i="1"/>
  <c r="E1605" i="1"/>
  <c r="E1604" i="1"/>
  <c r="E1603" i="1"/>
  <c r="E1602" i="1"/>
  <c r="E1601" i="1"/>
  <c r="E1600" i="1"/>
  <c r="E1599" i="1"/>
  <c r="E1598" i="1"/>
  <c r="E1597" i="1"/>
  <c r="E1596" i="1"/>
  <c r="E1595" i="1"/>
  <c r="E1594" i="1"/>
  <c r="E1593" i="1"/>
  <c r="E1592" i="1"/>
  <c r="E1591" i="1"/>
  <c r="E1590" i="1"/>
  <c r="E1589" i="1"/>
  <c r="E1588" i="1"/>
  <c r="E1587" i="1"/>
  <c r="E1586" i="1"/>
  <c r="E1585" i="1"/>
  <c r="E1584" i="1"/>
  <c r="E1583" i="1"/>
  <c r="E1582" i="1"/>
  <c r="E1581" i="1"/>
  <c r="E1580" i="1"/>
  <c r="E1579" i="1"/>
  <c r="E1578" i="1"/>
  <c r="E1577" i="1"/>
  <c r="E1576" i="1"/>
  <c r="E1575" i="1"/>
  <c r="E1574" i="1"/>
  <c r="E1573" i="1"/>
  <c r="E1572" i="1"/>
  <c r="E1571" i="1"/>
  <c r="E1570" i="1"/>
  <c r="E1569" i="1"/>
  <c r="E1568" i="1"/>
  <c r="E1567" i="1"/>
  <c r="E1566" i="1"/>
  <c r="E1565" i="1"/>
  <c r="E1564" i="1"/>
  <c r="E1563" i="1"/>
  <c r="E1562" i="1"/>
  <c r="E1561" i="1"/>
  <c r="E1560" i="1"/>
  <c r="E1559" i="1"/>
  <c r="E1558" i="1"/>
  <c r="E1557" i="1"/>
  <c r="E1556" i="1"/>
  <c r="E1555" i="1"/>
  <c r="E1554" i="1"/>
  <c r="E1553" i="1"/>
  <c r="E1552" i="1"/>
  <c r="E1551" i="1"/>
  <c r="E1550" i="1"/>
  <c r="E1549" i="1"/>
  <c r="E1548" i="1"/>
  <c r="E1547" i="1"/>
  <c r="E1546" i="1"/>
  <c r="E1545" i="1"/>
  <c r="E1544" i="1"/>
  <c r="E1543" i="1"/>
  <c r="E1542" i="1"/>
  <c r="E1541" i="1"/>
  <c r="E1540" i="1"/>
  <c r="E1539" i="1"/>
  <c r="E1538" i="1"/>
  <c r="E1537" i="1"/>
  <c r="E1536" i="1"/>
  <c r="E1535" i="1"/>
  <c r="E1534" i="1"/>
  <c r="E1533" i="1"/>
  <c r="E1532" i="1"/>
  <c r="E1531" i="1"/>
  <c r="E1530" i="1"/>
  <c r="E1529" i="1"/>
  <c r="E1528" i="1"/>
  <c r="E1527" i="1"/>
  <c r="E1526" i="1"/>
  <c r="E1525" i="1"/>
  <c r="E1524" i="1"/>
  <c r="E1523" i="1"/>
  <c r="E1522" i="1"/>
  <c r="E1521" i="1"/>
  <c r="E1520" i="1"/>
  <c r="E1519" i="1"/>
  <c r="E1518" i="1"/>
  <c r="E1517" i="1"/>
  <c r="E1516" i="1"/>
  <c r="E1515" i="1"/>
  <c r="E1514" i="1"/>
  <c r="E1513" i="1"/>
  <c r="E1512" i="1"/>
  <c r="E1511" i="1"/>
  <c r="E1510" i="1"/>
  <c r="E1509" i="1"/>
  <c r="E1508" i="1"/>
  <c r="E1507" i="1"/>
  <c r="E1506" i="1"/>
  <c r="E1505" i="1"/>
  <c r="E1504" i="1"/>
  <c r="E1503" i="1"/>
  <c r="E1502" i="1"/>
  <c r="E1501" i="1"/>
  <c r="E1500" i="1"/>
  <c r="E1499" i="1"/>
  <c r="E1498" i="1"/>
  <c r="E1497" i="1"/>
  <c r="E1496" i="1"/>
  <c r="E1495" i="1"/>
  <c r="E1494" i="1"/>
  <c r="E1493" i="1"/>
  <c r="E1492" i="1"/>
  <c r="E1491" i="1"/>
  <c r="E1490" i="1"/>
  <c r="E1489" i="1"/>
  <c r="E1488" i="1"/>
  <c r="E1487" i="1"/>
  <c r="E1486" i="1"/>
  <c r="E1485" i="1"/>
  <c r="E1484" i="1"/>
  <c r="E1483" i="1"/>
  <c r="E1482" i="1"/>
  <c r="E1481" i="1"/>
  <c r="E1480" i="1"/>
  <c r="E1479" i="1"/>
  <c r="E1478" i="1"/>
  <c r="E1477" i="1"/>
  <c r="E1476" i="1"/>
  <c r="E1475" i="1"/>
  <c r="E1474" i="1"/>
  <c r="E1473" i="1"/>
  <c r="E1472" i="1"/>
  <c r="E1471" i="1"/>
  <c r="E1470" i="1"/>
  <c r="E1469" i="1"/>
  <c r="E1468" i="1"/>
  <c r="E1467" i="1"/>
  <c r="E1466" i="1"/>
  <c r="E1465" i="1"/>
  <c r="E1464" i="1"/>
  <c r="E1463" i="1"/>
  <c r="E1462" i="1"/>
  <c r="E1461" i="1"/>
  <c r="E1460" i="1"/>
  <c r="E1459" i="1"/>
  <c r="E1458" i="1"/>
  <c r="E1457" i="1"/>
  <c r="E1456" i="1"/>
  <c r="E1455" i="1"/>
  <c r="E1454" i="1"/>
  <c r="E1453" i="1"/>
  <c r="E1452" i="1"/>
  <c r="E1451" i="1"/>
  <c r="E1450" i="1"/>
  <c r="E1449" i="1"/>
  <c r="E1448" i="1"/>
  <c r="E1447" i="1"/>
  <c r="E1446" i="1"/>
  <c r="E1445" i="1"/>
  <c r="E1444" i="1"/>
  <c r="E1443" i="1"/>
  <c r="E1442" i="1"/>
  <c r="E1441" i="1"/>
  <c r="E1440" i="1"/>
  <c r="E1439" i="1"/>
  <c r="E1438" i="1"/>
  <c r="E1437" i="1"/>
  <c r="E1436" i="1"/>
  <c r="E1435" i="1"/>
  <c r="E1434" i="1"/>
  <c r="E1433" i="1"/>
  <c r="E1432" i="1"/>
  <c r="E1431" i="1"/>
  <c r="E1430" i="1"/>
  <c r="E1429" i="1"/>
  <c r="E1428" i="1"/>
  <c r="E1427" i="1"/>
  <c r="E1426" i="1"/>
  <c r="E1425" i="1"/>
  <c r="E1424" i="1"/>
  <c r="E1423" i="1"/>
  <c r="E1422" i="1"/>
  <c r="E1421" i="1"/>
  <c r="E1420" i="1"/>
  <c r="E1419" i="1"/>
  <c r="E1418" i="1"/>
  <c r="E1417" i="1"/>
  <c r="E1416" i="1"/>
  <c r="E1415" i="1"/>
  <c r="E1414" i="1"/>
  <c r="E1413" i="1"/>
  <c r="E1412" i="1"/>
  <c r="E1411" i="1"/>
  <c r="E1410" i="1"/>
  <c r="E1409" i="1"/>
  <c r="E1408" i="1"/>
  <c r="E1407" i="1"/>
  <c r="E1406" i="1"/>
  <c r="E1405" i="1"/>
  <c r="E1404" i="1"/>
  <c r="E1403" i="1"/>
  <c r="E1402" i="1"/>
  <c r="E1401" i="1"/>
  <c r="E1400" i="1"/>
  <c r="E1399" i="1"/>
  <c r="E1398" i="1"/>
  <c r="E1397" i="1"/>
  <c r="E1396" i="1"/>
  <c r="E1395" i="1"/>
  <c r="E1394" i="1"/>
  <c r="E1393" i="1"/>
  <c r="E1392" i="1"/>
  <c r="E1391" i="1"/>
  <c r="E1390" i="1"/>
  <c r="E1389" i="1"/>
  <c r="E1388" i="1"/>
  <c r="E1387" i="1"/>
  <c r="E1386" i="1"/>
  <c r="E1385" i="1"/>
  <c r="E1384" i="1"/>
  <c r="E1383" i="1"/>
  <c r="E1382" i="1"/>
  <c r="E1381" i="1"/>
  <c r="E1380" i="1"/>
  <c r="E1379" i="1"/>
  <c r="E1378" i="1"/>
  <c r="E1377" i="1"/>
  <c r="E1376" i="1"/>
  <c r="E1375" i="1"/>
  <c r="E1374" i="1"/>
  <c r="E1373" i="1"/>
  <c r="E1372" i="1"/>
  <c r="E1371" i="1"/>
  <c r="E1370" i="1"/>
  <c r="E1369" i="1"/>
  <c r="E1368" i="1"/>
  <c r="E1367" i="1"/>
  <c r="E1366" i="1"/>
  <c r="E1365" i="1"/>
  <c r="E1364" i="1"/>
  <c r="E1363" i="1"/>
  <c r="E1362" i="1"/>
  <c r="E1361" i="1"/>
  <c r="E1360" i="1"/>
  <c r="E1359" i="1"/>
  <c r="E1358" i="1"/>
  <c r="E1357" i="1"/>
  <c r="E1356" i="1"/>
  <c r="E1355" i="1"/>
  <c r="E1354" i="1"/>
  <c r="E1353" i="1"/>
  <c r="E1352" i="1"/>
  <c r="E1351" i="1"/>
  <c r="E1350" i="1"/>
  <c r="E1349" i="1"/>
  <c r="E1348" i="1"/>
  <c r="E1347" i="1"/>
  <c r="E1346" i="1"/>
  <c r="E1345" i="1"/>
  <c r="E1344" i="1"/>
  <c r="E1343" i="1"/>
  <c r="E1342" i="1"/>
  <c r="E1341" i="1"/>
  <c r="E1340" i="1"/>
  <c r="E1339" i="1"/>
  <c r="E1338" i="1"/>
  <c r="E1337" i="1"/>
  <c r="E1336" i="1"/>
  <c r="E1335" i="1"/>
  <c r="E1334" i="1"/>
  <c r="E1333" i="1"/>
  <c r="E1332" i="1"/>
  <c r="E1331" i="1"/>
  <c r="E1330" i="1"/>
  <c r="E1329" i="1"/>
  <c r="E1328" i="1"/>
  <c r="E1327" i="1"/>
  <c r="E1326" i="1"/>
  <c r="E1325" i="1"/>
  <c r="E1324" i="1"/>
  <c r="E1323" i="1"/>
  <c r="E1322" i="1"/>
  <c r="E1321" i="1"/>
  <c r="E1320" i="1"/>
  <c r="E1319" i="1"/>
  <c r="E1318" i="1"/>
  <c r="E1317" i="1"/>
  <c r="E1316" i="1"/>
  <c r="E1315" i="1"/>
  <c r="E1314" i="1"/>
  <c r="E1313" i="1"/>
  <c r="E1312" i="1"/>
  <c r="E1311" i="1"/>
  <c r="E1310" i="1"/>
  <c r="E1309" i="1"/>
  <c r="E1308" i="1"/>
  <c r="E1307" i="1"/>
  <c r="E1306" i="1"/>
  <c r="E1305" i="1"/>
  <c r="E1304" i="1"/>
  <c r="E1303" i="1"/>
  <c r="E1302" i="1"/>
  <c r="E1301" i="1"/>
  <c r="E1300" i="1"/>
  <c r="E1299" i="1"/>
  <c r="E1298" i="1"/>
  <c r="E1297" i="1"/>
  <c r="E1296" i="1"/>
  <c r="E1295" i="1"/>
  <c r="E1294" i="1"/>
  <c r="E1293" i="1"/>
  <c r="E1292" i="1"/>
  <c r="E1291" i="1"/>
  <c r="E1290" i="1"/>
  <c r="E1289" i="1"/>
  <c r="E1288" i="1"/>
  <c r="E1287" i="1"/>
  <c r="E1286" i="1"/>
  <c r="E1285" i="1"/>
  <c r="E1284" i="1"/>
  <c r="E1283" i="1"/>
  <c r="E1282" i="1"/>
  <c r="E1281" i="1"/>
  <c r="E1280" i="1"/>
  <c r="E1279" i="1"/>
  <c r="E1278" i="1"/>
  <c r="E1277" i="1"/>
  <c r="E1276" i="1"/>
  <c r="E1275" i="1"/>
  <c r="E1274" i="1"/>
  <c r="E1273" i="1"/>
  <c r="E1272" i="1"/>
  <c r="E1271" i="1"/>
  <c r="E1270" i="1"/>
  <c r="E1269" i="1"/>
  <c r="E1268" i="1"/>
  <c r="E1267" i="1"/>
  <c r="E1266" i="1"/>
  <c r="E1265" i="1"/>
  <c r="E1264" i="1"/>
  <c r="E1263" i="1"/>
  <c r="E1262" i="1"/>
  <c r="E1261" i="1"/>
  <c r="E1260" i="1"/>
  <c r="E1259" i="1"/>
  <c r="E1258" i="1"/>
  <c r="E1257" i="1"/>
  <c r="E1256" i="1"/>
  <c r="E1255" i="1"/>
  <c r="E1254" i="1"/>
  <c r="E1253" i="1"/>
  <c r="E1252" i="1"/>
  <c r="E1251" i="1"/>
  <c r="E1250" i="1"/>
  <c r="E1249" i="1"/>
  <c r="E1248" i="1"/>
  <c r="E1247" i="1"/>
  <c r="E1246" i="1"/>
  <c r="E1245" i="1"/>
  <c r="E1244" i="1"/>
  <c r="E1243" i="1"/>
  <c r="E1242" i="1"/>
  <c r="E1241" i="1"/>
  <c r="E1240" i="1"/>
  <c r="E1239" i="1"/>
  <c r="E1238" i="1"/>
  <c r="E1237" i="1"/>
  <c r="E1236" i="1"/>
  <c r="E1235" i="1"/>
  <c r="E1234" i="1"/>
  <c r="E1233" i="1"/>
  <c r="E1232" i="1"/>
  <c r="E1231" i="1"/>
  <c r="E1230" i="1"/>
  <c r="E1229" i="1"/>
  <c r="E1228" i="1"/>
  <c r="E1227" i="1"/>
  <c r="E1226" i="1"/>
  <c r="E1225" i="1"/>
  <c r="E1224" i="1"/>
  <c r="E1223" i="1"/>
  <c r="E1222" i="1"/>
  <c r="E1221" i="1"/>
  <c r="E1220" i="1"/>
  <c r="E1219" i="1"/>
  <c r="E1218" i="1"/>
  <c r="E1217" i="1"/>
  <c r="E1216" i="1"/>
  <c r="E1215" i="1"/>
  <c r="E1214" i="1"/>
  <c r="E1213" i="1"/>
  <c r="E1212" i="1"/>
  <c r="E1211" i="1"/>
  <c r="E1210" i="1"/>
  <c r="E1209" i="1"/>
  <c r="E1208" i="1"/>
  <c r="E1207" i="1"/>
  <c r="E1206" i="1"/>
  <c r="E1205" i="1"/>
  <c r="E1204" i="1"/>
  <c r="E1203" i="1"/>
  <c r="E1202" i="1"/>
  <c r="E1201" i="1"/>
  <c r="E1200" i="1"/>
  <c r="E1199" i="1"/>
  <c r="E1198" i="1"/>
  <c r="E1197" i="1"/>
  <c r="E1196" i="1"/>
  <c r="E1195" i="1"/>
  <c r="E1194" i="1"/>
  <c r="E1193" i="1"/>
  <c r="E1192" i="1"/>
  <c r="E1190" i="1"/>
  <c r="E1189" i="1"/>
  <c r="E1188" i="1"/>
  <c r="E1187" i="1"/>
  <c r="E1186" i="1"/>
  <c r="E1185" i="1"/>
  <c r="E1184" i="1"/>
  <c r="E1183" i="1"/>
  <c r="E1182" i="1"/>
  <c r="E1181" i="1"/>
  <c r="E1180" i="1"/>
  <c r="E1179" i="1"/>
  <c r="E1178" i="1"/>
  <c r="E1177" i="1"/>
  <c r="E1176" i="1"/>
  <c r="E1175" i="1"/>
  <c r="E1174" i="1"/>
  <c r="E1173" i="1"/>
  <c r="E1172" i="1"/>
  <c r="E1171" i="1"/>
  <c r="E1170" i="1"/>
  <c r="E1169" i="1"/>
  <c r="E1168" i="1"/>
  <c r="E1167" i="1"/>
  <c r="E1166" i="1"/>
  <c r="E1165" i="1"/>
  <c r="E1164" i="1"/>
  <c r="E1163" i="1"/>
  <c r="E1162" i="1"/>
  <c r="E1161" i="1"/>
  <c r="E1160" i="1"/>
  <c r="E1159" i="1"/>
  <c r="E1158" i="1"/>
  <c r="E1157" i="1"/>
  <c r="E1156" i="1"/>
  <c r="E1155" i="1"/>
  <c r="E1154" i="1"/>
  <c r="E1153" i="1"/>
  <c r="E1152" i="1"/>
  <c r="E1151" i="1"/>
  <c r="E1150" i="1"/>
  <c r="E1149" i="1"/>
  <c r="E1148" i="1"/>
  <c r="E1147" i="1"/>
  <c r="E1146" i="1"/>
  <c r="E1145" i="1"/>
  <c r="E1144" i="1"/>
  <c r="E1143" i="1"/>
  <c r="E1142" i="1"/>
  <c r="E1141" i="1"/>
  <c r="E1140" i="1"/>
  <c r="E1139" i="1"/>
  <c r="E1138" i="1"/>
  <c r="E1137" i="1"/>
  <c r="E1136" i="1"/>
  <c r="E1135" i="1"/>
  <c r="E1134" i="1"/>
  <c r="E1133" i="1"/>
  <c r="E1132" i="1"/>
  <c r="E1131" i="1"/>
  <c r="E1130" i="1"/>
  <c r="E1129" i="1"/>
  <c r="E1128" i="1"/>
  <c r="E1127" i="1"/>
  <c r="E1126" i="1"/>
  <c r="E1125" i="1"/>
  <c r="E1124" i="1"/>
  <c r="E1123" i="1"/>
  <c r="E1122" i="1"/>
  <c r="E1121" i="1"/>
  <c r="E1120" i="1"/>
  <c r="E1119" i="1"/>
  <c r="E1118" i="1"/>
  <c r="E1117" i="1"/>
  <c r="E1116" i="1"/>
  <c r="E1115" i="1"/>
  <c r="E1114" i="1"/>
  <c r="E1113" i="1"/>
  <c r="E1112" i="1"/>
  <c r="E1111" i="1"/>
  <c r="E1110" i="1"/>
  <c r="E1109" i="1"/>
  <c r="E1108" i="1"/>
  <c r="E1107" i="1"/>
  <c r="E1106" i="1"/>
  <c r="E1105" i="1"/>
  <c r="E1104" i="1"/>
  <c r="E1103" i="1"/>
  <c r="E1102" i="1"/>
  <c r="E1101" i="1"/>
  <c r="E1100" i="1"/>
  <c r="E1099" i="1"/>
  <c r="E1098" i="1"/>
  <c r="E1097" i="1"/>
  <c r="E1096" i="1"/>
  <c r="E1095" i="1"/>
  <c r="E1094" i="1"/>
  <c r="E1093" i="1"/>
  <c r="E1092" i="1"/>
  <c r="E1091" i="1"/>
  <c r="E1090" i="1"/>
  <c r="E1089" i="1"/>
  <c r="E1088" i="1"/>
  <c r="E1087" i="1"/>
  <c r="E1086" i="1"/>
  <c r="E1085" i="1"/>
  <c r="E1084" i="1"/>
  <c r="E1083" i="1"/>
  <c r="E1082" i="1"/>
  <c r="E1081" i="1"/>
  <c r="E1080" i="1"/>
  <c r="E1079" i="1"/>
  <c r="E1078" i="1"/>
  <c r="E1077" i="1"/>
  <c r="E1076" i="1"/>
  <c r="E1075" i="1"/>
  <c r="E1074" i="1"/>
  <c r="E1073" i="1"/>
  <c r="E1072" i="1"/>
  <c r="E1071" i="1"/>
  <c r="E1070" i="1"/>
  <c r="E1069" i="1"/>
  <c r="E1068" i="1"/>
  <c r="E1067" i="1"/>
  <c r="E1066" i="1"/>
  <c r="E1065" i="1"/>
  <c r="E1064" i="1"/>
  <c r="E1063" i="1"/>
  <c r="E1062" i="1"/>
  <c r="E1061" i="1"/>
  <c r="E1060" i="1"/>
  <c r="E1059" i="1"/>
  <c r="E1058" i="1"/>
  <c r="E1057" i="1"/>
  <c r="E1056" i="1"/>
  <c r="E1055" i="1"/>
  <c r="E1054" i="1"/>
  <c r="E1053" i="1"/>
  <c r="E1052" i="1"/>
  <c r="E1051" i="1"/>
  <c r="E1050" i="1"/>
  <c r="E1049" i="1"/>
  <c r="E1048" i="1"/>
  <c r="E1047" i="1"/>
  <c r="E1046" i="1"/>
  <c r="E1045" i="1"/>
  <c r="E1044" i="1"/>
  <c r="E1043" i="1"/>
  <c r="E1042" i="1"/>
  <c r="E1041" i="1"/>
  <c r="E1040" i="1"/>
  <c r="E1039" i="1"/>
  <c r="E1038" i="1"/>
  <c r="E1037" i="1"/>
  <c r="E1036" i="1"/>
  <c r="E1035" i="1"/>
  <c r="E1034" i="1"/>
  <c r="E1033" i="1"/>
  <c r="E1032" i="1"/>
  <c r="E1031" i="1"/>
  <c r="E1030" i="1"/>
  <c r="E1029" i="1"/>
  <c r="E1028" i="1"/>
  <c r="E1027" i="1"/>
  <c r="E1026" i="1"/>
  <c r="E1025" i="1"/>
  <c r="E1024" i="1"/>
  <c r="E1023" i="1"/>
  <c r="E1022" i="1"/>
  <c r="E1021" i="1"/>
  <c r="E1020" i="1"/>
  <c r="E1019" i="1"/>
  <c r="E1018" i="1"/>
  <c r="E1017" i="1"/>
  <c r="E1016" i="1"/>
  <c r="E1015" i="1"/>
  <c r="E1014" i="1"/>
  <c r="E1013" i="1"/>
  <c r="E1012" i="1"/>
  <c r="E1011" i="1"/>
  <c r="E1010" i="1"/>
  <c r="E1009" i="1"/>
  <c r="E1008" i="1"/>
  <c r="E1007" i="1"/>
  <c r="E1006" i="1"/>
  <c r="E1005" i="1"/>
  <c r="E1004" i="1"/>
  <c r="E1003" i="1"/>
  <c r="E1002" i="1"/>
  <c r="E1001" i="1"/>
  <c r="E1000" i="1"/>
  <c r="E999" i="1"/>
  <c r="E998" i="1"/>
  <c r="E997" i="1"/>
  <c r="E996" i="1"/>
  <c r="E995" i="1"/>
  <c r="E994" i="1"/>
  <c r="E993" i="1"/>
  <c r="E992" i="1"/>
  <c r="E991" i="1"/>
  <c r="E990" i="1"/>
  <c r="E989" i="1"/>
  <c r="E988" i="1"/>
  <c r="E987" i="1"/>
  <c r="E986" i="1"/>
  <c r="E985" i="1"/>
  <c r="E984" i="1"/>
  <c r="E983" i="1"/>
  <c r="E982" i="1"/>
  <c r="E981" i="1"/>
  <c r="E980" i="1"/>
  <c r="E979" i="1"/>
  <c r="E978" i="1"/>
  <c r="E977" i="1"/>
  <c r="E976" i="1"/>
  <c r="E975" i="1"/>
  <c r="E974" i="1"/>
  <c r="E973" i="1"/>
  <c r="E972" i="1"/>
  <c r="E971" i="1"/>
  <c r="E970" i="1"/>
  <c r="E969" i="1"/>
  <c r="E968" i="1"/>
  <c r="E967" i="1"/>
  <c r="E966" i="1"/>
  <c r="E965" i="1"/>
  <c r="E964" i="1"/>
  <c r="E963" i="1"/>
  <c r="E962" i="1"/>
  <c r="E961" i="1"/>
  <c r="E960" i="1"/>
  <c r="E959" i="1"/>
  <c r="E958" i="1"/>
  <c r="E957" i="1"/>
  <c r="E956" i="1"/>
  <c r="E955" i="1"/>
  <c r="E954" i="1"/>
  <c r="E953" i="1"/>
  <c r="E952" i="1"/>
  <c r="E951" i="1"/>
  <c r="E950" i="1"/>
  <c r="E949" i="1"/>
  <c r="E948" i="1"/>
  <c r="E947" i="1"/>
  <c r="E946" i="1"/>
  <c r="E945" i="1"/>
  <c r="E944" i="1"/>
  <c r="E943" i="1"/>
  <c r="E942" i="1"/>
  <c r="E941" i="1"/>
  <c r="E940" i="1"/>
  <c r="E939" i="1"/>
  <c r="E938" i="1"/>
  <c r="E937" i="1"/>
  <c r="E936" i="1"/>
  <c r="E935" i="1"/>
  <c r="E934" i="1"/>
  <c r="E933" i="1"/>
  <c r="E932" i="1"/>
  <c r="E931" i="1"/>
  <c r="E930" i="1"/>
  <c r="E929" i="1"/>
  <c r="E928" i="1"/>
  <c r="E927" i="1"/>
  <c r="E926" i="1"/>
  <c r="E925" i="1"/>
  <c r="E924" i="1"/>
  <c r="E923" i="1"/>
  <c r="E922" i="1"/>
  <c r="E921" i="1"/>
  <c r="E920" i="1"/>
  <c r="E919" i="1"/>
  <c r="E918" i="1"/>
  <c r="E917" i="1"/>
  <c r="E916" i="1"/>
  <c r="E915" i="1"/>
  <c r="E914" i="1"/>
  <c r="E913" i="1"/>
  <c r="E912" i="1"/>
  <c r="E911" i="1"/>
  <c r="E910" i="1"/>
  <c r="E909" i="1"/>
  <c r="E908" i="1"/>
  <c r="E907" i="1"/>
  <c r="E906" i="1"/>
  <c r="E905" i="1"/>
  <c r="E904" i="1"/>
  <c r="E903" i="1"/>
  <c r="E902" i="1"/>
  <c r="E901" i="1"/>
  <c r="E900" i="1"/>
  <c r="E899" i="1"/>
  <c r="E898" i="1"/>
  <c r="E897" i="1"/>
  <c r="E896" i="1"/>
  <c r="E895" i="1"/>
  <c r="E894" i="1"/>
  <c r="E893" i="1"/>
  <c r="E892" i="1"/>
  <c r="E891" i="1"/>
  <c r="E890" i="1"/>
  <c r="E889" i="1"/>
  <c r="E888" i="1"/>
  <c r="E887" i="1"/>
  <c r="E886" i="1"/>
  <c r="E885" i="1"/>
  <c r="E884" i="1"/>
  <c r="E883" i="1"/>
  <c r="E882" i="1"/>
  <c r="E881" i="1"/>
  <c r="E880" i="1"/>
  <c r="E879" i="1"/>
  <c r="E878" i="1"/>
  <c r="E877" i="1"/>
  <c r="E876" i="1"/>
  <c r="E875" i="1"/>
  <c r="E874" i="1"/>
  <c r="E873" i="1"/>
  <c r="E872" i="1"/>
  <c r="E871" i="1"/>
  <c r="E870" i="1"/>
  <c r="E869" i="1"/>
  <c r="E868" i="1"/>
  <c r="E867" i="1"/>
  <c r="E866" i="1"/>
  <c r="E865" i="1"/>
  <c r="E864" i="1"/>
  <c r="E863" i="1"/>
  <c r="E862" i="1"/>
  <c r="E861" i="1"/>
  <c r="E860" i="1"/>
  <c r="E859" i="1"/>
  <c r="E858" i="1"/>
  <c r="E857" i="1"/>
  <c r="E856" i="1"/>
  <c r="E855" i="1"/>
  <c r="E854" i="1"/>
  <c r="E853" i="1"/>
  <c r="E852" i="1"/>
  <c r="E851" i="1"/>
  <c r="E850" i="1"/>
  <c r="E849" i="1"/>
  <c r="E848" i="1"/>
  <c r="E847" i="1"/>
  <c r="E846" i="1"/>
  <c r="E845" i="1"/>
  <c r="E844" i="1"/>
  <c r="E843" i="1"/>
  <c r="E842" i="1"/>
  <c r="E841" i="1"/>
  <c r="E840" i="1"/>
  <c r="E839" i="1"/>
  <c r="E838" i="1"/>
  <c r="E837" i="1"/>
  <c r="E836" i="1"/>
  <c r="E835" i="1"/>
  <c r="E834" i="1"/>
  <c r="E833" i="1"/>
  <c r="E832" i="1"/>
  <c r="E831" i="1"/>
  <c r="E830" i="1"/>
  <c r="E829" i="1"/>
  <c r="E828" i="1"/>
  <c r="E827" i="1"/>
  <c r="E826" i="1"/>
  <c r="E825" i="1"/>
  <c r="E824" i="1"/>
  <c r="E823" i="1"/>
  <c r="E822" i="1"/>
  <c r="E821" i="1"/>
  <c r="E820" i="1"/>
  <c r="E819" i="1"/>
  <c r="E818" i="1"/>
  <c r="E817" i="1"/>
  <c r="E816" i="1"/>
  <c r="E815" i="1"/>
  <c r="E814" i="1"/>
  <c r="E813" i="1"/>
  <c r="E812" i="1"/>
  <c r="E811" i="1"/>
  <c r="E810" i="1"/>
  <c r="E809" i="1"/>
  <c r="E808" i="1"/>
  <c r="E807" i="1"/>
  <c r="E806" i="1"/>
  <c r="E805" i="1"/>
  <c r="E804" i="1"/>
  <c r="E803" i="1"/>
  <c r="E802" i="1"/>
  <c r="E801" i="1"/>
  <c r="E800" i="1"/>
  <c r="E799" i="1"/>
  <c r="E798" i="1"/>
  <c r="E797" i="1"/>
  <c r="E796" i="1"/>
  <c r="E795" i="1"/>
  <c r="E794" i="1"/>
  <c r="E793" i="1"/>
  <c r="E792" i="1"/>
  <c r="E791" i="1"/>
  <c r="E790" i="1"/>
  <c r="E789" i="1"/>
  <c r="E788" i="1"/>
  <c r="E787" i="1"/>
  <c r="E786" i="1"/>
  <c r="E785" i="1"/>
  <c r="E784" i="1"/>
  <c r="E783" i="1"/>
  <c r="E782" i="1"/>
  <c r="E781" i="1"/>
  <c r="E780" i="1"/>
  <c r="E779" i="1"/>
  <c r="E778" i="1"/>
  <c r="E777" i="1"/>
  <c r="E776" i="1"/>
  <c r="E775" i="1"/>
  <c r="E774" i="1"/>
  <c r="E773" i="1"/>
  <c r="E772" i="1"/>
  <c r="E771" i="1"/>
  <c r="E770" i="1"/>
  <c r="E769" i="1"/>
  <c r="E768" i="1"/>
  <c r="E767" i="1"/>
  <c r="E766" i="1"/>
  <c r="E765" i="1"/>
  <c r="E764" i="1"/>
  <c r="E763" i="1"/>
  <c r="E762" i="1"/>
  <c r="E761" i="1"/>
  <c r="E760" i="1"/>
  <c r="E759" i="1"/>
  <c r="E758" i="1"/>
  <c r="E757" i="1"/>
  <c r="E756" i="1"/>
  <c r="E755" i="1"/>
  <c r="E754" i="1"/>
  <c r="E753" i="1"/>
  <c r="E752" i="1"/>
  <c r="E751" i="1"/>
  <c r="E750" i="1"/>
  <c r="E749" i="1"/>
  <c r="E748" i="1"/>
  <c r="E747" i="1"/>
  <c r="E746" i="1"/>
  <c r="E745" i="1"/>
  <c r="E744" i="1"/>
  <c r="E743" i="1"/>
  <c r="E742" i="1"/>
  <c r="E741" i="1"/>
  <c r="E740" i="1"/>
  <c r="E739" i="1"/>
  <c r="E738" i="1"/>
  <c r="E737" i="1"/>
  <c r="E736" i="1"/>
  <c r="E735" i="1"/>
  <c r="E734" i="1"/>
  <c r="E733" i="1"/>
  <c r="E732" i="1"/>
  <c r="E731" i="1"/>
  <c r="E730" i="1"/>
  <c r="E729" i="1"/>
  <c r="E728" i="1"/>
  <c r="E727" i="1"/>
  <c r="E726" i="1"/>
  <c r="E725" i="1"/>
  <c r="E724" i="1"/>
  <c r="E723" i="1"/>
  <c r="E722" i="1"/>
  <c r="E721" i="1"/>
  <c r="E720" i="1"/>
  <c r="E719" i="1"/>
  <c r="E718" i="1"/>
  <c r="E717" i="1"/>
  <c r="E716" i="1"/>
  <c r="E715" i="1"/>
  <c r="E714" i="1"/>
  <c r="E713" i="1"/>
  <c r="E712" i="1"/>
  <c r="E711" i="1"/>
  <c r="E710" i="1"/>
  <c r="E709" i="1"/>
  <c r="E708" i="1"/>
  <c r="E707" i="1"/>
  <c r="E706" i="1"/>
  <c r="E705" i="1"/>
  <c r="E704" i="1"/>
  <c r="E703" i="1"/>
  <c r="E702" i="1"/>
  <c r="E701" i="1"/>
  <c r="E700" i="1"/>
  <c r="E699" i="1"/>
  <c r="E698" i="1"/>
  <c r="E697" i="1"/>
  <c r="E696" i="1"/>
  <c r="E695" i="1"/>
  <c r="E694" i="1"/>
  <c r="E693" i="1"/>
  <c r="E692" i="1"/>
  <c r="E691" i="1"/>
  <c r="E690" i="1"/>
  <c r="E689" i="1"/>
  <c r="E688" i="1"/>
  <c r="E687" i="1"/>
  <c r="E686" i="1"/>
  <c r="E685" i="1"/>
  <c r="E684" i="1"/>
  <c r="E683" i="1"/>
  <c r="E682" i="1"/>
  <c r="E681" i="1"/>
  <c r="E680" i="1"/>
  <c r="E679" i="1"/>
  <c r="E678" i="1"/>
  <c r="E677" i="1"/>
  <c r="E676" i="1"/>
  <c r="E675" i="1"/>
  <c r="E674" i="1"/>
  <c r="E673" i="1"/>
  <c r="E672" i="1"/>
  <c r="E671" i="1"/>
  <c r="E670" i="1"/>
  <c r="E669" i="1"/>
  <c r="E668" i="1"/>
  <c r="E667" i="1"/>
  <c r="E666" i="1"/>
  <c r="E665" i="1"/>
  <c r="E664" i="1"/>
  <c r="E663" i="1"/>
  <c r="E662" i="1"/>
  <c r="E661" i="1"/>
  <c r="E660" i="1"/>
  <c r="E659" i="1"/>
  <c r="E658" i="1"/>
  <c r="E657" i="1"/>
  <c r="E656" i="1"/>
  <c r="E655" i="1"/>
  <c r="E654" i="1"/>
  <c r="E653" i="1"/>
  <c r="E652" i="1"/>
  <c r="E651" i="1"/>
  <c r="E650" i="1"/>
  <c r="E649" i="1"/>
  <c r="E648" i="1"/>
  <c r="E647" i="1"/>
  <c r="E646" i="1"/>
  <c r="E645" i="1"/>
  <c r="E644" i="1"/>
  <c r="E643" i="1"/>
  <c r="E642" i="1"/>
  <c r="E641" i="1"/>
  <c r="E640" i="1"/>
  <c r="E639" i="1"/>
  <c r="E638" i="1"/>
  <c r="E637" i="1"/>
  <c r="E636" i="1"/>
  <c r="E635" i="1"/>
  <c r="E634" i="1"/>
  <c r="E633" i="1"/>
  <c r="E632" i="1"/>
  <c r="E631" i="1"/>
  <c r="E630" i="1"/>
  <c r="E629" i="1"/>
  <c r="E628" i="1"/>
  <c r="E627" i="1"/>
  <c r="E626" i="1"/>
  <c r="E625" i="1"/>
  <c r="E624" i="1"/>
  <c r="E623" i="1"/>
  <c r="E622" i="1"/>
  <c r="E621" i="1"/>
  <c r="E620" i="1"/>
  <c r="E619" i="1"/>
  <c r="E618" i="1"/>
  <c r="E617" i="1"/>
  <c r="E616" i="1"/>
  <c r="E615" i="1"/>
  <c r="E614" i="1"/>
  <c r="E613" i="1"/>
  <c r="E612" i="1"/>
  <c r="E611" i="1"/>
  <c r="E610" i="1"/>
  <c r="E609" i="1"/>
  <c r="E608" i="1"/>
  <c r="E607" i="1"/>
  <c r="E606" i="1"/>
  <c r="E605" i="1"/>
  <c r="E604" i="1"/>
  <c r="E603" i="1"/>
  <c r="E602" i="1"/>
  <c r="E601" i="1"/>
  <c r="E600" i="1"/>
  <c r="E599" i="1"/>
  <c r="E598" i="1"/>
  <c r="E597" i="1"/>
  <c r="E596" i="1"/>
  <c r="E595" i="1"/>
  <c r="E594" i="1"/>
  <c r="E593" i="1"/>
  <c r="E592" i="1"/>
  <c r="E591" i="1"/>
  <c r="E590" i="1"/>
  <c r="E589" i="1"/>
  <c r="E588" i="1"/>
  <c r="E587" i="1"/>
  <c r="E586" i="1"/>
  <c r="E585" i="1"/>
  <c r="E584" i="1"/>
  <c r="E583" i="1"/>
  <c r="E582" i="1"/>
  <c r="E581" i="1"/>
  <c r="E580" i="1"/>
  <c r="E579" i="1"/>
  <c r="E578" i="1"/>
  <c r="E577" i="1"/>
  <c r="E576" i="1"/>
  <c r="E575" i="1"/>
  <c r="E574" i="1"/>
  <c r="E573" i="1"/>
  <c r="E572" i="1"/>
  <c r="E571" i="1"/>
  <c r="E570" i="1"/>
  <c r="E569" i="1"/>
  <c r="E568" i="1"/>
  <c r="E567" i="1"/>
  <c r="E566" i="1"/>
  <c r="E565" i="1"/>
  <c r="E564" i="1"/>
  <c r="E563" i="1"/>
  <c r="E562" i="1"/>
  <c r="E561" i="1"/>
  <c r="E560" i="1"/>
  <c r="E559" i="1"/>
  <c r="E558" i="1"/>
  <c r="E557" i="1"/>
  <c r="E556" i="1"/>
  <c r="E555" i="1"/>
  <c r="E554" i="1"/>
  <c r="E553" i="1"/>
  <c r="E552" i="1"/>
  <c r="E551" i="1"/>
  <c r="E550" i="1"/>
  <c r="E549" i="1"/>
  <c r="E548" i="1"/>
  <c r="E547" i="1"/>
  <c r="E546" i="1"/>
  <c r="E545" i="1"/>
  <c r="E544" i="1"/>
  <c r="E543" i="1"/>
  <c r="E542" i="1"/>
  <c r="E541" i="1"/>
  <c r="E540" i="1"/>
  <c r="E539" i="1"/>
  <c r="E538" i="1"/>
  <c r="E537" i="1"/>
  <c r="E536" i="1"/>
  <c r="E535" i="1"/>
  <c r="E534" i="1"/>
  <c r="E533" i="1"/>
  <c r="E532" i="1"/>
  <c r="E531" i="1"/>
  <c r="E530" i="1"/>
  <c r="E529" i="1"/>
  <c r="E528" i="1"/>
  <c r="E527" i="1"/>
  <c r="E526" i="1"/>
  <c r="E525" i="1"/>
  <c r="E524" i="1"/>
  <c r="E523" i="1"/>
  <c r="E522" i="1"/>
  <c r="E521" i="1"/>
  <c r="E520" i="1"/>
  <c r="E519" i="1"/>
  <c r="E518" i="1"/>
  <c r="E517" i="1"/>
  <c r="E516" i="1"/>
  <c r="E515" i="1"/>
  <c r="E514" i="1"/>
  <c r="E513" i="1"/>
  <c r="E512" i="1"/>
  <c r="E511" i="1"/>
  <c r="E510" i="1"/>
  <c r="E509" i="1"/>
  <c r="E508" i="1"/>
  <c r="E507" i="1"/>
  <c r="E506" i="1"/>
  <c r="E505" i="1"/>
  <c r="E504" i="1"/>
  <c r="E503" i="1"/>
  <c r="E502" i="1"/>
  <c r="E501" i="1"/>
  <c r="E500" i="1"/>
  <c r="E499" i="1"/>
  <c r="E498" i="1"/>
  <c r="E497" i="1"/>
  <c r="E496" i="1"/>
  <c r="E495" i="1"/>
  <c r="E494" i="1"/>
  <c r="E493" i="1"/>
  <c r="E492" i="1"/>
  <c r="E491" i="1"/>
  <c r="E490" i="1"/>
  <c r="E489" i="1"/>
  <c r="E488" i="1"/>
  <c r="E487" i="1"/>
  <c r="E486" i="1"/>
  <c r="E485" i="1"/>
  <c r="E484" i="1"/>
  <c r="E483" i="1"/>
  <c r="E482" i="1"/>
  <c r="E481" i="1"/>
  <c r="E480" i="1"/>
  <c r="E479" i="1"/>
  <c r="E478" i="1"/>
  <c r="E477" i="1"/>
  <c r="E476" i="1"/>
  <c r="E475" i="1"/>
  <c r="E474" i="1"/>
  <c r="E473" i="1"/>
  <c r="E472" i="1"/>
  <c r="E471" i="1"/>
  <c r="E470" i="1"/>
  <c r="E469" i="1"/>
  <c r="E468" i="1"/>
  <c r="E467" i="1"/>
  <c r="E466" i="1"/>
  <c r="E465" i="1"/>
  <c r="E464" i="1"/>
  <c r="E463" i="1"/>
  <c r="E462" i="1"/>
  <c r="E461" i="1"/>
  <c r="E460" i="1"/>
  <c r="E459" i="1"/>
  <c r="E458" i="1"/>
  <c r="E457" i="1"/>
  <c r="E456" i="1"/>
  <c r="E455" i="1"/>
  <c r="E454" i="1"/>
  <c r="E453" i="1"/>
  <c r="E452" i="1"/>
  <c r="E451" i="1"/>
  <c r="E450" i="1"/>
  <c r="E449" i="1"/>
  <c r="E448" i="1"/>
  <c r="E447" i="1"/>
  <c r="E446" i="1"/>
  <c r="E445" i="1"/>
  <c r="E444" i="1"/>
  <c r="E443" i="1"/>
  <c r="E442" i="1"/>
  <c r="E441" i="1"/>
  <c r="E440" i="1"/>
  <c r="E439" i="1"/>
  <c r="E438" i="1"/>
  <c r="E437" i="1"/>
  <c r="E436" i="1"/>
  <c r="E435" i="1"/>
  <c r="E434" i="1"/>
  <c r="E433" i="1"/>
  <c r="E432" i="1"/>
  <c r="E431" i="1"/>
  <c r="E430" i="1"/>
  <c r="E429" i="1"/>
  <c r="E428" i="1"/>
  <c r="E427" i="1"/>
  <c r="E426" i="1"/>
  <c r="E425" i="1"/>
  <c r="E424" i="1"/>
  <c r="E423" i="1"/>
  <c r="E422" i="1"/>
  <c r="E421" i="1"/>
  <c r="E420" i="1"/>
  <c r="E419" i="1"/>
  <c r="E418" i="1"/>
  <c r="E417" i="1"/>
  <c r="E416" i="1"/>
  <c r="E415" i="1"/>
  <c r="E414" i="1"/>
  <c r="E413" i="1"/>
  <c r="E412" i="1"/>
  <c r="E411" i="1"/>
  <c r="E410" i="1"/>
  <c r="E409" i="1"/>
  <c r="E408" i="1"/>
  <c r="E407" i="1"/>
  <c r="E406" i="1"/>
  <c r="E405" i="1"/>
  <c r="E404" i="1"/>
  <c r="E403" i="1"/>
  <c r="E402" i="1"/>
  <c r="E401" i="1"/>
  <c r="E400" i="1"/>
  <c r="E399" i="1"/>
  <c r="E398" i="1"/>
  <c r="E397" i="1"/>
  <c r="E396" i="1"/>
  <c r="E395" i="1"/>
  <c r="E394" i="1"/>
  <c r="E393" i="1"/>
  <c r="E392" i="1"/>
  <c r="E391" i="1"/>
  <c r="E390" i="1"/>
  <c r="E389" i="1"/>
  <c r="E388" i="1"/>
  <c r="E387" i="1"/>
  <c r="E386" i="1"/>
  <c r="E385" i="1"/>
  <c r="E384" i="1"/>
  <c r="E383" i="1"/>
  <c r="E382" i="1"/>
  <c r="E381" i="1"/>
  <c r="E380" i="1"/>
  <c r="E379" i="1"/>
  <c r="E378" i="1"/>
  <c r="E377" i="1"/>
  <c r="E376" i="1"/>
  <c r="E375" i="1"/>
  <c r="E374" i="1"/>
  <c r="E373" i="1"/>
  <c r="E372" i="1"/>
  <c r="E371" i="1"/>
  <c r="E370" i="1"/>
  <c r="E369" i="1"/>
  <c r="E368" i="1"/>
  <c r="E367" i="1"/>
  <c r="E366" i="1"/>
  <c r="E365" i="1"/>
  <c r="E364" i="1"/>
  <c r="E363" i="1"/>
  <c r="E362" i="1"/>
  <c r="E361" i="1"/>
  <c r="E360" i="1"/>
  <c r="E359" i="1"/>
  <c r="E358" i="1"/>
  <c r="E357" i="1"/>
  <c r="E356" i="1"/>
  <c r="E355" i="1"/>
  <c r="E354" i="1"/>
  <c r="E353" i="1"/>
  <c r="E352" i="1"/>
  <c r="E351" i="1"/>
  <c r="E350" i="1"/>
  <c r="E349" i="1"/>
  <c r="E348" i="1"/>
  <c r="E347" i="1"/>
  <c r="E346" i="1"/>
  <c r="E345" i="1"/>
  <c r="E344" i="1"/>
  <c r="E343" i="1"/>
  <c r="E342" i="1"/>
  <c r="E341" i="1"/>
  <c r="E340" i="1"/>
  <c r="E339" i="1"/>
  <c r="E338" i="1"/>
  <c r="E337" i="1"/>
  <c r="E336" i="1"/>
  <c r="E335" i="1"/>
  <c r="E334" i="1"/>
  <c r="E333" i="1"/>
  <c r="E332" i="1"/>
  <c r="E331" i="1"/>
  <c r="E330" i="1"/>
  <c r="E329" i="1"/>
  <c r="E328" i="1"/>
  <c r="E327" i="1"/>
  <c r="E326" i="1"/>
  <c r="E325" i="1"/>
  <c r="E324" i="1"/>
  <c r="E323" i="1"/>
  <c r="E322" i="1"/>
  <c r="E321" i="1"/>
  <c r="E320" i="1"/>
  <c r="E319" i="1"/>
  <c r="E318" i="1"/>
  <c r="E317" i="1"/>
  <c r="E316" i="1"/>
  <c r="E315" i="1"/>
  <c r="E314" i="1"/>
  <c r="E313" i="1"/>
  <c r="E312" i="1"/>
  <c r="E311" i="1"/>
  <c r="E310" i="1"/>
  <c r="E309" i="1"/>
  <c r="E308" i="1"/>
  <c r="E307" i="1"/>
  <c r="E306" i="1"/>
  <c r="E305" i="1"/>
  <c r="E304" i="1"/>
  <c r="E303" i="1"/>
  <c r="E302" i="1"/>
  <c r="E301" i="1"/>
  <c r="E300" i="1"/>
  <c r="E299" i="1"/>
  <c r="E298" i="1"/>
  <c r="E297" i="1"/>
  <c r="E296" i="1"/>
  <c r="E295" i="1"/>
  <c r="E294" i="1"/>
  <c r="E293" i="1"/>
  <c r="E292" i="1"/>
  <c r="E291" i="1"/>
  <c r="E290" i="1"/>
  <c r="E289" i="1"/>
  <c r="E288" i="1"/>
  <c r="E287" i="1"/>
  <c r="E286" i="1"/>
  <c r="E285" i="1"/>
  <c r="E284" i="1"/>
  <c r="E283" i="1"/>
  <c r="E282" i="1"/>
  <c r="E281" i="1"/>
  <c r="E280" i="1"/>
  <c r="E279" i="1"/>
  <c r="E278" i="1"/>
  <c r="E277" i="1"/>
  <c r="E276" i="1"/>
  <c r="E275" i="1"/>
  <c r="E274" i="1"/>
  <c r="E273" i="1"/>
  <c r="E272" i="1"/>
  <c r="E271" i="1"/>
  <c r="E270" i="1"/>
  <c r="E269" i="1"/>
  <c r="E268" i="1"/>
  <c r="E267" i="1"/>
  <c r="E266" i="1"/>
  <c r="E265" i="1"/>
  <c r="E264" i="1"/>
  <c r="E263" i="1"/>
  <c r="E262" i="1"/>
  <c r="E261" i="1"/>
  <c r="E260" i="1"/>
  <c r="E259" i="1"/>
  <c r="E258" i="1"/>
  <c r="E257" i="1"/>
  <c r="E256" i="1"/>
  <c r="E255" i="1"/>
  <c r="E254" i="1"/>
  <c r="E253" i="1"/>
  <c r="E252" i="1"/>
  <c r="E251" i="1"/>
  <c r="E250" i="1"/>
  <c r="E249" i="1"/>
  <c r="E248" i="1"/>
  <c r="E247" i="1"/>
  <c r="E246" i="1"/>
  <c r="E245" i="1"/>
  <c r="E244" i="1"/>
  <c r="E243" i="1"/>
  <c r="E242" i="1"/>
  <c r="E241" i="1"/>
  <c r="E240" i="1"/>
  <c r="E239" i="1"/>
  <c r="E238" i="1"/>
  <c r="E237" i="1"/>
  <c r="E236" i="1"/>
  <c r="E235" i="1"/>
  <c r="E234" i="1"/>
  <c r="E233" i="1"/>
  <c r="E232" i="1"/>
  <c r="E231" i="1"/>
  <c r="E230" i="1"/>
  <c r="E229" i="1"/>
  <c r="E228" i="1"/>
  <c r="E227" i="1"/>
  <c r="E226" i="1"/>
  <c r="E225" i="1"/>
  <c r="E224" i="1"/>
  <c r="E223" i="1"/>
  <c r="E222" i="1"/>
  <c r="E221" i="1"/>
  <c r="E220" i="1"/>
  <c r="E219" i="1"/>
  <c r="E218" i="1"/>
  <c r="E217" i="1"/>
  <c r="E216" i="1"/>
  <c r="E215" i="1"/>
  <c r="E214" i="1"/>
  <c r="E213" i="1"/>
  <c r="E212" i="1"/>
  <c r="E211" i="1"/>
  <c r="E210" i="1"/>
  <c r="E209" i="1"/>
  <c r="E208" i="1"/>
  <c r="E207" i="1"/>
  <c r="E206" i="1"/>
  <c r="E205" i="1"/>
  <c r="E204" i="1"/>
  <c r="E203" i="1"/>
  <c r="E202" i="1"/>
  <c r="E201" i="1"/>
  <c r="E200" i="1"/>
  <c r="E199" i="1"/>
  <c r="E198" i="1"/>
  <c r="E197" i="1"/>
  <c r="E196" i="1"/>
  <c r="E195" i="1"/>
  <c r="E194" i="1"/>
  <c r="E193" i="1"/>
  <c r="E192" i="1"/>
  <c r="E191" i="1"/>
  <c r="E190" i="1"/>
  <c r="E189" i="1"/>
  <c r="E188" i="1"/>
  <c r="E187" i="1"/>
  <c r="E186" i="1"/>
  <c r="E185" i="1"/>
  <c r="E184" i="1"/>
  <c r="E183" i="1"/>
  <c r="E182" i="1"/>
  <c r="E181" i="1"/>
  <c r="E180" i="1"/>
  <c r="E179" i="1"/>
  <c r="E178" i="1"/>
  <c r="E177" i="1"/>
  <c r="E176" i="1"/>
  <c r="E175" i="1"/>
  <c r="E174" i="1"/>
  <c r="E173" i="1"/>
  <c r="E172" i="1"/>
  <c r="E171" i="1"/>
  <c r="E170" i="1"/>
  <c r="E169" i="1"/>
  <c r="E168" i="1"/>
  <c r="E167" i="1"/>
  <c r="E166" i="1"/>
  <c r="E165" i="1"/>
  <c r="E164" i="1"/>
  <c r="E163" i="1"/>
  <c r="E162" i="1"/>
  <c r="E161" i="1"/>
  <c r="E160" i="1"/>
  <c r="E159" i="1"/>
  <c r="E158" i="1"/>
  <c r="E157" i="1"/>
  <c r="E156" i="1"/>
  <c r="E155" i="1"/>
  <c r="E154" i="1"/>
  <c r="E153" i="1"/>
  <c r="E152" i="1"/>
  <c r="E151" i="1"/>
  <c r="E150" i="1"/>
  <c r="E149" i="1"/>
  <c r="E148" i="1"/>
  <c r="E147" i="1"/>
  <c r="E146" i="1"/>
  <c r="E145" i="1"/>
  <c r="E144" i="1"/>
  <c r="E143" i="1"/>
  <c r="E142" i="1"/>
  <c r="E141" i="1"/>
  <c r="E140" i="1"/>
  <c r="E139" i="1"/>
  <c r="E138" i="1"/>
  <c r="E137" i="1"/>
  <c r="E136" i="1"/>
  <c r="E135" i="1"/>
  <c r="E134" i="1"/>
  <c r="E133" i="1"/>
  <c r="E132" i="1"/>
  <c r="E131" i="1"/>
  <c r="E130" i="1"/>
  <c r="E129" i="1"/>
  <c r="E128" i="1"/>
  <c r="E127" i="1"/>
  <c r="E126" i="1"/>
  <c r="E125" i="1"/>
  <c r="E124" i="1"/>
  <c r="E123" i="1"/>
  <c r="E122" i="1"/>
  <c r="E121" i="1"/>
  <c r="E120" i="1"/>
  <c r="E119" i="1"/>
  <c r="E118" i="1"/>
  <c r="E117" i="1"/>
  <c r="E116" i="1"/>
  <c r="E115" i="1"/>
  <c r="E114" i="1"/>
  <c r="E113" i="1"/>
  <c r="E112" i="1"/>
  <c r="E111" i="1"/>
  <c r="E110" i="1"/>
  <c r="E109" i="1"/>
  <c r="E108" i="1"/>
  <c r="E107" i="1"/>
  <c r="E106" i="1"/>
  <c r="E105" i="1"/>
  <c r="E104" i="1"/>
  <c r="E103" i="1"/>
  <c r="E102" i="1"/>
  <c r="E101" i="1"/>
  <c r="E100" i="1"/>
  <c r="E99" i="1"/>
  <c r="E98" i="1"/>
  <c r="E97" i="1"/>
  <c r="E96" i="1"/>
  <c r="E95" i="1"/>
  <c r="E94" i="1"/>
  <c r="E93" i="1"/>
  <c r="E92" i="1"/>
  <c r="E91" i="1"/>
  <c r="E90" i="1"/>
  <c r="E89" i="1"/>
  <c r="E88" i="1"/>
  <c r="E87" i="1"/>
  <c r="E86" i="1"/>
  <c r="E85" i="1"/>
  <c r="E84" i="1"/>
  <c r="E83" i="1"/>
  <c r="E82" i="1"/>
  <c r="E81" i="1"/>
  <c r="E80" i="1"/>
  <c r="E79" i="1"/>
  <c r="E78" i="1"/>
  <c r="E77" i="1"/>
  <c r="E76" i="1"/>
  <c r="E75" i="1"/>
  <c r="E74" i="1"/>
  <c r="E73" i="1"/>
  <c r="E72" i="1"/>
  <c r="E71" i="1"/>
  <c r="E70" i="1"/>
  <c r="E69" i="1"/>
  <c r="E68" i="1"/>
  <c r="E67" i="1"/>
  <c r="E66" i="1"/>
  <c r="E65" i="1"/>
  <c r="E64" i="1"/>
  <c r="E63" i="1"/>
  <c r="E62" i="1"/>
  <c r="E61" i="1"/>
  <c r="E60" i="1"/>
  <c r="E59" i="1"/>
  <c r="E58" i="1"/>
  <c r="E57" i="1"/>
  <c r="E56" i="1"/>
  <c r="E55" i="1"/>
  <c r="E54" i="1"/>
  <c r="E53" i="1"/>
  <c r="E52" i="1"/>
  <c r="E51" i="1"/>
  <c r="E50" i="1"/>
  <c r="E49" i="1"/>
  <c r="E48" i="1"/>
  <c r="E47" i="1"/>
  <c r="E46" i="1"/>
  <c r="E45" i="1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45" i="2"/>
  <c r="B2" i="6"/>
  <c r="F305" i="14" l="1" a="1"/>
  <c r="F305" i="14" s="1"/>
  <c r="F210" i="14" a="1"/>
  <c r="F210" i="14" s="1"/>
  <c r="F303" i="14" a="1"/>
  <c r="F303" i="14" s="1"/>
  <c r="F808" i="14" a="1"/>
  <c r="F808" i="14" s="1"/>
  <c r="F1425" i="14" a="1"/>
  <c r="F1425" i="14" s="1"/>
  <c r="F261" i="14" a="1"/>
  <c r="F261" i="14" s="1"/>
  <c r="F39" i="14" a="1"/>
  <c r="F39" i="14" s="1"/>
  <c r="F220" i="14" a="1"/>
  <c r="F220" i="14" s="1"/>
  <c r="F1457" i="14" a="1"/>
  <c r="F1457" i="14" s="1"/>
  <c r="F269" i="14" a="1"/>
  <c r="F269" i="14" s="1"/>
  <c r="F1102" i="14" a="1"/>
  <c r="F1102" i="14" s="1"/>
  <c r="F1012" i="14" a="1"/>
  <c r="F1012" i="14" s="1"/>
  <c r="F1120" i="14" a="1"/>
  <c r="F1120" i="14" s="1"/>
  <c r="F1459" i="14" a="1"/>
  <c r="F1459" i="14" s="1"/>
  <c r="F1004" i="14" a="1"/>
  <c r="F1004" i="14" s="1"/>
  <c r="F1115" i="14" a="1"/>
  <c r="F1115" i="14" s="1"/>
  <c r="F1084" i="14" a="1"/>
  <c r="F1084" i="14" s="1"/>
  <c r="F5" i="14" a="1"/>
  <c r="F5" i="14" s="1"/>
  <c r="F1421" i="14" a="1"/>
  <c r="F1421" i="14" s="1"/>
  <c r="F296" i="14" a="1"/>
  <c r="F296" i="14" s="1"/>
  <c r="F38" i="14" a="1"/>
  <c r="F38" i="14" s="1"/>
  <c r="F985" i="14" a="1"/>
  <c r="F985" i="14" s="1"/>
  <c r="F1124" i="14" a="1"/>
  <c r="F1124" i="14" s="1"/>
  <c r="F1182" i="14" a="1"/>
  <c r="F1182" i="14" s="1"/>
  <c r="F1019" i="14" a="1"/>
  <c r="F1019" i="14" s="1"/>
  <c r="F972" i="14" a="1"/>
  <c r="F972" i="14" s="1"/>
  <c r="F391" i="14" a="1"/>
  <c r="F391" i="14" s="1"/>
  <c r="F360" i="14" a="1"/>
  <c r="F360" i="14" s="1"/>
  <c r="F1274" i="14" a="1"/>
  <c r="F1274" i="14" s="1"/>
  <c r="F794" i="14" a="1"/>
  <c r="F794" i="14" s="1"/>
  <c r="F919" i="14" a="1"/>
  <c r="F919" i="14" s="1"/>
  <c r="F109" i="14" a="1"/>
  <c r="F109" i="14" s="1"/>
  <c r="F637" i="14" a="1"/>
  <c r="F637" i="14" s="1"/>
  <c r="F1474" i="14" a="1"/>
  <c r="F1474" i="14" s="1"/>
  <c r="F1415" i="14" a="1"/>
  <c r="F1415" i="14" s="1"/>
  <c r="F1327" i="14" a="1"/>
  <c r="F1327" i="14" s="1"/>
  <c r="F742" i="14" a="1"/>
  <c r="F742" i="14" s="1"/>
  <c r="F491" i="14" a="1"/>
  <c r="F491" i="14" s="1"/>
  <c r="F1270" i="14" a="1"/>
  <c r="F1270" i="14" s="1"/>
  <c r="F1398" i="14" a="1"/>
  <c r="F1398" i="14" s="1"/>
  <c r="F1326" i="14" a="1"/>
  <c r="F1326" i="14" s="1"/>
  <c r="F790" i="14" a="1"/>
  <c r="F790" i="14" s="1"/>
  <c r="F1296" i="14" a="1"/>
  <c r="F1296" i="14" s="1"/>
  <c r="F234" i="14" a="1"/>
  <c r="F234" i="14" s="1"/>
  <c r="F412" i="14" a="1"/>
  <c r="F412" i="14" s="1"/>
  <c r="F702" i="14" a="1"/>
  <c r="F702" i="14" s="1"/>
  <c r="F963" i="14" a="1"/>
  <c r="F963" i="14" s="1"/>
  <c r="F1390" i="14" a="1"/>
  <c r="F1390" i="14" s="1"/>
  <c r="F536" i="14" a="1"/>
  <c r="F536" i="14" s="1"/>
  <c r="F957" i="14" a="1"/>
  <c r="F957" i="14" s="1"/>
  <c r="F1265" i="14" a="1"/>
  <c r="F1265" i="14" s="1"/>
  <c r="F846" i="14" a="1"/>
  <c r="F846" i="14" s="1"/>
  <c r="F1005" i="14" a="1"/>
  <c r="F1005" i="14" s="1"/>
  <c r="F612" i="14" a="1"/>
  <c r="F612" i="14" s="1"/>
  <c r="F1267" i="14" a="1"/>
  <c r="F1267" i="14" s="1"/>
  <c r="F864" i="14" a="1"/>
  <c r="F864" i="14" s="1"/>
  <c r="F902" i="14" a="1"/>
  <c r="F902" i="14" s="1"/>
  <c r="F1354" i="14" a="1"/>
  <c r="F1354" i="14" s="1"/>
  <c r="F595" i="14" a="1"/>
  <c r="F595" i="14" s="1"/>
  <c r="F1438" i="14" a="1"/>
  <c r="F1438" i="14" s="1"/>
  <c r="F232" i="14" a="1"/>
  <c r="F232" i="14" s="1"/>
  <c r="F277" i="14" a="1"/>
  <c r="F277" i="14" s="1"/>
  <c r="F1215" i="14" a="1"/>
  <c r="F1215" i="14" s="1"/>
  <c r="F578" i="14" a="1"/>
  <c r="F578" i="14" s="1"/>
  <c r="F239" i="14" a="1"/>
  <c r="F239" i="14" s="1"/>
  <c r="F835" i="14" a="1"/>
  <c r="F835" i="14" s="1"/>
  <c r="F291" i="14" a="1"/>
  <c r="F291" i="14" s="1"/>
  <c r="F1407" i="14" a="1"/>
  <c r="F1407" i="14" s="1"/>
  <c r="F153" i="14" a="1"/>
  <c r="F153" i="14" s="1"/>
  <c r="F363" i="14" a="1"/>
  <c r="F363" i="14" s="1"/>
  <c r="F681" i="14" a="1"/>
  <c r="F681" i="14" s="1"/>
  <c r="F1099" i="14" a="1"/>
  <c r="F1099" i="14" s="1"/>
  <c r="F107" i="14" a="1"/>
  <c r="F107" i="14" s="1"/>
  <c r="F164" i="14" a="1"/>
  <c r="F164" i="14" s="1"/>
  <c r="F138" i="14" a="1"/>
  <c r="F138" i="14" s="1"/>
  <c r="F990" i="14" a="1"/>
  <c r="F990" i="14" s="1"/>
  <c r="F361" i="14" a="1"/>
  <c r="F361" i="14" s="1"/>
  <c r="F997" i="14" a="1"/>
  <c r="F997" i="14" s="1"/>
  <c r="F336" i="14" a="1"/>
  <c r="F336" i="14" s="1"/>
  <c r="F388" i="14" a="1"/>
  <c r="F388" i="14" s="1"/>
  <c r="F480" i="14" a="1"/>
  <c r="F480" i="14" s="1"/>
  <c r="F456" i="14" a="1"/>
  <c r="F456" i="14" s="1"/>
  <c r="F1011" i="14" a="1"/>
  <c r="F1011" i="14" s="1"/>
  <c r="F364" i="14" a="1"/>
  <c r="F364" i="14" s="1"/>
  <c r="F663" i="14" a="1"/>
  <c r="F663" i="14" s="1"/>
  <c r="F490" i="14" a="1"/>
  <c r="F490" i="14" s="1"/>
  <c r="F53" i="14" a="1"/>
  <c r="F53" i="14" s="1"/>
  <c r="F1103" i="14" a="1"/>
  <c r="F1103" i="14" s="1"/>
  <c r="F709" i="14" a="1"/>
  <c r="F709" i="14" s="1"/>
  <c r="F1053" i="14" a="1"/>
  <c r="F1053" i="14" s="1"/>
  <c r="F591" i="14" a="1"/>
  <c r="F591" i="14" s="1"/>
  <c r="F618" i="14" a="1"/>
  <c r="F618" i="14" s="1"/>
  <c r="F452" i="14" a="1"/>
  <c r="F452" i="14" s="1"/>
  <c r="F516" i="14" a="1"/>
  <c r="F516" i="14" s="1"/>
  <c r="F940" i="14" a="1"/>
  <c r="F940" i="14" s="1"/>
  <c r="F527" i="14" a="1"/>
  <c r="F527" i="14" s="1"/>
  <c r="F1477" i="14" a="1"/>
  <c r="F1477" i="14" s="1"/>
  <c r="F1297" i="14" a="1"/>
  <c r="F1297" i="14" s="1"/>
  <c r="F1418" i="14" a="1"/>
  <c r="F1418" i="14" s="1"/>
  <c r="F1143" i="14" a="1"/>
  <c r="F1143" i="14" s="1"/>
  <c r="F1375" i="14" a="1"/>
  <c r="F1375" i="14" s="1"/>
  <c r="F1350" i="14" a="1"/>
  <c r="F1350" i="14" s="1"/>
  <c r="F455" i="14" a="1"/>
  <c r="F455" i="14" s="1"/>
  <c r="F1245" i="14" a="1"/>
  <c r="F1245" i="14" s="1"/>
  <c r="F1156" i="14" a="1"/>
  <c r="F1156" i="14" s="1"/>
  <c r="F6" i="14" a="1"/>
  <c r="F6" i="14" s="1"/>
  <c r="F227" i="14" a="1"/>
  <c r="F227" i="14" s="1"/>
  <c r="F118" i="14" a="1"/>
  <c r="F118" i="14" s="1"/>
  <c r="F713" i="14" a="1"/>
  <c r="F713" i="14" s="1"/>
  <c r="F44" i="14" a="1"/>
  <c r="F44" i="14" s="1"/>
  <c r="F85" i="14" a="1"/>
  <c r="F85" i="14" s="1"/>
  <c r="F46" i="14" a="1"/>
  <c r="F46" i="14" s="1"/>
  <c r="F489" i="14" a="1"/>
  <c r="F489" i="14" s="1"/>
  <c r="F629" i="14" a="1"/>
  <c r="F629" i="14" s="1"/>
  <c r="F306" i="14" a="1"/>
  <c r="F306" i="14" s="1"/>
  <c r="F608" i="14" a="1"/>
  <c r="F608" i="14" s="1"/>
  <c r="F777" i="14" a="1"/>
  <c r="F777" i="14" s="1"/>
  <c r="F483" i="14" a="1"/>
  <c r="F483" i="14" s="1"/>
  <c r="F625" i="14" a="1"/>
  <c r="F625" i="14" s="1"/>
  <c r="F231" i="14" a="1"/>
  <c r="F231" i="14" s="1"/>
  <c r="F548" i="14" a="1"/>
  <c r="F548" i="14" s="1"/>
  <c r="F689" i="14" a="1"/>
  <c r="F689" i="14" s="1"/>
  <c r="F1189" i="14" a="1"/>
  <c r="F1189" i="14" s="1"/>
  <c r="F1358" i="14" a="1"/>
  <c r="F1358" i="14" s="1"/>
  <c r="F250" i="14" a="1"/>
  <c r="F250" i="14" s="1"/>
  <c r="F19" i="14" a="1"/>
  <c r="F19" i="14" s="1"/>
  <c r="F214" i="14" a="1"/>
  <c r="F214" i="14" s="1"/>
  <c r="F494" i="14" a="1"/>
  <c r="F494" i="14" s="1"/>
  <c r="F402" i="14" a="1"/>
  <c r="F402" i="14" s="1"/>
  <c r="F253" i="14" a="1"/>
  <c r="F253" i="14" s="1"/>
  <c r="F29" i="14" a="1"/>
  <c r="F29" i="14" s="1"/>
  <c r="F550" i="14" a="1"/>
  <c r="F550" i="14" s="1"/>
  <c r="F1000" i="14" a="1"/>
  <c r="F1000" i="14" s="1"/>
  <c r="F977" i="14" a="1"/>
  <c r="F977" i="14" s="1"/>
  <c r="F146" i="14" a="1"/>
  <c r="F146" i="14" s="1"/>
  <c r="F969" i="14" a="1"/>
  <c r="F969" i="14" s="1"/>
  <c r="F1089" i="14" a="1"/>
  <c r="F1089" i="14" s="1"/>
  <c r="F951" i="14" a="1"/>
  <c r="F951" i="14" s="1"/>
  <c r="F356" i="14" a="1"/>
  <c r="F356" i="14" s="1"/>
  <c r="F262" i="14" a="1"/>
  <c r="F262" i="14" s="1"/>
  <c r="F580" i="14" a="1"/>
  <c r="F580" i="14" s="1"/>
  <c r="F800" i="14" a="1"/>
  <c r="F800" i="14" s="1"/>
  <c r="F600" i="14" a="1"/>
  <c r="F600" i="14" s="1"/>
  <c r="F817" i="14" a="1"/>
  <c r="F817" i="14" s="1"/>
  <c r="F959" i="14" a="1"/>
  <c r="F959" i="14" s="1"/>
  <c r="F144" i="14" a="1"/>
  <c r="F144" i="14" s="1"/>
  <c r="F638" i="14" a="1"/>
  <c r="F638" i="14" s="1"/>
  <c r="F1264" i="14" a="1"/>
  <c r="F1264" i="14" s="1"/>
  <c r="F857" i="14" a="1"/>
  <c r="F857" i="14" s="1"/>
  <c r="F936" i="14" a="1"/>
  <c r="F936" i="14" s="1"/>
  <c r="F151" i="14" a="1"/>
  <c r="F151" i="14" s="1"/>
  <c r="F202" i="14" a="1"/>
  <c r="F202" i="14" s="1"/>
  <c r="F504" i="14" a="1"/>
  <c r="F504" i="14" s="1"/>
  <c r="F13" i="14" a="1"/>
  <c r="F13" i="14" s="1"/>
  <c r="F962" i="14" a="1"/>
  <c r="F962" i="14" s="1"/>
  <c r="F218" i="14" a="1"/>
  <c r="F218" i="14" s="1"/>
  <c r="F967" i="14" a="1"/>
  <c r="F967" i="14" s="1"/>
  <c r="F285" i="14" a="1"/>
  <c r="F285" i="14" s="1"/>
  <c r="F558" i="14" a="1"/>
  <c r="F558" i="14" s="1"/>
  <c r="F61" i="14" a="1"/>
  <c r="F61" i="14" s="1"/>
  <c r="F686" i="14" a="1"/>
  <c r="F686" i="14" s="1"/>
  <c r="F1111" i="14" a="1"/>
  <c r="F1111" i="14" s="1"/>
  <c r="F280" i="14" a="1"/>
  <c r="F280" i="14" s="1"/>
  <c r="F590" i="14" a="1"/>
  <c r="F590" i="14" s="1"/>
  <c r="F96" i="14" a="1"/>
  <c r="F96" i="14" s="1"/>
  <c r="F725" i="14" a="1"/>
  <c r="F725" i="14" s="1"/>
  <c r="F1167" i="14" a="1"/>
  <c r="F1167" i="14" s="1"/>
  <c r="F311" i="14" a="1"/>
  <c r="F311" i="14" s="1"/>
  <c r="F576" i="14" a="1"/>
  <c r="F576" i="14" s="1"/>
  <c r="F17" i="14" a="1"/>
  <c r="F17" i="14" s="1"/>
  <c r="F35" i="14" a="1"/>
  <c r="F35" i="14" s="1"/>
  <c r="F1062" i="14" a="1"/>
  <c r="F1062" i="14" s="1"/>
  <c r="F30" i="14" a="1"/>
  <c r="F30" i="14" s="1"/>
  <c r="F805" i="14" a="1"/>
  <c r="F805" i="14" s="1"/>
  <c r="F322" i="14" a="1"/>
  <c r="F322" i="14" s="1"/>
  <c r="F994" i="14" a="1"/>
  <c r="F994" i="14" s="1"/>
  <c r="F1193" i="14" a="1"/>
  <c r="F1193" i="14" s="1"/>
  <c r="F811" i="14" a="1"/>
  <c r="F811" i="14" s="1"/>
  <c r="F290" i="14" a="1"/>
  <c r="F290" i="14" s="1"/>
  <c r="F861" i="14" a="1"/>
  <c r="F861" i="14" s="1"/>
  <c r="F1151" i="14" a="1"/>
  <c r="F1151" i="14" s="1"/>
  <c r="F844" i="14" a="1"/>
  <c r="F844" i="14" s="1"/>
  <c r="F315" i="14" a="1"/>
  <c r="F315" i="14" s="1"/>
  <c r="F905" i="14" a="1"/>
  <c r="F905" i="14" s="1"/>
  <c r="F1163" i="14" a="1"/>
  <c r="F1163" i="14" s="1"/>
  <c r="F872" i="14" a="1"/>
  <c r="F872" i="14" s="1"/>
  <c r="F313" i="14" a="1"/>
  <c r="F313" i="14" s="1"/>
  <c r="F901" i="14" a="1"/>
  <c r="F901" i="14" s="1"/>
  <c r="F1162" i="14" a="1"/>
  <c r="F1162" i="14" s="1"/>
  <c r="F34" i="14" a="1"/>
  <c r="F34" i="14" s="1"/>
  <c r="F802" i="14" a="1"/>
  <c r="F802" i="14" s="1"/>
  <c r="F330" i="14" a="1"/>
  <c r="F330" i="14" s="1"/>
  <c r="F1007" i="14" a="1"/>
  <c r="F1007" i="14" s="1"/>
  <c r="F1196" i="14" a="1"/>
  <c r="F1196" i="14" s="1"/>
  <c r="F479" i="14" a="1"/>
  <c r="F479" i="14" s="1"/>
  <c r="F555" i="14" a="1"/>
  <c r="F555" i="14" s="1"/>
  <c r="F65" i="14" a="1"/>
  <c r="F65" i="14" s="1"/>
  <c r="F697" i="14" a="1"/>
  <c r="F697" i="14" s="1"/>
  <c r="F1152" i="14" a="1"/>
  <c r="F1152" i="14" s="1"/>
  <c r="F856" i="14" a="1"/>
  <c r="F856" i="14" s="1"/>
  <c r="F1233" i="14" a="1"/>
  <c r="F1233" i="14" s="1"/>
  <c r="F884" i="14" a="1"/>
  <c r="F884" i="14" s="1"/>
  <c r="F1150" i="14" a="1"/>
  <c r="F1150" i="14" s="1"/>
  <c r="F1257" i="14" a="1"/>
  <c r="F1257" i="14" s="1"/>
  <c r="F453" i="14" a="1"/>
  <c r="F453" i="14" s="1"/>
  <c r="F728" i="14" a="1"/>
  <c r="F728" i="14" s="1"/>
  <c r="F544" i="14" a="1"/>
  <c r="F544" i="14" s="1"/>
  <c r="F341" i="14" a="1"/>
  <c r="F341" i="14" s="1"/>
  <c r="F921" i="14" a="1"/>
  <c r="F921" i="14" s="1"/>
  <c r="F398" i="14" a="1"/>
  <c r="F398" i="14" s="1"/>
  <c r="F553" i="14" a="1"/>
  <c r="F553" i="14" s="1"/>
  <c r="F431" i="14" a="1"/>
  <c r="F431" i="14" s="1"/>
  <c r="F439" i="14" a="1"/>
  <c r="F439" i="14" s="1"/>
  <c r="F812" i="14" a="1"/>
  <c r="F812" i="14" s="1"/>
  <c r="F539" i="14" a="1"/>
  <c r="F539" i="14" s="1"/>
  <c r="F120" i="14" a="1"/>
  <c r="F120" i="14" s="1"/>
  <c r="F666" i="14" a="1"/>
  <c r="F666" i="14" s="1"/>
  <c r="F841" i="14" a="1"/>
  <c r="F841" i="14" s="1"/>
  <c r="F559" i="14" a="1"/>
  <c r="F559" i="14" s="1"/>
  <c r="F160" i="14" a="1"/>
  <c r="F160" i="14" s="1"/>
  <c r="F628" i="14" a="1"/>
  <c r="F628" i="14" s="1"/>
  <c r="F1463" i="14" a="1"/>
  <c r="F1463" i="14" s="1"/>
  <c r="F1275" i="14" a="1"/>
  <c r="F1275" i="14" s="1"/>
  <c r="F1391" i="14" a="1"/>
  <c r="F1391" i="14" s="1"/>
  <c r="F1355" i="14" a="1"/>
  <c r="F1355" i="14" s="1"/>
  <c r="F785" i="14" a="1"/>
  <c r="F785" i="14" s="1"/>
  <c r="F1428" i="14" a="1"/>
  <c r="F1428" i="14" s="1"/>
  <c r="F1218" i="14" a="1"/>
  <c r="F1218" i="14" s="1"/>
  <c r="F1344" i="14" a="1"/>
  <c r="F1344" i="14" s="1"/>
  <c r="F1332" i="14" a="1"/>
  <c r="F1332" i="14" s="1"/>
  <c r="F773" i="14" a="1"/>
  <c r="F773" i="14" s="1"/>
  <c r="F1331" i="14" a="1"/>
  <c r="F1331" i="14" s="1"/>
  <c r="F1146" i="14" a="1"/>
  <c r="F1146" i="14" s="1"/>
  <c r="F1242" i="14" a="1"/>
  <c r="F1242" i="14" s="1"/>
  <c r="F1203" i="14" a="1"/>
  <c r="F1203" i="14" s="1"/>
  <c r="F436" i="14" a="1"/>
  <c r="F436" i="14" s="1"/>
  <c r="F1379" i="14" a="1"/>
  <c r="F1379" i="14" s="1"/>
  <c r="F1222" i="14" a="1"/>
  <c r="F1222" i="14" s="1"/>
  <c r="F1335" i="14" a="1"/>
  <c r="F1335" i="14" s="1"/>
  <c r="F1330" i="14" a="1"/>
  <c r="F1330" i="14" s="1"/>
  <c r="F860" i="14" a="1"/>
  <c r="F860" i="14" s="1"/>
  <c r="F70" i="14" a="1"/>
  <c r="F70" i="14" s="1"/>
  <c r="F432" i="14" a="1"/>
  <c r="F432" i="14" s="1"/>
  <c r="F84" i="14" a="1"/>
  <c r="F84" i="14" s="1"/>
  <c r="F28" i="14" a="1"/>
  <c r="F28" i="14" s="1"/>
  <c r="F887" i="14" a="1"/>
  <c r="F887" i="14" s="1"/>
  <c r="F389" i="14" a="1"/>
  <c r="F389" i="14" s="1"/>
  <c r="F474" i="14" a="1"/>
  <c r="F474" i="14" s="1"/>
  <c r="F104" i="14" a="1"/>
  <c r="F104" i="14" s="1"/>
  <c r="F575" i="14" a="1"/>
  <c r="F575" i="14" s="1"/>
  <c r="F937" i="14" a="1"/>
  <c r="F937" i="14" s="1"/>
  <c r="F265" i="14" a="1"/>
  <c r="F265" i="14" s="1"/>
  <c r="F540" i="14" a="1"/>
  <c r="F540" i="14" s="1"/>
  <c r="F705" i="14" a="1"/>
  <c r="F705" i="14" s="1"/>
  <c r="F1037" i="14" a="1"/>
  <c r="F1037" i="14" s="1"/>
  <c r="F982" i="14" a="1"/>
  <c r="F982" i="14" s="1"/>
  <c r="F126" i="14" a="1"/>
  <c r="F126" i="14" s="1"/>
  <c r="F621" i="14" a="1"/>
  <c r="F621" i="14" s="1"/>
  <c r="F180" i="14" a="1"/>
  <c r="F180" i="14" s="1"/>
  <c r="F520" i="14" a="1"/>
  <c r="F520" i="14" s="1"/>
  <c r="F1023" i="14" a="1"/>
  <c r="F1023" i="14" s="1"/>
  <c r="F83" i="14" a="1"/>
  <c r="F83" i="14" s="1"/>
  <c r="F535" i="14" a="1"/>
  <c r="F535" i="14" s="1"/>
  <c r="F223" i="14" a="1"/>
  <c r="F223" i="14" s="1"/>
  <c r="F766" i="14" a="1"/>
  <c r="F766" i="14" s="1"/>
  <c r="F993" i="14" a="1"/>
  <c r="F993" i="14" s="1"/>
  <c r="F171" i="14" a="1"/>
  <c r="F171" i="14" s="1"/>
  <c r="F468" i="14" a="1"/>
  <c r="F468" i="14" s="1"/>
  <c r="F267" i="14" a="1"/>
  <c r="F267" i="14" s="1"/>
  <c r="F838" i="14" a="1"/>
  <c r="F838" i="14" s="1"/>
  <c r="F862" i="14" a="1"/>
  <c r="F862" i="14" s="1"/>
  <c r="F91" i="14" a="1"/>
  <c r="F91" i="14" s="1"/>
  <c r="F470" i="14" a="1"/>
  <c r="F470" i="14" s="1"/>
  <c r="F228" i="14" a="1"/>
  <c r="F228" i="14" s="1"/>
  <c r="F770" i="14" a="1"/>
  <c r="F770" i="14" s="1"/>
  <c r="F1485" i="14" a="1"/>
  <c r="F1485" i="14" s="1"/>
  <c r="F1283" i="14" a="1"/>
  <c r="F1283" i="14" s="1"/>
  <c r="F1429" i="14" a="1"/>
  <c r="F1429" i="14" s="1"/>
  <c r="F1382" i="14" a="1"/>
  <c r="F1382" i="14" s="1"/>
  <c r="F775" i="14" a="1"/>
  <c r="F775" i="14" s="1"/>
  <c r="F337" i="14" a="1"/>
  <c r="F337" i="14" s="1"/>
  <c r="F517" i="14" a="1"/>
  <c r="F517" i="14" s="1"/>
  <c r="F158" i="14" a="1"/>
  <c r="F158" i="14" s="1"/>
  <c r="F641" i="14" a="1"/>
  <c r="F641" i="14" s="1"/>
  <c r="F1015" i="14" a="1"/>
  <c r="F1015" i="14" s="1"/>
  <c r="F943" i="14" a="1"/>
  <c r="F943" i="14" s="1"/>
  <c r="F134" i="14" a="1"/>
  <c r="F134" i="14" s="1"/>
  <c r="F662" i="14" a="1"/>
  <c r="F662" i="14" s="1"/>
  <c r="F189" i="14" a="1"/>
  <c r="F189" i="14" s="1"/>
  <c r="F530" i="14" a="1"/>
  <c r="F530" i="14" s="1"/>
  <c r="F983" i="14" a="1"/>
  <c r="F983" i="14" s="1"/>
  <c r="F121" i="14" a="1"/>
  <c r="F121" i="14" s="1"/>
  <c r="F704" i="14" a="1"/>
  <c r="F704" i="14" s="1"/>
  <c r="F894" i="14" a="1"/>
  <c r="F894" i="14" s="1"/>
  <c r="F532" i="14" a="1"/>
  <c r="F532" i="14" s="1"/>
  <c r="F9" i="14" a="1"/>
  <c r="F9" i="14" s="1"/>
  <c r="F930" i="14" a="1"/>
  <c r="F930" i="14" s="1"/>
  <c r="F960" i="14" a="1"/>
  <c r="F960" i="14" s="1"/>
  <c r="F1093" i="14" a="1"/>
  <c r="F1093" i="14" s="1"/>
  <c r="F333" i="14" a="1"/>
  <c r="F333" i="14" s="1"/>
  <c r="F823" i="14" a="1"/>
  <c r="F823" i="14" s="1"/>
  <c r="F845" i="14" a="1"/>
  <c r="F845" i="14" s="1"/>
  <c r="F318" i="14" a="1"/>
  <c r="F318" i="14" s="1"/>
  <c r="F814" i="14" a="1"/>
  <c r="F814" i="14" s="1"/>
  <c r="F831" i="14" a="1"/>
  <c r="F831" i="14" s="1"/>
  <c r="F233" i="14" a="1"/>
  <c r="F233" i="14" s="1"/>
  <c r="F1074" i="14" a="1"/>
  <c r="F1074" i="14" s="1"/>
  <c r="F295" i="14" a="1"/>
  <c r="F295" i="14" s="1"/>
  <c r="F632" i="14" a="1"/>
  <c r="F632" i="14" s="1"/>
  <c r="F783" i="14" a="1"/>
  <c r="F783" i="14" s="1"/>
  <c r="F327" i="14" a="1"/>
  <c r="F327" i="14" s="1"/>
  <c r="F926" i="14" a="1"/>
  <c r="F926" i="14" s="1"/>
  <c r="F319" i="14" a="1"/>
  <c r="F319" i="14" s="1"/>
  <c r="F678" i="14" a="1"/>
  <c r="F678" i="14" s="1"/>
  <c r="F804" i="14" a="1"/>
  <c r="F804" i="14" s="1"/>
  <c r="F358" i="14" a="1"/>
  <c r="F358" i="14" s="1"/>
  <c r="F939" i="14" a="1"/>
  <c r="F939" i="14" s="1"/>
  <c r="F400" i="14" a="1"/>
  <c r="F400" i="14" s="1"/>
  <c r="F583" i="14" a="1"/>
  <c r="F583" i="14" s="1"/>
  <c r="F604" i="14" a="1"/>
  <c r="F604" i="14" s="1"/>
  <c r="F410" i="14" a="1"/>
  <c r="F410" i="14" s="1"/>
  <c r="F966" i="14" a="1"/>
  <c r="F966" i="14" s="1"/>
  <c r="F1254" i="14" a="1"/>
  <c r="F1254" i="14" s="1"/>
  <c r="F508" i="14" a="1"/>
  <c r="F508" i="14" s="1"/>
  <c r="F512" i="14" a="1"/>
  <c r="F512" i="14" s="1"/>
  <c r="F1101" i="14" a="1"/>
  <c r="F1101" i="14" s="1"/>
  <c r="F1199" i="14" a="1"/>
  <c r="F1199" i="14" s="1"/>
  <c r="F627" i="14" a="1"/>
  <c r="F627" i="14" s="1"/>
  <c r="F519" i="14" a="1"/>
  <c r="F519" i="14" s="1"/>
  <c r="F1211" i="14" a="1"/>
  <c r="F1211" i="14" s="1"/>
  <c r="F183" i="14" a="1"/>
  <c r="F183" i="14" s="1"/>
  <c r="F975" i="14" a="1"/>
  <c r="F975" i="14" s="1"/>
  <c r="F485" i="14" a="1"/>
  <c r="F485" i="14" s="1"/>
  <c r="F481" i="14" a="1"/>
  <c r="F481" i="14" s="1"/>
  <c r="F1092" i="14" a="1"/>
  <c r="F1092" i="14" s="1"/>
  <c r="F1180" i="14" a="1"/>
  <c r="F1180" i="14" s="1"/>
  <c r="F636" i="14" a="1"/>
  <c r="F636" i="14" s="1"/>
  <c r="F744" i="14" a="1"/>
  <c r="F744" i="14" s="1"/>
  <c r="F11" i="14" a="1"/>
  <c r="F11" i="14" s="1"/>
  <c r="F1181" i="14" a="1"/>
  <c r="F1181" i="14" s="1"/>
  <c r="F669" i="14" a="1"/>
  <c r="F669" i="14" s="1"/>
  <c r="F533" i="14" a="1"/>
  <c r="F533" i="14" s="1"/>
  <c r="F1205" i="14" a="1"/>
  <c r="F1205" i="14" s="1"/>
  <c r="F185" i="14" a="1"/>
  <c r="F185" i="14" s="1"/>
  <c r="F671" i="14" a="1"/>
  <c r="F671" i="14" s="1"/>
  <c r="F190" i="14" a="1"/>
  <c r="F190" i="14" s="1"/>
  <c r="F719" i="14" a="1"/>
  <c r="F719" i="14" s="1"/>
  <c r="F703" i="14" a="1"/>
  <c r="F703" i="14" s="1"/>
  <c r="F443" i="14" a="1"/>
  <c r="F443" i="14" s="1"/>
  <c r="F376" i="14" a="1"/>
  <c r="F376" i="14" s="1"/>
  <c r="F472" i="14" a="1"/>
  <c r="F472" i="14" s="1"/>
  <c r="F440" i="14" a="1"/>
  <c r="F440" i="14" s="1"/>
  <c r="F1044" i="14" a="1"/>
  <c r="F1044" i="14" s="1"/>
  <c r="F460" i="14" a="1"/>
  <c r="F460" i="14" s="1"/>
  <c r="F1049" i="14" a="1"/>
  <c r="F1049" i="14" s="1"/>
  <c r="F343" i="14" a="1"/>
  <c r="F343" i="14" s="1"/>
  <c r="F379" i="14" a="1"/>
  <c r="F379" i="14" s="1"/>
  <c r="F165" i="14" a="1"/>
  <c r="F165" i="14" s="1"/>
  <c r="F222" i="14" a="1"/>
  <c r="F222" i="14" s="1"/>
  <c r="F446" i="14" a="1"/>
  <c r="F446" i="14" s="1"/>
  <c r="F649" i="14" a="1"/>
  <c r="F649" i="14" s="1"/>
  <c r="F426" i="14" a="1"/>
  <c r="F426" i="14" s="1"/>
  <c r="F768" i="14" a="1"/>
  <c r="F768" i="14" s="1"/>
  <c r="F1066" i="14" a="1"/>
  <c r="F1066" i="14" s="1"/>
  <c r="F1422" i="14" a="1"/>
  <c r="F1422" i="14" s="1"/>
  <c r="F212" i="14" a="1"/>
  <c r="F212" i="14" s="1"/>
  <c r="F323" i="14" a="1"/>
  <c r="F323" i="14" s="1"/>
  <c r="F105" i="14" a="1"/>
  <c r="F105" i="14" s="1"/>
  <c r="F995" i="14" a="1"/>
  <c r="F995" i="14" s="1"/>
  <c r="F1472" i="14" a="1"/>
  <c r="F1472" i="14" s="1"/>
  <c r="F1076" i="14" a="1"/>
  <c r="F1076" i="14" s="1"/>
  <c r="F3" i="14" a="1"/>
  <c r="F3" i="14" s="1"/>
  <c r="F973" i="14" a="1"/>
  <c r="F973" i="14" s="1"/>
  <c r="F1464" i="14" a="1"/>
  <c r="F1464" i="14" s="1"/>
  <c r="F289" i="14" a="1"/>
  <c r="F289" i="14" s="1"/>
  <c r="F288" i="14" a="1"/>
  <c r="F288" i="14" s="1"/>
  <c r="F1469" i="14" a="1"/>
  <c r="F1469" i="14" s="1"/>
  <c r="F278" i="14" a="1"/>
  <c r="F278" i="14" s="1"/>
  <c r="F421" i="14" a="1"/>
  <c r="F421" i="14" s="1"/>
  <c r="F778" i="14" a="1"/>
  <c r="F778" i="14" s="1"/>
  <c r="F1085" i="14" a="1"/>
  <c r="F1085" i="14" s="1"/>
  <c r="F1455" i="14" a="1"/>
  <c r="F1455" i="14" s="1"/>
  <c r="F275" i="14" a="1"/>
  <c r="F275" i="14" s="1"/>
  <c r="F1050" i="14" a="1"/>
  <c r="F1050" i="14" s="1"/>
  <c r="F522" i="14" a="1"/>
  <c r="F522" i="14" s="1"/>
  <c r="F247" i="14" a="1"/>
  <c r="F247" i="14" s="1"/>
  <c r="F1255" i="14" a="1"/>
  <c r="F1255" i="14" s="1"/>
  <c r="F970" i="14" a="1"/>
  <c r="F970" i="14" s="1"/>
  <c r="F871" i="14" a="1"/>
  <c r="F871" i="14" s="1"/>
  <c r="F82" i="14" a="1"/>
  <c r="F82" i="14" s="1"/>
  <c r="F675" i="14" a="1"/>
  <c r="F675" i="14" s="1"/>
  <c r="F1280" i="14" a="1"/>
  <c r="F1280" i="14" s="1"/>
  <c r="F824" i="14" a="1"/>
  <c r="F824" i="14" s="1"/>
  <c r="F1460" i="14" a="1"/>
  <c r="F1460" i="14" s="1"/>
  <c r="F1357" i="14" a="1"/>
  <c r="F1357" i="14" s="1"/>
  <c r="F760" i="14" a="1"/>
  <c r="F760" i="14" s="1"/>
  <c r="F112" i="14" a="1"/>
  <c r="F112" i="14" s="1"/>
  <c r="F1402" i="14" a="1"/>
  <c r="F1402" i="14" s="1"/>
  <c r="F1303" i="14" a="1"/>
  <c r="F1303" i="14" s="1"/>
  <c r="F1185" i="14" a="1"/>
  <c r="F1185" i="14" s="1"/>
  <c r="F419" i="14" a="1"/>
  <c r="F419" i="14" s="1"/>
  <c r="F78" i="14" a="1"/>
  <c r="F78" i="14" s="1"/>
  <c r="F1409" i="14" a="1"/>
  <c r="F1409" i="14" s="1"/>
  <c r="F386" i="14" a="1"/>
  <c r="F386" i="14" s="1"/>
  <c r="F607" i="14" a="1"/>
  <c r="F607" i="14" s="1"/>
  <c r="F58" i="14" a="1"/>
  <c r="F58" i="14" s="1"/>
  <c r="F1301" i="14" a="1"/>
  <c r="F1301" i="14" s="1"/>
  <c r="F366" i="14" a="1"/>
  <c r="F366" i="14" s="1"/>
  <c r="F314" i="14" a="1"/>
  <c r="F314" i="14" s="1"/>
  <c r="F283" i="14" a="1"/>
  <c r="F283" i="14" s="1"/>
  <c r="F851" i="14" a="1"/>
  <c r="F851" i="14" s="1"/>
  <c r="F273" i="14" a="1"/>
  <c r="F273" i="14" s="1"/>
  <c r="F745" i="14" a="1"/>
  <c r="F745" i="14" s="1"/>
  <c r="F1356" i="14" a="1"/>
  <c r="F1356" i="14" s="1"/>
  <c r="F736" i="14" a="1"/>
  <c r="F736" i="14" s="1"/>
  <c r="F899" i="14" a="1"/>
  <c r="F899" i="14" s="1"/>
  <c r="F1367" i="14" a="1"/>
  <c r="F1367" i="14" s="1"/>
  <c r="F598" i="14" a="1"/>
  <c r="F598" i="14" s="1"/>
  <c r="F727" i="14" a="1"/>
  <c r="F727" i="14" s="1"/>
  <c r="F903" i="14" a="1"/>
  <c r="F903" i="14" s="1"/>
  <c r="F1347" i="14" a="1"/>
  <c r="F1347" i="14" s="1"/>
  <c r="F564" i="14" a="1"/>
  <c r="F564" i="14" s="1"/>
  <c r="F646" i="14" a="1"/>
  <c r="F646" i="14" s="1"/>
  <c r="F1482" i="14" a="1"/>
  <c r="F1482" i="14" s="1"/>
  <c r="F1312" i="14" a="1"/>
  <c r="F1312" i="14" s="1"/>
  <c r="F1493" i="14" a="1"/>
  <c r="F1493" i="14" s="1"/>
  <c r="F757" i="14" a="1"/>
  <c r="F757" i="14" s="1"/>
  <c r="F457" i="14" a="1"/>
  <c r="F457" i="14" s="1"/>
  <c r="F1322" i="14" a="1"/>
  <c r="F1322" i="14" s="1"/>
  <c r="F747" i="14" a="1"/>
  <c r="F747" i="14" s="1"/>
  <c r="F408" i="14" a="1"/>
  <c r="F408" i="14" s="1"/>
  <c r="F1035" i="14" a="1"/>
  <c r="F1035" i="14" s="1"/>
  <c r="F892" i="14" a="1"/>
  <c r="F892" i="14" s="1"/>
  <c r="F301" i="14" a="1"/>
  <c r="F301" i="14" s="1"/>
  <c r="F764" i="14" a="1"/>
  <c r="F764" i="14" s="1"/>
  <c r="F224" i="14" a="1"/>
  <c r="F224" i="14" s="1"/>
  <c r="F750" i="14" a="1"/>
  <c r="F750" i="14" s="1"/>
  <c r="F1058" i="14" a="1"/>
  <c r="F1058" i="14" s="1"/>
  <c r="F1204" i="14" a="1"/>
  <c r="F1204" i="14" s="1"/>
  <c r="F1401" i="14" a="1"/>
  <c r="F1401" i="14" s="1"/>
  <c r="F597" i="14" a="1"/>
  <c r="F597" i="14" s="1"/>
  <c r="F130" i="14" a="1"/>
  <c r="F130" i="14" s="1"/>
  <c r="F1405" i="14" a="1"/>
  <c r="F1405" i="14" s="1"/>
  <c r="F1201" i="14" a="1"/>
  <c r="F1201" i="14" s="1"/>
  <c r="F1393" i="14" a="1"/>
  <c r="F1393" i="14" s="1"/>
  <c r="F143" i="14" a="1"/>
  <c r="F143" i="14" s="1"/>
  <c r="F1128" i="14" a="1"/>
  <c r="F1128" i="14" s="1"/>
  <c r="F870" i="14" a="1"/>
  <c r="F870" i="14" s="1"/>
  <c r="F1148" i="14" a="1"/>
  <c r="F1148" i="14" s="1"/>
  <c r="F1272" i="14" a="1"/>
  <c r="F1272" i="14" s="1"/>
  <c r="F236" i="14" a="1"/>
  <c r="F236" i="14" s="1"/>
  <c r="F1141" i="14" a="1"/>
  <c r="F1141" i="14" s="1"/>
  <c r="F1071" i="14" a="1"/>
  <c r="F1071" i="14" s="1"/>
  <c r="F810" i="14" a="1"/>
  <c r="F810" i="14" s="1"/>
  <c r="F1087" i="14" a="1"/>
  <c r="F1087" i="14" s="1"/>
  <c r="F155" i="14" a="1"/>
  <c r="F155" i="14" s="1"/>
  <c r="F1195" i="14" a="1"/>
  <c r="F1195" i="14" s="1"/>
  <c r="F772" i="14" a="1"/>
  <c r="F772" i="14" s="1"/>
  <c r="F837" i="14" a="1"/>
  <c r="F837" i="14" s="1"/>
  <c r="F1206" i="14" a="1"/>
  <c r="F1206" i="14" s="1"/>
  <c r="F1080" i="14" a="1"/>
  <c r="F1080" i="14" s="1"/>
  <c r="F1094" i="14" a="1"/>
  <c r="F1094" i="14" s="1"/>
  <c r="F731" i="14" a="1"/>
  <c r="F731" i="14" s="1"/>
  <c r="F1073" i="14" a="1"/>
  <c r="F1073" i="14" s="1"/>
  <c r="F184" i="14" a="1"/>
  <c r="F184" i="14" s="1"/>
  <c r="F4" i="14" a="1"/>
  <c r="F4" i="14" s="1"/>
  <c r="F741" i="14" a="1"/>
  <c r="F741" i="14" s="1"/>
  <c r="F726" i="14" a="1"/>
  <c r="F726" i="14" s="1"/>
  <c r="F1176" i="14" a="1"/>
  <c r="F1176" i="14" s="1"/>
  <c r="F345" i="14" a="1"/>
  <c r="F345" i="14" s="1"/>
  <c r="F1186" i="14" a="1"/>
  <c r="F1186" i="14" s="1"/>
  <c r="F753" i="14" a="1"/>
  <c r="F753" i="14" s="1"/>
  <c r="F874" i="14" a="1"/>
  <c r="F874" i="14" s="1"/>
  <c r="F1200" i="14" a="1"/>
  <c r="F1200" i="14" s="1"/>
  <c r="F338" i="14" a="1"/>
  <c r="F338" i="14" s="1"/>
  <c r="F680" i="14" a="1"/>
  <c r="F680" i="14" s="1"/>
  <c r="F1133" i="14" a="1"/>
  <c r="F1133" i="14" s="1"/>
  <c r="F1400" i="14" a="1"/>
  <c r="F1400" i="14" s="1"/>
  <c r="F198" i="14" a="1"/>
  <c r="F198" i="14" s="1"/>
  <c r="F351" i="14" a="1"/>
  <c r="F351" i="14" s="1"/>
  <c r="F31" i="14" a="1"/>
  <c r="F31" i="14" s="1"/>
  <c r="F1069" i="14" a="1"/>
  <c r="F1069" i="14" s="1"/>
  <c r="F992" i="14" a="1"/>
  <c r="F992" i="14" s="1"/>
  <c r="F24" i="14" a="1"/>
  <c r="F24" i="14" s="1"/>
  <c r="F854" i="14" a="1"/>
  <c r="F854" i="14" s="1"/>
  <c r="F1159" i="14" a="1"/>
  <c r="F1159" i="14" s="1"/>
  <c r="F32" i="14" a="1"/>
  <c r="F32" i="14" s="1"/>
  <c r="F137" i="14" a="1"/>
  <c r="F137" i="14" s="1"/>
  <c r="F42" i="14" a="1"/>
  <c r="F42" i="14" s="1"/>
  <c r="F898" i="14" a="1"/>
  <c r="F898" i="14" s="1"/>
  <c r="F1164" i="14" a="1"/>
  <c r="F1164" i="14" s="1"/>
  <c r="F1443" i="14" a="1"/>
  <c r="F1443" i="14" s="1"/>
  <c r="F129" i="14" a="1"/>
  <c r="F129" i="14" s="1"/>
  <c r="F441" i="14" a="1"/>
  <c r="F441" i="14" s="1"/>
  <c r="F695" i="14" a="1"/>
  <c r="F695" i="14" s="1"/>
  <c r="F1168" i="14" a="1"/>
  <c r="F1168" i="14" s="1"/>
  <c r="F40" i="14" a="1"/>
  <c r="F40" i="14" s="1"/>
  <c r="F122" i="14" a="1"/>
  <c r="F122" i="14" s="1"/>
  <c r="F1157" i="14" a="1"/>
  <c r="F1157" i="14" s="1"/>
  <c r="F1144" i="14" a="1"/>
  <c r="F1144" i="14" s="1"/>
  <c r="F1026" i="14" a="1"/>
  <c r="F1026" i="14" s="1"/>
  <c r="F933" i="14" a="1"/>
  <c r="F933" i="14" s="1"/>
  <c r="F465" i="14" a="1"/>
  <c r="F465" i="14" s="1"/>
  <c r="F462" i="14" a="1"/>
  <c r="F462" i="14" s="1"/>
  <c r="F801" i="14" a="1"/>
  <c r="F801" i="14" s="1"/>
  <c r="F170" i="14" a="1"/>
  <c r="F170" i="14" s="1"/>
  <c r="F828" i="14" a="1"/>
  <c r="F828" i="14" s="1"/>
  <c r="F216" i="14" a="1"/>
  <c r="F216" i="14" s="1"/>
  <c r="F670" i="14" a="1"/>
  <c r="F670" i="14" s="1"/>
  <c r="F113" i="14" a="1"/>
  <c r="F113" i="14" s="1"/>
  <c r="F1470" i="14" a="1"/>
  <c r="F1470" i="14" s="1"/>
  <c r="F1442" i="14" a="1"/>
  <c r="F1442" i="14" s="1"/>
  <c r="F1342" i="14" a="1"/>
  <c r="F1342" i="14" s="1"/>
  <c r="F752" i="14" a="1"/>
  <c r="F752" i="14" s="1"/>
  <c r="F429" i="14" a="1"/>
  <c r="F429" i="14" s="1"/>
  <c r="F1262" i="14" a="1"/>
  <c r="F1262" i="14" s="1"/>
  <c r="F1426" i="14" a="1"/>
  <c r="F1426" i="14" s="1"/>
  <c r="F1337" i="14" a="1"/>
  <c r="F1337" i="14" s="1"/>
  <c r="F816" i="14" a="1"/>
  <c r="F816" i="14" s="1"/>
  <c r="F1373" i="14" a="1"/>
  <c r="F1373" i="14" s="1"/>
  <c r="F225" i="14" a="1"/>
  <c r="F225" i="14" s="1"/>
  <c r="F423" i="14" a="1"/>
  <c r="F423" i="14" s="1"/>
  <c r="F569" i="14" a="1"/>
  <c r="F569" i="14" s="1"/>
  <c r="F968" i="14" a="1"/>
  <c r="F968" i="14" s="1"/>
  <c r="F1345" i="14" a="1"/>
  <c r="F1345" i="14" s="1"/>
  <c r="F263" i="14" a="1"/>
  <c r="F263" i="14" s="1"/>
  <c r="F913" i="14" a="1"/>
  <c r="F913" i="14" s="1"/>
  <c r="F176" i="14" a="1"/>
  <c r="F176" i="14" s="1"/>
  <c r="F534" i="14" a="1"/>
  <c r="F534" i="14" s="1"/>
  <c r="F1328" i="14" a="1"/>
  <c r="F1328" i="14" s="1"/>
  <c r="F722" i="14" a="1"/>
  <c r="F722" i="14" s="1"/>
  <c r="F998" i="14" a="1"/>
  <c r="F998" i="14" s="1"/>
  <c r="F873" i="14" a="1"/>
  <c r="F873" i="14" s="1"/>
  <c r="F1323" i="14" a="1"/>
  <c r="F1323" i="14" s="1"/>
  <c r="F581" i="14" a="1"/>
  <c r="F581" i="14" s="1"/>
  <c r="F1487" i="14" a="1"/>
  <c r="F1487" i="14" s="1"/>
  <c r="F1314" i="14" a="1"/>
  <c r="F1314" i="14" s="1"/>
  <c r="F780" i="14" a="1"/>
  <c r="F780" i="14" s="1"/>
  <c r="F1376" i="14" a="1"/>
  <c r="F1376" i="14" s="1"/>
  <c r="F393" i="14" a="1"/>
  <c r="F393" i="14" s="1"/>
  <c r="F923" i="14" a="1"/>
  <c r="F923" i="14" s="1"/>
  <c r="F182" i="14" a="1"/>
  <c r="F182" i="14" s="1"/>
  <c r="F1068" i="14" a="1"/>
  <c r="F1068" i="14" s="1"/>
  <c r="F1333" i="14" a="1"/>
  <c r="F1333" i="14" s="1"/>
  <c r="F714" i="14" a="1"/>
  <c r="F714" i="14" s="1"/>
  <c r="F451" i="14" a="1"/>
  <c r="F451" i="14" s="1"/>
  <c r="F1060" i="14" a="1"/>
  <c r="F1060" i="14" s="1"/>
  <c r="F297" i="14" a="1"/>
  <c r="F297" i="14" s="1"/>
  <c r="F563" i="14" a="1"/>
  <c r="F563" i="14" s="1"/>
  <c r="F147" i="14" a="1"/>
  <c r="F147" i="14" s="1"/>
  <c r="F255" i="14" a="1"/>
  <c r="F255" i="14" s="1"/>
  <c r="F582" i="14" a="1"/>
  <c r="F582" i="14" s="1"/>
  <c r="F50" i="14" a="1"/>
  <c r="F50" i="14" s="1"/>
  <c r="F1232" i="14" a="1"/>
  <c r="F1232" i="14" s="1"/>
  <c r="F111" i="14" a="1"/>
  <c r="F111" i="14" s="1"/>
  <c r="F882" i="14" a="1"/>
  <c r="F882" i="14" s="1"/>
  <c r="F690" i="14" a="1"/>
  <c r="F690" i="14" s="1"/>
  <c r="F68" i="14" a="1"/>
  <c r="F68" i="14" s="1"/>
  <c r="F1025" i="14" a="1"/>
  <c r="F1025" i="14" s="1"/>
  <c r="F868" i="14" a="1"/>
  <c r="F868" i="14" s="1"/>
  <c r="F1153" i="14" a="1"/>
  <c r="F1153" i="14" s="1"/>
  <c r="F435" i="14" a="1"/>
  <c r="F435" i="14" s="1"/>
  <c r="F947" i="14" a="1"/>
  <c r="F947" i="14" s="1"/>
  <c r="F945" i="14" a="1"/>
  <c r="F945" i="14" s="1"/>
  <c r="F652" i="14" a="1"/>
  <c r="F652" i="14" s="1"/>
  <c r="F1065" i="14" a="1"/>
  <c r="F1065" i="14" s="1"/>
  <c r="F418" i="14" a="1"/>
  <c r="F418" i="14" s="1"/>
  <c r="F1054" i="14" a="1"/>
  <c r="F1054" i="14" s="1"/>
  <c r="F1227" i="14" a="1"/>
  <c r="F1227" i="14" s="1"/>
  <c r="F684" i="14" a="1"/>
  <c r="F684" i="14" s="1"/>
  <c r="F49" i="14" a="1"/>
  <c r="F49" i="14" s="1"/>
  <c r="F1250" i="14" a="1"/>
  <c r="F1250" i="14" s="1"/>
  <c r="F721" i="14" a="1"/>
  <c r="F721" i="14" s="1"/>
  <c r="F47" i="14" a="1"/>
  <c r="F47" i="14" s="1"/>
  <c r="F54" i="14" a="1"/>
  <c r="F54" i="14" s="1"/>
  <c r="F63" i="14" a="1"/>
  <c r="F63" i="14" s="1"/>
  <c r="F1246" i="14" a="1"/>
  <c r="F1246" i="14" s="1"/>
  <c r="F33" i="14" a="1"/>
  <c r="F33" i="14" s="1"/>
  <c r="F730" i="14" a="1"/>
  <c r="F730" i="14" s="1"/>
  <c r="F324" i="14" a="1"/>
  <c r="F324" i="14" s="1"/>
  <c r="F434" i="14" a="1"/>
  <c r="F434" i="14" s="1"/>
  <c r="F1279" i="14" a="1"/>
  <c r="F1279" i="14" s="1"/>
  <c r="F991" i="14" a="1"/>
  <c r="F991" i="14" s="1"/>
  <c r="F230" i="14" a="1"/>
  <c r="F230" i="14" s="1"/>
  <c r="F286" i="14" a="1"/>
  <c r="F286" i="14" s="1"/>
  <c r="F437" i="14" a="1"/>
  <c r="F437" i="14" s="1"/>
  <c r="F1288" i="14" a="1"/>
  <c r="F1288" i="14" s="1"/>
  <c r="F880" i="14" a="1"/>
  <c r="F880" i="14" s="1"/>
  <c r="F197" i="14" a="1"/>
  <c r="F197" i="14" s="1"/>
  <c r="F309" i="14" a="1"/>
  <c r="F309" i="14" s="1"/>
  <c r="F416" i="14" a="1"/>
  <c r="F416" i="14" s="1"/>
  <c r="F1293" i="14" a="1"/>
  <c r="F1293" i="14" s="1"/>
  <c r="F900" i="14" a="1"/>
  <c r="F900" i="14" s="1"/>
  <c r="F208" i="14" a="1"/>
  <c r="F208" i="14" s="1"/>
  <c r="F304" i="14" a="1"/>
  <c r="F304" i="14" s="1"/>
  <c r="F422" i="14" a="1"/>
  <c r="F422" i="14" s="1"/>
  <c r="F1302" i="14" a="1"/>
  <c r="F1302" i="14" s="1"/>
  <c r="F904" i="14" a="1"/>
  <c r="F904" i="14" s="1"/>
  <c r="F204" i="14" a="1"/>
  <c r="F204" i="14" s="1"/>
  <c r="F339" i="14" a="1"/>
  <c r="F339" i="14" s="1"/>
  <c r="F442" i="14" a="1"/>
  <c r="F442" i="14" s="1"/>
  <c r="F1290" i="14" a="1"/>
  <c r="F1290" i="14" s="1"/>
  <c r="F1009" i="14" a="1"/>
  <c r="F1009" i="14" s="1"/>
  <c r="F238" i="14" a="1"/>
  <c r="F238" i="14" s="1"/>
  <c r="F1240" i="14" a="1"/>
  <c r="F1240" i="14" s="1"/>
  <c r="F694" i="14" a="1"/>
  <c r="F694" i="14" s="1"/>
  <c r="F73" i="14" a="1"/>
  <c r="F73" i="14" s="1"/>
  <c r="F299" i="14" a="1"/>
  <c r="F299" i="14" s="1"/>
  <c r="F414" i="14" a="1"/>
  <c r="F414" i="14" s="1"/>
  <c r="F1298" i="14" a="1"/>
  <c r="F1298" i="14" s="1"/>
  <c r="F886" i="14" a="1"/>
  <c r="F886" i="14" s="1"/>
  <c r="F200" i="14" a="1"/>
  <c r="F200" i="14" s="1"/>
  <c r="F672" i="14" a="1"/>
  <c r="F672" i="14" s="1"/>
  <c r="F664" i="14" a="1"/>
  <c r="F664" i="14" s="1"/>
  <c r="F755" i="14" a="1"/>
  <c r="F755" i="14" s="1"/>
  <c r="F526" i="14" a="1"/>
  <c r="F526" i="14" s="1"/>
  <c r="F737" i="14" a="1"/>
  <c r="F737" i="14" s="1"/>
  <c r="F610" i="14" a="1"/>
  <c r="F610" i="14" s="1"/>
  <c r="F655" i="14" a="1"/>
  <c r="F655" i="14" s="1"/>
  <c r="F1029" i="14" a="1"/>
  <c r="F1029" i="14" s="1"/>
  <c r="F396" i="14" a="1"/>
  <c r="F396" i="14" s="1"/>
  <c r="F579" i="14" a="1"/>
  <c r="F579" i="14" s="1"/>
  <c r="F557" i="14" a="1"/>
  <c r="F557" i="14" s="1"/>
  <c r="F556" i="14" a="1"/>
  <c r="F556" i="14" s="1"/>
  <c r="F1145" i="14" a="1"/>
  <c r="F1145" i="14" s="1"/>
  <c r="F90" i="14" a="1"/>
  <c r="F90" i="14" s="1"/>
  <c r="F587" i="14" a="1"/>
  <c r="F587" i="14" s="1"/>
  <c r="F567" i="14" a="1"/>
  <c r="F567" i="14" s="1"/>
  <c r="F573" i="14" a="1"/>
  <c r="F573" i="14" s="1"/>
  <c r="F1140" i="14" a="1"/>
  <c r="F1140" i="14" s="1"/>
  <c r="F115" i="14" a="1"/>
  <c r="F115" i="14" s="1"/>
  <c r="F631" i="14" a="1"/>
  <c r="F631" i="14" s="1"/>
  <c r="F1414" i="14" a="1"/>
  <c r="F1414" i="14" s="1"/>
  <c r="F1420" i="14" a="1"/>
  <c r="F1420" i="14" s="1"/>
  <c r="F492" i="14" a="1"/>
  <c r="F492" i="14" s="1"/>
  <c r="F1348" i="14" a="1"/>
  <c r="F1348" i="14" s="1"/>
  <c r="F1436" i="14" a="1"/>
  <c r="F1436" i="14" s="1"/>
  <c r="F1388" i="14" a="1"/>
  <c r="F1388" i="14" s="1"/>
  <c r="F1377" i="14" a="1"/>
  <c r="F1377" i="14" s="1"/>
  <c r="F428" i="14" a="1"/>
  <c r="F428" i="14" s="1"/>
  <c r="F1324" i="14" a="1"/>
  <c r="F1324" i="14" s="1"/>
  <c r="F1392" i="14" a="1"/>
  <c r="F1392" i="14" s="1"/>
  <c r="F1228" i="14" a="1"/>
  <c r="F1228" i="14" s="1"/>
  <c r="F1241" i="14" a="1"/>
  <c r="F1241" i="14" s="1"/>
  <c r="F1192" i="14" a="1"/>
  <c r="F1192" i="14" s="1"/>
  <c r="F1231" i="14" a="1"/>
  <c r="F1231" i="14" s="1"/>
  <c r="F1363" i="14" a="1"/>
  <c r="F1363" i="14" s="1"/>
  <c r="F1366" i="14" a="1"/>
  <c r="F1366" i="14" s="1"/>
  <c r="F498" i="14" a="1"/>
  <c r="F498" i="14" s="1"/>
  <c r="F1320" i="14" a="1"/>
  <c r="F1320" i="14" s="1"/>
  <c r="F1384" i="14" a="1"/>
  <c r="F1384" i="14" s="1"/>
  <c r="F106" i="14" a="1"/>
  <c r="F106" i="14" s="1"/>
  <c r="F128" i="14" a="1"/>
  <c r="F128" i="14" s="1"/>
  <c r="F454" i="14" a="1"/>
  <c r="F454" i="14" s="1"/>
  <c r="F547" i="14" a="1"/>
  <c r="F547" i="14" s="1"/>
  <c r="F140" i="14" a="1"/>
  <c r="F140" i="14" s="1"/>
  <c r="F132" i="14" a="1"/>
  <c r="F132" i="14" s="1"/>
  <c r="F150" i="14" a="1"/>
  <c r="F150" i="14" s="1"/>
  <c r="F1210" i="14" a="1"/>
  <c r="F1210" i="14" s="1"/>
  <c r="F571" i="14" a="1"/>
  <c r="F571" i="14" s="1"/>
  <c r="F168" i="14" a="1"/>
  <c r="F168" i="14" s="1"/>
  <c r="F62" i="14" a="1"/>
  <c r="F62" i="14" s="1"/>
  <c r="F64" i="14" a="1"/>
  <c r="F64" i="14" s="1"/>
  <c r="F1243" i="14" a="1"/>
  <c r="F1243" i="14" s="1"/>
  <c r="F471" i="14" a="1"/>
  <c r="F471" i="14" s="1"/>
  <c r="F66" i="14" a="1"/>
  <c r="F66" i="14" s="1"/>
  <c r="F594" i="14" a="1"/>
  <c r="F594" i="14" s="1"/>
  <c r="F603" i="14" a="1"/>
  <c r="F603" i="14" s="1"/>
  <c r="F1107" i="14" a="1"/>
  <c r="F1107" i="14" s="1"/>
  <c r="F178" i="14" a="1"/>
  <c r="F178" i="14" s="1"/>
  <c r="F782" i="14" a="1"/>
  <c r="F782" i="14" s="1"/>
  <c r="F767" i="14" a="1"/>
  <c r="F767" i="14" s="1"/>
  <c r="F779" i="14" a="1"/>
  <c r="F779" i="14" s="1"/>
  <c r="F1184" i="14" a="1"/>
  <c r="F1184" i="14" s="1"/>
  <c r="F952" i="14" a="1"/>
  <c r="F952" i="14" s="1"/>
  <c r="F679" i="14" a="1"/>
  <c r="F679" i="14" s="1"/>
  <c r="F696" i="14" a="1"/>
  <c r="F696" i="14" s="1"/>
  <c r="F1213" i="14" a="1"/>
  <c r="F1213" i="14" s="1"/>
  <c r="F834" i="14" a="1"/>
  <c r="F834" i="14" s="1"/>
  <c r="F683" i="14" a="1"/>
  <c r="F683" i="14" s="1"/>
  <c r="F693" i="14" a="1"/>
  <c r="F693" i="14" s="1"/>
  <c r="F1191" i="14" a="1"/>
  <c r="F1191" i="14" s="1"/>
  <c r="F839" i="14" a="1"/>
  <c r="F839" i="14" s="1"/>
  <c r="F1440" i="14" a="1"/>
  <c r="F1440" i="14" s="1"/>
  <c r="F1449" i="14" a="1"/>
  <c r="F1449" i="14" s="1"/>
  <c r="F506" i="14" a="1"/>
  <c r="F506" i="14" s="1"/>
  <c r="F1285" i="14" a="1"/>
  <c r="F1285" i="14" s="1"/>
  <c r="F1461" i="14" a="1"/>
  <c r="F1461" i="14" s="1"/>
  <c r="F191" i="14" a="1"/>
  <c r="F191" i="14" s="1"/>
  <c r="F221" i="14" a="1"/>
  <c r="F221" i="14" s="1"/>
  <c r="F1230" i="14" a="1"/>
  <c r="F1230" i="14" s="1"/>
  <c r="F634" i="14" a="1"/>
  <c r="F634" i="14" s="1"/>
  <c r="F241" i="14" a="1"/>
  <c r="F241" i="14" s="1"/>
  <c r="F620" i="14" a="1"/>
  <c r="F620" i="14" s="1"/>
  <c r="F643" i="14" a="1"/>
  <c r="F643" i="14" s="1"/>
  <c r="F1105" i="14" a="1"/>
  <c r="F1105" i="14" s="1"/>
  <c r="F187" i="14" a="1"/>
  <c r="F187" i="14" s="1"/>
  <c r="F799" i="14" a="1"/>
  <c r="F799" i="14" s="1"/>
  <c r="F685" i="14" a="1"/>
  <c r="F685" i="14" s="1"/>
  <c r="F698" i="14" a="1"/>
  <c r="F698" i="14" s="1"/>
  <c r="F1202" i="14" a="1"/>
  <c r="F1202" i="14" s="1"/>
  <c r="F229" i="14" a="1"/>
  <c r="F229" i="14" s="1"/>
  <c r="F733" i="14" a="1"/>
  <c r="F733" i="14" s="1"/>
  <c r="F382" i="14" a="1"/>
  <c r="F382" i="14" s="1"/>
  <c r="F20" i="14" a="1"/>
  <c r="F20" i="14" s="1"/>
  <c r="F1434" i="14" a="1"/>
  <c r="F1434" i="14" s="1"/>
  <c r="F1495" i="14" a="1"/>
  <c r="F1495" i="14" s="1"/>
  <c r="F357" i="14" a="1"/>
  <c r="F357" i="14" s="1"/>
  <c r="F211" i="14" a="1"/>
  <c r="F211" i="14" s="1"/>
  <c r="F274" i="14" a="1"/>
  <c r="F274" i="14" s="1"/>
  <c r="F1408" i="14" a="1"/>
  <c r="F1408" i="14" s="1"/>
  <c r="F1492" i="14" a="1"/>
  <c r="F1492" i="14" s="1"/>
  <c r="F174" i="14" a="1"/>
  <c r="F174" i="14" s="1"/>
  <c r="F199" i="14" a="1"/>
  <c r="F199" i="14" s="1"/>
  <c r="F123" i="14" a="1"/>
  <c r="F123" i="14" s="1"/>
  <c r="F1387" i="14" a="1"/>
  <c r="F1387" i="14" s="1"/>
  <c r="F1491" i="14" a="1"/>
  <c r="F1491" i="14" s="1"/>
  <c r="F154" i="14" a="1"/>
  <c r="F154" i="14" s="1"/>
  <c r="F48" i="14" a="1"/>
  <c r="F48" i="14" s="1"/>
  <c r="F201" i="14" a="1"/>
  <c r="F201" i="14" s="1"/>
  <c r="F1385" i="14" a="1"/>
  <c r="F1385" i="14" s="1"/>
  <c r="F1462" i="14" a="1"/>
  <c r="F1462" i="14" s="1"/>
  <c r="F71" i="14" a="1"/>
  <c r="F71" i="14" s="1"/>
  <c r="F252" i="14" a="1"/>
  <c r="F252" i="14" s="1"/>
  <c r="F1395" i="14" a="1"/>
  <c r="F1395" i="14" s="1"/>
  <c r="F1466" i="14" a="1"/>
  <c r="F1466" i="14" s="1"/>
  <c r="F334" i="14" a="1"/>
  <c r="F334" i="14" s="1"/>
  <c r="F1276" i="14" a="1"/>
  <c r="F1276" i="14" s="1"/>
  <c r="F1444" i="14" a="1"/>
  <c r="F1444" i="14" s="1"/>
  <c r="F101" i="14" a="1"/>
  <c r="F101" i="14" s="1"/>
  <c r="F1038" i="14" a="1"/>
  <c r="F1038" i="14" s="1"/>
  <c r="F1032" i="14" a="1"/>
  <c r="F1032" i="14" s="1"/>
  <c r="F1135" i="14" a="1"/>
  <c r="F1135" i="14" s="1"/>
  <c r="F1138" i="14" a="1"/>
  <c r="F1138" i="14" s="1"/>
  <c r="F958" i="14" a="1"/>
  <c r="F958" i="14" s="1"/>
  <c r="F1166" i="14" a="1"/>
  <c r="F1166" i="14" s="1"/>
  <c r="F1149" i="14" a="1"/>
  <c r="F1149" i="14" s="1"/>
  <c r="F859" i="14" a="1"/>
  <c r="F859" i="14" s="1"/>
  <c r="F774" i="14" a="1"/>
  <c r="F774" i="14" s="1"/>
  <c r="F1125" i="14" a="1"/>
  <c r="F1125" i="14" s="1"/>
  <c r="F1016" i="14" a="1"/>
  <c r="F1016" i="14" s="1"/>
  <c r="F986" i="14" a="1"/>
  <c r="F986" i="14" s="1"/>
  <c r="F1129" i="14" a="1"/>
  <c r="F1129" i="14" s="1"/>
  <c r="F1121" i="14" a="1"/>
  <c r="F1121" i="14" s="1"/>
  <c r="F938" i="14" a="1"/>
  <c r="F938" i="14" s="1"/>
  <c r="F1090" i="14" a="1"/>
  <c r="F1090" i="14" s="1"/>
  <c r="F1123" i="14" a="1"/>
  <c r="F1123" i="14" s="1"/>
  <c r="F789" i="14" a="1"/>
  <c r="F789" i="14" s="1"/>
  <c r="F756" i="14" a="1"/>
  <c r="F756" i="14" s="1"/>
  <c r="F1063" i="14" a="1"/>
  <c r="F1063" i="14" s="1"/>
  <c r="F1173" i="14" a="1"/>
  <c r="F1173" i="14" s="1"/>
  <c r="F1158" i="14" a="1"/>
  <c r="F1158" i="14" s="1"/>
  <c r="F815" i="14" a="1"/>
  <c r="F815" i="14" s="1"/>
  <c r="F781" i="14" a="1"/>
  <c r="F781" i="14" s="1"/>
  <c r="F1147" i="14" a="1"/>
  <c r="F1147" i="14" s="1"/>
  <c r="F194" i="14" a="1"/>
  <c r="F194" i="14" s="1"/>
  <c r="F331" i="14" a="1"/>
  <c r="F331" i="14" s="1"/>
  <c r="F717" i="14" a="1"/>
  <c r="F717" i="14" s="1"/>
  <c r="F1174" i="14" a="1"/>
  <c r="F1174" i="14" s="1"/>
  <c r="F1364" i="14" a="1"/>
  <c r="F1364" i="14" s="1"/>
  <c r="F248" i="14" a="1"/>
  <c r="F248" i="14" s="1"/>
  <c r="F1431" i="14" a="1"/>
  <c r="F1431" i="14" s="1"/>
  <c r="F117" i="14" a="1"/>
  <c r="F117" i="14" s="1"/>
  <c r="F1198" i="14" a="1"/>
  <c r="F1198" i="14" s="1"/>
  <c r="F1410" i="14" a="1"/>
  <c r="F1410" i="14" s="1"/>
  <c r="F124" i="14" a="1"/>
  <c r="F124" i="14" s="1"/>
  <c r="F1419" i="14" a="1"/>
  <c r="F1419" i="14" s="1"/>
  <c r="F895" i="14" a="1"/>
  <c r="F895" i="14" s="1"/>
  <c r="F1170" i="14" a="1"/>
  <c r="F1170" i="14" s="1"/>
  <c r="F1416" i="14" a="1"/>
  <c r="F1416" i="14" s="1"/>
  <c r="F135" i="14" a="1"/>
  <c r="F135" i="14" s="1"/>
  <c r="F999" i="14" a="1"/>
  <c r="F999" i="14" s="1"/>
  <c r="F1187" i="14" a="1"/>
  <c r="F1187" i="14" s="1"/>
  <c r="F1378" i="14" a="1"/>
  <c r="F1378" i="14" s="1"/>
  <c r="F254" i="14" a="1"/>
  <c r="F254" i="14" s="1"/>
  <c r="F1412" i="14" a="1"/>
  <c r="F1412" i="14" s="1"/>
  <c r="F876" i="14" a="1"/>
  <c r="F876" i="14" s="1"/>
  <c r="F1010" i="14" a="1"/>
  <c r="F1010" i="14" s="1"/>
  <c r="F484" i="14" a="1"/>
  <c r="F484" i="14" s="1"/>
  <c r="F350" i="14" a="1"/>
  <c r="F350" i="14" s="1"/>
  <c r="F1226" i="14" a="1"/>
  <c r="F1226" i="14" s="1"/>
  <c r="F950" i="14" a="1"/>
  <c r="F950" i="14" s="1"/>
  <c r="F1217" i="14" a="1"/>
  <c r="F1217" i="14" s="1"/>
  <c r="F787" i="14" a="1"/>
  <c r="F787" i="14" s="1"/>
  <c r="F706" i="14" a="1"/>
  <c r="F706" i="14" s="1"/>
  <c r="F1224" i="14" a="1"/>
  <c r="F1224" i="14" s="1"/>
  <c r="F813" i="14" a="1"/>
  <c r="F813" i="14" s="1"/>
  <c r="F1468" i="14" a="1"/>
  <c r="F1468" i="14" s="1"/>
  <c r="F1368" i="14" a="1"/>
  <c r="F1368" i="14" s="1"/>
  <c r="F798" i="14" a="1"/>
  <c r="F798" i="14" s="1"/>
  <c r="F1404" i="14" a="1"/>
  <c r="F1404" i="14" s="1"/>
  <c r="F1289" i="14" a="1"/>
  <c r="F1289" i="14" s="1"/>
  <c r="F1214" i="14" a="1"/>
  <c r="F1214" i="14" s="1"/>
  <c r="F404" i="14" a="1"/>
  <c r="F404" i="14" s="1"/>
  <c r="F1386" i="14" a="1"/>
  <c r="F1386" i="14" s="1"/>
  <c r="F378" i="14" a="1"/>
  <c r="F378" i="14" s="1"/>
  <c r="F545" i="14" a="1"/>
  <c r="F545" i="14" s="1"/>
  <c r="F915" i="14" a="1"/>
  <c r="F915" i="14" s="1"/>
  <c r="F1361" i="14" a="1"/>
  <c r="F1361" i="14" s="1"/>
  <c r="F355" i="14" a="1"/>
  <c r="F355" i="14" s="1"/>
  <c r="F329" i="14" a="1"/>
  <c r="F329" i="14" s="1"/>
  <c r="F469" i="14" a="1"/>
  <c r="F469" i="14" s="1"/>
  <c r="F1057" i="14" a="1"/>
  <c r="F1057" i="14" s="1"/>
  <c r="F1309" i="14" a="1"/>
  <c r="F1309" i="14" s="1"/>
  <c r="F830" i="14" a="1"/>
  <c r="F830" i="14" s="1"/>
  <c r="F1083" i="14" a="1"/>
  <c r="F1083" i="14" s="1"/>
  <c r="F791" i="14" a="1"/>
  <c r="F791" i="14" s="1"/>
  <c r="F1343" i="14" a="1"/>
  <c r="F1343" i="14" s="1"/>
  <c r="F577" i="14" a="1"/>
  <c r="F577" i="14" s="1"/>
  <c r="F1008" i="14" a="1"/>
  <c r="F1008" i="14" s="1"/>
  <c r="F795" i="14" a="1"/>
  <c r="F795" i="14" s="1"/>
  <c r="F98" i="14" a="1"/>
  <c r="F98" i="14" s="1"/>
  <c r="F1490" i="14" a="1"/>
  <c r="F1490" i="14" s="1"/>
  <c r="F466" i="14" a="1"/>
  <c r="F466" i="14" s="1"/>
  <c r="F626" i="14" a="1"/>
  <c r="F626" i="14" s="1"/>
  <c r="F1041" i="14" a="1"/>
  <c r="F1041" i="14" s="1"/>
  <c r="F1311" i="14" a="1"/>
  <c r="F1311" i="14" s="1"/>
  <c r="F848" i="14" a="1"/>
  <c r="F848" i="14" s="1"/>
  <c r="F1006" i="14" a="1"/>
  <c r="F1006" i="14" s="1"/>
  <c r="F268" i="14" a="1"/>
  <c r="F268" i="14" s="1"/>
  <c r="F380" i="14" a="1"/>
  <c r="F380" i="14" s="1"/>
  <c r="F1317" i="14" a="1"/>
  <c r="F1317" i="14" s="1"/>
  <c r="F326" i="14" a="1"/>
  <c r="F326" i="14" s="1"/>
  <c r="F209" i="14" a="1"/>
  <c r="F209" i="14" s="1"/>
  <c r="F1269" i="14" a="1"/>
  <c r="F1269" i="14" s="1"/>
  <c r="F195" i="14" a="1"/>
  <c r="F195" i="14" s="1"/>
  <c r="F1263" i="14" a="1"/>
  <c r="F1263" i="14" s="1"/>
  <c r="F142" i="14" a="1"/>
  <c r="F142" i="14" s="1"/>
  <c r="F74" i="14" a="1"/>
  <c r="F74" i="14" s="1"/>
  <c r="F840" i="14" a="1"/>
  <c r="F840" i="14" s="1"/>
  <c r="F77" i="14" a="1"/>
  <c r="F77" i="14" s="1"/>
  <c r="F1248" i="14" a="1"/>
  <c r="F1248" i="14" s="1"/>
  <c r="F1244" i="14" a="1"/>
  <c r="F1244" i="14" s="1"/>
  <c r="F980" i="14" a="1"/>
  <c r="F980" i="14" s="1"/>
  <c r="F644" i="14" a="1"/>
  <c r="F644" i="14" s="1"/>
  <c r="F941" i="14" a="1"/>
  <c r="F941" i="14" s="1"/>
  <c r="F1110" i="14" a="1"/>
  <c r="F1110" i="14" s="1"/>
  <c r="F769" i="14" a="1"/>
  <c r="F769" i="14" s="1"/>
  <c r="F1108" i="14" a="1"/>
  <c r="F1108" i="14" s="1"/>
  <c r="F656" i="14" a="1"/>
  <c r="F656" i="14" s="1"/>
  <c r="F925" i="14" a="1"/>
  <c r="F925" i="14" s="1"/>
  <c r="F1086" i="14" a="1"/>
  <c r="F1086" i="14" s="1"/>
  <c r="F647" i="14" a="1"/>
  <c r="F647" i="14" s="1"/>
  <c r="F1134" i="14" a="1"/>
  <c r="F1134" i="14" s="1"/>
  <c r="F1169" i="14" a="1"/>
  <c r="F1169" i="14" s="1"/>
  <c r="F405" i="14" a="1"/>
  <c r="F405" i="14" s="1"/>
  <c r="F796" i="14" a="1"/>
  <c r="F796" i="14" s="1"/>
  <c r="F1127" i="14" a="1"/>
  <c r="F1127" i="14" s="1"/>
  <c r="F55" i="14" a="1"/>
  <c r="F55" i="14" s="1"/>
  <c r="F93" i="14" a="1"/>
  <c r="F93" i="14" s="1"/>
  <c r="F75" i="14" a="1"/>
  <c r="F75" i="14" s="1"/>
  <c r="F475" i="14" a="1"/>
  <c r="F475" i="14" s="1"/>
  <c r="F463" i="14" a="1"/>
  <c r="F463" i="14" s="1"/>
  <c r="F375" i="14" a="1"/>
  <c r="F375" i="14" s="1"/>
  <c r="F518" i="14" a="1"/>
  <c r="F518" i="14" s="1"/>
  <c r="F344" i="14" a="1"/>
  <c r="F344" i="14" s="1"/>
  <c r="F387" i="14" a="1"/>
  <c r="F387" i="14" s="1"/>
  <c r="F476" i="14" a="1"/>
  <c r="F476" i="14" s="1"/>
  <c r="F467" i="14" a="1"/>
  <c r="F467" i="14" s="1"/>
  <c r="F127" i="14" a="1"/>
  <c r="F127" i="14" s="1"/>
  <c r="F1051" i="14" a="1"/>
  <c r="F1051" i="14" s="1"/>
  <c r="F335" i="14" a="1"/>
  <c r="F335" i="14" s="1"/>
  <c r="F748" i="14" a="1"/>
  <c r="F748" i="14" s="1"/>
  <c r="F1236" i="14" a="1"/>
  <c r="F1236" i="14" s="1"/>
  <c r="F538" i="14" a="1"/>
  <c r="F538" i="14" s="1"/>
  <c r="F949" i="14" a="1"/>
  <c r="F949" i="14" s="1"/>
  <c r="F433" i="14" a="1"/>
  <c r="F433" i="14" s="1"/>
  <c r="F561" i="14" a="1"/>
  <c r="F561" i="14" s="1"/>
  <c r="F459" i="14" a="1"/>
  <c r="F459" i="14" s="1"/>
  <c r="F584" i="14" a="1"/>
  <c r="F584" i="14" s="1"/>
  <c r="F1183" i="14" a="1"/>
  <c r="F1183" i="14" s="1"/>
  <c r="F1321" i="14" a="1"/>
  <c r="F1321" i="14" s="1"/>
  <c r="F1453" i="14" a="1"/>
  <c r="F1453" i="14" s="1"/>
  <c r="F1374" i="14" a="1"/>
  <c r="F1374" i="14" s="1"/>
  <c r="F1273" i="14" a="1"/>
  <c r="F1273" i="14" s="1"/>
  <c r="F754" i="14" a="1"/>
  <c r="F754" i="14" s="1"/>
  <c r="F1229" i="14" a="1"/>
  <c r="F1229" i="14" s="1"/>
  <c r="F1454" i="14" a="1"/>
  <c r="F1454" i="14" s="1"/>
  <c r="F1372" i="14" a="1"/>
  <c r="F1372" i="14" s="1"/>
  <c r="F1277" i="14" a="1"/>
  <c r="F1277" i="14" s="1"/>
  <c r="F648" i="14" a="1"/>
  <c r="F648" i="14" s="1"/>
  <c r="F18" i="14" a="1"/>
  <c r="F18" i="14" s="1"/>
  <c r="F196" i="14" a="1"/>
  <c r="F196" i="14" s="1"/>
  <c r="F23" i="14" a="1"/>
  <c r="F23" i="14" s="1"/>
  <c r="F145" i="14" a="1"/>
  <c r="F145" i="14" s="1"/>
  <c r="F729" i="14" a="1"/>
  <c r="F729" i="14" s="1"/>
  <c r="F157" i="14" a="1"/>
  <c r="F157" i="14" s="1"/>
  <c r="F758" i="14" a="1"/>
  <c r="F758" i="14" s="1"/>
  <c r="F449" i="14" a="1"/>
  <c r="F449" i="14" s="1"/>
  <c r="F605" i="14" a="1"/>
  <c r="F605" i="14" s="1"/>
  <c r="F521" i="14" a="1"/>
  <c r="F521" i="14" s="1"/>
  <c r="F746" i="14" a="1"/>
  <c r="F746" i="14" s="1"/>
  <c r="F276" i="14" a="1"/>
  <c r="F276" i="14" s="1"/>
  <c r="F546" i="14" a="1"/>
  <c r="F546" i="14" s="1"/>
  <c r="F682" i="14" a="1"/>
  <c r="F682" i="14" s="1"/>
  <c r="F525" i="14" a="1"/>
  <c r="F525" i="14" s="1"/>
  <c r="F633" i="14" a="1"/>
  <c r="F633" i="14" s="1"/>
  <c r="F1484" i="14" a="1"/>
  <c r="F1484" i="14" s="1"/>
  <c r="F1339" i="14" a="1"/>
  <c r="F1339" i="14" s="1"/>
  <c r="F1445" i="14" a="1"/>
  <c r="F1445" i="14" s="1"/>
  <c r="F749" i="14" a="1"/>
  <c r="F749" i="14" s="1"/>
  <c r="F771" i="14" a="1"/>
  <c r="F771" i="14" s="1"/>
  <c r="F673" i="14" a="1"/>
  <c r="F673" i="14" s="1"/>
  <c r="F639" i="14" a="1"/>
  <c r="F639" i="14" s="1"/>
  <c r="F543" i="14" a="1"/>
  <c r="F543" i="14" s="1"/>
  <c r="F188" i="14" a="1"/>
  <c r="F188" i="14" s="1"/>
  <c r="F477" i="14" a="1"/>
  <c r="F477" i="14" s="1"/>
  <c r="F1100" i="14" a="1"/>
  <c r="F1100" i="14" s="1"/>
  <c r="F365" i="14" a="1"/>
  <c r="F365" i="14" s="1"/>
  <c r="F863" i="14" a="1"/>
  <c r="F863" i="14" s="1"/>
  <c r="F116" i="14" a="1"/>
  <c r="F116" i="14" s="1"/>
  <c r="F849" i="14" a="1"/>
  <c r="F849" i="14" s="1"/>
  <c r="F1088" i="14" a="1"/>
  <c r="F1088" i="14" s="1"/>
  <c r="F169" i="14" a="1"/>
  <c r="F169" i="14" s="1"/>
  <c r="F942" i="14" a="1"/>
  <c r="F942" i="14" s="1"/>
  <c r="F317" i="14" a="1"/>
  <c r="F317" i="14" s="1"/>
  <c r="F206" i="14" a="1"/>
  <c r="F206" i="14" s="1"/>
  <c r="F392" i="14" a="1"/>
  <c r="F392" i="14" s="1"/>
  <c r="F617" i="14" a="1"/>
  <c r="F617" i="14" s="1"/>
  <c r="F1002" i="14" a="1"/>
  <c r="F1002" i="14" s="1"/>
  <c r="F243" i="14" a="1"/>
  <c r="F243" i="14" s="1"/>
  <c r="F500" i="14" a="1"/>
  <c r="F500" i="14" s="1"/>
  <c r="F1253" i="14" a="1"/>
  <c r="F1253" i="14" s="1"/>
  <c r="F438" i="14" a="1"/>
  <c r="F438" i="14" s="1"/>
  <c r="F529" i="14" a="1"/>
  <c r="F529" i="14" s="1"/>
  <c r="F1096" i="14" a="1"/>
  <c r="F1096" i="14" s="1"/>
  <c r="F819" i="14" a="1"/>
  <c r="F819" i="14" s="1"/>
  <c r="F359" i="14" a="1"/>
  <c r="F359" i="14" s="1"/>
  <c r="F763" i="14" a="1"/>
  <c r="F763" i="14" s="1"/>
  <c r="F1239" i="14" a="1"/>
  <c r="F1239" i="14" s="1"/>
  <c r="F461" i="14" a="1"/>
  <c r="F461" i="14" s="1"/>
  <c r="F1067" i="14" a="1"/>
  <c r="F1067" i="14" s="1"/>
  <c r="F156" i="14" a="1"/>
  <c r="F156" i="14" s="1"/>
  <c r="F1413" i="14" a="1"/>
  <c r="F1413" i="14" s="1"/>
  <c r="F1091" i="14" a="1"/>
  <c r="F1091" i="14" s="1"/>
  <c r="F43" i="14" a="1"/>
  <c r="F43" i="14" s="1"/>
  <c r="F259" i="14" a="1"/>
  <c r="F259" i="14" s="1"/>
  <c r="I285" i="14" a="1"/>
  <c r="I285" i="14" s="1"/>
  <c r="I558" i="14" a="1"/>
  <c r="I558" i="14" s="1"/>
  <c r="I61" i="14" a="1"/>
  <c r="I61" i="14" s="1"/>
  <c r="I686" i="14" a="1"/>
  <c r="I686" i="14" s="1"/>
  <c r="I1111" i="14" a="1"/>
  <c r="I1111" i="14" s="1"/>
  <c r="I280" i="14" a="1"/>
  <c r="I280" i="14" s="1"/>
  <c r="I590" i="14" a="1"/>
  <c r="I590" i="14" s="1"/>
  <c r="I96" i="14" a="1"/>
  <c r="I96" i="14" s="1"/>
  <c r="I725" i="14" a="1"/>
  <c r="I725" i="14" s="1"/>
  <c r="I1167" i="14" a="1"/>
  <c r="I1167" i="14" s="1"/>
  <c r="I311" i="14" a="1"/>
  <c r="I311" i="14" s="1"/>
  <c r="I576" i="14" a="1"/>
  <c r="I576" i="14" s="1"/>
  <c r="I17" i="14" a="1"/>
  <c r="I17" i="14" s="1"/>
  <c r="I35" i="14" a="1"/>
  <c r="I35" i="14" s="1"/>
  <c r="I1062" i="14" a="1"/>
  <c r="I1062" i="14" s="1"/>
  <c r="I30" i="14" a="1"/>
  <c r="I30" i="14" s="1"/>
  <c r="I805" i="14" a="1"/>
  <c r="I805" i="14" s="1"/>
  <c r="I322" i="14" a="1"/>
  <c r="I322" i="14" s="1"/>
  <c r="I994" i="14" a="1"/>
  <c r="I994" i="14" s="1"/>
  <c r="I1193" i="14" a="1"/>
  <c r="I1193" i="14" s="1"/>
  <c r="I811" i="14" a="1"/>
  <c r="I811" i="14" s="1"/>
  <c r="I290" i="14" a="1"/>
  <c r="I290" i="14" s="1"/>
  <c r="I861" i="14" a="1"/>
  <c r="I861" i="14" s="1"/>
  <c r="I1151" i="14" a="1"/>
  <c r="I1151" i="14" s="1"/>
  <c r="I844" i="14" a="1"/>
  <c r="I844" i="14" s="1"/>
  <c r="I315" i="14" a="1"/>
  <c r="I315" i="14" s="1"/>
  <c r="I905" i="14" a="1"/>
  <c r="I905" i="14" s="1"/>
  <c r="I1163" i="14" a="1"/>
  <c r="I1163" i="14" s="1"/>
  <c r="I872" i="14" a="1"/>
  <c r="I872" i="14" s="1"/>
  <c r="I313" i="14" a="1"/>
  <c r="I313" i="14" s="1"/>
  <c r="I901" i="14" a="1"/>
  <c r="I901" i="14" s="1"/>
  <c r="I1162" i="14" a="1"/>
  <c r="I1162" i="14" s="1"/>
  <c r="I34" i="14" a="1"/>
  <c r="I34" i="14" s="1"/>
  <c r="I802" i="14" a="1"/>
  <c r="I802" i="14" s="1"/>
  <c r="I330" i="14" a="1"/>
  <c r="I330" i="14" s="1"/>
  <c r="I1007" i="14" a="1"/>
  <c r="I1007" i="14" s="1"/>
  <c r="I1196" i="14" a="1"/>
  <c r="I1196" i="14" s="1"/>
  <c r="I479" i="14" a="1"/>
  <c r="I479" i="14" s="1"/>
  <c r="I555" i="14" a="1"/>
  <c r="I555" i="14" s="1"/>
  <c r="I65" i="14" a="1"/>
  <c r="I65" i="14" s="1"/>
  <c r="I697" i="14" a="1"/>
  <c r="I697" i="14" s="1"/>
  <c r="I1152" i="14" a="1"/>
  <c r="I1152" i="14" s="1"/>
  <c r="I856" i="14" a="1"/>
  <c r="I856" i="14" s="1"/>
  <c r="I1233" i="14" a="1"/>
  <c r="I1233" i="14" s="1"/>
  <c r="I884" i="14" a="1"/>
  <c r="I884" i="14" s="1"/>
  <c r="I1150" i="14" a="1"/>
  <c r="I1150" i="14" s="1"/>
  <c r="I1257" i="14" a="1"/>
  <c r="I1257" i="14" s="1"/>
  <c r="I453" i="14" a="1"/>
  <c r="I453" i="14" s="1"/>
  <c r="I728" i="14" a="1"/>
  <c r="I728" i="14" s="1"/>
  <c r="I544" i="14" a="1"/>
  <c r="I544" i="14" s="1"/>
  <c r="I341" i="14" a="1"/>
  <c r="I341" i="14" s="1"/>
  <c r="I921" i="14" a="1"/>
  <c r="I921" i="14" s="1"/>
  <c r="I398" i="14" a="1"/>
  <c r="I398" i="14" s="1"/>
  <c r="I553" i="14" a="1"/>
  <c r="I553" i="14" s="1"/>
  <c r="I431" i="14" a="1"/>
  <c r="I431" i="14" s="1"/>
  <c r="I439" i="14" a="1"/>
  <c r="I439" i="14" s="1"/>
  <c r="I812" i="14" a="1"/>
  <c r="I812" i="14" s="1"/>
  <c r="I539" i="14" a="1"/>
  <c r="I539" i="14" s="1"/>
  <c r="I120" i="14" a="1"/>
  <c r="I120" i="14" s="1"/>
  <c r="I666" i="14" a="1"/>
  <c r="I666" i="14" s="1"/>
  <c r="I841" i="14" a="1"/>
  <c r="I841" i="14" s="1"/>
  <c r="I559" i="14" a="1"/>
  <c r="I559" i="14" s="1"/>
  <c r="I160" i="14" a="1"/>
  <c r="I160" i="14" s="1"/>
  <c r="I628" i="14" a="1"/>
  <c r="I628" i="14" s="1"/>
  <c r="I1463" i="14" a="1"/>
  <c r="I1463" i="14" s="1"/>
  <c r="I1275" i="14" a="1"/>
  <c r="I1275" i="14" s="1"/>
  <c r="I1391" i="14" a="1"/>
  <c r="I1391" i="14" s="1"/>
  <c r="I1355" i="14" a="1"/>
  <c r="I1355" i="14" s="1"/>
  <c r="I785" i="14" a="1"/>
  <c r="I785" i="14" s="1"/>
  <c r="I1428" i="14" a="1"/>
  <c r="I1428" i="14" s="1"/>
  <c r="I1218" i="14" a="1"/>
  <c r="I1218" i="14" s="1"/>
  <c r="I1344" i="14" a="1"/>
  <c r="I1344" i="14" s="1"/>
  <c r="I1332" i="14" a="1"/>
  <c r="I1332" i="14" s="1"/>
  <c r="I773" i="14" a="1"/>
  <c r="I773" i="14" s="1"/>
  <c r="I1331" i="14" a="1"/>
  <c r="I1331" i="14" s="1"/>
  <c r="I1146" i="14" a="1"/>
  <c r="I1146" i="14" s="1"/>
  <c r="I1242" i="14" a="1"/>
  <c r="I1242" i="14" s="1"/>
  <c r="I1203" i="14" a="1"/>
  <c r="I1203" i="14" s="1"/>
  <c r="I436" i="14" a="1"/>
  <c r="I436" i="14" s="1"/>
  <c r="I1379" i="14" a="1"/>
  <c r="I1379" i="14" s="1"/>
  <c r="I1222" i="14" a="1"/>
  <c r="I1222" i="14" s="1"/>
  <c r="I1335" i="14" a="1"/>
  <c r="I1335" i="14" s="1"/>
  <c r="I1330" i="14" a="1"/>
  <c r="I1330" i="14" s="1"/>
  <c r="I860" i="14" a="1"/>
  <c r="I860" i="14" s="1"/>
  <c r="I70" i="14" a="1"/>
  <c r="I70" i="14" s="1"/>
  <c r="I432" i="14" a="1"/>
  <c r="I432" i="14" s="1"/>
  <c r="I84" i="14" a="1"/>
  <c r="I84" i="14" s="1"/>
  <c r="I28" i="14" a="1"/>
  <c r="I28" i="14" s="1"/>
  <c r="I887" i="14" a="1"/>
  <c r="I887" i="14" s="1"/>
  <c r="I389" i="14" a="1"/>
  <c r="I389" i="14" s="1"/>
  <c r="I474" i="14" a="1"/>
  <c r="I474" i="14" s="1"/>
  <c r="I104" i="14" a="1"/>
  <c r="I104" i="14" s="1"/>
  <c r="I575" i="14" a="1"/>
  <c r="I575" i="14" s="1"/>
  <c r="I937" i="14" a="1"/>
  <c r="I937" i="14" s="1"/>
  <c r="I265" i="14" a="1"/>
  <c r="I265" i="14" s="1"/>
  <c r="I540" i="14" a="1"/>
  <c r="I540" i="14" s="1"/>
  <c r="I705" i="14" a="1"/>
  <c r="I705" i="14" s="1"/>
  <c r="I1037" i="14" a="1"/>
  <c r="I1037" i="14" s="1"/>
  <c r="I982" i="14" a="1"/>
  <c r="I982" i="14" s="1"/>
  <c r="I126" i="14" a="1"/>
  <c r="I126" i="14" s="1"/>
  <c r="I621" i="14" a="1"/>
  <c r="I621" i="14" s="1"/>
  <c r="I180" i="14" a="1"/>
  <c r="I180" i="14" s="1"/>
  <c r="I520" i="14" a="1"/>
  <c r="I520" i="14" s="1"/>
  <c r="I1023" i="14" a="1"/>
  <c r="I1023" i="14" s="1"/>
  <c r="I83" i="14" a="1"/>
  <c r="I83" i="14" s="1"/>
  <c r="I535" i="14" a="1"/>
  <c r="I535" i="14" s="1"/>
  <c r="I223" i="14" a="1"/>
  <c r="I223" i="14" s="1"/>
  <c r="I766" i="14" a="1"/>
  <c r="I766" i="14" s="1"/>
  <c r="I993" i="14" a="1"/>
  <c r="I993" i="14" s="1"/>
  <c r="I171" i="14" a="1"/>
  <c r="I171" i="14" s="1"/>
  <c r="I468" i="14" a="1"/>
  <c r="I468" i="14" s="1"/>
  <c r="I267" i="14" a="1"/>
  <c r="I267" i="14" s="1"/>
  <c r="I838" i="14" a="1"/>
  <c r="I838" i="14" s="1"/>
  <c r="I862" i="14" a="1"/>
  <c r="I862" i="14" s="1"/>
  <c r="I91" i="14" a="1"/>
  <c r="I91" i="14" s="1"/>
  <c r="I470" i="14" a="1"/>
  <c r="I470" i="14" s="1"/>
  <c r="I228" i="14" a="1"/>
  <c r="I228" i="14" s="1"/>
  <c r="I770" i="14" a="1"/>
  <c r="I770" i="14" s="1"/>
  <c r="I1485" i="14" a="1"/>
  <c r="I1485" i="14" s="1"/>
  <c r="I1283" i="14" a="1"/>
  <c r="I1283" i="14" s="1"/>
  <c r="I1429" i="14" a="1"/>
  <c r="I1429" i="14" s="1"/>
  <c r="I1382" i="14" a="1"/>
  <c r="I1382" i="14" s="1"/>
  <c r="I775" i="14" a="1"/>
  <c r="I775" i="14" s="1"/>
  <c r="I337" i="14" a="1"/>
  <c r="I337" i="14" s="1"/>
  <c r="I517" i="14" a="1"/>
  <c r="I517" i="14" s="1"/>
  <c r="I158" i="14" a="1"/>
  <c r="I158" i="14" s="1"/>
  <c r="I641" i="14" a="1"/>
  <c r="I641" i="14" s="1"/>
  <c r="I1015" i="14" a="1"/>
  <c r="I1015" i="14" s="1"/>
  <c r="I943" i="14" a="1"/>
  <c r="I943" i="14" s="1"/>
  <c r="I134" i="14" a="1"/>
  <c r="I134" i="14" s="1"/>
  <c r="I662" i="14" a="1"/>
  <c r="I662" i="14" s="1"/>
  <c r="I189" i="14" a="1"/>
  <c r="I189" i="14" s="1"/>
  <c r="I530" i="14" a="1"/>
  <c r="I530" i="14" s="1"/>
  <c r="I983" i="14" a="1"/>
  <c r="I983" i="14" s="1"/>
  <c r="I121" i="14" a="1"/>
  <c r="I121" i="14" s="1"/>
  <c r="I704" i="14" a="1"/>
  <c r="I704" i="14" s="1"/>
  <c r="I566" i="14" a="1"/>
  <c r="I566" i="14" s="1"/>
  <c r="I8" i="14" a="1"/>
  <c r="I8" i="14" s="1"/>
  <c r="I911" i="14" a="1"/>
  <c r="I911" i="14" s="1"/>
  <c r="I384" i="14" a="1"/>
  <c r="I384" i="14" s="1"/>
  <c r="I893" i="14" a="1"/>
  <c r="I893" i="14" s="1"/>
  <c r="I1212" i="14" a="1"/>
  <c r="I1212" i="14" s="1"/>
  <c r="I284" i="14" a="1"/>
  <c r="I284" i="14" s="1"/>
  <c r="I793" i="14" a="1"/>
  <c r="I793" i="14" s="1"/>
  <c r="I282" i="14" a="1"/>
  <c r="I282" i="14" s="1"/>
  <c r="I761" i="14" a="1"/>
  <c r="I761" i="14" s="1"/>
  <c r="I217" i="14" a="1"/>
  <c r="I217" i="14" s="1"/>
  <c r="I788" i="14" a="1"/>
  <c r="I788" i="14" s="1"/>
  <c r="I264" i="14" a="1"/>
  <c r="I264" i="14" s="1"/>
  <c r="I751" i="14" a="1"/>
  <c r="I751" i="14" s="1"/>
  <c r="I1207" i="14" a="1"/>
  <c r="I1207" i="14" s="1"/>
  <c r="I240" i="14" a="1"/>
  <c r="I240" i="14" s="1"/>
  <c r="I588" i="14" a="1"/>
  <c r="I588" i="14" s="1"/>
  <c r="I67" i="14" a="1"/>
  <c r="I67" i="14" s="1"/>
  <c r="I715" i="14" a="1"/>
  <c r="I715" i="14" s="1"/>
  <c r="I1109" i="14" a="1"/>
  <c r="I1109" i="14" s="1"/>
  <c r="I266" i="14" a="1"/>
  <c r="I266" i="14" s="1"/>
  <c r="I616" i="14" a="1"/>
  <c r="I616" i="14" s="1"/>
  <c r="I86" i="14" a="1"/>
  <c r="I86" i="14" s="1"/>
  <c r="I734" i="14" a="1"/>
  <c r="I734" i="14" s="1"/>
  <c r="I1126" i="14" a="1"/>
  <c r="I1126" i="14" s="1"/>
  <c r="I367" i="14" a="1"/>
  <c r="I367" i="14" s="1"/>
  <c r="I562" i="14" a="1"/>
  <c r="I562" i="14" s="1"/>
  <c r="I45" i="14" a="1"/>
  <c r="I45" i="14" s="1"/>
  <c r="I541" i="14" a="1"/>
  <c r="I541" i="14" s="1"/>
  <c r="I1078" i="14" a="1"/>
  <c r="I1078" i="14" s="1"/>
  <c r="I1251" i="14" a="1"/>
  <c r="I1251" i="14" s="1"/>
  <c r="I524" i="14" a="1"/>
  <c r="I524" i="14" s="1"/>
  <c r="I878" i="14" a="1"/>
  <c r="I878" i="14" s="1"/>
  <c r="I549" i="14" a="1"/>
  <c r="I549" i="14" s="1"/>
  <c r="I152" i="14" a="1"/>
  <c r="I152" i="14" s="1"/>
  <c r="I1188" i="14" a="1"/>
  <c r="I1188" i="14" s="1"/>
  <c r="I665" i="14" a="1"/>
  <c r="I665" i="14" s="1"/>
  <c r="I1036" i="14" a="1"/>
  <c r="I1036" i="14" s="1"/>
  <c r="I565" i="14" a="1"/>
  <c r="I565" i="14" s="1"/>
  <c r="I932" i="14" a="1"/>
  <c r="I932" i="14" s="1"/>
  <c r="I510" i="14" a="1"/>
  <c r="I510" i="14" s="1"/>
  <c r="I826" i="14" a="1"/>
  <c r="I826" i="14" s="1"/>
  <c r="I531" i="14" a="1"/>
  <c r="I531" i="14" s="1"/>
  <c r="I1172" i="14" a="1"/>
  <c r="I1172" i="14" s="1"/>
  <c r="I676" i="14" a="1"/>
  <c r="I676" i="14" s="1"/>
  <c r="I956" i="14" a="1"/>
  <c r="I956" i="14" s="1"/>
  <c r="I821" i="14" a="1"/>
  <c r="I821" i="14" s="1"/>
  <c r="I348" i="14" a="1"/>
  <c r="I348" i="14" s="1"/>
  <c r="I1175" i="14" a="1"/>
  <c r="I1175" i="14" s="1"/>
  <c r="I707" i="14" a="1"/>
  <c r="I707" i="14" s="1"/>
  <c r="I1056" i="14" a="1"/>
  <c r="I1056" i="14" s="1"/>
  <c r="I596" i="14" a="1"/>
  <c r="I596" i="14" s="1"/>
  <c r="J285" i="14" a="1"/>
  <c r="J285" i="14" s="1"/>
  <c r="J558" i="14" a="1"/>
  <c r="J558" i="14" s="1"/>
  <c r="J61" i="14" a="1"/>
  <c r="J61" i="14" s="1"/>
  <c r="J686" i="14" a="1"/>
  <c r="J686" i="14" s="1"/>
  <c r="J1111" i="14" a="1"/>
  <c r="J1111" i="14" s="1"/>
  <c r="J280" i="14" a="1"/>
  <c r="J280" i="14" s="1"/>
  <c r="J590" i="14" a="1"/>
  <c r="J590" i="14" s="1"/>
  <c r="J96" i="14" a="1"/>
  <c r="J96" i="14" s="1"/>
  <c r="J725" i="14" a="1"/>
  <c r="J725" i="14" s="1"/>
  <c r="J1167" i="14" a="1"/>
  <c r="J1167" i="14" s="1"/>
  <c r="J311" i="14" a="1"/>
  <c r="J311" i="14" s="1"/>
  <c r="J576" i="14" a="1"/>
  <c r="J576" i="14" s="1"/>
  <c r="J17" i="14" a="1"/>
  <c r="J17" i="14" s="1"/>
  <c r="J35" i="14" a="1"/>
  <c r="J35" i="14" s="1"/>
  <c r="J1062" i="14" a="1"/>
  <c r="J1062" i="14" s="1"/>
  <c r="J30" i="14" a="1"/>
  <c r="J30" i="14" s="1"/>
  <c r="J805" i="14" a="1"/>
  <c r="J805" i="14" s="1"/>
  <c r="J322" i="14" a="1"/>
  <c r="J322" i="14" s="1"/>
  <c r="J994" i="14" a="1"/>
  <c r="J994" i="14" s="1"/>
  <c r="J1193" i="14" a="1"/>
  <c r="J1193" i="14" s="1"/>
  <c r="J811" i="14" a="1"/>
  <c r="J811" i="14" s="1"/>
  <c r="J290" i="14" a="1"/>
  <c r="J290" i="14" s="1"/>
  <c r="J861" i="14" a="1"/>
  <c r="J861" i="14" s="1"/>
  <c r="J1151" i="14" a="1"/>
  <c r="J1151" i="14" s="1"/>
  <c r="J844" i="14" a="1"/>
  <c r="J844" i="14" s="1"/>
  <c r="J315" i="14" a="1"/>
  <c r="J315" i="14" s="1"/>
  <c r="J905" i="14" a="1"/>
  <c r="J905" i="14" s="1"/>
  <c r="J1163" i="14" a="1"/>
  <c r="J1163" i="14" s="1"/>
  <c r="J872" i="14" a="1"/>
  <c r="J872" i="14" s="1"/>
  <c r="J313" i="14" a="1"/>
  <c r="J313" i="14" s="1"/>
  <c r="J901" i="14" a="1"/>
  <c r="J901" i="14" s="1"/>
  <c r="J1162" i="14" a="1"/>
  <c r="J1162" i="14" s="1"/>
  <c r="J34" i="14" a="1"/>
  <c r="J34" i="14" s="1"/>
  <c r="J802" i="14" a="1"/>
  <c r="J802" i="14" s="1"/>
  <c r="J330" i="14" a="1"/>
  <c r="J330" i="14" s="1"/>
  <c r="J1007" i="14" a="1"/>
  <c r="J1007" i="14" s="1"/>
  <c r="J1196" i="14" a="1"/>
  <c r="J1196" i="14" s="1"/>
  <c r="J479" i="14" a="1"/>
  <c r="J479" i="14" s="1"/>
  <c r="J555" i="14" a="1"/>
  <c r="J555" i="14" s="1"/>
  <c r="J65" i="14" a="1"/>
  <c r="J65" i="14" s="1"/>
  <c r="J697" i="14" a="1"/>
  <c r="J697" i="14" s="1"/>
  <c r="J1152" i="14" a="1"/>
  <c r="J1152" i="14" s="1"/>
  <c r="J856" i="14" a="1"/>
  <c r="J856" i="14" s="1"/>
  <c r="J1233" i="14" a="1"/>
  <c r="J1233" i="14" s="1"/>
  <c r="J884" i="14" a="1"/>
  <c r="J884" i="14" s="1"/>
  <c r="J1150" i="14" a="1"/>
  <c r="J1150" i="14" s="1"/>
  <c r="J1257" i="14" a="1"/>
  <c r="J1257" i="14" s="1"/>
  <c r="J453" i="14" a="1"/>
  <c r="J453" i="14" s="1"/>
  <c r="J728" i="14" a="1"/>
  <c r="J728" i="14" s="1"/>
  <c r="J544" i="14" a="1"/>
  <c r="J544" i="14" s="1"/>
  <c r="J341" i="14" a="1"/>
  <c r="J341" i="14" s="1"/>
  <c r="J921" i="14" a="1"/>
  <c r="J921" i="14" s="1"/>
  <c r="J398" i="14" a="1"/>
  <c r="J398" i="14" s="1"/>
  <c r="J553" i="14" a="1"/>
  <c r="J553" i="14" s="1"/>
  <c r="J431" i="14" a="1"/>
  <c r="J431" i="14" s="1"/>
  <c r="J439" i="14" a="1"/>
  <c r="J439" i="14" s="1"/>
  <c r="J812" i="14" a="1"/>
  <c r="J812" i="14" s="1"/>
  <c r="J539" i="14" a="1"/>
  <c r="J539" i="14" s="1"/>
  <c r="J120" i="14" a="1"/>
  <c r="J120" i="14" s="1"/>
  <c r="J666" i="14" a="1"/>
  <c r="J666" i="14" s="1"/>
  <c r="J841" i="14" a="1"/>
  <c r="J841" i="14" s="1"/>
  <c r="J559" i="14" a="1"/>
  <c r="J559" i="14" s="1"/>
  <c r="J160" i="14" a="1"/>
  <c r="J160" i="14" s="1"/>
  <c r="J628" i="14" a="1"/>
  <c r="J628" i="14" s="1"/>
  <c r="J1463" i="14" a="1"/>
  <c r="J1463" i="14" s="1"/>
  <c r="J1275" i="14" a="1"/>
  <c r="J1275" i="14" s="1"/>
  <c r="J1391" i="14" a="1"/>
  <c r="J1391" i="14" s="1"/>
  <c r="J1355" i="14" a="1"/>
  <c r="J1355" i="14" s="1"/>
  <c r="J785" i="14" a="1"/>
  <c r="J785" i="14" s="1"/>
  <c r="J1428" i="14" a="1"/>
  <c r="J1428" i="14" s="1"/>
  <c r="J1218" i="14" a="1"/>
  <c r="J1218" i="14" s="1"/>
  <c r="J1344" i="14" a="1"/>
  <c r="J1344" i="14" s="1"/>
  <c r="J1332" i="14" a="1"/>
  <c r="J1332" i="14" s="1"/>
  <c r="J773" i="14" a="1"/>
  <c r="J773" i="14" s="1"/>
  <c r="J1331" i="14" a="1"/>
  <c r="J1331" i="14" s="1"/>
  <c r="J1146" i="14" a="1"/>
  <c r="J1146" i="14" s="1"/>
  <c r="J1242" i="14" a="1"/>
  <c r="J1242" i="14" s="1"/>
  <c r="J1203" i="14" a="1"/>
  <c r="J1203" i="14" s="1"/>
  <c r="J436" i="14" a="1"/>
  <c r="J436" i="14" s="1"/>
  <c r="J1379" i="14" a="1"/>
  <c r="J1379" i="14" s="1"/>
  <c r="J1222" i="14" a="1"/>
  <c r="J1222" i="14" s="1"/>
  <c r="J1335" i="14" a="1"/>
  <c r="J1335" i="14" s="1"/>
  <c r="J1330" i="14" a="1"/>
  <c r="J1330" i="14" s="1"/>
  <c r="J860" i="14" a="1"/>
  <c r="J860" i="14" s="1"/>
  <c r="J70" i="14" a="1"/>
  <c r="J70" i="14" s="1"/>
  <c r="J432" i="14" a="1"/>
  <c r="J432" i="14" s="1"/>
  <c r="J84" i="14" a="1"/>
  <c r="J84" i="14" s="1"/>
  <c r="J28" i="14" a="1"/>
  <c r="J28" i="14" s="1"/>
  <c r="J887" i="14" a="1"/>
  <c r="J887" i="14" s="1"/>
  <c r="J389" i="14" a="1"/>
  <c r="J389" i="14" s="1"/>
  <c r="J474" i="14" a="1"/>
  <c r="J474" i="14" s="1"/>
  <c r="J104" i="14" a="1"/>
  <c r="J104" i="14" s="1"/>
  <c r="J575" i="14" a="1"/>
  <c r="J575" i="14" s="1"/>
  <c r="J937" i="14" a="1"/>
  <c r="J937" i="14" s="1"/>
  <c r="J265" i="14" a="1"/>
  <c r="J265" i="14" s="1"/>
  <c r="J540" i="14" a="1"/>
  <c r="J540" i="14" s="1"/>
  <c r="J705" i="14" a="1"/>
  <c r="J705" i="14" s="1"/>
  <c r="J1037" i="14" a="1"/>
  <c r="J1037" i="14" s="1"/>
  <c r="J982" i="14" a="1"/>
  <c r="J982" i="14" s="1"/>
  <c r="J126" i="14" a="1"/>
  <c r="J126" i="14" s="1"/>
  <c r="J621" i="14" a="1"/>
  <c r="J621" i="14" s="1"/>
  <c r="J180" i="14" a="1"/>
  <c r="J180" i="14" s="1"/>
  <c r="J520" i="14" a="1"/>
  <c r="J520" i="14" s="1"/>
  <c r="J1023" i="14" a="1"/>
  <c r="J1023" i="14" s="1"/>
  <c r="J83" i="14" a="1"/>
  <c r="J83" i="14" s="1"/>
  <c r="J535" i="14" a="1"/>
  <c r="J535" i="14" s="1"/>
  <c r="J223" i="14" a="1"/>
  <c r="J223" i="14" s="1"/>
  <c r="J766" i="14" a="1"/>
  <c r="J766" i="14" s="1"/>
  <c r="J993" i="14" a="1"/>
  <c r="J993" i="14" s="1"/>
  <c r="J171" i="14" a="1"/>
  <c r="J171" i="14" s="1"/>
  <c r="J468" i="14" a="1"/>
  <c r="J468" i="14" s="1"/>
  <c r="J267" i="14" a="1"/>
  <c r="J267" i="14" s="1"/>
  <c r="J838" i="14" a="1"/>
  <c r="J838" i="14" s="1"/>
  <c r="J862" i="14" a="1"/>
  <c r="J862" i="14" s="1"/>
  <c r="J91" i="14" a="1"/>
  <c r="J91" i="14" s="1"/>
  <c r="J470" i="14" a="1"/>
  <c r="J470" i="14" s="1"/>
  <c r="J228" i="14" a="1"/>
  <c r="J228" i="14" s="1"/>
  <c r="J770" i="14" a="1"/>
  <c r="J770" i="14" s="1"/>
  <c r="J1485" i="14" a="1"/>
  <c r="J1485" i="14" s="1"/>
  <c r="J1283" i="14" a="1"/>
  <c r="J1283" i="14" s="1"/>
  <c r="J1429" i="14" a="1"/>
  <c r="J1429" i="14" s="1"/>
  <c r="J1382" i="14" a="1"/>
  <c r="J1382" i="14" s="1"/>
  <c r="J775" i="14" a="1"/>
  <c r="J775" i="14" s="1"/>
  <c r="J337" i="14" a="1"/>
  <c r="J337" i="14" s="1"/>
  <c r="J517" i="14" a="1"/>
  <c r="J517" i="14" s="1"/>
  <c r="J158" i="14" a="1"/>
  <c r="J158" i="14" s="1"/>
  <c r="J641" i="14" a="1"/>
  <c r="J641" i="14" s="1"/>
  <c r="J1015" i="14" a="1"/>
  <c r="J1015" i="14" s="1"/>
  <c r="J943" i="14" a="1"/>
  <c r="J943" i="14" s="1"/>
  <c r="J134" i="14" a="1"/>
  <c r="J134" i="14" s="1"/>
  <c r="J662" i="14" a="1"/>
  <c r="J662" i="14" s="1"/>
  <c r="J189" i="14" a="1"/>
  <c r="J189" i="14" s="1"/>
  <c r="J530" i="14" a="1"/>
  <c r="J530" i="14" s="1"/>
  <c r="J983" i="14" a="1"/>
  <c r="J983" i="14" s="1"/>
  <c r="J121" i="14" a="1"/>
  <c r="J121" i="14" s="1"/>
  <c r="J704" i="14" a="1"/>
  <c r="J704" i="14" s="1"/>
  <c r="J566" i="14" a="1"/>
  <c r="J566" i="14" s="1"/>
  <c r="J8" i="14" a="1"/>
  <c r="J8" i="14" s="1"/>
  <c r="J911" i="14" a="1"/>
  <c r="J911" i="14" s="1"/>
  <c r="J384" i="14" a="1"/>
  <c r="J384" i="14" s="1"/>
  <c r="J893" i="14" a="1"/>
  <c r="J893" i="14" s="1"/>
  <c r="J1212" i="14" a="1"/>
  <c r="J1212" i="14" s="1"/>
  <c r="J284" i="14" a="1"/>
  <c r="J284" i="14" s="1"/>
  <c r="J793" i="14" a="1"/>
  <c r="J793" i="14" s="1"/>
  <c r="J282" i="14" a="1"/>
  <c r="J282" i="14" s="1"/>
  <c r="J761" i="14" a="1"/>
  <c r="J761" i="14" s="1"/>
  <c r="J217" i="14" a="1"/>
  <c r="J217" i="14" s="1"/>
  <c r="J788" i="14" a="1"/>
  <c r="J788" i="14" s="1"/>
  <c r="J264" i="14" a="1"/>
  <c r="J264" i="14" s="1"/>
  <c r="J751" i="14" a="1"/>
  <c r="J751" i="14" s="1"/>
  <c r="J1207" i="14" a="1"/>
  <c r="J1207" i="14" s="1"/>
  <c r="J240" i="14" a="1"/>
  <c r="J240" i="14" s="1"/>
  <c r="J588" i="14" a="1"/>
  <c r="J588" i="14" s="1"/>
  <c r="J67" i="14" a="1"/>
  <c r="J67" i="14" s="1"/>
  <c r="J715" i="14" a="1"/>
  <c r="J715" i="14" s="1"/>
  <c r="J1109" i="14" a="1"/>
  <c r="J1109" i="14" s="1"/>
  <c r="J266" i="14" a="1"/>
  <c r="J266" i="14" s="1"/>
  <c r="J616" i="14" a="1"/>
  <c r="J616" i="14" s="1"/>
  <c r="J86" i="14" a="1"/>
  <c r="J86" i="14" s="1"/>
  <c r="J734" i="14" a="1"/>
  <c r="J734" i="14" s="1"/>
  <c r="J1126" i="14" a="1"/>
  <c r="J1126" i="14" s="1"/>
  <c r="J367" i="14" a="1"/>
  <c r="J367" i="14" s="1"/>
  <c r="J562" i="14" a="1"/>
  <c r="J562" i="14" s="1"/>
  <c r="J45" i="14" a="1"/>
  <c r="J45" i="14" s="1"/>
  <c r="J541" i="14" a="1"/>
  <c r="J541" i="14" s="1"/>
  <c r="J1078" i="14" a="1"/>
  <c r="J1078" i="14" s="1"/>
  <c r="J1251" i="14" a="1"/>
  <c r="J1251" i="14" s="1"/>
  <c r="J524" i="14" a="1"/>
  <c r="J524" i="14" s="1"/>
  <c r="J878" i="14" a="1"/>
  <c r="J878" i="14" s="1"/>
  <c r="J549" i="14" a="1"/>
  <c r="J549" i="14" s="1"/>
  <c r="J152" i="14" a="1"/>
  <c r="J152" i="14" s="1"/>
  <c r="J1188" i="14" a="1"/>
  <c r="J1188" i="14" s="1"/>
  <c r="J665" i="14" a="1"/>
  <c r="J665" i="14" s="1"/>
  <c r="J1036" i="14" a="1"/>
  <c r="J1036" i="14" s="1"/>
  <c r="J565" i="14" a="1"/>
  <c r="J565" i="14" s="1"/>
  <c r="J932" i="14" a="1"/>
  <c r="J932" i="14" s="1"/>
  <c r="J510" i="14" a="1"/>
  <c r="J510" i="14" s="1"/>
  <c r="J826" i="14" a="1"/>
  <c r="J826" i="14" s="1"/>
  <c r="J531" i="14" a="1"/>
  <c r="J531" i="14" s="1"/>
  <c r="J1172" i="14" a="1"/>
  <c r="J1172" i="14" s="1"/>
  <c r="J676" i="14" a="1"/>
  <c r="J676" i="14" s="1"/>
  <c r="J956" i="14" a="1"/>
  <c r="J956" i="14" s="1"/>
  <c r="J821" i="14" a="1"/>
  <c r="J821" i="14" s="1"/>
  <c r="J348" i="14" a="1"/>
  <c r="J348" i="14" s="1"/>
  <c r="J1175" i="14" a="1"/>
  <c r="J1175" i="14" s="1"/>
  <c r="J707" i="14" a="1"/>
  <c r="J707" i="14" s="1"/>
  <c r="J1056" i="14" a="1"/>
  <c r="J1056" i="14" s="1"/>
  <c r="J596" i="14" a="1"/>
  <c r="J596" i="14" s="1"/>
  <c r="I310" i="14" a="1"/>
  <c r="I310" i="14" s="1"/>
  <c r="I593" i="14" a="1"/>
  <c r="I593" i="14" s="1"/>
  <c r="I381" i="14" a="1"/>
  <c r="I381" i="14" s="1"/>
  <c r="I948" i="14" a="1"/>
  <c r="I948" i="14" s="1"/>
  <c r="I308" i="14" a="1"/>
  <c r="I308" i="14" s="1"/>
  <c r="I624" i="14" a="1"/>
  <c r="I624" i="14" s="1"/>
  <c r="I659" i="14" a="1"/>
  <c r="I659" i="14" s="1"/>
  <c r="I383" i="14" a="1"/>
  <c r="I383" i="14" s="1"/>
  <c r="I1017" i="14" a="1"/>
  <c r="I1017" i="14" s="1"/>
  <c r="I328" i="14" a="1"/>
  <c r="I328" i="14" s="1"/>
  <c r="I606" i="14" a="1"/>
  <c r="I606" i="14" s="1"/>
  <c r="I601" i="14" a="1"/>
  <c r="I601" i="14" s="1"/>
  <c r="I403" i="14" a="1"/>
  <c r="I403" i="14" s="1"/>
  <c r="I843" i="14" a="1"/>
  <c r="I843" i="14" s="1"/>
  <c r="I1316" i="14" a="1"/>
  <c r="I1316" i="14" s="1"/>
  <c r="I836" i="14" a="1"/>
  <c r="I836" i="14" s="1"/>
  <c r="I897" i="14" a="1"/>
  <c r="I897" i="14" s="1"/>
  <c r="I1075" i="14" a="1"/>
  <c r="I1075" i="14" s="1"/>
  <c r="I842" i="14" a="1"/>
  <c r="I842" i="14" s="1"/>
  <c r="I825" i="14" a="1"/>
  <c r="I825" i="14" s="1"/>
  <c r="I16" i="14" a="1"/>
  <c r="I16" i="14" s="1"/>
  <c r="I996" i="14" a="1"/>
  <c r="I996" i="14" s="1"/>
  <c r="I877" i="14" a="1"/>
  <c r="I877" i="14" s="1"/>
  <c r="I852" i="14" a="1"/>
  <c r="I852" i="14" s="1"/>
  <c r="I27" i="14" a="1"/>
  <c r="I27" i="14" s="1"/>
  <c r="I1013" i="14" a="1"/>
  <c r="I1013" i="14" s="1"/>
  <c r="I918" i="14" a="1"/>
  <c r="I918" i="14" s="1"/>
  <c r="I850" i="14" a="1"/>
  <c r="I850" i="14" s="1"/>
  <c r="I26" i="14" a="1"/>
  <c r="I26" i="14" s="1"/>
  <c r="I1021" i="14" a="1"/>
  <c r="I1021" i="14" s="1"/>
  <c r="I99" i="14" a="1"/>
  <c r="I99" i="14" s="1"/>
  <c r="I829" i="14" a="1"/>
  <c r="I829" i="14" s="1"/>
  <c r="I914" i="14" a="1"/>
  <c r="I914" i="14" s="1"/>
  <c r="I1081" i="14" a="1"/>
  <c r="I1081" i="14" s="1"/>
  <c r="I502" i="14" a="1"/>
  <c r="I502" i="14" s="1"/>
  <c r="I572" i="14" a="1"/>
  <c r="I572" i="14" s="1"/>
  <c r="I602" i="14" a="1"/>
  <c r="I602" i="14" s="1"/>
  <c r="I450" i="14" a="1"/>
  <c r="I450" i="14" s="1"/>
  <c r="I944" i="14" a="1"/>
  <c r="I944" i="14" s="1"/>
  <c r="I60" i="14" a="1"/>
  <c r="I60" i="14" s="1"/>
  <c r="I906" i="14" a="1"/>
  <c r="I906" i="14" s="1"/>
  <c r="I832" i="14" a="1"/>
  <c r="I832" i="14" s="1"/>
  <c r="I21" i="14" a="1"/>
  <c r="I21" i="14" s="1"/>
  <c r="I987" i="14" a="1"/>
  <c r="I987" i="14" s="1"/>
  <c r="I1271" i="14" a="1"/>
  <c r="I1271" i="14" s="1"/>
  <c r="I425" i="14" a="1"/>
  <c r="I425" i="14" s="1"/>
  <c r="I488" i="14" a="1"/>
  <c r="I488" i="14" s="1"/>
  <c r="I1047" i="14" a="1"/>
  <c r="I1047" i="14" s="1"/>
  <c r="I57" i="14" a="1"/>
  <c r="I57" i="14" s="1"/>
  <c r="I922" i="14" a="1"/>
  <c r="I922" i="14" s="1"/>
  <c r="I354" i="14" a="1"/>
  <c r="I354" i="14" s="1"/>
  <c r="I370" i="14" a="1"/>
  <c r="I370" i="14" s="1"/>
  <c r="I1001" i="14" a="1"/>
  <c r="I1001" i="14" s="1"/>
  <c r="I203" i="14" a="1"/>
  <c r="I203" i="14" s="1"/>
  <c r="I847" i="14" a="1"/>
  <c r="I847" i="14" s="1"/>
  <c r="I125" i="14" a="1"/>
  <c r="I125" i="14" s="1"/>
  <c r="I912" i="14" a="1"/>
  <c r="I912" i="14" s="1"/>
  <c r="I511" i="14" a="1"/>
  <c r="I511" i="14" s="1"/>
  <c r="I889" i="14" a="1"/>
  <c r="I889" i="14" s="1"/>
  <c r="I161" i="14" a="1"/>
  <c r="I161" i="14" s="1"/>
  <c r="I931" i="14" a="1"/>
  <c r="I931" i="14" s="1"/>
  <c r="I486" i="14" a="1"/>
  <c r="I486" i="14" s="1"/>
  <c r="I1467" i="14" a="1"/>
  <c r="I1467" i="14" s="1"/>
  <c r="I1281" i="14" a="1"/>
  <c r="I1281" i="14" s="1"/>
  <c r="I1266" i="14" a="1"/>
  <c r="I1266" i="14" s="1"/>
  <c r="I1476" i="14" a="1"/>
  <c r="I1476" i="14" s="1"/>
  <c r="I1113" i="14" a="1"/>
  <c r="I1113" i="14" s="1"/>
  <c r="I1432" i="14" a="1"/>
  <c r="I1432" i="14" s="1"/>
  <c r="I1223" i="14" a="1"/>
  <c r="I1223" i="14" s="1"/>
  <c r="I1308" i="14" a="1"/>
  <c r="I1308" i="14" s="1"/>
  <c r="I1439" i="14" a="1"/>
  <c r="I1439" i="14" s="1"/>
  <c r="I1095" i="14" a="1"/>
  <c r="I1095" i="14" s="1"/>
  <c r="I1346" i="14" a="1"/>
  <c r="I1346" i="14" s="1"/>
  <c r="I1139" i="14" a="1"/>
  <c r="I1139" i="14" s="1"/>
  <c r="I1106" i="14" a="1"/>
  <c r="I1106" i="14" s="1"/>
  <c r="I1318" i="14" a="1"/>
  <c r="I1318" i="14" s="1"/>
  <c r="I657" i="14" a="1"/>
  <c r="I657" i="14" s="1"/>
  <c r="I1389" i="14" a="1"/>
  <c r="I1389" i="14" s="1"/>
  <c r="I1220" i="14" a="1"/>
  <c r="I1220" i="14" s="1"/>
  <c r="I1307" i="14" a="1"/>
  <c r="I1307" i="14" s="1"/>
  <c r="I1435" i="14" a="1"/>
  <c r="I1435" i="14" s="1"/>
  <c r="I1130" i="14" a="1"/>
  <c r="I1130" i="14" s="1"/>
  <c r="I100" i="14" a="1"/>
  <c r="I100" i="14" s="1"/>
  <c r="I458" i="14" a="1"/>
  <c r="I458" i="14" s="1"/>
  <c r="I448" i="14" a="1"/>
  <c r="I448" i="14" s="1"/>
  <c r="I444" i="14" a="1"/>
  <c r="I444" i="14" s="1"/>
  <c r="I667" i="14" a="1"/>
  <c r="I667" i="14" s="1"/>
  <c r="I420" i="14" a="1"/>
  <c r="I420" i="14" s="1"/>
  <c r="I496" i="14" a="1"/>
  <c r="I496" i="14" s="1"/>
  <c r="I586" i="14" a="1"/>
  <c r="I586" i="14" s="1"/>
  <c r="I478" i="14" a="1"/>
  <c r="I478" i="14" s="1"/>
  <c r="I820" i="14" a="1"/>
  <c r="I820" i="14" s="1"/>
  <c r="I312" i="14" a="1"/>
  <c r="I312" i="14" s="1"/>
  <c r="I560" i="14" a="1"/>
  <c r="I560" i="14" s="1"/>
  <c r="I622" i="14" a="1"/>
  <c r="I622" i="14" s="1"/>
  <c r="I385" i="14" a="1"/>
  <c r="I385" i="14" s="1"/>
  <c r="I827" i="14" a="1"/>
  <c r="I827" i="14" s="1"/>
  <c r="I1022" i="14" a="1"/>
  <c r="I1022" i="14" s="1"/>
  <c r="I162" i="14" a="1"/>
  <c r="I162" i="14" s="1"/>
  <c r="I961" i="14" a="1"/>
  <c r="I961" i="14" s="1"/>
  <c r="I482" i="14" a="1"/>
  <c r="I482" i="14" s="1"/>
  <c r="I1048" i="14" a="1"/>
  <c r="I1048" i="14" s="1"/>
  <c r="I108" i="14" a="1"/>
  <c r="I108" i="14" s="1"/>
  <c r="I272" i="14" a="1"/>
  <c r="I272" i="14" s="1"/>
  <c r="I1117" i="14" a="1"/>
  <c r="I1117" i="14" s="1"/>
  <c r="I651" i="14" a="1"/>
  <c r="I651" i="14" s="1"/>
  <c r="I1031" i="14" a="1"/>
  <c r="I1031" i="14" s="1"/>
  <c r="I215" i="14" a="1"/>
  <c r="I215" i="14" s="1"/>
  <c r="I175" i="14" a="1"/>
  <c r="I175" i="14" s="1"/>
  <c r="I1059" i="14" a="1"/>
  <c r="I1059" i="14" s="1"/>
  <c r="I732" i="14" a="1"/>
  <c r="I732" i="14" s="1"/>
  <c r="I910" i="14" a="1"/>
  <c r="I910" i="14" s="1"/>
  <c r="I114" i="14" a="1"/>
  <c r="I114" i="14" s="1"/>
  <c r="I177" i="14" a="1"/>
  <c r="I177" i="14" s="1"/>
  <c r="I1061" i="14" a="1"/>
  <c r="I1061" i="14" s="1"/>
  <c r="I653" i="14" a="1"/>
  <c r="I653" i="14" s="1"/>
  <c r="I1494" i="14" a="1"/>
  <c r="I1494" i="14" s="1"/>
  <c r="I1291" i="14" a="1"/>
  <c r="I1291" i="14" s="1"/>
  <c r="I1286" i="14" a="1"/>
  <c r="I1286" i="14" s="1"/>
  <c r="I1496" i="14" a="1"/>
  <c r="I1496" i="14" s="1"/>
  <c r="I1122" i="14" a="1"/>
  <c r="I1122" i="14" s="1"/>
  <c r="I374" i="14" a="1"/>
  <c r="I374" i="14" s="1"/>
  <c r="I528" i="14" a="1"/>
  <c r="I528" i="14" s="1"/>
  <c r="I630" i="14" a="1"/>
  <c r="I630" i="14" s="1"/>
  <c r="I515" i="14" a="1"/>
  <c r="I515" i="14" s="1"/>
  <c r="I909" i="14" a="1"/>
  <c r="I909" i="14" s="1"/>
  <c r="I979" i="14" a="1"/>
  <c r="I979" i="14" s="1"/>
  <c r="I167" i="14" a="1"/>
  <c r="I167" i="14" s="1"/>
  <c r="I978" i="14" a="1"/>
  <c r="I978" i="14" s="1"/>
  <c r="I505" i="14" a="1"/>
  <c r="I505" i="14" s="1"/>
  <c r="I1030" i="14" a="1"/>
  <c r="I1030" i="14" s="1"/>
  <c r="I159" i="14" a="1"/>
  <c r="I159" i="14" s="1"/>
  <c r="I179" i="14" a="1"/>
  <c r="I179" i="14" s="1"/>
  <c r="I894" i="14" a="1"/>
  <c r="I894" i="14" s="1"/>
  <c r="I532" i="14" a="1"/>
  <c r="I532" i="14" s="1"/>
  <c r="I9" i="14" a="1"/>
  <c r="I9" i="14" s="1"/>
  <c r="I930" i="14" a="1"/>
  <c r="I930" i="14" s="1"/>
  <c r="I960" i="14" a="1"/>
  <c r="I960" i="14" s="1"/>
  <c r="I1093" i="14" a="1"/>
  <c r="I1093" i="14" s="1"/>
  <c r="I333" i="14" a="1"/>
  <c r="I333" i="14" s="1"/>
  <c r="I823" i="14" a="1"/>
  <c r="I823" i="14" s="1"/>
  <c r="I845" i="14" a="1"/>
  <c r="I845" i="14" s="1"/>
  <c r="I318" i="14" a="1"/>
  <c r="I318" i="14" s="1"/>
  <c r="I814" i="14" a="1"/>
  <c r="I814" i="14" s="1"/>
  <c r="I831" i="14" a="1"/>
  <c r="I831" i="14" s="1"/>
  <c r="I233" i="14" a="1"/>
  <c r="I233" i="14" s="1"/>
  <c r="I1074" i="14" a="1"/>
  <c r="I1074" i="14" s="1"/>
  <c r="I295" i="14" a="1"/>
  <c r="I295" i="14" s="1"/>
  <c r="I632" i="14" a="1"/>
  <c r="I632" i="14" s="1"/>
  <c r="I783" i="14" a="1"/>
  <c r="I783" i="14" s="1"/>
  <c r="I327" i="14" a="1"/>
  <c r="I327" i="14" s="1"/>
  <c r="I926" i="14" a="1"/>
  <c r="I926" i="14" s="1"/>
  <c r="I319" i="14" a="1"/>
  <c r="I319" i="14" s="1"/>
  <c r="I678" i="14" a="1"/>
  <c r="I678" i="14" s="1"/>
  <c r="I804" i="14" a="1"/>
  <c r="I804" i="14" s="1"/>
  <c r="I358" i="14" a="1"/>
  <c r="I358" i="14" s="1"/>
  <c r="I939" i="14" a="1"/>
  <c r="I939" i="14" s="1"/>
  <c r="I400" i="14" a="1"/>
  <c r="I400" i="14" s="1"/>
  <c r="I583" i="14" a="1"/>
  <c r="I583" i="14" s="1"/>
  <c r="I604" i="14" a="1"/>
  <c r="I604" i="14" s="1"/>
  <c r="I410" i="14" a="1"/>
  <c r="I410" i="14" s="1"/>
  <c r="I966" i="14" a="1"/>
  <c r="I966" i="14" s="1"/>
  <c r="I1254" i="14" a="1"/>
  <c r="I1254" i="14" s="1"/>
  <c r="I508" i="14" a="1"/>
  <c r="I508" i="14" s="1"/>
  <c r="I512" i="14" a="1"/>
  <c r="I512" i="14" s="1"/>
  <c r="I1101" i="14" a="1"/>
  <c r="I1101" i="14" s="1"/>
  <c r="I1199" i="14" a="1"/>
  <c r="I1199" i="14" s="1"/>
  <c r="I627" i="14" a="1"/>
  <c r="I627" i="14" s="1"/>
  <c r="I519" i="14" a="1"/>
  <c r="I519" i="14" s="1"/>
  <c r="I1211" i="14" a="1"/>
  <c r="I1211" i="14" s="1"/>
  <c r="I183" i="14" a="1"/>
  <c r="I183" i="14" s="1"/>
  <c r="I975" i="14" a="1"/>
  <c r="I975" i="14" s="1"/>
  <c r="I485" i="14" a="1"/>
  <c r="I485" i="14" s="1"/>
  <c r="I481" i="14" a="1"/>
  <c r="I481" i="14" s="1"/>
  <c r="I1092" i="14" a="1"/>
  <c r="I1092" i="14" s="1"/>
  <c r="I1180" i="14" a="1"/>
  <c r="I1180" i="14" s="1"/>
  <c r="I636" i="14" a="1"/>
  <c r="I636" i="14" s="1"/>
  <c r="I744" i="14" a="1"/>
  <c r="I744" i="14" s="1"/>
  <c r="I11" i="14" a="1"/>
  <c r="I11" i="14" s="1"/>
  <c r="I1181" i="14" a="1"/>
  <c r="I1181" i="14" s="1"/>
  <c r="I669" i="14" a="1"/>
  <c r="I669" i="14" s="1"/>
  <c r="I533" i="14" a="1"/>
  <c r="I533" i="14" s="1"/>
  <c r="I1205" i="14" a="1"/>
  <c r="I1205" i="14" s="1"/>
  <c r="I185" i="14" a="1"/>
  <c r="I185" i="14" s="1"/>
  <c r="J310" i="14" a="1"/>
  <c r="J310" i="14" s="1"/>
  <c r="J593" i="14" a="1"/>
  <c r="J593" i="14" s="1"/>
  <c r="J381" i="14" a="1"/>
  <c r="J381" i="14" s="1"/>
  <c r="J948" i="14" a="1"/>
  <c r="J948" i="14" s="1"/>
  <c r="J308" i="14" a="1"/>
  <c r="J308" i="14" s="1"/>
  <c r="J624" i="14" a="1"/>
  <c r="J624" i="14" s="1"/>
  <c r="J659" i="14" a="1"/>
  <c r="J659" i="14" s="1"/>
  <c r="J383" i="14" a="1"/>
  <c r="J383" i="14" s="1"/>
  <c r="J1017" i="14" a="1"/>
  <c r="J1017" i="14" s="1"/>
  <c r="J328" i="14" a="1"/>
  <c r="J328" i="14" s="1"/>
  <c r="J606" i="14" a="1"/>
  <c r="J606" i="14" s="1"/>
  <c r="J601" i="14" a="1"/>
  <c r="J601" i="14" s="1"/>
  <c r="J403" i="14" a="1"/>
  <c r="J403" i="14" s="1"/>
  <c r="J843" i="14" a="1"/>
  <c r="J843" i="14" s="1"/>
  <c r="J1316" i="14" a="1"/>
  <c r="J1316" i="14" s="1"/>
  <c r="J836" i="14" a="1"/>
  <c r="J836" i="14" s="1"/>
  <c r="J897" i="14" a="1"/>
  <c r="J897" i="14" s="1"/>
  <c r="J1075" i="14" a="1"/>
  <c r="J1075" i="14" s="1"/>
  <c r="J842" i="14" a="1"/>
  <c r="J842" i="14" s="1"/>
  <c r="J825" i="14" a="1"/>
  <c r="J825" i="14" s="1"/>
  <c r="J16" i="14" a="1"/>
  <c r="J16" i="14" s="1"/>
  <c r="J996" i="14" a="1"/>
  <c r="J996" i="14" s="1"/>
  <c r="J877" i="14" a="1"/>
  <c r="J877" i="14" s="1"/>
  <c r="J852" i="14" a="1"/>
  <c r="J852" i="14" s="1"/>
  <c r="J27" i="14" a="1"/>
  <c r="J27" i="14" s="1"/>
  <c r="J1013" i="14" a="1"/>
  <c r="J1013" i="14" s="1"/>
  <c r="J918" i="14" a="1"/>
  <c r="J918" i="14" s="1"/>
  <c r="J850" i="14" a="1"/>
  <c r="J850" i="14" s="1"/>
  <c r="J26" i="14" a="1"/>
  <c r="J26" i="14" s="1"/>
  <c r="J1021" i="14" a="1"/>
  <c r="J1021" i="14" s="1"/>
  <c r="J99" i="14" a="1"/>
  <c r="J99" i="14" s="1"/>
  <c r="J829" i="14" a="1"/>
  <c r="J829" i="14" s="1"/>
  <c r="J914" i="14" a="1"/>
  <c r="J914" i="14" s="1"/>
  <c r="J1081" i="14" a="1"/>
  <c r="J1081" i="14" s="1"/>
  <c r="J502" i="14" a="1"/>
  <c r="J502" i="14" s="1"/>
  <c r="J572" i="14" a="1"/>
  <c r="J572" i="14" s="1"/>
  <c r="J602" i="14" a="1"/>
  <c r="J602" i="14" s="1"/>
  <c r="J450" i="14" a="1"/>
  <c r="J450" i="14" s="1"/>
  <c r="J944" i="14" a="1"/>
  <c r="J944" i="14" s="1"/>
  <c r="J60" i="14" a="1"/>
  <c r="J60" i="14" s="1"/>
  <c r="J906" i="14" a="1"/>
  <c r="J906" i="14" s="1"/>
  <c r="J832" i="14" a="1"/>
  <c r="J832" i="14" s="1"/>
  <c r="J21" i="14" a="1"/>
  <c r="J21" i="14" s="1"/>
  <c r="J987" i="14" a="1"/>
  <c r="J987" i="14" s="1"/>
  <c r="J1271" i="14" a="1"/>
  <c r="J1271" i="14" s="1"/>
  <c r="J425" i="14" a="1"/>
  <c r="J425" i="14" s="1"/>
  <c r="J488" i="14" a="1"/>
  <c r="J488" i="14" s="1"/>
  <c r="J1047" i="14" a="1"/>
  <c r="J1047" i="14" s="1"/>
  <c r="J57" i="14" a="1"/>
  <c r="J57" i="14" s="1"/>
  <c r="J922" i="14" a="1"/>
  <c r="J922" i="14" s="1"/>
  <c r="J354" i="14" a="1"/>
  <c r="J354" i="14" s="1"/>
  <c r="J370" i="14" a="1"/>
  <c r="J370" i="14" s="1"/>
  <c r="J1001" i="14" a="1"/>
  <c r="J1001" i="14" s="1"/>
  <c r="J203" i="14" a="1"/>
  <c r="J203" i="14" s="1"/>
  <c r="J847" i="14" a="1"/>
  <c r="J847" i="14" s="1"/>
  <c r="J125" i="14" a="1"/>
  <c r="J125" i="14" s="1"/>
  <c r="J912" i="14" a="1"/>
  <c r="J912" i="14" s="1"/>
  <c r="J511" i="14" a="1"/>
  <c r="J511" i="14" s="1"/>
  <c r="J889" i="14" a="1"/>
  <c r="J889" i="14" s="1"/>
  <c r="J161" i="14" a="1"/>
  <c r="J161" i="14" s="1"/>
  <c r="J931" i="14" a="1"/>
  <c r="J931" i="14" s="1"/>
  <c r="J486" i="14" a="1"/>
  <c r="J486" i="14" s="1"/>
  <c r="J1467" i="14" a="1"/>
  <c r="J1467" i="14" s="1"/>
  <c r="J1281" i="14" a="1"/>
  <c r="J1281" i="14" s="1"/>
  <c r="J1266" i="14" a="1"/>
  <c r="J1266" i="14" s="1"/>
  <c r="J1476" i="14" a="1"/>
  <c r="J1476" i="14" s="1"/>
  <c r="J1113" i="14" a="1"/>
  <c r="J1113" i="14" s="1"/>
  <c r="J1432" i="14" a="1"/>
  <c r="J1432" i="14" s="1"/>
  <c r="J1223" i="14" a="1"/>
  <c r="J1223" i="14" s="1"/>
  <c r="J1308" i="14" a="1"/>
  <c r="J1308" i="14" s="1"/>
  <c r="J1439" i="14" a="1"/>
  <c r="J1439" i="14" s="1"/>
  <c r="J1095" i="14" a="1"/>
  <c r="J1095" i="14" s="1"/>
  <c r="J1346" i="14" a="1"/>
  <c r="J1346" i="14" s="1"/>
  <c r="J1139" i="14" a="1"/>
  <c r="J1139" i="14" s="1"/>
  <c r="J1106" i="14" a="1"/>
  <c r="J1106" i="14" s="1"/>
  <c r="J1318" i="14" a="1"/>
  <c r="J1318" i="14" s="1"/>
  <c r="J657" i="14" a="1"/>
  <c r="J657" i="14" s="1"/>
  <c r="J1389" i="14" a="1"/>
  <c r="J1389" i="14" s="1"/>
  <c r="J1220" i="14" a="1"/>
  <c r="J1220" i="14" s="1"/>
  <c r="J1307" i="14" a="1"/>
  <c r="J1307" i="14" s="1"/>
  <c r="J1435" i="14" a="1"/>
  <c r="J1435" i="14" s="1"/>
  <c r="J1130" i="14" a="1"/>
  <c r="J1130" i="14" s="1"/>
  <c r="J100" i="14" a="1"/>
  <c r="J100" i="14" s="1"/>
  <c r="J458" i="14" a="1"/>
  <c r="J458" i="14" s="1"/>
  <c r="J448" i="14" a="1"/>
  <c r="J448" i="14" s="1"/>
  <c r="J444" i="14" a="1"/>
  <c r="J444" i="14" s="1"/>
  <c r="J667" i="14" a="1"/>
  <c r="J667" i="14" s="1"/>
  <c r="J420" i="14" a="1"/>
  <c r="J420" i="14" s="1"/>
  <c r="J496" i="14" a="1"/>
  <c r="J496" i="14" s="1"/>
  <c r="J586" i="14" a="1"/>
  <c r="J586" i="14" s="1"/>
  <c r="J478" i="14" a="1"/>
  <c r="J478" i="14" s="1"/>
  <c r="J820" i="14" a="1"/>
  <c r="J820" i="14" s="1"/>
  <c r="J312" i="14" a="1"/>
  <c r="J312" i="14" s="1"/>
  <c r="J560" i="14" a="1"/>
  <c r="J560" i="14" s="1"/>
  <c r="J622" i="14" a="1"/>
  <c r="J622" i="14" s="1"/>
  <c r="J385" i="14" a="1"/>
  <c r="J385" i="14" s="1"/>
  <c r="J827" i="14" a="1"/>
  <c r="J827" i="14" s="1"/>
  <c r="J1022" i="14" a="1"/>
  <c r="J1022" i="14" s="1"/>
  <c r="J162" i="14" a="1"/>
  <c r="J162" i="14" s="1"/>
  <c r="J961" i="14" a="1"/>
  <c r="J961" i="14" s="1"/>
  <c r="J482" i="14" a="1"/>
  <c r="J482" i="14" s="1"/>
  <c r="J1048" i="14" a="1"/>
  <c r="J1048" i="14" s="1"/>
  <c r="J108" i="14" a="1"/>
  <c r="J108" i="14" s="1"/>
  <c r="J272" i="14" a="1"/>
  <c r="J272" i="14" s="1"/>
  <c r="J1117" i="14" a="1"/>
  <c r="J1117" i="14" s="1"/>
  <c r="J651" i="14" a="1"/>
  <c r="J651" i="14" s="1"/>
  <c r="J1031" i="14" a="1"/>
  <c r="J1031" i="14" s="1"/>
  <c r="J215" i="14" a="1"/>
  <c r="J215" i="14" s="1"/>
  <c r="J175" i="14" a="1"/>
  <c r="J175" i="14" s="1"/>
  <c r="J1059" i="14" a="1"/>
  <c r="J1059" i="14" s="1"/>
  <c r="J732" i="14" a="1"/>
  <c r="J732" i="14" s="1"/>
  <c r="J910" i="14" a="1"/>
  <c r="J910" i="14" s="1"/>
  <c r="J114" i="14" a="1"/>
  <c r="J114" i="14" s="1"/>
  <c r="J177" i="14" a="1"/>
  <c r="J177" i="14" s="1"/>
  <c r="J1061" i="14" a="1"/>
  <c r="J1061" i="14" s="1"/>
  <c r="J653" i="14" a="1"/>
  <c r="J653" i="14" s="1"/>
  <c r="J1494" i="14" a="1"/>
  <c r="J1494" i="14" s="1"/>
  <c r="J1291" i="14" a="1"/>
  <c r="J1291" i="14" s="1"/>
  <c r="J1286" i="14" a="1"/>
  <c r="J1286" i="14" s="1"/>
  <c r="J1496" i="14" a="1"/>
  <c r="J1496" i="14" s="1"/>
  <c r="J1122" i="14" a="1"/>
  <c r="J1122" i="14" s="1"/>
  <c r="J374" i="14" a="1"/>
  <c r="J374" i="14" s="1"/>
  <c r="J528" i="14" a="1"/>
  <c r="J528" i="14" s="1"/>
  <c r="J630" i="14" a="1"/>
  <c r="J630" i="14" s="1"/>
  <c r="J515" i="14" a="1"/>
  <c r="J515" i="14" s="1"/>
  <c r="J909" i="14" a="1"/>
  <c r="J909" i="14" s="1"/>
  <c r="J979" i="14" a="1"/>
  <c r="J979" i="14" s="1"/>
  <c r="J167" i="14" a="1"/>
  <c r="J167" i="14" s="1"/>
  <c r="J978" i="14" a="1"/>
  <c r="J978" i="14" s="1"/>
  <c r="J505" i="14" a="1"/>
  <c r="J505" i="14" s="1"/>
  <c r="J1030" i="14" a="1"/>
  <c r="J1030" i="14" s="1"/>
  <c r="J159" i="14" a="1"/>
  <c r="J159" i="14" s="1"/>
  <c r="J179" i="14" a="1"/>
  <c r="J179" i="14" s="1"/>
  <c r="J894" i="14" a="1"/>
  <c r="J894" i="14" s="1"/>
  <c r="J532" i="14" a="1"/>
  <c r="J532" i="14" s="1"/>
  <c r="J9" i="14" a="1"/>
  <c r="J9" i="14" s="1"/>
  <c r="J930" i="14" a="1"/>
  <c r="J930" i="14" s="1"/>
  <c r="J960" i="14" a="1"/>
  <c r="J960" i="14" s="1"/>
  <c r="J1093" i="14" a="1"/>
  <c r="J1093" i="14" s="1"/>
  <c r="J333" i="14" a="1"/>
  <c r="J333" i="14" s="1"/>
  <c r="J823" i="14" a="1"/>
  <c r="J823" i="14" s="1"/>
  <c r="J845" i="14" a="1"/>
  <c r="J845" i="14" s="1"/>
  <c r="J318" i="14" a="1"/>
  <c r="J318" i="14" s="1"/>
  <c r="J814" i="14" a="1"/>
  <c r="J814" i="14" s="1"/>
  <c r="J831" i="14" a="1"/>
  <c r="J831" i="14" s="1"/>
  <c r="J233" i="14" a="1"/>
  <c r="J233" i="14" s="1"/>
  <c r="J1074" i="14" a="1"/>
  <c r="J1074" i="14" s="1"/>
  <c r="J295" i="14" a="1"/>
  <c r="J295" i="14" s="1"/>
  <c r="J632" i="14" a="1"/>
  <c r="J632" i="14" s="1"/>
  <c r="J783" i="14" a="1"/>
  <c r="J783" i="14" s="1"/>
  <c r="J327" i="14" a="1"/>
  <c r="J327" i="14" s="1"/>
  <c r="J926" i="14" a="1"/>
  <c r="J926" i="14" s="1"/>
  <c r="J319" i="14" a="1"/>
  <c r="J319" i="14" s="1"/>
  <c r="J678" i="14" a="1"/>
  <c r="J678" i="14" s="1"/>
  <c r="J804" i="14" a="1"/>
  <c r="J804" i="14" s="1"/>
  <c r="J358" i="14" a="1"/>
  <c r="J358" i="14" s="1"/>
  <c r="J939" i="14" a="1"/>
  <c r="J939" i="14" s="1"/>
  <c r="J400" i="14" a="1"/>
  <c r="J400" i="14" s="1"/>
  <c r="J583" i="14" a="1"/>
  <c r="J583" i="14" s="1"/>
  <c r="J604" i="14" a="1"/>
  <c r="J604" i="14" s="1"/>
  <c r="J410" i="14" a="1"/>
  <c r="J410" i="14" s="1"/>
  <c r="J966" i="14" a="1"/>
  <c r="J966" i="14" s="1"/>
  <c r="J1254" i="14" a="1"/>
  <c r="J1254" i="14" s="1"/>
  <c r="J508" i="14" a="1"/>
  <c r="J508" i="14" s="1"/>
  <c r="J512" i="14" a="1"/>
  <c r="J512" i="14" s="1"/>
  <c r="J1101" i="14" a="1"/>
  <c r="J1101" i="14" s="1"/>
  <c r="J1199" i="14" a="1"/>
  <c r="J1199" i="14" s="1"/>
  <c r="J627" i="14" a="1"/>
  <c r="J627" i="14" s="1"/>
  <c r="J519" i="14" a="1"/>
  <c r="J519" i="14" s="1"/>
  <c r="J1211" i="14" a="1"/>
  <c r="J1211" i="14" s="1"/>
  <c r="J183" i="14" a="1"/>
  <c r="J183" i="14" s="1"/>
  <c r="J975" i="14" a="1"/>
  <c r="J975" i="14" s="1"/>
  <c r="J485" i="14" a="1"/>
  <c r="J485" i="14" s="1"/>
  <c r="J481" i="14" a="1"/>
  <c r="J481" i="14" s="1"/>
  <c r="J1092" i="14" a="1"/>
  <c r="J1092" i="14" s="1"/>
  <c r="J1180" i="14" a="1"/>
  <c r="J1180" i="14" s="1"/>
  <c r="J636" i="14" a="1"/>
  <c r="J636" i="14" s="1"/>
  <c r="J744" i="14" a="1"/>
  <c r="J744" i="14" s="1"/>
  <c r="J11" i="14" a="1"/>
  <c r="J11" i="14" s="1"/>
  <c r="J1181" i="14" a="1"/>
  <c r="J1181" i="14" s="1"/>
  <c r="J669" i="14" a="1"/>
  <c r="J669" i="14" s="1"/>
  <c r="J533" i="14" a="1"/>
  <c r="J533" i="14" s="1"/>
  <c r="J1205" i="14" a="1"/>
  <c r="J1205" i="14" s="1"/>
  <c r="J185" i="14" a="1"/>
  <c r="J185" i="14" s="1"/>
  <c r="I305" i="14" a="1"/>
  <c r="I305" i="14" s="1"/>
  <c r="I1413" i="14" a="1"/>
  <c r="I1413" i="14" s="1"/>
  <c r="I768" i="14" a="1"/>
  <c r="I768" i="14" s="1"/>
  <c r="I210" i="14" a="1"/>
  <c r="I210" i="14" s="1"/>
  <c r="I1066" i="14" a="1"/>
  <c r="I1066" i="14" s="1"/>
  <c r="I303" i="14" a="1"/>
  <c r="I303" i="14" s="1"/>
  <c r="I1422" i="14" a="1"/>
  <c r="I1422" i="14" s="1"/>
  <c r="I808" i="14" a="1"/>
  <c r="I808" i="14" s="1"/>
  <c r="I212" i="14" a="1"/>
  <c r="I212" i="14" s="1"/>
  <c r="I1091" i="14" a="1"/>
  <c r="I1091" i="14" s="1"/>
  <c r="I323" i="14" a="1"/>
  <c r="I323" i="14" s="1"/>
  <c r="I1425" i="14" a="1"/>
  <c r="I1425" i="14" s="1"/>
  <c r="I105" i="14" a="1"/>
  <c r="I105" i="14" s="1"/>
  <c r="I261" i="14" a="1"/>
  <c r="I261" i="14" s="1"/>
  <c r="I995" i="14" a="1"/>
  <c r="I995" i="14" s="1"/>
  <c r="I39" i="14" a="1"/>
  <c r="I39" i="14" s="1"/>
  <c r="I1472" i="14" a="1"/>
  <c r="I1472" i="14" s="1"/>
  <c r="I1076" i="14" a="1"/>
  <c r="I1076" i="14" s="1"/>
  <c r="I220" i="14" a="1"/>
  <c r="I220" i="14" s="1"/>
  <c r="I3" i="14" a="1"/>
  <c r="I3" i="14" s="1"/>
  <c r="I1457" i="14" a="1"/>
  <c r="I1457" i="14" s="1"/>
  <c r="I973" i="14" a="1"/>
  <c r="I973" i="14" s="1"/>
  <c r="I269" i="14" a="1"/>
  <c r="I269" i="14" s="1"/>
  <c r="I1102" i="14" a="1"/>
  <c r="I1102" i="14" s="1"/>
  <c r="I1464" i="14" a="1"/>
  <c r="I1464" i="14" s="1"/>
  <c r="I1012" i="14" a="1"/>
  <c r="I1012" i="14" s="1"/>
  <c r="I289" i="14" a="1"/>
  <c r="I289" i="14" s="1"/>
  <c r="I1120" i="14" a="1"/>
  <c r="I1120" i="14" s="1"/>
  <c r="I1459" i="14" a="1"/>
  <c r="I1459" i="14" s="1"/>
  <c r="I1004" i="14" a="1"/>
  <c r="I1004" i="14" s="1"/>
  <c r="I288" i="14" a="1"/>
  <c r="I288" i="14" s="1"/>
  <c r="I1115" i="14" a="1"/>
  <c r="I1115" i="14" s="1"/>
  <c r="I43" i="14" a="1"/>
  <c r="I43" i="14" s="1"/>
  <c r="I1469" i="14" a="1"/>
  <c r="I1469" i="14" s="1"/>
  <c r="I1084" i="14" a="1"/>
  <c r="I1084" i="14" s="1"/>
  <c r="I278" i="14" a="1"/>
  <c r="I278" i="14" s="1"/>
  <c r="I5" i="14" a="1"/>
  <c r="I5" i="14" s="1"/>
  <c r="I421" i="14" a="1"/>
  <c r="I421" i="14" s="1"/>
  <c r="I1421" i="14" a="1"/>
  <c r="I1421" i="14" s="1"/>
  <c r="I778" i="14" a="1"/>
  <c r="I778" i="14" s="1"/>
  <c r="I296" i="14" a="1"/>
  <c r="I296" i="14" s="1"/>
  <c r="I1085" i="14" a="1"/>
  <c r="I1085" i="14" s="1"/>
  <c r="I38" i="14" a="1"/>
  <c r="I38" i="14" s="1"/>
  <c r="I1455" i="14" a="1"/>
  <c r="I1455" i="14" s="1"/>
  <c r="I985" i="14" a="1"/>
  <c r="I985" i="14" s="1"/>
  <c r="I275" i="14" a="1"/>
  <c r="I275" i="14" s="1"/>
  <c r="I1124" i="14" a="1"/>
  <c r="I1124" i="14" s="1"/>
  <c r="I1050" i="14" a="1"/>
  <c r="I1050" i="14" s="1"/>
  <c r="I1182" i="14" a="1"/>
  <c r="I1182" i="14" s="1"/>
  <c r="I522" i="14" a="1"/>
  <c r="I522" i="14" s="1"/>
  <c r="I1019" i="14" a="1"/>
  <c r="I1019" i="14" s="1"/>
  <c r="I247" i="14" a="1"/>
  <c r="I247" i="14" s="1"/>
  <c r="I972" i="14" a="1"/>
  <c r="I972" i="14" s="1"/>
  <c r="I1255" i="14" a="1"/>
  <c r="I1255" i="14" s="1"/>
  <c r="I391" i="14" a="1"/>
  <c r="I391" i="14" s="1"/>
  <c r="I970" i="14" a="1"/>
  <c r="I970" i="14" s="1"/>
  <c r="I360" i="14" a="1"/>
  <c r="I360" i="14" s="1"/>
  <c r="I871" i="14" a="1"/>
  <c r="I871" i="14" s="1"/>
  <c r="I1274" i="14" a="1"/>
  <c r="I1274" i="14" s="1"/>
  <c r="I82" i="14" a="1"/>
  <c r="I82" i="14" s="1"/>
  <c r="I794" i="14" a="1"/>
  <c r="I794" i="14" s="1"/>
  <c r="I675" i="14" a="1"/>
  <c r="I675" i="14" s="1"/>
  <c r="I919" i="14" a="1"/>
  <c r="I919" i="14" s="1"/>
  <c r="I1280" i="14" a="1"/>
  <c r="I1280" i="14" s="1"/>
  <c r="I109" i="14" a="1"/>
  <c r="I109" i="14" s="1"/>
  <c r="I824" i="14" a="1"/>
  <c r="I824" i="14" s="1"/>
  <c r="I637" i="14" a="1"/>
  <c r="I637" i="14" s="1"/>
  <c r="I1460" i="14" a="1"/>
  <c r="I1460" i="14" s="1"/>
  <c r="I1357" i="14" a="1"/>
  <c r="I1357" i="14" s="1"/>
  <c r="I1474" i="14" a="1"/>
  <c r="I1474" i="14" s="1"/>
  <c r="I760" i="14" a="1"/>
  <c r="I760" i="14" s="1"/>
  <c r="I1415" i="14" a="1"/>
  <c r="I1415" i="14" s="1"/>
  <c r="I112" i="14" a="1"/>
  <c r="I112" i="14" s="1"/>
  <c r="I1327" i="14" a="1"/>
  <c r="I1327" i="14" s="1"/>
  <c r="I1402" i="14" a="1"/>
  <c r="I1402" i="14" s="1"/>
  <c r="I742" i="14" a="1"/>
  <c r="I742" i="14" s="1"/>
  <c r="I1303" i="14" a="1"/>
  <c r="I1303" i="14" s="1"/>
  <c r="I491" i="14" a="1"/>
  <c r="I491" i="14" s="1"/>
  <c r="I1185" i="14" a="1"/>
  <c r="I1185" i="14" s="1"/>
  <c r="I1270" i="14" a="1"/>
  <c r="I1270" i="14" s="1"/>
  <c r="I419" i="14" a="1"/>
  <c r="I419" i="14" s="1"/>
  <c r="I1398" i="14" a="1"/>
  <c r="I1398" i="14" s="1"/>
  <c r="I78" i="14" a="1"/>
  <c r="I78" i="14" s="1"/>
  <c r="I1326" i="14" a="1"/>
  <c r="I1326" i="14" s="1"/>
  <c r="I1409" i="14" a="1"/>
  <c r="I1409" i="14" s="1"/>
  <c r="I790" i="14" a="1"/>
  <c r="I790" i="14" s="1"/>
  <c r="I386" i="14" a="1"/>
  <c r="I386" i="14" s="1"/>
  <c r="I1296" i="14" a="1"/>
  <c r="I1296" i="14" s="1"/>
  <c r="I607" i="14" a="1"/>
  <c r="I607" i="14" s="1"/>
  <c r="I234" i="14" a="1"/>
  <c r="I234" i="14" s="1"/>
  <c r="I58" i="14" a="1"/>
  <c r="I58" i="14" s="1"/>
  <c r="I412" i="14" a="1"/>
  <c r="I412" i="14" s="1"/>
  <c r="I1301" i="14" a="1"/>
  <c r="I1301" i="14" s="1"/>
  <c r="I702" i="14" a="1"/>
  <c r="I702" i="14" s="1"/>
  <c r="I366" i="14" a="1"/>
  <c r="I366" i="14" s="1"/>
  <c r="I963" i="14" a="1"/>
  <c r="I963" i="14" s="1"/>
  <c r="I314" i="14" a="1"/>
  <c r="I314" i="14" s="1"/>
  <c r="I1390" i="14" a="1"/>
  <c r="I1390" i="14" s="1"/>
  <c r="I536" i="14" a="1"/>
  <c r="I536" i="14" s="1"/>
  <c r="I283" i="14" a="1"/>
  <c r="I283" i="14" s="1"/>
  <c r="I957" i="14" a="1"/>
  <c r="I957" i="14" s="1"/>
  <c r="I851" i="14" a="1"/>
  <c r="I851" i="14" s="1"/>
  <c r="I1265" i="14" a="1"/>
  <c r="I1265" i="14" s="1"/>
  <c r="I273" i="14" a="1"/>
  <c r="I273" i="14" s="1"/>
  <c r="I846" i="14" a="1"/>
  <c r="I846" i="14" s="1"/>
  <c r="I745" i="14" a="1"/>
  <c r="I745" i="14" s="1"/>
  <c r="I1005" i="14" a="1"/>
  <c r="I1005" i="14" s="1"/>
  <c r="I1356" i="14" a="1"/>
  <c r="I1356" i="14" s="1"/>
  <c r="I736" i="14" a="1"/>
  <c r="I736" i="14" s="1"/>
  <c r="I612" i="14" a="1"/>
  <c r="I612" i="14" s="1"/>
  <c r="I899" i="14" a="1"/>
  <c r="I899" i="14" s="1"/>
  <c r="I1367" i="14" a="1"/>
  <c r="I1367" i="14" s="1"/>
  <c r="I598" i="14" a="1"/>
  <c r="I598" i="14" s="1"/>
  <c r="I727" i="14" a="1"/>
  <c r="I727" i="14" s="1"/>
  <c r="I903" i="14" a="1"/>
  <c r="I903" i="14" s="1"/>
  <c r="I1347" i="14" a="1"/>
  <c r="I1347" i="14" s="1"/>
  <c r="I564" i="14" a="1"/>
  <c r="I564" i="14" s="1"/>
  <c r="I646" i="14" a="1"/>
  <c r="I646" i="14" s="1"/>
  <c r="I1482" i="14" a="1"/>
  <c r="I1482" i="14" s="1"/>
  <c r="I1312" i="14" a="1"/>
  <c r="I1312" i="14" s="1"/>
  <c r="I1493" i="14" a="1"/>
  <c r="I1493" i="14" s="1"/>
  <c r="I757" i="14" a="1"/>
  <c r="I757" i="14" s="1"/>
  <c r="I457" i="14" a="1"/>
  <c r="I457" i="14" s="1"/>
  <c r="I1322" i="14" a="1"/>
  <c r="I1322" i="14" s="1"/>
  <c r="I747" i="14" a="1"/>
  <c r="I747" i="14" s="1"/>
  <c r="I408" i="14" a="1"/>
  <c r="I408" i="14" s="1"/>
  <c r="I1035" i="14" a="1"/>
  <c r="I1035" i="14" s="1"/>
  <c r="I892" i="14" a="1"/>
  <c r="I892" i="14" s="1"/>
  <c r="I1267" i="14" a="1"/>
  <c r="I1267" i="14" s="1"/>
  <c r="I301" i="14" a="1"/>
  <c r="I301" i="14" s="1"/>
  <c r="I864" i="14" a="1"/>
  <c r="I864" i="14" s="1"/>
  <c r="I764" i="14" a="1"/>
  <c r="I764" i="14" s="1"/>
  <c r="I902" i="14" a="1"/>
  <c r="I902" i="14" s="1"/>
  <c r="I1354" i="14" a="1"/>
  <c r="I1354" i="14" s="1"/>
  <c r="I224" i="14" a="1"/>
  <c r="I224" i="14" s="1"/>
  <c r="I762" i="14" a="1"/>
  <c r="I762" i="14" s="1"/>
  <c r="I822" i="14" a="1"/>
  <c r="I822" i="14" s="1"/>
  <c r="I25" i="14" a="1"/>
  <c r="I25" i="14" s="1"/>
  <c r="I1475" i="14" a="1"/>
  <c r="I1475" i="14" s="1"/>
  <c r="I1116" i="14" a="1"/>
  <c r="I1116" i="14" s="1"/>
  <c r="I10" i="14" a="1"/>
  <c r="I10" i="14" s="1"/>
  <c r="I287" i="14" a="1"/>
  <c r="I287" i="14" s="1"/>
  <c r="I1473" i="14" a="1"/>
  <c r="I1473" i="14" s="1"/>
  <c r="I735" i="14" a="1"/>
  <c r="I735" i="14" s="1"/>
  <c r="I1178" i="14" a="1"/>
  <c r="I1178" i="14" s="1"/>
  <c r="I136" i="14" a="1"/>
  <c r="I136" i="14" s="1"/>
  <c r="I1471" i="14" a="1"/>
  <c r="I1471" i="14" s="1"/>
  <c r="I723" i="14" a="1"/>
  <c r="I723" i="14" s="1"/>
  <c r="I1177" i="14" a="1"/>
  <c r="I1177" i="14" s="1"/>
  <c r="I205" i="14" a="1"/>
  <c r="I205" i="14" s="1"/>
  <c r="I1437" i="14" a="1"/>
  <c r="I1437" i="14" s="1"/>
  <c r="I953" i="14" a="1"/>
  <c r="I953" i="14" s="1"/>
  <c r="I148" i="14" a="1"/>
  <c r="I148" i="14" s="1"/>
  <c r="I1055" i="14" a="1"/>
  <c r="I1055" i="14" s="1"/>
  <c r="I258" i="14" a="1"/>
  <c r="I258" i="14" s="1"/>
  <c r="I1446" i="14" a="1"/>
  <c r="I1446" i="14" s="1"/>
  <c r="I989" i="14" a="1"/>
  <c r="I989" i="14" s="1"/>
  <c r="I1064" i="14" a="1"/>
  <c r="I1064" i="14" s="1"/>
  <c r="I342" i="14" a="1"/>
  <c r="I342" i="14" s="1"/>
  <c r="I1417" i="14" a="1"/>
  <c r="I1417" i="14" s="1"/>
  <c r="I776" i="14" a="1"/>
  <c r="I776" i="14" s="1"/>
  <c r="I1118" i="14" a="1"/>
  <c r="I1118" i="14" s="1"/>
  <c r="I1043" i="14" a="1"/>
  <c r="I1043" i="14" s="1"/>
  <c r="I1131" i="14" a="1"/>
  <c r="I1131" i="14" s="1"/>
  <c r="I691" i="14" a="1"/>
  <c r="I691" i="14" s="1"/>
  <c r="I219" i="14" a="1"/>
  <c r="I219" i="14" s="1"/>
  <c r="I1161" i="14" a="1"/>
  <c r="I1161" i="14" s="1"/>
  <c r="I784" i="14" a="1"/>
  <c r="I784" i="14" s="1"/>
  <c r="I765" i="14" a="1"/>
  <c r="I765" i="14" s="1"/>
  <c r="I347" i="14" a="1"/>
  <c r="I347" i="14" s="1"/>
  <c r="I1020" i="14" a="1"/>
  <c r="I1020" i="14" s="1"/>
  <c r="I1112" i="14" a="1"/>
  <c r="I1112" i="14" s="1"/>
  <c r="I650" i="14" a="1"/>
  <c r="I650" i="14" s="1"/>
  <c r="I245" i="14" a="1"/>
  <c r="I245" i="14" s="1"/>
  <c r="I1114" i="14" a="1"/>
  <c r="I1114" i="14" s="1"/>
  <c r="I759" i="14" a="1"/>
  <c r="I759" i="14" s="1"/>
  <c r="I611" i="14" a="1"/>
  <c r="I611" i="14" s="1"/>
  <c r="I1179" i="14" a="1"/>
  <c r="I1179" i="14" s="1"/>
  <c r="I1165" i="14" a="1"/>
  <c r="I1165" i="14" s="1"/>
  <c r="I797" i="14" a="1"/>
  <c r="I797" i="14" s="1"/>
  <c r="I792" i="14" a="1"/>
  <c r="I792" i="14" s="1"/>
  <c r="I1216" i="14" a="1"/>
  <c r="I1216" i="14" s="1"/>
  <c r="J305" i="14" a="1"/>
  <c r="J305" i="14" s="1"/>
  <c r="J1413" i="14" a="1"/>
  <c r="J1413" i="14" s="1"/>
  <c r="J768" i="14" a="1"/>
  <c r="J768" i="14" s="1"/>
  <c r="J210" i="14" a="1"/>
  <c r="J210" i="14" s="1"/>
  <c r="J1066" i="14" a="1"/>
  <c r="J1066" i="14" s="1"/>
  <c r="J303" i="14" a="1"/>
  <c r="J303" i="14" s="1"/>
  <c r="J1422" i="14" a="1"/>
  <c r="J1422" i="14" s="1"/>
  <c r="J808" i="14" a="1"/>
  <c r="J808" i="14" s="1"/>
  <c r="J212" i="14" a="1"/>
  <c r="J212" i="14" s="1"/>
  <c r="J1091" i="14" a="1"/>
  <c r="J1091" i="14" s="1"/>
  <c r="J323" i="14" a="1"/>
  <c r="J323" i="14" s="1"/>
  <c r="J1425" i="14" a="1"/>
  <c r="J1425" i="14" s="1"/>
  <c r="J105" i="14" a="1"/>
  <c r="J105" i="14" s="1"/>
  <c r="J261" i="14" a="1"/>
  <c r="J261" i="14" s="1"/>
  <c r="J995" i="14" a="1"/>
  <c r="J995" i="14" s="1"/>
  <c r="J39" i="14" a="1"/>
  <c r="J39" i="14" s="1"/>
  <c r="J1472" i="14" a="1"/>
  <c r="J1472" i="14" s="1"/>
  <c r="J1076" i="14" a="1"/>
  <c r="J1076" i="14" s="1"/>
  <c r="J220" i="14" a="1"/>
  <c r="J220" i="14" s="1"/>
  <c r="J3" i="14" a="1"/>
  <c r="J3" i="14" s="1"/>
  <c r="J1457" i="14" a="1"/>
  <c r="J1457" i="14" s="1"/>
  <c r="J973" i="14" a="1"/>
  <c r="J973" i="14" s="1"/>
  <c r="J269" i="14" a="1"/>
  <c r="J269" i="14" s="1"/>
  <c r="J1102" i="14" a="1"/>
  <c r="J1102" i="14" s="1"/>
  <c r="J1464" i="14" a="1"/>
  <c r="J1464" i="14" s="1"/>
  <c r="J1012" i="14" a="1"/>
  <c r="J1012" i="14" s="1"/>
  <c r="J289" i="14" a="1"/>
  <c r="J289" i="14" s="1"/>
  <c r="J1120" i="14" a="1"/>
  <c r="J1120" i="14" s="1"/>
  <c r="J1459" i="14" a="1"/>
  <c r="J1459" i="14" s="1"/>
  <c r="J1004" i="14" a="1"/>
  <c r="J1004" i="14" s="1"/>
  <c r="J288" i="14" a="1"/>
  <c r="J288" i="14" s="1"/>
  <c r="J1115" i="14" a="1"/>
  <c r="J1115" i="14" s="1"/>
  <c r="J43" i="14" a="1"/>
  <c r="J43" i="14" s="1"/>
  <c r="J1469" i="14" a="1"/>
  <c r="J1469" i="14" s="1"/>
  <c r="J1084" i="14" a="1"/>
  <c r="J1084" i="14" s="1"/>
  <c r="J278" i="14" a="1"/>
  <c r="J278" i="14" s="1"/>
  <c r="J5" i="14" a="1"/>
  <c r="J5" i="14" s="1"/>
  <c r="J421" i="14" a="1"/>
  <c r="J421" i="14" s="1"/>
  <c r="J1421" i="14" a="1"/>
  <c r="J1421" i="14" s="1"/>
  <c r="J778" i="14" a="1"/>
  <c r="J778" i="14" s="1"/>
  <c r="J296" i="14" a="1"/>
  <c r="J296" i="14" s="1"/>
  <c r="J1085" i="14" a="1"/>
  <c r="J1085" i="14" s="1"/>
  <c r="J38" i="14" a="1"/>
  <c r="J38" i="14" s="1"/>
  <c r="J1455" i="14" a="1"/>
  <c r="J1455" i="14" s="1"/>
  <c r="J985" i="14" a="1"/>
  <c r="J985" i="14" s="1"/>
  <c r="J275" i="14" a="1"/>
  <c r="J275" i="14" s="1"/>
  <c r="J1124" i="14" a="1"/>
  <c r="J1124" i="14" s="1"/>
  <c r="J1050" i="14" a="1"/>
  <c r="J1050" i="14" s="1"/>
  <c r="J1182" i="14" a="1"/>
  <c r="J1182" i="14" s="1"/>
  <c r="J522" i="14" a="1"/>
  <c r="J522" i="14" s="1"/>
  <c r="J1019" i="14" a="1"/>
  <c r="J1019" i="14" s="1"/>
  <c r="J247" i="14" a="1"/>
  <c r="J247" i="14" s="1"/>
  <c r="J972" i="14" a="1"/>
  <c r="J972" i="14" s="1"/>
  <c r="J1255" i="14" a="1"/>
  <c r="J1255" i="14" s="1"/>
  <c r="J391" i="14" a="1"/>
  <c r="J391" i="14" s="1"/>
  <c r="J970" i="14" a="1"/>
  <c r="J970" i="14" s="1"/>
  <c r="J360" i="14" a="1"/>
  <c r="J360" i="14" s="1"/>
  <c r="J871" i="14" a="1"/>
  <c r="J871" i="14" s="1"/>
  <c r="J1274" i="14" a="1"/>
  <c r="J1274" i="14" s="1"/>
  <c r="J82" i="14" a="1"/>
  <c r="J82" i="14" s="1"/>
  <c r="J794" i="14" a="1"/>
  <c r="J794" i="14" s="1"/>
  <c r="J675" i="14" a="1"/>
  <c r="J675" i="14" s="1"/>
  <c r="J919" i="14" a="1"/>
  <c r="J919" i="14" s="1"/>
  <c r="J1280" i="14" a="1"/>
  <c r="J1280" i="14" s="1"/>
  <c r="J109" i="14" a="1"/>
  <c r="J109" i="14" s="1"/>
  <c r="J824" i="14" a="1"/>
  <c r="J824" i="14" s="1"/>
  <c r="J637" i="14" a="1"/>
  <c r="J637" i="14" s="1"/>
  <c r="J1460" i="14" a="1"/>
  <c r="J1460" i="14" s="1"/>
  <c r="J1357" i="14" a="1"/>
  <c r="J1357" i="14" s="1"/>
  <c r="J1474" i="14" a="1"/>
  <c r="J1474" i="14" s="1"/>
  <c r="J760" i="14" a="1"/>
  <c r="J760" i="14" s="1"/>
  <c r="J1415" i="14" a="1"/>
  <c r="J1415" i="14" s="1"/>
  <c r="J112" i="14" a="1"/>
  <c r="J112" i="14" s="1"/>
  <c r="J1327" i="14" a="1"/>
  <c r="J1327" i="14" s="1"/>
  <c r="J1402" i="14" a="1"/>
  <c r="J1402" i="14" s="1"/>
  <c r="J742" i="14" a="1"/>
  <c r="J742" i="14" s="1"/>
  <c r="J1303" i="14" a="1"/>
  <c r="J1303" i="14" s="1"/>
  <c r="J491" i="14" a="1"/>
  <c r="J491" i="14" s="1"/>
  <c r="J1185" i="14" a="1"/>
  <c r="J1185" i="14" s="1"/>
  <c r="J1270" i="14" a="1"/>
  <c r="J1270" i="14" s="1"/>
  <c r="J419" i="14" a="1"/>
  <c r="J419" i="14" s="1"/>
  <c r="J1398" i="14" a="1"/>
  <c r="J1398" i="14" s="1"/>
  <c r="J78" i="14" a="1"/>
  <c r="J78" i="14" s="1"/>
  <c r="J1326" i="14" a="1"/>
  <c r="J1326" i="14" s="1"/>
  <c r="J1409" i="14" a="1"/>
  <c r="J1409" i="14" s="1"/>
  <c r="J790" i="14" a="1"/>
  <c r="J790" i="14" s="1"/>
  <c r="J386" i="14" a="1"/>
  <c r="J386" i="14" s="1"/>
  <c r="J1296" i="14" a="1"/>
  <c r="J1296" i="14" s="1"/>
  <c r="J607" i="14" a="1"/>
  <c r="J607" i="14" s="1"/>
  <c r="J234" i="14" a="1"/>
  <c r="J234" i="14" s="1"/>
  <c r="J58" i="14" a="1"/>
  <c r="J58" i="14" s="1"/>
  <c r="J412" i="14" a="1"/>
  <c r="J412" i="14" s="1"/>
  <c r="J1301" i="14" a="1"/>
  <c r="J1301" i="14" s="1"/>
  <c r="J702" i="14" a="1"/>
  <c r="J702" i="14" s="1"/>
  <c r="J366" i="14" a="1"/>
  <c r="J366" i="14" s="1"/>
  <c r="J963" i="14" a="1"/>
  <c r="J963" i="14" s="1"/>
  <c r="J314" i="14" a="1"/>
  <c r="J314" i="14" s="1"/>
  <c r="J1390" i="14" a="1"/>
  <c r="J1390" i="14" s="1"/>
  <c r="J536" i="14" a="1"/>
  <c r="J536" i="14" s="1"/>
  <c r="J283" i="14" a="1"/>
  <c r="J283" i="14" s="1"/>
  <c r="J957" i="14" a="1"/>
  <c r="J957" i="14" s="1"/>
  <c r="J851" i="14" a="1"/>
  <c r="J851" i="14" s="1"/>
  <c r="J1265" i="14" a="1"/>
  <c r="J1265" i="14" s="1"/>
  <c r="J273" i="14" a="1"/>
  <c r="J273" i="14" s="1"/>
  <c r="J846" i="14" a="1"/>
  <c r="J846" i="14" s="1"/>
  <c r="J745" i="14" a="1"/>
  <c r="J745" i="14" s="1"/>
  <c r="J1005" i="14" a="1"/>
  <c r="J1005" i="14" s="1"/>
  <c r="J1356" i="14" a="1"/>
  <c r="J1356" i="14" s="1"/>
  <c r="J736" i="14" a="1"/>
  <c r="J736" i="14" s="1"/>
  <c r="J612" i="14" a="1"/>
  <c r="J612" i="14" s="1"/>
  <c r="J899" i="14" a="1"/>
  <c r="J899" i="14" s="1"/>
  <c r="J1367" i="14" a="1"/>
  <c r="J1367" i="14" s="1"/>
  <c r="J598" i="14" a="1"/>
  <c r="J598" i="14" s="1"/>
  <c r="J727" i="14" a="1"/>
  <c r="J727" i="14" s="1"/>
  <c r="J903" i="14" a="1"/>
  <c r="J903" i="14" s="1"/>
  <c r="J1347" i="14" a="1"/>
  <c r="J1347" i="14" s="1"/>
  <c r="J564" i="14" a="1"/>
  <c r="J564" i="14" s="1"/>
  <c r="J646" i="14" a="1"/>
  <c r="J646" i="14" s="1"/>
  <c r="J1482" i="14" a="1"/>
  <c r="J1482" i="14" s="1"/>
  <c r="J1312" i="14" a="1"/>
  <c r="J1312" i="14" s="1"/>
  <c r="J1493" i="14" a="1"/>
  <c r="J1493" i="14" s="1"/>
  <c r="J757" i="14" a="1"/>
  <c r="J757" i="14" s="1"/>
  <c r="J457" i="14" a="1"/>
  <c r="J457" i="14" s="1"/>
  <c r="J1322" i="14" a="1"/>
  <c r="J1322" i="14" s="1"/>
  <c r="J747" i="14" a="1"/>
  <c r="J747" i="14" s="1"/>
  <c r="J408" i="14" a="1"/>
  <c r="J408" i="14" s="1"/>
  <c r="J1035" i="14" a="1"/>
  <c r="J1035" i="14" s="1"/>
  <c r="J892" i="14" a="1"/>
  <c r="J892" i="14" s="1"/>
  <c r="J1267" i="14" a="1"/>
  <c r="J1267" i="14" s="1"/>
  <c r="J301" i="14" a="1"/>
  <c r="J301" i="14" s="1"/>
  <c r="J864" i="14" a="1"/>
  <c r="J864" i="14" s="1"/>
  <c r="J764" i="14" a="1"/>
  <c r="J764" i="14" s="1"/>
  <c r="J902" i="14" a="1"/>
  <c r="J902" i="14" s="1"/>
  <c r="J1354" i="14" a="1"/>
  <c r="J1354" i="14" s="1"/>
  <c r="J224" i="14" a="1"/>
  <c r="J224" i="14" s="1"/>
  <c r="J762" i="14" a="1"/>
  <c r="J762" i="14" s="1"/>
  <c r="J822" i="14" a="1"/>
  <c r="J822" i="14" s="1"/>
  <c r="J25" i="14" a="1"/>
  <c r="J25" i="14" s="1"/>
  <c r="J1475" i="14" a="1"/>
  <c r="J1475" i="14" s="1"/>
  <c r="J1116" i="14" a="1"/>
  <c r="J1116" i="14" s="1"/>
  <c r="J10" i="14" a="1"/>
  <c r="J10" i="14" s="1"/>
  <c r="J287" i="14" a="1"/>
  <c r="J287" i="14" s="1"/>
  <c r="J1473" i="14" a="1"/>
  <c r="J1473" i="14" s="1"/>
  <c r="J735" i="14" a="1"/>
  <c r="J735" i="14" s="1"/>
  <c r="J1178" i="14" a="1"/>
  <c r="J1178" i="14" s="1"/>
  <c r="J136" i="14" a="1"/>
  <c r="J136" i="14" s="1"/>
  <c r="J1471" i="14" a="1"/>
  <c r="J1471" i="14" s="1"/>
  <c r="J723" i="14" a="1"/>
  <c r="J723" i="14" s="1"/>
  <c r="J1177" i="14" a="1"/>
  <c r="J1177" i="14" s="1"/>
  <c r="J205" i="14" a="1"/>
  <c r="J205" i="14" s="1"/>
  <c r="J1437" i="14" a="1"/>
  <c r="J1437" i="14" s="1"/>
  <c r="J953" i="14" a="1"/>
  <c r="J953" i="14" s="1"/>
  <c r="J148" i="14" a="1"/>
  <c r="J148" i="14" s="1"/>
  <c r="J1055" i="14" a="1"/>
  <c r="J1055" i="14" s="1"/>
  <c r="J258" i="14" a="1"/>
  <c r="J258" i="14" s="1"/>
  <c r="J1446" i="14" a="1"/>
  <c r="J1446" i="14" s="1"/>
  <c r="J989" i="14" a="1"/>
  <c r="J989" i="14" s="1"/>
  <c r="J1064" i="14" a="1"/>
  <c r="J1064" i="14" s="1"/>
  <c r="J342" i="14" a="1"/>
  <c r="J342" i="14" s="1"/>
  <c r="J1417" i="14" a="1"/>
  <c r="J1417" i="14" s="1"/>
  <c r="J776" i="14" a="1"/>
  <c r="J776" i="14" s="1"/>
  <c r="J1118" i="14" a="1"/>
  <c r="J1118" i="14" s="1"/>
  <c r="J1043" i="14" a="1"/>
  <c r="J1043" i="14" s="1"/>
  <c r="J1131" i="14" a="1"/>
  <c r="J1131" i="14" s="1"/>
  <c r="J691" i="14" a="1"/>
  <c r="J691" i="14" s="1"/>
  <c r="J219" i="14" a="1"/>
  <c r="J219" i="14" s="1"/>
  <c r="J1161" i="14" a="1"/>
  <c r="J1161" i="14" s="1"/>
  <c r="J784" i="14" a="1"/>
  <c r="J784" i="14" s="1"/>
  <c r="J765" i="14" a="1"/>
  <c r="J765" i="14" s="1"/>
  <c r="J347" i="14" a="1"/>
  <c r="J347" i="14" s="1"/>
  <c r="J1020" i="14" a="1"/>
  <c r="J1020" i="14" s="1"/>
  <c r="J1112" i="14" a="1"/>
  <c r="J1112" i="14" s="1"/>
  <c r="J650" i="14" a="1"/>
  <c r="J650" i="14" s="1"/>
  <c r="J245" i="14" a="1"/>
  <c r="J245" i="14" s="1"/>
  <c r="J1114" i="14" a="1"/>
  <c r="J1114" i="14" s="1"/>
  <c r="J759" i="14" a="1"/>
  <c r="J759" i="14" s="1"/>
  <c r="J611" i="14" a="1"/>
  <c r="J611" i="14" s="1"/>
  <c r="J1179" i="14" a="1"/>
  <c r="J1179" i="14" s="1"/>
  <c r="J1165" i="14" a="1"/>
  <c r="J1165" i="14" s="1"/>
  <c r="J797" i="14" a="1"/>
  <c r="J797" i="14" s="1"/>
  <c r="J792" i="14" a="1"/>
  <c r="J792" i="14" s="1"/>
  <c r="J1216" i="14" a="1"/>
  <c r="J1216" i="14" s="1"/>
  <c r="F298" i="14" a="1"/>
  <c r="F298" i="14" s="1"/>
  <c r="F1362" i="14" a="1"/>
  <c r="F1362" i="14" s="1"/>
  <c r="F1441" i="14" a="1"/>
  <c r="F1441" i="14" s="1"/>
  <c r="F76" i="14" a="1"/>
  <c r="F76" i="14" s="1"/>
  <c r="F294" i="14" a="1"/>
  <c r="F294" i="14" s="1"/>
  <c r="F1369" i="14" a="1"/>
  <c r="F1369" i="14" s="1"/>
  <c r="F1451" i="14" a="1"/>
  <c r="F1451" i="14" s="1"/>
  <c r="F72" i="14" a="1"/>
  <c r="F72" i="14" s="1"/>
  <c r="F92" i="14" a="1"/>
  <c r="F92" i="14" s="1"/>
  <c r="F316" i="14" a="1"/>
  <c r="F316" i="14" s="1"/>
  <c r="F1351" i="14" a="1"/>
  <c r="F1351" i="14" s="1"/>
  <c r="F1452" i="14" a="1"/>
  <c r="F1452" i="14" s="1"/>
  <c r="F743" i="14" a="1"/>
  <c r="F743" i="14" s="1"/>
  <c r="F320" i="14" a="1"/>
  <c r="F320" i="14" s="1"/>
  <c r="F36" i="14" a="1"/>
  <c r="F36" i="14" s="1"/>
  <c r="F1424" i="14" a="1"/>
  <c r="F1424" i="14" s="1"/>
  <c r="F1489" i="14" a="1"/>
  <c r="F1489" i="14" s="1"/>
  <c r="F279" i="14" a="1"/>
  <c r="F279" i="14" s="1"/>
  <c r="F281" i="14" a="1"/>
  <c r="F281" i="14" s="1"/>
  <c r="F1394" i="14" a="1"/>
  <c r="F1394" i="14" s="1"/>
  <c r="F1480" i="14" a="1"/>
  <c r="F1480" i="14" s="1"/>
  <c r="F249" i="14" a="1"/>
  <c r="F249" i="14" s="1"/>
  <c r="F307" i="14" a="1"/>
  <c r="F307" i="14" s="1"/>
  <c r="F51" i="14" a="1"/>
  <c r="F51" i="14" s="1"/>
  <c r="F1403" i="14" a="1"/>
  <c r="F1403" i="14" s="1"/>
  <c r="F1483" i="14" a="1"/>
  <c r="F1483" i="14" s="1"/>
  <c r="F256" i="14" a="1"/>
  <c r="F256" i="14" s="1"/>
  <c r="F302" i="14" a="1"/>
  <c r="F302" i="14" s="1"/>
  <c r="F37" i="14" a="1"/>
  <c r="F37" i="14" s="1"/>
  <c r="F1397" i="14" a="1"/>
  <c r="F1397" i="14" s="1"/>
  <c r="F1481" i="14" a="1"/>
  <c r="F1481" i="14" s="1"/>
  <c r="F257" i="14" a="1"/>
  <c r="F257" i="14" s="1"/>
  <c r="F332" i="14" a="1"/>
  <c r="F332" i="14" s="1"/>
  <c r="F41" i="14" a="1"/>
  <c r="F41" i="14" s="1"/>
  <c r="F1427" i="14" a="1"/>
  <c r="F1427" i="14" s="1"/>
  <c r="F1488" i="14" a="1"/>
  <c r="F1488" i="14" s="1"/>
  <c r="F292" i="14" a="1"/>
  <c r="F292" i="14" s="1"/>
  <c r="F413" i="14" a="1"/>
  <c r="F413" i="14" s="1"/>
  <c r="F1365" i="14" a="1"/>
  <c r="F1365" i="14" s="1"/>
  <c r="F1448" i="14" a="1"/>
  <c r="F1448" i="14" s="1"/>
  <c r="F110" i="14" a="1"/>
  <c r="F110" i="14" s="1"/>
  <c r="F293" i="14" a="1"/>
  <c r="F293" i="14" s="1"/>
  <c r="F1380" i="14" a="1"/>
  <c r="F1380" i="14" s="1"/>
  <c r="F1479" i="14" a="1"/>
  <c r="F1479" i="14" s="1"/>
  <c r="F251" i="14" a="1"/>
  <c r="F251" i="14" s="1"/>
  <c r="F718" i="14" a="1"/>
  <c r="F718" i="14" s="1"/>
  <c r="F1052" i="14" a="1"/>
  <c r="F1052" i="14" s="1"/>
  <c r="F1155" i="14" a="1"/>
  <c r="F1155" i="14" s="1"/>
  <c r="F1190" i="14" a="1"/>
  <c r="F1190" i="14" s="1"/>
  <c r="F739" i="14" a="1"/>
  <c r="F739" i="14" s="1"/>
  <c r="F687" i="14" a="1"/>
  <c r="F687" i="14" s="1"/>
  <c r="F955" i="14" a="1"/>
  <c r="F955" i="14" s="1"/>
  <c r="F1237" i="14" a="1"/>
  <c r="F1237" i="14" s="1"/>
  <c r="F1259" i="14" a="1"/>
  <c r="F1259" i="14" s="1"/>
  <c r="F599" i="14" a="1"/>
  <c r="F599" i="14" s="1"/>
  <c r="F589" i="14" a="1"/>
  <c r="F589" i="14" s="1"/>
  <c r="F855" i="14" a="1"/>
  <c r="F855" i="14" s="1"/>
  <c r="F1221" i="14" a="1"/>
  <c r="F1221" i="14" s="1"/>
  <c r="F1282" i="14" a="1"/>
  <c r="F1282" i="14" s="1"/>
  <c r="F615" i="14" a="1"/>
  <c r="F615" i="14" s="1"/>
  <c r="F623" i="14" a="1"/>
  <c r="F623" i="14" s="1"/>
  <c r="F907" i="14" a="1"/>
  <c r="F907" i="14" s="1"/>
  <c r="F1219" i="14" a="1"/>
  <c r="F1219" i="14" s="1"/>
  <c r="F1292" i="14" a="1"/>
  <c r="F1292" i="14" s="1"/>
  <c r="F677" i="14" a="1"/>
  <c r="F677" i="14" s="1"/>
  <c r="F1423" i="14" a="1"/>
  <c r="F1423" i="14" s="1"/>
  <c r="F1456" i="14" a="1"/>
  <c r="F1456" i="14" s="1"/>
  <c r="F79" i="14" a="1"/>
  <c r="F79" i="14" s="1"/>
  <c r="F1447" i="14" a="1"/>
  <c r="F1447" i="14" s="1"/>
  <c r="F1399" i="14" a="1"/>
  <c r="F1399" i="14" s="1"/>
  <c r="F1411" i="14" a="1"/>
  <c r="F1411" i="14" s="1"/>
  <c r="F97" i="14" a="1"/>
  <c r="F97" i="14" s="1"/>
  <c r="F1406" i="14" a="1"/>
  <c r="F1406" i="14" s="1"/>
  <c r="F1249" i="14" a="1"/>
  <c r="F1249" i="14" s="1"/>
  <c r="F1299" i="14" a="1"/>
  <c r="F1299" i="14" s="1"/>
  <c r="F497" i="14" a="1"/>
  <c r="F497" i="14" s="1"/>
  <c r="F507" i="14" a="1"/>
  <c r="F507" i="14" s="1"/>
  <c r="F1247" i="14" a="1"/>
  <c r="F1247" i="14" s="1"/>
  <c r="F1370" i="14" a="1"/>
  <c r="F1370" i="14" s="1"/>
  <c r="F1381" i="14" a="1"/>
  <c r="F1381" i="14" s="1"/>
  <c r="F89" i="14" a="1"/>
  <c r="F89" i="14" s="1"/>
  <c r="F1396" i="14" a="1"/>
  <c r="F1396" i="14" s="1"/>
  <c r="F163" i="14" a="1"/>
  <c r="F163" i="14" s="1"/>
  <c r="F52" i="14" a="1"/>
  <c r="F52" i="14" s="1"/>
  <c r="F1371" i="14" a="1"/>
  <c r="F1371" i="14" s="1"/>
  <c r="F1338" i="14" a="1"/>
  <c r="F1338" i="14" s="1"/>
  <c r="F172" i="14" a="1"/>
  <c r="F172" i="14" s="1"/>
  <c r="F193" i="14" a="1"/>
  <c r="F193" i="14" s="1"/>
  <c r="F369" i="14" a="1"/>
  <c r="F369" i="14" s="1"/>
  <c r="F1353" i="14" a="1"/>
  <c r="F1353" i="14" s="1"/>
  <c r="F1341" i="14" a="1"/>
  <c r="F1341" i="14" s="1"/>
  <c r="F207" i="14" a="1"/>
  <c r="F207" i="14" s="1"/>
  <c r="F95" i="14" a="1"/>
  <c r="F95" i="14" s="1"/>
  <c r="F1234" i="14" a="1"/>
  <c r="F1234" i="14" s="1"/>
  <c r="F1334" i="14" a="1"/>
  <c r="F1334" i="14" s="1"/>
  <c r="F1430" i="14" a="1"/>
  <c r="F1430" i="14" s="1"/>
  <c r="F87" i="14" a="1"/>
  <c r="F87" i="14" s="1"/>
  <c r="F658" i="14" a="1"/>
  <c r="F658" i="14" s="1"/>
  <c r="F833" i="14" a="1"/>
  <c r="F833" i="14" s="1"/>
  <c r="F1306" i="14" a="1"/>
  <c r="F1306" i="14" s="1"/>
  <c r="F1287" i="14" a="1"/>
  <c r="F1287" i="14" s="1"/>
  <c r="F803" i="14" a="1"/>
  <c r="F803" i="14" s="1"/>
  <c r="F807" i="14" a="1"/>
  <c r="F807" i="14" s="1"/>
  <c r="F984" i="14" a="1"/>
  <c r="F984" i="14" s="1"/>
  <c r="F1325" i="14" a="1"/>
  <c r="F1325" i="14" s="1"/>
  <c r="F1313" i="14" a="1"/>
  <c r="F1313" i="14" s="1"/>
  <c r="F988" i="14" a="1"/>
  <c r="F988" i="14" s="1"/>
  <c r="F716" i="14" a="1"/>
  <c r="F716" i="14" s="1"/>
  <c r="F875" i="14" a="1"/>
  <c r="F875" i="14" s="1"/>
  <c r="F1336" i="14" a="1"/>
  <c r="F1336" i="14" s="1"/>
  <c r="F1315" i="14" a="1"/>
  <c r="F1315" i="14" s="1"/>
  <c r="F869" i="14" a="1"/>
  <c r="F869" i="14" s="1"/>
  <c r="F720" i="14" a="1"/>
  <c r="F720" i="14" s="1"/>
  <c r="F885" i="14" a="1"/>
  <c r="F885" i="14" s="1"/>
  <c r="F1319" i="14" a="1"/>
  <c r="F1319" i="14" s="1"/>
  <c r="F1284" i="14" a="1"/>
  <c r="F1284" i="14" s="1"/>
  <c r="F881" i="14" a="1"/>
  <c r="F881" i="14" s="1"/>
  <c r="F1450" i="14" a="1"/>
  <c r="F1450" i="14" s="1"/>
  <c r="F1478" i="14" a="1"/>
  <c r="F1478" i="14" s="1"/>
  <c r="F88" i="14" a="1"/>
  <c r="F88" i="14" s="1"/>
  <c r="F1465" i="14" a="1"/>
  <c r="F1465" i="14" s="1"/>
  <c r="F260" i="14" a="1"/>
  <c r="F260" i="14" s="1"/>
  <c r="F447" i="14" a="1"/>
  <c r="F447" i="14" s="1"/>
  <c r="F7" i="14" a="1"/>
  <c r="F7" i="14" s="1"/>
  <c r="F1359" i="14" a="1"/>
  <c r="F1359" i="14" s="1"/>
  <c r="F271" i="14" a="1"/>
  <c r="F271" i="14" s="1"/>
  <c r="F700" i="14" a="1"/>
  <c r="F700" i="14" s="1"/>
  <c r="F866" i="14" a="1"/>
  <c r="F866" i="14" s="1"/>
  <c r="F1305" i="14" a="1"/>
  <c r="F1305" i="14" s="1"/>
  <c r="F1295" i="14" a="1"/>
  <c r="F1295" i="14" s="1"/>
  <c r="F818" i="14" a="1"/>
  <c r="F818" i="14" s="1"/>
  <c r="F724" i="14" a="1"/>
  <c r="F724" i="14" s="1"/>
  <c r="F883" i="14" a="1"/>
  <c r="F883" i="14" s="1"/>
  <c r="F1329" i="14" a="1"/>
  <c r="F1329" i="14" s="1"/>
  <c r="F1383" i="14" a="1"/>
  <c r="F1383" i="14" s="1"/>
  <c r="F542" i="14" a="1"/>
  <c r="F542" i="14" s="1"/>
  <c r="F499" i="14" a="1"/>
  <c r="F499" i="14" s="1"/>
  <c r="F1046" i="14" a="1"/>
  <c r="F1046" i="14" s="1"/>
  <c r="F445" i="14" a="1"/>
  <c r="F445" i="14" s="1"/>
  <c r="F514" i="14" a="1"/>
  <c r="F514" i="14" s="1"/>
  <c r="F409" i="14" a="1"/>
  <c r="F409" i="14" s="1"/>
  <c r="F377" i="14" a="1"/>
  <c r="F377" i="14" s="1"/>
  <c r="F1018" i="14" a="1"/>
  <c r="F1018" i="14" s="1"/>
  <c r="F235" i="14" a="1"/>
  <c r="F235" i="14" s="1"/>
  <c r="F407" i="14" a="1"/>
  <c r="F407" i="14" s="1"/>
  <c r="F352" i="14" a="1"/>
  <c r="F352" i="14" s="1"/>
  <c r="F1027" i="14" a="1"/>
  <c r="F1027" i="14" s="1"/>
  <c r="F226" i="14" a="1"/>
  <c r="F226" i="14" s="1"/>
  <c r="F394" i="14" a="1"/>
  <c r="F394" i="14" s="1"/>
  <c r="F237" i="14" a="1"/>
  <c r="F237" i="14" s="1"/>
  <c r="F786" i="14" a="1"/>
  <c r="F786" i="14" s="1"/>
  <c r="F738" i="14" a="1"/>
  <c r="F738" i="14" s="1"/>
  <c r="F141" i="14" a="1"/>
  <c r="F141" i="14" s="1"/>
  <c r="F242" i="14" a="1"/>
  <c r="F242" i="14" s="1"/>
  <c r="F69" i="14" a="1"/>
  <c r="F69" i="14" s="1"/>
  <c r="F806" i="14" a="1"/>
  <c r="F806" i="14" s="1"/>
  <c r="F740" i="14" a="1"/>
  <c r="F740" i="14" s="1"/>
  <c r="F173" i="14" a="1"/>
  <c r="F173" i="14" s="1"/>
  <c r="F270" i="14" a="1"/>
  <c r="F270" i="14" s="1"/>
  <c r="F102" i="14" a="1"/>
  <c r="F102" i="14" s="1"/>
  <c r="F487" i="14" a="1"/>
  <c r="F487" i="14" s="1"/>
  <c r="F708" i="14" a="1"/>
  <c r="F708" i="14" s="1"/>
  <c r="F119" i="14" a="1"/>
  <c r="F119" i="14" s="1"/>
  <c r="F213" i="14" a="1"/>
  <c r="F213" i="14" s="1"/>
  <c r="F1197" i="14" a="1"/>
  <c r="F1197" i="14" s="1"/>
  <c r="F80" i="14" a="1"/>
  <c r="F80" i="14" s="1"/>
  <c r="F711" i="14" a="1"/>
  <c r="F711" i="14" s="1"/>
  <c r="F927" i="14" a="1"/>
  <c r="F927" i="14" s="1"/>
  <c r="F1003" i="14" a="1"/>
  <c r="F1003" i="14" s="1"/>
  <c r="F1261" i="14" a="1"/>
  <c r="F1261" i="14" s="1"/>
  <c r="F340" i="14" a="1"/>
  <c r="F340" i="14" s="1"/>
  <c r="F888" i="14" a="1"/>
  <c r="F888" i="14" s="1"/>
  <c r="F1014" i="14" a="1"/>
  <c r="F1014" i="14" s="1"/>
  <c r="F1077" i="14" a="1"/>
  <c r="F1077" i="14" s="1"/>
  <c r="F1194" i="14" a="1"/>
  <c r="F1194" i="14" s="1"/>
  <c r="F56" i="14" a="1"/>
  <c r="F56" i="14" s="1"/>
  <c r="F668" i="14" a="1"/>
  <c r="F668" i="14" s="1"/>
  <c r="F908" i="14" a="1"/>
  <c r="F908" i="14" s="1"/>
  <c r="F965" i="14" a="1"/>
  <c r="F965" i="14" s="1"/>
  <c r="F1252" i="14" a="1"/>
  <c r="F1252" i="14" s="1"/>
  <c r="F246" i="14" a="1"/>
  <c r="F246" i="14" s="1"/>
  <c r="F59" i="14" a="1"/>
  <c r="F59" i="14" s="1"/>
  <c r="F1034" i="14" a="1"/>
  <c r="F1034" i="14" s="1"/>
  <c r="F1119" i="14" a="1"/>
  <c r="F1119" i="14" s="1"/>
  <c r="F1260" i="14" a="1"/>
  <c r="F1260" i="14" s="1"/>
  <c r="F349" i="14" a="1"/>
  <c r="F349" i="14" s="1"/>
  <c r="F916" i="14" a="1"/>
  <c r="F916" i="14" s="1"/>
  <c r="F1040" i="14" a="1"/>
  <c r="F1040" i="14" s="1"/>
  <c r="F1142" i="14" a="1"/>
  <c r="F1142" i="14" s="1"/>
  <c r="I338" i="14" a="1"/>
  <c r="I338" i="14" s="1"/>
  <c r="I680" i="14" a="1"/>
  <c r="I680" i="14" s="1"/>
  <c r="I194" i="14" a="1"/>
  <c r="I194" i="14" s="1"/>
  <c r="I1133" i="14" a="1"/>
  <c r="I1133" i="14" s="1"/>
  <c r="I331" i="14" a="1"/>
  <c r="I331" i="14" s="1"/>
  <c r="I1400" i="14" a="1"/>
  <c r="I1400" i="14" s="1"/>
  <c r="I717" i="14" a="1"/>
  <c r="I717" i="14" s="1"/>
  <c r="I198" i="14" a="1"/>
  <c r="I198" i="14" s="1"/>
  <c r="I1174" i="14" a="1"/>
  <c r="I1174" i="14" s="1"/>
  <c r="I351" i="14" a="1"/>
  <c r="I351" i="14" s="1"/>
  <c r="I1364" i="14" a="1"/>
  <c r="I1364" i="14" s="1"/>
  <c r="I31" i="14" a="1"/>
  <c r="I31" i="14" s="1"/>
  <c r="I248" i="14" a="1"/>
  <c r="I248" i="14" s="1"/>
  <c r="I1069" i="14" a="1"/>
  <c r="I1069" i="14" s="1"/>
  <c r="I1431" i="14" a="1"/>
  <c r="I1431" i="14" s="1"/>
  <c r="I992" i="14" a="1"/>
  <c r="I992" i="14" s="1"/>
  <c r="I117" i="14" a="1"/>
  <c r="I117" i="14" s="1"/>
  <c r="I1198" i="14" a="1"/>
  <c r="I1198" i="14" s="1"/>
  <c r="I24" i="14" a="1"/>
  <c r="I24" i="14" s="1"/>
  <c r="I1410" i="14" a="1"/>
  <c r="I1410" i="14" s="1"/>
  <c r="I854" i="14" a="1"/>
  <c r="I854" i="14" s="1"/>
  <c r="I124" i="14" a="1"/>
  <c r="I124" i="14" s="1"/>
  <c r="I1159" i="14" a="1"/>
  <c r="I1159" i="14" s="1"/>
  <c r="I32" i="14" a="1"/>
  <c r="I32" i="14" s="1"/>
  <c r="I1419" i="14" a="1"/>
  <c r="I1419" i="14" s="1"/>
  <c r="I895" i="14" a="1"/>
  <c r="I895" i="14" s="1"/>
  <c r="I137" i="14" a="1"/>
  <c r="I137" i="14" s="1"/>
  <c r="I1170" i="14" a="1"/>
  <c r="I1170" i="14" s="1"/>
  <c r="I42" i="14" a="1"/>
  <c r="I42" i="14" s="1"/>
  <c r="I1416" i="14" a="1"/>
  <c r="I1416" i="14" s="1"/>
  <c r="I898" i="14" a="1"/>
  <c r="I898" i="14" s="1"/>
  <c r="I135" i="14" a="1"/>
  <c r="I135" i="14" s="1"/>
  <c r="I1164" i="14" a="1"/>
  <c r="I1164" i="14" s="1"/>
  <c r="I1443" i="14" a="1"/>
  <c r="I1443" i="14" s="1"/>
  <c r="I999" i="14" a="1"/>
  <c r="I999" i="14" s="1"/>
  <c r="I129" i="14" a="1"/>
  <c r="I129" i="14" s="1"/>
  <c r="I1187" i="14" a="1"/>
  <c r="I1187" i="14" s="1"/>
  <c r="I441" i="14" a="1"/>
  <c r="I441" i="14" s="1"/>
  <c r="I1378" i="14" a="1"/>
  <c r="I1378" i="14" s="1"/>
  <c r="I695" i="14" a="1"/>
  <c r="I695" i="14" s="1"/>
  <c r="I254" i="14" a="1"/>
  <c r="I254" i="14" s="1"/>
  <c r="I1168" i="14" a="1"/>
  <c r="I1168" i="14" s="1"/>
  <c r="I40" i="14" a="1"/>
  <c r="I40" i="14" s="1"/>
  <c r="I1412" i="14" a="1"/>
  <c r="I1412" i="14" s="1"/>
  <c r="I876" i="14" a="1"/>
  <c r="I876" i="14" s="1"/>
  <c r="I122" i="14" a="1"/>
  <c r="I122" i="14" s="1"/>
  <c r="I1157" i="14" a="1"/>
  <c r="I1157" i="14" s="1"/>
  <c r="I1010" i="14" a="1"/>
  <c r="I1010" i="14" s="1"/>
  <c r="I1144" i="14" a="1"/>
  <c r="I1144" i="14" s="1"/>
  <c r="I484" i="14" a="1"/>
  <c r="I484" i="14" s="1"/>
  <c r="I1026" i="14" a="1"/>
  <c r="I1026" i="14" s="1"/>
  <c r="I350" i="14" a="1"/>
  <c r="I350" i="14" s="1"/>
  <c r="I933" i="14" a="1"/>
  <c r="I933" i="14" s="1"/>
  <c r="I1226" i="14" a="1"/>
  <c r="I1226" i="14" s="1"/>
  <c r="I465" i="14" a="1"/>
  <c r="I465" i="14" s="1"/>
  <c r="I950" i="14" a="1"/>
  <c r="I950" i="14" s="1"/>
  <c r="I462" i="14" a="1"/>
  <c r="I462" i="14" s="1"/>
  <c r="I801" i="14" a="1"/>
  <c r="I801" i="14" s="1"/>
  <c r="I1217" i="14" a="1"/>
  <c r="I1217" i="14" s="1"/>
  <c r="I170" i="14" a="1"/>
  <c r="I170" i="14" s="1"/>
  <c r="I787" i="14" a="1"/>
  <c r="I787" i="14" s="1"/>
  <c r="I706" i="14" a="1"/>
  <c r="I706" i="14" s="1"/>
  <c r="I828" i="14" a="1"/>
  <c r="I828" i="14" s="1"/>
  <c r="I1224" i="14" a="1"/>
  <c r="I1224" i="14" s="1"/>
  <c r="I216" i="14" a="1"/>
  <c r="I216" i="14" s="1"/>
  <c r="I813" i="14" a="1"/>
  <c r="I813" i="14" s="1"/>
  <c r="I670" i="14" a="1"/>
  <c r="I670" i="14" s="1"/>
  <c r="I1468" i="14" a="1"/>
  <c r="I1468" i="14" s="1"/>
  <c r="I113" i="14" a="1"/>
  <c r="I113" i="14" s="1"/>
  <c r="I1368" i="14" a="1"/>
  <c r="I1368" i="14" s="1"/>
  <c r="I1470" i="14" a="1"/>
  <c r="I1470" i="14" s="1"/>
  <c r="I798" i="14" a="1"/>
  <c r="I798" i="14" s="1"/>
  <c r="I1442" i="14" a="1"/>
  <c r="I1442" i="14" s="1"/>
  <c r="I1342" i="14" a="1"/>
  <c r="I1342" i="14" s="1"/>
  <c r="I1404" i="14" a="1"/>
  <c r="I1404" i="14" s="1"/>
  <c r="I752" i="14" a="1"/>
  <c r="I752" i="14" s="1"/>
  <c r="I1289" i="14" a="1"/>
  <c r="I1289" i="14" s="1"/>
  <c r="I429" i="14" a="1"/>
  <c r="I429" i="14" s="1"/>
  <c r="I1214" i="14" a="1"/>
  <c r="I1214" i="14" s="1"/>
  <c r="I1262" i="14" a="1"/>
  <c r="I1262" i="14" s="1"/>
  <c r="I404" i="14" a="1"/>
  <c r="I404" i="14" s="1"/>
  <c r="I1426" i="14" a="1"/>
  <c r="I1426" i="14" s="1"/>
  <c r="I1337" i="14" a="1"/>
  <c r="I1337" i="14" s="1"/>
  <c r="I1386" i="14" a="1"/>
  <c r="I1386" i="14" s="1"/>
  <c r="I816" i="14" a="1"/>
  <c r="I816" i="14" s="1"/>
  <c r="I378" i="14" a="1"/>
  <c r="I378" i="14" s="1"/>
  <c r="I1373" i="14" a="1"/>
  <c r="I1373" i="14" s="1"/>
  <c r="I545" i="14" a="1"/>
  <c r="I545" i="14" s="1"/>
  <c r="I225" i="14" a="1"/>
  <c r="I225" i="14" s="1"/>
  <c r="I915" i="14" a="1"/>
  <c r="I915" i="14" s="1"/>
  <c r="I423" i="14" a="1"/>
  <c r="I423" i="14" s="1"/>
  <c r="I1361" i="14" a="1"/>
  <c r="I1361" i="14" s="1"/>
  <c r="I569" i="14" a="1"/>
  <c r="I569" i="14" s="1"/>
  <c r="I355" i="14" a="1"/>
  <c r="I355" i="14" s="1"/>
  <c r="I968" i="14" a="1"/>
  <c r="I968" i="14" s="1"/>
  <c r="I329" i="14" a="1"/>
  <c r="I329" i="14" s="1"/>
  <c r="I1345" i="14" a="1"/>
  <c r="I1345" i="14" s="1"/>
  <c r="I469" i="14" a="1"/>
  <c r="I469" i="14" s="1"/>
  <c r="I263" i="14" a="1"/>
  <c r="I263" i="14" s="1"/>
  <c r="I1057" i="14" a="1"/>
  <c r="I1057" i="14" s="1"/>
  <c r="I913" i="14" a="1"/>
  <c r="I913" i="14" s="1"/>
  <c r="I1309" i="14" a="1"/>
  <c r="I1309" i="14" s="1"/>
  <c r="I176" i="14" a="1"/>
  <c r="I176" i="14" s="1"/>
  <c r="I830" i="14" a="1"/>
  <c r="I830" i="14" s="1"/>
  <c r="I534" i="14" a="1"/>
  <c r="I534" i="14" s="1"/>
  <c r="I1083" i="14" a="1"/>
  <c r="I1083" i="14" s="1"/>
  <c r="I1328" i="14" a="1"/>
  <c r="I1328" i="14" s="1"/>
  <c r="I722" i="14" a="1"/>
  <c r="I722" i="14" s="1"/>
  <c r="I791" i="14" a="1"/>
  <c r="I791" i="14" s="1"/>
  <c r="I998" i="14" a="1"/>
  <c r="I998" i="14" s="1"/>
  <c r="I1343" i="14" a="1"/>
  <c r="I1343" i="14" s="1"/>
  <c r="I577" i="14" a="1"/>
  <c r="I577" i="14" s="1"/>
  <c r="I873" i="14" a="1"/>
  <c r="I873" i="14" s="1"/>
  <c r="I1008" i="14" a="1"/>
  <c r="I1008" i="14" s="1"/>
  <c r="I1323" i="14" a="1"/>
  <c r="I1323" i="14" s="1"/>
  <c r="I581" i="14" a="1"/>
  <c r="I581" i="14" s="1"/>
  <c r="I795" i="14" a="1"/>
  <c r="I795" i="14" s="1"/>
  <c r="I1487" i="14" a="1"/>
  <c r="I1487" i="14" s="1"/>
  <c r="I98" i="14" a="1"/>
  <c r="I98" i="14" s="1"/>
  <c r="I1314" i="14" a="1"/>
  <c r="I1314" i="14" s="1"/>
  <c r="I1490" i="14" a="1"/>
  <c r="I1490" i="14" s="1"/>
  <c r="I780" i="14" a="1"/>
  <c r="I780" i="14" s="1"/>
  <c r="I466" i="14" a="1"/>
  <c r="I466" i="14" s="1"/>
  <c r="I1376" i="14" a="1"/>
  <c r="I1376" i="14" s="1"/>
  <c r="I626" i="14" a="1"/>
  <c r="I626" i="14" s="1"/>
  <c r="I393" i="14" a="1"/>
  <c r="I393" i="14" s="1"/>
  <c r="I1041" i="14" a="1"/>
  <c r="I1041" i="14" s="1"/>
  <c r="I923" i="14" a="1"/>
  <c r="I923" i="14" s="1"/>
  <c r="I1311" i="14" a="1"/>
  <c r="I1311" i="14" s="1"/>
  <c r="I182" i="14" a="1"/>
  <c r="I182" i="14" s="1"/>
  <c r="I848" i="14" a="1"/>
  <c r="I848" i="14" s="1"/>
  <c r="I1068" i="14" a="1"/>
  <c r="I1068" i="14" s="1"/>
  <c r="I1006" i="14" a="1"/>
  <c r="I1006" i="14" s="1"/>
  <c r="I1333" i="14" a="1"/>
  <c r="I1333" i="14" s="1"/>
  <c r="I268" i="14" a="1"/>
  <c r="I268" i="14" s="1"/>
  <c r="I750" i="14" a="1"/>
  <c r="I750" i="14" s="1"/>
  <c r="I595" i="14" a="1"/>
  <c r="I595" i="14" s="1"/>
  <c r="I1438" i="14" a="1"/>
  <c r="I1438" i="14" s="1"/>
  <c r="I1058" i="14" a="1"/>
  <c r="I1058" i="14" s="1"/>
  <c r="I232" i="14" a="1"/>
  <c r="I232" i="14" s="1"/>
  <c r="I1204" i="14" a="1"/>
  <c r="I1204" i="14" s="1"/>
  <c r="I277" i="14" a="1"/>
  <c r="I277" i="14" s="1"/>
  <c r="I1401" i="14" a="1"/>
  <c r="I1401" i="14" s="1"/>
  <c r="I597" i="14" a="1"/>
  <c r="I597" i="14" s="1"/>
  <c r="I1215" i="14" a="1"/>
  <c r="I1215" i="14" s="1"/>
  <c r="I130" i="14" a="1"/>
  <c r="I130" i="14" s="1"/>
  <c r="I1405" i="14" a="1"/>
  <c r="I1405" i="14" s="1"/>
  <c r="I578" i="14" a="1"/>
  <c r="I578" i="14" s="1"/>
  <c r="I1201" i="14" a="1"/>
  <c r="I1201" i="14" s="1"/>
  <c r="I239" i="14" a="1"/>
  <c r="I239" i="14" s="1"/>
  <c r="I1393" i="14" a="1"/>
  <c r="I1393" i="14" s="1"/>
  <c r="I835" i="14" a="1"/>
  <c r="I835" i="14" s="1"/>
  <c r="I143" i="14" a="1"/>
  <c r="I143" i="14" s="1"/>
  <c r="I1128" i="14" a="1"/>
  <c r="I1128" i="14" s="1"/>
  <c r="I291" i="14" a="1"/>
  <c r="I291" i="14" s="1"/>
  <c r="I1407" i="14" a="1"/>
  <c r="I1407" i="14" s="1"/>
  <c r="I870" i="14" a="1"/>
  <c r="I870" i="14" s="1"/>
  <c r="I153" i="14" a="1"/>
  <c r="I153" i="14" s="1"/>
  <c r="I1148" i="14" a="1"/>
  <c r="I1148" i="14" s="1"/>
  <c r="I363" i="14" a="1"/>
  <c r="I363" i="14" s="1"/>
  <c r="I1272" i="14" a="1"/>
  <c r="I1272" i="14" s="1"/>
  <c r="I681" i="14" a="1"/>
  <c r="I681" i="14" s="1"/>
  <c r="I236" i="14" a="1"/>
  <c r="I236" i="14" s="1"/>
  <c r="I1141" i="14" a="1"/>
  <c r="I1141" i="14" s="1"/>
  <c r="I1071" i="14" a="1"/>
  <c r="I1071" i="14" s="1"/>
  <c r="I1099" i="14" a="1"/>
  <c r="I1099" i="14" s="1"/>
  <c r="I810" i="14" a="1"/>
  <c r="I810" i="14" s="1"/>
  <c r="I1087" i="14" a="1"/>
  <c r="I1087" i="14" s="1"/>
  <c r="I155" i="14" a="1"/>
  <c r="I155" i="14" s="1"/>
  <c r="I1195" i="14" a="1"/>
  <c r="I1195" i="14" s="1"/>
  <c r="I772" i="14" a="1"/>
  <c r="I772" i="14" s="1"/>
  <c r="I837" i="14" a="1"/>
  <c r="I837" i="14" s="1"/>
  <c r="I1206" i="14" a="1"/>
  <c r="I1206" i="14" s="1"/>
  <c r="I1080" i="14" a="1"/>
  <c r="I1080" i="14" s="1"/>
  <c r="I1094" i="14" a="1"/>
  <c r="I1094" i="14" s="1"/>
  <c r="I731" i="14" a="1"/>
  <c r="I731" i="14" s="1"/>
  <c r="I1073" i="14" a="1"/>
  <c r="I1073" i="14" s="1"/>
  <c r="I184" i="14" a="1"/>
  <c r="I184" i="14" s="1"/>
  <c r="I4" i="14" a="1"/>
  <c r="I4" i="14" s="1"/>
  <c r="I741" i="14" a="1"/>
  <c r="I741" i="14" s="1"/>
  <c r="I726" i="14" a="1"/>
  <c r="I726" i="14" s="1"/>
  <c r="I1176" i="14" a="1"/>
  <c r="I1176" i="14" s="1"/>
  <c r="I345" i="14" a="1"/>
  <c r="I345" i="14" s="1"/>
  <c r="I1186" i="14" a="1"/>
  <c r="I1186" i="14" s="1"/>
  <c r="I753" i="14" a="1"/>
  <c r="I753" i="14" s="1"/>
  <c r="I874" i="14" a="1"/>
  <c r="I874" i="14" s="1"/>
  <c r="I1200" i="14" a="1"/>
  <c r="I1200" i="14" s="1"/>
  <c r="J338" i="14" a="1"/>
  <c r="J338" i="14" s="1"/>
  <c r="J680" i="14" a="1"/>
  <c r="J680" i="14" s="1"/>
  <c r="J194" i="14" a="1"/>
  <c r="J194" i="14" s="1"/>
  <c r="J1133" i="14" a="1"/>
  <c r="J1133" i="14" s="1"/>
  <c r="J331" i="14" a="1"/>
  <c r="J331" i="14" s="1"/>
  <c r="J1400" i="14" a="1"/>
  <c r="J1400" i="14" s="1"/>
  <c r="J717" i="14" a="1"/>
  <c r="J717" i="14" s="1"/>
  <c r="J198" i="14" a="1"/>
  <c r="J198" i="14" s="1"/>
  <c r="J1174" i="14" a="1"/>
  <c r="J1174" i="14" s="1"/>
  <c r="J351" i="14" a="1"/>
  <c r="J351" i="14" s="1"/>
  <c r="J1364" i="14" a="1"/>
  <c r="J1364" i="14" s="1"/>
  <c r="J31" i="14" a="1"/>
  <c r="J31" i="14" s="1"/>
  <c r="J248" i="14" a="1"/>
  <c r="J248" i="14" s="1"/>
  <c r="J1069" i="14" a="1"/>
  <c r="J1069" i="14" s="1"/>
  <c r="J1431" i="14" a="1"/>
  <c r="J1431" i="14" s="1"/>
  <c r="J992" i="14" a="1"/>
  <c r="J992" i="14" s="1"/>
  <c r="J117" i="14" a="1"/>
  <c r="J117" i="14" s="1"/>
  <c r="J1198" i="14" a="1"/>
  <c r="J1198" i="14" s="1"/>
  <c r="J24" i="14" a="1"/>
  <c r="J24" i="14" s="1"/>
  <c r="J1410" i="14" a="1"/>
  <c r="J1410" i="14" s="1"/>
  <c r="J854" i="14" a="1"/>
  <c r="J854" i="14" s="1"/>
  <c r="J124" i="14" a="1"/>
  <c r="J124" i="14" s="1"/>
  <c r="J1159" i="14" a="1"/>
  <c r="J1159" i="14" s="1"/>
  <c r="J32" i="14" a="1"/>
  <c r="J32" i="14" s="1"/>
  <c r="J1419" i="14" a="1"/>
  <c r="J1419" i="14" s="1"/>
  <c r="J895" i="14" a="1"/>
  <c r="J895" i="14" s="1"/>
  <c r="J137" i="14" a="1"/>
  <c r="J137" i="14" s="1"/>
  <c r="J1170" i="14" a="1"/>
  <c r="J1170" i="14" s="1"/>
  <c r="J42" i="14" a="1"/>
  <c r="J42" i="14" s="1"/>
  <c r="J1416" i="14" a="1"/>
  <c r="J1416" i="14" s="1"/>
  <c r="J898" i="14" a="1"/>
  <c r="J898" i="14" s="1"/>
  <c r="J135" i="14" a="1"/>
  <c r="J135" i="14" s="1"/>
  <c r="J1164" i="14" a="1"/>
  <c r="J1164" i="14" s="1"/>
  <c r="J1443" i="14" a="1"/>
  <c r="J1443" i="14" s="1"/>
  <c r="J999" i="14" a="1"/>
  <c r="J999" i="14" s="1"/>
  <c r="J129" i="14" a="1"/>
  <c r="J129" i="14" s="1"/>
  <c r="J1187" i="14" a="1"/>
  <c r="J1187" i="14" s="1"/>
  <c r="J441" i="14" a="1"/>
  <c r="J441" i="14" s="1"/>
  <c r="J1378" i="14" a="1"/>
  <c r="J1378" i="14" s="1"/>
  <c r="J695" i="14" a="1"/>
  <c r="J695" i="14" s="1"/>
  <c r="J254" i="14" a="1"/>
  <c r="J254" i="14" s="1"/>
  <c r="J1168" i="14" a="1"/>
  <c r="J1168" i="14" s="1"/>
  <c r="J40" i="14" a="1"/>
  <c r="J40" i="14" s="1"/>
  <c r="J1412" i="14" a="1"/>
  <c r="J1412" i="14" s="1"/>
  <c r="J876" i="14" a="1"/>
  <c r="J876" i="14" s="1"/>
  <c r="J122" i="14" a="1"/>
  <c r="J122" i="14" s="1"/>
  <c r="J1157" i="14" a="1"/>
  <c r="J1157" i="14" s="1"/>
  <c r="J1010" i="14" a="1"/>
  <c r="J1010" i="14" s="1"/>
  <c r="J1144" i="14" a="1"/>
  <c r="J1144" i="14" s="1"/>
  <c r="J484" i="14" a="1"/>
  <c r="J484" i="14" s="1"/>
  <c r="J1026" i="14" a="1"/>
  <c r="J1026" i="14" s="1"/>
  <c r="J350" i="14" a="1"/>
  <c r="J350" i="14" s="1"/>
  <c r="J933" i="14" a="1"/>
  <c r="J933" i="14" s="1"/>
  <c r="J1226" i="14" a="1"/>
  <c r="J1226" i="14" s="1"/>
  <c r="J465" i="14" a="1"/>
  <c r="J465" i="14" s="1"/>
  <c r="J950" i="14" a="1"/>
  <c r="J950" i="14" s="1"/>
  <c r="J462" i="14" a="1"/>
  <c r="J462" i="14" s="1"/>
  <c r="J801" i="14" a="1"/>
  <c r="J801" i="14" s="1"/>
  <c r="J1217" i="14" a="1"/>
  <c r="J1217" i="14" s="1"/>
  <c r="J170" i="14" a="1"/>
  <c r="J170" i="14" s="1"/>
  <c r="J787" i="14" a="1"/>
  <c r="J787" i="14" s="1"/>
  <c r="J706" i="14" a="1"/>
  <c r="J706" i="14" s="1"/>
  <c r="J828" i="14" a="1"/>
  <c r="J828" i="14" s="1"/>
  <c r="J1224" i="14" a="1"/>
  <c r="J1224" i="14" s="1"/>
  <c r="J216" i="14" a="1"/>
  <c r="J216" i="14" s="1"/>
  <c r="J813" i="14" a="1"/>
  <c r="J813" i="14" s="1"/>
  <c r="J670" i="14" a="1"/>
  <c r="J670" i="14" s="1"/>
  <c r="J1468" i="14" a="1"/>
  <c r="J1468" i="14" s="1"/>
  <c r="J113" i="14" a="1"/>
  <c r="J113" i="14" s="1"/>
  <c r="J1368" i="14" a="1"/>
  <c r="J1368" i="14" s="1"/>
  <c r="J1470" i="14" a="1"/>
  <c r="J1470" i="14" s="1"/>
  <c r="J798" i="14" a="1"/>
  <c r="J798" i="14" s="1"/>
  <c r="J1442" i="14" a="1"/>
  <c r="J1442" i="14" s="1"/>
  <c r="J1342" i="14" a="1"/>
  <c r="J1342" i="14" s="1"/>
  <c r="J1404" i="14" a="1"/>
  <c r="J1404" i="14" s="1"/>
  <c r="J752" i="14" a="1"/>
  <c r="J752" i="14" s="1"/>
  <c r="J1289" i="14" a="1"/>
  <c r="J1289" i="14" s="1"/>
  <c r="J429" i="14" a="1"/>
  <c r="J429" i="14" s="1"/>
  <c r="J1214" i="14" a="1"/>
  <c r="J1214" i="14" s="1"/>
  <c r="J1262" i="14" a="1"/>
  <c r="J1262" i="14" s="1"/>
  <c r="J404" i="14" a="1"/>
  <c r="J404" i="14" s="1"/>
  <c r="J1426" i="14" a="1"/>
  <c r="J1426" i="14" s="1"/>
  <c r="J1337" i="14" a="1"/>
  <c r="J1337" i="14" s="1"/>
  <c r="J1386" i="14" a="1"/>
  <c r="J1386" i="14" s="1"/>
  <c r="J816" i="14" a="1"/>
  <c r="J816" i="14" s="1"/>
  <c r="J378" i="14" a="1"/>
  <c r="J378" i="14" s="1"/>
  <c r="J1373" i="14" a="1"/>
  <c r="J1373" i="14" s="1"/>
  <c r="J545" i="14" a="1"/>
  <c r="J545" i="14" s="1"/>
  <c r="J225" i="14" a="1"/>
  <c r="J225" i="14" s="1"/>
  <c r="J915" i="14" a="1"/>
  <c r="J915" i="14" s="1"/>
  <c r="J423" i="14" a="1"/>
  <c r="J423" i="14" s="1"/>
  <c r="J1361" i="14" a="1"/>
  <c r="J1361" i="14" s="1"/>
  <c r="J569" i="14" a="1"/>
  <c r="J569" i="14" s="1"/>
  <c r="J355" i="14" a="1"/>
  <c r="J355" i="14" s="1"/>
  <c r="J968" i="14" a="1"/>
  <c r="J968" i="14" s="1"/>
  <c r="J329" i="14" a="1"/>
  <c r="J329" i="14" s="1"/>
  <c r="J1345" i="14" a="1"/>
  <c r="J1345" i="14" s="1"/>
  <c r="J469" i="14" a="1"/>
  <c r="J469" i="14" s="1"/>
  <c r="J263" i="14" a="1"/>
  <c r="J263" i="14" s="1"/>
  <c r="J1057" i="14" a="1"/>
  <c r="J1057" i="14" s="1"/>
  <c r="J913" i="14" a="1"/>
  <c r="J913" i="14" s="1"/>
  <c r="J1309" i="14" a="1"/>
  <c r="J1309" i="14" s="1"/>
  <c r="J176" i="14" a="1"/>
  <c r="J176" i="14" s="1"/>
  <c r="J830" i="14" a="1"/>
  <c r="J830" i="14" s="1"/>
  <c r="J534" i="14" a="1"/>
  <c r="J534" i="14" s="1"/>
  <c r="J1083" i="14" a="1"/>
  <c r="J1083" i="14" s="1"/>
  <c r="J1328" i="14" a="1"/>
  <c r="J1328" i="14" s="1"/>
  <c r="J722" i="14" a="1"/>
  <c r="J722" i="14" s="1"/>
  <c r="J791" i="14" a="1"/>
  <c r="J791" i="14" s="1"/>
  <c r="J998" i="14" a="1"/>
  <c r="J998" i="14" s="1"/>
  <c r="J1343" i="14" a="1"/>
  <c r="J1343" i="14" s="1"/>
  <c r="J577" i="14" a="1"/>
  <c r="J577" i="14" s="1"/>
  <c r="J873" i="14" a="1"/>
  <c r="J873" i="14" s="1"/>
  <c r="J1008" i="14" a="1"/>
  <c r="J1008" i="14" s="1"/>
  <c r="J1323" i="14" a="1"/>
  <c r="J1323" i="14" s="1"/>
  <c r="J581" i="14" a="1"/>
  <c r="J581" i="14" s="1"/>
  <c r="J795" i="14" a="1"/>
  <c r="J795" i="14" s="1"/>
  <c r="J1487" i="14" a="1"/>
  <c r="J1487" i="14" s="1"/>
  <c r="J98" i="14" a="1"/>
  <c r="J98" i="14" s="1"/>
  <c r="J1314" i="14" a="1"/>
  <c r="J1314" i="14" s="1"/>
  <c r="J1490" i="14" a="1"/>
  <c r="J1490" i="14" s="1"/>
  <c r="J780" i="14" a="1"/>
  <c r="J780" i="14" s="1"/>
  <c r="J466" i="14" a="1"/>
  <c r="J466" i="14" s="1"/>
  <c r="J1376" i="14" a="1"/>
  <c r="J1376" i="14" s="1"/>
  <c r="J626" i="14" a="1"/>
  <c r="J626" i="14" s="1"/>
  <c r="J393" i="14" a="1"/>
  <c r="J393" i="14" s="1"/>
  <c r="J1041" i="14" a="1"/>
  <c r="J1041" i="14" s="1"/>
  <c r="J923" i="14" a="1"/>
  <c r="J923" i="14" s="1"/>
  <c r="J1311" i="14" a="1"/>
  <c r="J1311" i="14" s="1"/>
  <c r="J182" i="14" a="1"/>
  <c r="J182" i="14" s="1"/>
  <c r="J848" i="14" a="1"/>
  <c r="J848" i="14" s="1"/>
  <c r="J1068" i="14" a="1"/>
  <c r="J1068" i="14" s="1"/>
  <c r="J1006" i="14" a="1"/>
  <c r="J1006" i="14" s="1"/>
  <c r="J1333" i="14" a="1"/>
  <c r="J1333" i="14" s="1"/>
  <c r="J268" i="14" a="1"/>
  <c r="J268" i="14" s="1"/>
  <c r="J750" i="14" a="1"/>
  <c r="J750" i="14" s="1"/>
  <c r="J595" i="14" a="1"/>
  <c r="J595" i="14" s="1"/>
  <c r="J1438" i="14" a="1"/>
  <c r="J1438" i="14" s="1"/>
  <c r="J1058" i="14" a="1"/>
  <c r="J1058" i="14" s="1"/>
  <c r="J232" i="14" a="1"/>
  <c r="J232" i="14" s="1"/>
  <c r="J1204" i="14" a="1"/>
  <c r="J1204" i="14" s="1"/>
  <c r="J277" i="14" a="1"/>
  <c r="J277" i="14" s="1"/>
  <c r="J1401" i="14" a="1"/>
  <c r="J1401" i="14" s="1"/>
  <c r="J597" i="14" a="1"/>
  <c r="J597" i="14" s="1"/>
  <c r="J1215" i="14" a="1"/>
  <c r="J1215" i="14" s="1"/>
  <c r="J130" i="14" a="1"/>
  <c r="J130" i="14" s="1"/>
  <c r="J1405" i="14" a="1"/>
  <c r="J1405" i="14" s="1"/>
  <c r="J578" i="14" a="1"/>
  <c r="J578" i="14" s="1"/>
  <c r="J1201" i="14" a="1"/>
  <c r="J1201" i="14" s="1"/>
  <c r="J239" i="14" a="1"/>
  <c r="J239" i="14" s="1"/>
  <c r="J1393" i="14" a="1"/>
  <c r="J1393" i="14" s="1"/>
  <c r="J835" i="14" a="1"/>
  <c r="J835" i="14" s="1"/>
  <c r="J143" i="14" a="1"/>
  <c r="J143" i="14" s="1"/>
  <c r="J1128" i="14" a="1"/>
  <c r="J1128" i="14" s="1"/>
  <c r="J291" i="14" a="1"/>
  <c r="J291" i="14" s="1"/>
  <c r="J1407" i="14" a="1"/>
  <c r="J1407" i="14" s="1"/>
  <c r="J870" i="14" a="1"/>
  <c r="J870" i="14" s="1"/>
  <c r="J153" i="14" a="1"/>
  <c r="J153" i="14" s="1"/>
  <c r="J1148" i="14" a="1"/>
  <c r="J1148" i="14" s="1"/>
  <c r="J363" i="14" a="1"/>
  <c r="J363" i="14" s="1"/>
  <c r="J1272" i="14" a="1"/>
  <c r="J1272" i="14" s="1"/>
  <c r="J681" i="14" a="1"/>
  <c r="J681" i="14" s="1"/>
  <c r="J236" i="14" a="1"/>
  <c r="J236" i="14" s="1"/>
  <c r="J1141" i="14" a="1"/>
  <c r="J1141" i="14" s="1"/>
  <c r="J1071" i="14" a="1"/>
  <c r="J1071" i="14" s="1"/>
  <c r="J1099" i="14" a="1"/>
  <c r="J1099" i="14" s="1"/>
  <c r="J810" i="14" a="1"/>
  <c r="J810" i="14" s="1"/>
  <c r="J1087" i="14" a="1"/>
  <c r="J1087" i="14" s="1"/>
  <c r="J155" i="14" a="1"/>
  <c r="J155" i="14" s="1"/>
  <c r="J1195" i="14" a="1"/>
  <c r="J1195" i="14" s="1"/>
  <c r="J772" i="14" a="1"/>
  <c r="J772" i="14" s="1"/>
  <c r="J837" i="14" a="1"/>
  <c r="J837" i="14" s="1"/>
  <c r="J1206" i="14" a="1"/>
  <c r="J1206" i="14" s="1"/>
  <c r="J1080" i="14" a="1"/>
  <c r="J1080" i="14" s="1"/>
  <c r="J1094" i="14" a="1"/>
  <c r="J1094" i="14" s="1"/>
  <c r="J731" i="14" a="1"/>
  <c r="J731" i="14" s="1"/>
  <c r="J1073" i="14" a="1"/>
  <c r="J1073" i="14" s="1"/>
  <c r="J184" i="14" a="1"/>
  <c r="J184" i="14" s="1"/>
  <c r="J4" i="14" a="1"/>
  <c r="J4" i="14" s="1"/>
  <c r="J741" i="14" a="1"/>
  <c r="J741" i="14" s="1"/>
  <c r="J726" i="14" a="1"/>
  <c r="J726" i="14" s="1"/>
  <c r="J1176" i="14" a="1"/>
  <c r="J1176" i="14" s="1"/>
  <c r="J345" i="14" a="1"/>
  <c r="J345" i="14" s="1"/>
  <c r="J1186" i="14" a="1"/>
  <c r="J1186" i="14" s="1"/>
  <c r="J753" i="14" a="1"/>
  <c r="J753" i="14" s="1"/>
  <c r="J874" i="14" a="1"/>
  <c r="J874" i="14" s="1"/>
  <c r="J1200" i="14" a="1"/>
  <c r="J1200" i="14" s="1"/>
  <c r="I1227" i="14" a="1"/>
  <c r="I1227" i="14" s="1"/>
  <c r="I684" i="14" a="1"/>
  <c r="I684" i="14" s="1"/>
  <c r="I49" i="14" a="1"/>
  <c r="I49" i="14" s="1"/>
  <c r="I1250" i="14" a="1"/>
  <c r="I1250" i="14" s="1"/>
  <c r="I721" i="14" a="1"/>
  <c r="I721" i="14" s="1"/>
  <c r="I47" i="14" a="1"/>
  <c r="I47" i="14" s="1"/>
  <c r="I54" i="14" a="1"/>
  <c r="I54" i="14" s="1"/>
  <c r="I63" i="14" a="1"/>
  <c r="I63" i="14" s="1"/>
  <c r="I1246" i="14" a="1"/>
  <c r="I1246" i="14" s="1"/>
  <c r="I33" i="14" a="1"/>
  <c r="I33" i="14" s="1"/>
  <c r="I730" i="14" a="1"/>
  <c r="I730" i="14" s="1"/>
  <c r="I324" i="14" a="1"/>
  <c r="I324" i="14" s="1"/>
  <c r="I434" i="14" a="1"/>
  <c r="I434" i="14" s="1"/>
  <c r="I1279" i="14" a="1"/>
  <c r="I1279" i="14" s="1"/>
  <c r="I991" i="14" a="1"/>
  <c r="I991" i="14" s="1"/>
  <c r="I230" i="14" a="1"/>
  <c r="I230" i="14" s="1"/>
  <c r="I286" i="14" a="1"/>
  <c r="I286" i="14" s="1"/>
  <c r="I437" i="14" a="1"/>
  <c r="I437" i="14" s="1"/>
  <c r="I1288" i="14" a="1"/>
  <c r="I1288" i="14" s="1"/>
  <c r="I880" i="14" a="1"/>
  <c r="I880" i="14" s="1"/>
  <c r="I197" i="14" a="1"/>
  <c r="I197" i="14" s="1"/>
  <c r="I309" i="14" a="1"/>
  <c r="I309" i="14" s="1"/>
  <c r="I416" i="14" a="1"/>
  <c r="I416" i="14" s="1"/>
  <c r="I1293" i="14" a="1"/>
  <c r="I1293" i="14" s="1"/>
  <c r="I900" i="14" a="1"/>
  <c r="I900" i="14" s="1"/>
  <c r="I208" i="14" a="1"/>
  <c r="I208" i="14" s="1"/>
  <c r="I304" i="14" a="1"/>
  <c r="I304" i="14" s="1"/>
  <c r="I422" i="14" a="1"/>
  <c r="I422" i="14" s="1"/>
  <c r="I1302" i="14" a="1"/>
  <c r="I1302" i="14" s="1"/>
  <c r="I904" i="14" a="1"/>
  <c r="I904" i="14" s="1"/>
  <c r="I204" i="14" a="1"/>
  <c r="I204" i="14" s="1"/>
  <c r="I339" i="14" a="1"/>
  <c r="I339" i="14" s="1"/>
  <c r="I442" i="14" a="1"/>
  <c r="I442" i="14" s="1"/>
  <c r="I1290" i="14" a="1"/>
  <c r="I1290" i="14" s="1"/>
  <c r="I1009" i="14" a="1"/>
  <c r="I1009" i="14" s="1"/>
  <c r="I238" i="14" a="1"/>
  <c r="I238" i="14" s="1"/>
  <c r="I1240" i="14" a="1"/>
  <c r="I1240" i="14" s="1"/>
  <c r="I694" i="14" a="1"/>
  <c r="I694" i="14" s="1"/>
  <c r="I73" i="14" a="1"/>
  <c r="I73" i="14" s="1"/>
  <c r="I299" i="14" a="1"/>
  <c r="I299" i="14" s="1"/>
  <c r="I414" i="14" a="1"/>
  <c r="I414" i="14" s="1"/>
  <c r="I1298" i="14" a="1"/>
  <c r="I1298" i="14" s="1"/>
  <c r="I886" i="14" a="1"/>
  <c r="I886" i="14" s="1"/>
  <c r="I200" i="14" a="1"/>
  <c r="I200" i="14" s="1"/>
  <c r="I672" i="14" a="1"/>
  <c r="I672" i="14" s="1"/>
  <c r="I664" i="14" a="1"/>
  <c r="I664" i="14" s="1"/>
  <c r="I755" i="14" a="1"/>
  <c r="I755" i="14" s="1"/>
  <c r="I526" i="14" a="1"/>
  <c r="I526" i="14" s="1"/>
  <c r="I737" i="14" a="1"/>
  <c r="I737" i="14" s="1"/>
  <c r="I610" i="14" a="1"/>
  <c r="I610" i="14" s="1"/>
  <c r="I655" i="14" a="1"/>
  <c r="I655" i="14" s="1"/>
  <c r="I1029" i="14" a="1"/>
  <c r="I1029" i="14" s="1"/>
  <c r="I396" i="14" a="1"/>
  <c r="I396" i="14" s="1"/>
  <c r="I579" i="14" a="1"/>
  <c r="I579" i="14" s="1"/>
  <c r="I557" i="14" a="1"/>
  <c r="I557" i="14" s="1"/>
  <c r="I556" i="14" a="1"/>
  <c r="I556" i="14" s="1"/>
  <c r="I1145" i="14" a="1"/>
  <c r="I1145" i="14" s="1"/>
  <c r="I90" i="14" a="1"/>
  <c r="I90" i="14" s="1"/>
  <c r="I587" i="14" a="1"/>
  <c r="I587" i="14" s="1"/>
  <c r="I567" i="14" a="1"/>
  <c r="I567" i="14" s="1"/>
  <c r="I573" i="14" a="1"/>
  <c r="I573" i="14" s="1"/>
  <c r="I1140" i="14" a="1"/>
  <c r="I1140" i="14" s="1"/>
  <c r="I115" i="14" a="1"/>
  <c r="I115" i="14" s="1"/>
  <c r="I631" i="14" a="1"/>
  <c r="I631" i="14" s="1"/>
  <c r="I1414" i="14" a="1"/>
  <c r="I1414" i="14" s="1"/>
  <c r="I1420" i="14" a="1"/>
  <c r="I1420" i="14" s="1"/>
  <c r="I492" i="14" a="1"/>
  <c r="I492" i="14" s="1"/>
  <c r="I1348" i="14" a="1"/>
  <c r="I1348" i="14" s="1"/>
  <c r="I1436" i="14" a="1"/>
  <c r="I1436" i="14" s="1"/>
  <c r="I1388" i="14" a="1"/>
  <c r="I1388" i="14" s="1"/>
  <c r="I1377" i="14" a="1"/>
  <c r="I1377" i="14" s="1"/>
  <c r="I428" i="14" a="1"/>
  <c r="I428" i="14" s="1"/>
  <c r="I1324" i="14" a="1"/>
  <c r="I1324" i="14" s="1"/>
  <c r="I1392" i="14" a="1"/>
  <c r="I1392" i="14" s="1"/>
  <c r="I1228" i="14" a="1"/>
  <c r="I1228" i="14" s="1"/>
  <c r="I1241" i="14" a="1"/>
  <c r="I1241" i="14" s="1"/>
  <c r="I1192" i="14" a="1"/>
  <c r="I1192" i="14" s="1"/>
  <c r="I1231" i="14" a="1"/>
  <c r="I1231" i="14" s="1"/>
  <c r="I1363" i="14" a="1"/>
  <c r="I1363" i="14" s="1"/>
  <c r="I1366" i="14" a="1"/>
  <c r="I1366" i="14" s="1"/>
  <c r="I498" i="14" a="1"/>
  <c r="I498" i="14" s="1"/>
  <c r="I1320" i="14" a="1"/>
  <c r="I1320" i="14" s="1"/>
  <c r="I1384" i="14" a="1"/>
  <c r="I1384" i="14" s="1"/>
  <c r="I106" i="14" a="1"/>
  <c r="I106" i="14" s="1"/>
  <c r="I128" i="14" a="1"/>
  <c r="I128" i="14" s="1"/>
  <c r="I454" i="14" a="1"/>
  <c r="I454" i="14" s="1"/>
  <c r="I547" i="14" a="1"/>
  <c r="I547" i="14" s="1"/>
  <c r="I140" i="14" a="1"/>
  <c r="I140" i="14" s="1"/>
  <c r="I132" i="14" a="1"/>
  <c r="I132" i="14" s="1"/>
  <c r="I150" i="14" a="1"/>
  <c r="I150" i="14" s="1"/>
  <c r="I1210" i="14" a="1"/>
  <c r="I1210" i="14" s="1"/>
  <c r="I571" i="14" a="1"/>
  <c r="I571" i="14" s="1"/>
  <c r="I62" i="14" a="1"/>
  <c r="I62" i="14" s="1"/>
  <c r="I64" i="14" a="1"/>
  <c r="I64" i="14" s="1"/>
  <c r="I1243" i="14" a="1"/>
  <c r="I1243" i="14" s="1"/>
  <c r="I471" i="14" a="1"/>
  <c r="I471" i="14" s="1"/>
  <c r="I66" i="14" a="1"/>
  <c r="I66" i="14" s="1"/>
  <c r="I594" i="14" a="1"/>
  <c r="I594" i="14" s="1"/>
  <c r="I603" i="14" a="1"/>
  <c r="I603" i="14" s="1"/>
  <c r="I1107" i="14" a="1"/>
  <c r="I1107" i="14" s="1"/>
  <c r="I178" i="14" a="1"/>
  <c r="I178" i="14" s="1"/>
  <c r="I782" i="14" a="1"/>
  <c r="I782" i="14" s="1"/>
  <c r="I767" i="14" a="1"/>
  <c r="I767" i="14" s="1"/>
  <c r="I779" i="14" a="1"/>
  <c r="I779" i="14" s="1"/>
  <c r="I1184" i="14" a="1"/>
  <c r="I1184" i="14" s="1"/>
  <c r="I952" i="14" a="1"/>
  <c r="I952" i="14" s="1"/>
  <c r="I679" i="14" a="1"/>
  <c r="I679" i="14" s="1"/>
  <c r="I696" i="14" a="1"/>
  <c r="I696" i="14" s="1"/>
  <c r="I1213" i="14" a="1"/>
  <c r="I1213" i="14" s="1"/>
  <c r="I834" i="14" a="1"/>
  <c r="I834" i="14" s="1"/>
  <c r="I683" i="14" a="1"/>
  <c r="I683" i="14" s="1"/>
  <c r="I693" i="14" a="1"/>
  <c r="I693" i="14" s="1"/>
  <c r="I1191" i="14" a="1"/>
  <c r="I1191" i="14" s="1"/>
  <c r="I839" i="14" a="1"/>
  <c r="I839" i="14" s="1"/>
  <c r="I1440" i="14" a="1"/>
  <c r="I1440" i="14" s="1"/>
  <c r="I1449" i="14" a="1"/>
  <c r="I1449" i="14" s="1"/>
  <c r="I506" i="14" a="1"/>
  <c r="I506" i="14" s="1"/>
  <c r="I1285" i="14" a="1"/>
  <c r="I1285" i="14" s="1"/>
  <c r="I1461" i="14" a="1"/>
  <c r="I1461" i="14" s="1"/>
  <c r="I191" i="14" a="1"/>
  <c r="I191" i="14" s="1"/>
  <c r="I221" i="14" a="1"/>
  <c r="I221" i="14" s="1"/>
  <c r="I1230" i="14" a="1"/>
  <c r="I1230" i="14" s="1"/>
  <c r="I634" i="14" a="1"/>
  <c r="I634" i="14" s="1"/>
  <c r="I620" i="14" a="1"/>
  <c r="I620" i="14" s="1"/>
  <c r="I643" i="14" a="1"/>
  <c r="I643" i="14" s="1"/>
  <c r="I1105" i="14" a="1"/>
  <c r="I1105" i="14" s="1"/>
  <c r="I187" i="14" a="1"/>
  <c r="I187" i="14" s="1"/>
  <c r="I799" i="14" a="1"/>
  <c r="I799" i="14" s="1"/>
  <c r="I685" i="14" a="1"/>
  <c r="I685" i="14" s="1"/>
  <c r="I698" i="14" a="1"/>
  <c r="I698" i="14" s="1"/>
  <c r="I1202" i="14" a="1"/>
  <c r="I1202" i="14" s="1"/>
  <c r="I229" i="14" a="1"/>
  <c r="I229" i="14" s="1"/>
  <c r="I714" i="14" a="1"/>
  <c r="I714" i="14" s="1"/>
  <c r="I380" i="14" a="1"/>
  <c r="I380" i="14" s="1"/>
  <c r="I451" i="14" a="1"/>
  <c r="I451" i="14" s="1"/>
  <c r="I1317" i="14" a="1"/>
  <c r="I1317" i="14" s="1"/>
  <c r="I1060" i="14" a="1"/>
  <c r="I1060" i="14" s="1"/>
  <c r="I326" i="14" a="1"/>
  <c r="I326" i="14" s="1"/>
  <c r="I209" i="14" a="1"/>
  <c r="I209" i="14" s="1"/>
  <c r="I297" i="14" a="1"/>
  <c r="I297" i="14" s="1"/>
  <c r="I1269" i="14" a="1"/>
  <c r="I1269" i="14" s="1"/>
  <c r="I563" i="14" a="1"/>
  <c r="I563" i="14" s="1"/>
  <c r="I147" i="14" a="1"/>
  <c r="I147" i="14" s="1"/>
  <c r="I195" i="14" a="1"/>
  <c r="I195" i="14" s="1"/>
  <c r="I255" i="14" a="1"/>
  <c r="I255" i="14" s="1"/>
  <c r="I1263" i="14" a="1"/>
  <c r="I1263" i="14" s="1"/>
  <c r="I582" i="14" a="1"/>
  <c r="I582" i="14" s="1"/>
  <c r="I142" i="14" a="1"/>
  <c r="I142" i="14" s="1"/>
  <c r="I50" i="14" a="1"/>
  <c r="I50" i="14" s="1"/>
  <c r="I74" i="14" a="1"/>
  <c r="I74" i="14" s="1"/>
  <c r="I1232" i="14" a="1"/>
  <c r="I1232" i="14" s="1"/>
  <c r="I840" i="14" a="1"/>
  <c r="I840" i="14" s="1"/>
  <c r="I77" i="14" a="1"/>
  <c r="I77" i="14" s="1"/>
  <c r="I111" i="14" a="1"/>
  <c r="I111" i="14" s="1"/>
  <c r="I1248" i="14" a="1"/>
  <c r="I1248" i="14" s="1"/>
  <c r="I882" i="14" a="1"/>
  <c r="I882" i="14" s="1"/>
  <c r="I1244" i="14" a="1"/>
  <c r="I1244" i="14" s="1"/>
  <c r="I690" i="14" a="1"/>
  <c r="I690" i="14" s="1"/>
  <c r="I68" i="14" a="1"/>
  <c r="I68" i="14" s="1"/>
  <c r="I980" i="14" a="1"/>
  <c r="I980" i="14" s="1"/>
  <c r="I1025" i="14" a="1"/>
  <c r="I1025" i="14" s="1"/>
  <c r="I644" i="14" a="1"/>
  <c r="I644" i="14" s="1"/>
  <c r="I868" i="14" a="1"/>
  <c r="I868" i="14" s="1"/>
  <c r="I941" i="14" a="1"/>
  <c r="I941" i="14" s="1"/>
  <c r="I1110" i="14" a="1"/>
  <c r="I1110" i="14" s="1"/>
  <c r="I1153" i="14" a="1"/>
  <c r="I1153" i="14" s="1"/>
  <c r="I435" i="14" a="1"/>
  <c r="I435" i="14" s="1"/>
  <c r="I769" i="14" a="1"/>
  <c r="I769" i="14" s="1"/>
  <c r="I1108" i="14" a="1"/>
  <c r="I1108" i="14" s="1"/>
  <c r="I947" i="14" a="1"/>
  <c r="I947" i="14" s="1"/>
  <c r="I945" i="14" a="1"/>
  <c r="I945" i="14" s="1"/>
  <c r="I656" i="14" a="1"/>
  <c r="I656" i="14" s="1"/>
  <c r="I652" i="14" a="1"/>
  <c r="I652" i="14" s="1"/>
  <c r="I925" i="14" a="1"/>
  <c r="I925" i="14" s="1"/>
  <c r="I1065" i="14" a="1"/>
  <c r="I1065" i="14" s="1"/>
  <c r="I1086" i="14" a="1"/>
  <c r="I1086" i="14" s="1"/>
  <c r="I418" i="14" a="1"/>
  <c r="I418" i="14" s="1"/>
  <c r="I647" i="14" a="1"/>
  <c r="I647" i="14" s="1"/>
  <c r="I1054" i="14" a="1"/>
  <c r="I1054" i="14" s="1"/>
  <c r="I1134" i="14" a="1"/>
  <c r="I1134" i="14" s="1"/>
  <c r="I1169" i="14" a="1"/>
  <c r="I1169" i="14" s="1"/>
  <c r="I405" i="14" a="1"/>
  <c r="I405" i="14" s="1"/>
  <c r="I796" i="14" a="1"/>
  <c r="I796" i="14" s="1"/>
  <c r="I1127" i="14" a="1"/>
  <c r="I1127" i="14" s="1"/>
  <c r="J1227" i="14" a="1"/>
  <c r="J1227" i="14" s="1"/>
  <c r="J684" i="14" a="1"/>
  <c r="J684" i="14" s="1"/>
  <c r="J49" i="14" a="1"/>
  <c r="J49" i="14" s="1"/>
  <c r="J1250" i="14" a="1"/>
  <c r="J1250" i="14" s="1"/>
  <c r="J721" i="14" a="1"/>
  <c r="J721" i="14" s="1"/>
  <c r="J47" i="14" a="1"/>
  <c r="J47" i="14" s="1"/>
  <c r="J54" i="14" a="1"/>
  <c r="J54" i="14" s="1"/>
  <c r="J63" i="14" a="1"/>
  <c r="J63" i="14" s="1"/>
  <c r="J1246" i="14" a="1"/>
  <c r="J1246" i="14" s="1"/>
  <c r="J33" i="14" a="1"/>
  <c r="J33" i="14" s="1"/>
  <c r="J730" i="14" a="1"/>
  <c r="J730" i="14" s="1"/>
  <c r="J324" i="14" a="1"/>
  <c r="J324" i="14" s="1"/>
  <c r="J434" i="14" a="1"/>
  <c r="J434" i="14" s="1"/>
  <c r="J1279" i="14" a="1"/>
  <c r="J1279" i="14" s="1"/>
  <c r="J991" i="14" a="1"/>
  <c r="J991" i="14" s="1"/>
  <c r="J230" i="14" a="1"/>
  <c r="J230" i="14" s="1"/>
  <c r="J286" i="14" a="1"/>
  <c r="J286" i="14" s="1"/>
  <c r="J437" i="14" a="1"/>
  <c r="J437" i="14" s="1"/>
  <c r="J1288" i="14" a="1"/>
  <c r="J1288" i="14" s="1"/>
  <c r="J880" i="14" a="1"/>
  <c r="J880" i="14" s="1"/>
  <c r="J197" i="14" a="1"/>
  <c r="J197" i="14" s="1"/>
  <c r="J309" i="14" a="1"/>
  <c r="J309" i="14" s="1"/>
  <c r="J416" i="14" a="1"/>
  <c r="J416" i="14" s="1"/>
  <c r="J1293" i="14" a="1"/>
  <c r="J1293" i="14" s="1"/>
  <c r="J900" i="14" a="1"/>
  <c r="J900" i="14" s="1"/>
  <c r="J208" i="14" a="1"/>
  <c r="J208" i="14" s="1"/>
  <c r="J304" i="14" a="1"/>
  <c r="J304" i="14" s="1"/>
  <c r="J422" i="14" a="1"/>
  <c r="J422" i="14" s="1"/>
  <c r="J1302" i="14" a="1"/>
  <c r="J1302" i="14" s="1"/>
  <c r="J904" i="14" a="1"/>
  <c r="J904" i="14" s="1"/>
  <c r="J204" i="14" a="1"/>
  <c r="J204" i="14" s="1"/>
  <c r="J339" i="14" a="1"/>
  <c r="J339" i="14" s="1"/>
  <c r="J442" i="14" a="1"/>
  <c r="J442" i="14" s="1"/>
  <c r="J1290" i="14" a="1"/>
  <c r="J1290" i="14" s="1"/>
  <c r="J1009" i="14" a="1"/>
  <c r="J1009" i="14" s="1"/>
  <c r="J238" i="14" a="1"/>
  <c r="J238" i="14" s="1"/>
  <c r="J1240" i="14" a="1"/>
  <c r="J1240" i="14" s="1"/>
  <c r="J694" i="14" a="1"/>
  <c r="J694" i="14" s="1"/>
  <c r="J73" i="14" a="1"/>
  <c r="J73" i="14" s="1"/>
  <c r="J299" i="14" a="1"/>
  <c r="J299" i="14" s="1"/>
  <c r="J414" i="14" a="1"/>
  <c r="J414" i="14" s="1"/>
  <c r="J1298" i="14" a="1"/>
  <c r="J1298" i="14" s="1"/>
  <c r="J886" i="14" a="1"/>
  <c r="J886" i="14" s="1"/>
  <c r="J200" i="14" a="1"/>
  <c r="J200" i="14" s="1"/>
  <c r="J672" i="14" a="1"/>
  <c r="J672" i="14" s="1"/>
  <c r="J664" i="14" a="1"/>
  <c r="J664" i="14" s="1"/>
  <c r="J755" i="14" a="1"/>
  <c r="J755" i="14" s="1"/>
  <c r="J526" i="14" a="1"/>
  <c r="J526" i="14" s="1"/>
  <c r="J737" i="14" a="1"/>
  <c r="J737" i="14" s="1"/>
  <c r="J610" i="14" a="1"/>
  <c r="J610" i="14" s="1"/>
  <c r="J655" i="14" a="1"/>
  <c r="J655" i="14" s="1"/>
  <c r="J1029" i="14" a="1"/>
  <c r="J1029" i="14" s="1"/>
  <c r="J396" i="14" a="1"/>
  <c r="J396" i="14" s="1"/>
  <c r="J579" i="14" a="1"/>
  <c r="J579" i="14" s="1"/>
  <c r="J557" i="14" a="1"/>
  <c r="J557" i="14" s="1"/>
  <c r="J556" i="14" a="1"/>
  <c r="J556" i="14" s="1"/>
  <c r="J1145" i="14" a="1"/>
  <c r="J1145" i="14" s="1"/>
  <c r="J90" i="14" a="1"/>
  <c r="J90" i="14" s="1"/>
  <c r="J587" i="14" a="1"/>
  <c r="J587" i="14" s="1"/>
  <c r="J567" i="14" a="1"/>
  <c r="J567" i="14" s="1"/>
  <c r="J573" i="14" a="1"/>
  <c r="J573" i="14" s="1"/>
  <c r="J1140" i="14" a="1"/>
  <c r="J1140" i="14" s="1"/>
  <c r="J115" i="14" a="1"/>
  <c r="J115" i="14" s="1"/>
  <c r="J631" i="14" a="1"/>
  <c r="J631" i="14" s="1"/>
  <c r="J1414" i="14" a="1"/>
  <c r="J1414" i="14" s="1"/>
  <c r="J1420" i="14" a="1"/>
  <c r="J1420" i="14" s="1"/>
  <c r="J492" i="14" a="1"/>
  <c r="J492" i="14" s="1"/>
  <c r="J1348" i="14" a="1"/>
  <c r="J1348" i="14" s="1"/>
  <c r="J1436" i="14" a="1"/>
  <c r="J1436" i="14" s="1"/>
  <c r="J1388" i="14" a="1"/>
  <c r="J1388" i="14" s="1"/>
  <c r="J1377" i="14" a="1"/>
  <c r="J1377" i="14" s="1"/>
  <c r="J428" i="14" a="1"/>
  <c r="J428" i="14" s="1"/>
  <c r="J1324" i="14" a="1"/>
  <c r="J1324" i="14" s="1"/>
  <c r="J1392" i="14" a="1"/>
  <c r="J1392" i="14" s="1"/>
  <c r="J1228" i="14" a="1"/>
  <c r="J1228" i="14" s="1"/>
  <c r="J1241" i="14" a="1"/>
  <c r="J1241" i="14" s="1"/>
  <c r="J1192" i="14" a="1"/>
  <c r="J1192" i="14" s="1"/>
  <c r="J1231" i="14" a="1"/>
  <c r="J1231" i="14" s="1"/>
  <c r="J1363" i="14" a="1"/>
  <c r="J1363" i="14" s="1"/>
  <c r="J1366" i="14" a="1"/>
  <c r="J1366" i="14" s="1"/>
  <c r="J498" i="14" a="1"/>
  <c r="J498" i="14" s="1"/>
  <c r="J1320" i="14" a="1"/>
  <c r="J1320" i="14" s="1"/>
  <c r="J1384" i="14" a="1"/>
  <c r="J1384" i="14" s="1"/>
  <c r="J106" i="14" a="1"/>
  <c r="J106" i="14" s="1"/>
  <c r="J128" i="14" a="1"/>
  <c r="J128" i="14" s="1"/>
  <c r="J454" i="14" a="1"/>
  <c r="J454" i="14" s="1"/>
  <c r="J547" i="14" a="1"/>
  <c r="J547" i="14" s="1"/>
  <c r="J140" i="14" a="1"/>
  <c r="J140" i="14" s="1"/>
  <c r="J132" i="14" a="1"/>
  <c r="J132" i="14" s="1"/>
  <c r="J150" i="14" a="1"/>
  <c r="J150" i="14" s="1"/>
  <c r="J1210" i="14" a="1"/>
  <c r="J1210" i="14" s="1"/>
  <c r="J571" i="14" a="1"/>
  <c r="J571" i="14" s="1"/>
  <c r="J168" i="14" a="1"/>
  <c r="J168" i="14" s="1"/>
  <c r="J62" i="14" a="1"/>
  <c r="J62" i="14" s="1"/>
  <c r="J64" i="14" a="1"/>
  <c r="J64" i="14" s="1"/>
  <c r="J1243" i="14" a="1"/>
  <c r="J1243" i="14" s="1"/>
  <c r="J471" i="14" a="1"/>
  <c r="J471" i="14" s="1"/>
  <c r="J66" i="14" a="1"/>
  <c r="J66" i="14" s="1"/>
  <c r="J594" i="14" a="1"/>
  <c r="J594" i="14" s="1"/>
  <c r="J603" i="14" a="1"/>
  <c r="J603" i="14" s="1"/>
  <c r="J1107" i="14" a="1"/>
  <c r="J1107" i="14" s="1"/>
  <c r="J178" i="14" a="1"/>
  <c r="J178" i="14" s="1"/>
  <c r="J782" i="14" a="1"/>
  <c r="J782" i="14" s="1"/>
  <c r="J767" i="14" a="1"/>
  <c r="J767" i="14" s="1"/>
  <c r="J779" i="14" a="1"/>
  <c r="J779" i="14" s="1"/>
  <c r="J1184" i="14" a="1"/>
  <c r="J1184" i="14" s="1"/>
  <c r="J952" i="14" a="1"/>
  <c r="J952" i="14" s="1"/>
  <c r="J679" i="14" a="1"/>
  <c r="J679" i="14" s="1"/>
  <c r="J696" i="14" a="1"/>
  <c r="J696" i="14" s="1"/>
  <c r="J1213" i="14" a="1"/>
  <c r="J1213" i="14" s="1"/>
  <c r="J834" i="14" a="1"/>
  <c r="J834" i="14" s="1"/>
  <c r="J683" i="14" a="1"/>
  <c r="J683" i="14" s="1"/>
  <c r="J693" i="14" a="1"/>
  <c r="J693" i="14" s="1"/>
  <c r="J1191" i="14" a="1"/>
  <c r="J1191" i="14" s="1"/>
  <c r="J839" i="14" a="1"/>
  <c r="J839" i="14" s="1"/>
  <c r="J1440" i="14" a="1"/>
  <c r="J1440" i="14" s="1"/>
  <c r="J1449" i="14" a="1"/>
  <c r="J1449" i="14" s="1"/>
  <c r="J506" i="14" a="1"/>
  <c r="J506" i="14" s="1"/>
  <c r="J1285" i="14" a="1"/>
  <c r="J1285" i="14" s="1"/>
  <c r="J1461" i="14" a="1"/>
  <c r="J1461" i="14" s="1"/>
  <c r="J191" i="14" a="1"/>
  <c r="J191" i="14" s="1"/>
  <c r="J221" i="14" a="1"/>
  <c r="J221" i="14" s="1"/>
  <c r="J1230" i="14" a="1"/>
  <c r="J1230" i="14" s="1"/>
  <c r="J634" i="14" a="1"/>
  <c r="J634" i="14" s="1"/>
  <c r="J241" i="14" a="1"/>
  <c r="J241" i="14" s="1"/>
  <c r="J620" i="14" a="1"/>
  <c r="J620" i="14" s="1"/>
  <c r="J643" i="14" a="1"/>
  <c r="J643" i="14" s="1"/>
  <c r="J1105" i="14" a="1"/>
  <c r="J1105" i="14" s="1"/>
  <c r="J187" i="14" a="1"/>
  <c r="J187" i="14" s="1"/>
  <c r="J799" i="14" a="1"/>
  <c r="J799" i="14" s="1"/>
  <c r="J685" i="14" a="1"/>
  <c r="J685" i="14" s="1"/>
  <c r="J698" i="14" a="1"/>
  <c r="J698" i="14" s="1"/>
  <c r="J1202" i="14" a="1"/>
  <c r="J1202" i="14" s="1"/>
  <c r="J229" i="14" a="1"/>
  <c r="J229" i="14" s="1"/>
  <c r="J714" i="14" a="1"/>
  <c r="J714" i="14" s="1"/>
  <c r="J380" i="14" a="1"/>
  <c r="J380" i="14" s="1"/>
  <c r="J451" i="14" a="1"/>
  <c r="J451" i="14" s="1"/>
  <c r="J1317" i="14" a="1"/>
  <c r="J1317" i="14" s="1"/>
  <c r="J1060" i="14" a="1"/>
  <c r="J1060" i="14" s="1"/>
  <c r="J326" i="14" a="1"/>
  <c r="J326" i="14" s="1"/>
  <c r="J209" i="14" a="1"/>
  <c r="J209" i="14" s="1"/>
  <c r="J297" i="14" a="1"/>
  <c r="J297" i="14" s="1"/>
  <c r="J1269" i="14" a="1"/>
  <c r="J1269" i="14" s="1"/>
  <c r="J563" i="14" a="1"/>
  <c r="J563" i="14" s="1"/>
  <c r="J147" i="14" a="1"/>
  <c r="J147" i="14" s="1"/>
  <c r="J195" i="14" a="1"/>
  <c r="J195" i="14" s="1"/>
  <c r="J255" i="14" a="1"/>
  <c r="J255" i="14" s="1"/>
  <c r="J1263" i="14" a="1"/>
  <c r="J1263" i="14" s="1"/>
  <c r="J582" i="14" a="1"/>
  <c r="J582" i="14" s="1"/>
  <c r="J142" i="14" a="1"/>
  <c r="J142" i="14" s="1"/>
  <c r="J50" i="14" a="1"/>
  <c r="J50" i="14" s="1"/>
  <c r="J74" i="14" a="1"/>
  <c r="J74" i="14" s="1"/>
  <c r="J1232" i="14" a="1"/>
  <c r="J1232" i="14" s="1"/>
  <c r="J840" i="14" a="1"/>
  <c r="J840" i="14" s="1"/>
  <c r="J77" i="14" a="1"/>
  <c r="J77" i="14" s="1"/>
  <c r="J111" i="14" a="1"/>
  <c r="J111" i="14" s="1"/>
  <c r="J1248" i="14" a="1"/>
  <c r="J1248" i="14" s="1"/>
  <c r="J882" i="14" a="1"/>
  <c r="J882" i="14" s="1"/>
  <c r="J1244" i="14" a="1"/>
  <c r="J1244" i="14" s="1"/>
  <c r="J690" i="14" a="1"/>
  <c r="J690" i="14" s="1"/>
  <c r="J68" i="14" a="1"/>
  <c r="J68" i="14" s="1"/>
  <c r="J980" i="14" a="1"/>
  <c r="J980" i="14" s="1"/>
  <c r="J1025" i="14" a="1"/>
  <c r="J1025" i="14" s="1"/>
  <c r="J644" i="14" a="1"/>
  <c r="J644" i="14" s="1"/>
  <c r="J868" i="14" a="1"/>
  <c r="J868" i="14" s="1"/>
  <c r="J941" i="14" a="1"/>
  <c r="J941" i="14" s="1"/>
  <c r="J1110" i="14" a="1"/>
  <c r="J1110" i="14" s="1"/>
  <c r="J1153" i="14" a="1"/>
  <c r="J1153" i="14" s="1"/>
  <c r="J435" i="14" a="1"/>
  <c r="J435" i="14" s="1"/>
  <c r="J769" i="14" a="1"/>
  <c r="J769" i="14" s="1"/>
  <c r="J1108" i="14" a="1"/>
  <c r="J1108" i="14" s="1"/>
  <c r="J947" i="14" a="1"/>
  <c r="J947" i="14" s="1"/>
  <c r="J945" i="14" a="1"/>
  <c r="J945" i="14" s="1"/>
  <c r="J656" i="14" a="1"/>
  <c r="J656" i="14" s="1"/>
  <c r="J652" i="14" a="1"/>
  <c r="J652" i="14" s="1"/>
  <c r="J925" i="14" a="1"/>
  <c r="J925" i="14" s="1"/>
  <c r="J1065" i="14" a="1"/>
  <c r="J1065" i="14" s="1"/>
  <c r="J1086" i="14" a="1"/>
  <c r="J1086" i="14" s="1"/>
  <c r="J418" i="14" a="1"/>
  <c r="J418" i="14" s="1"/>
  <c r="J647" i="14" a="1"/>
  <c r="J647" i="14" s="1"/>
  <c r="J1054" i="14" a="1"/>
  <c r="J1054" i="14" s="1"/>
  <c r="J1134" i="14" a="1"/>
  <c r="J1134" i="14" s="1"/>
  <c r="J1169" i="14" a="1"/>
  <c r="J1169" i="14" s="1"/>
  <c r="J405" i="14" a="1"/>
  <c r="J405" i="14" s="1"/>
  <c r="J796" i="14" a="1"/>
  <c r="J796" i="14" s="1"/>
  <c r="J1127" i="14" a="1"/>
  <c r="J1127" i="14" s="1"/>
  <c r="F325" i="14" a="1"/>
  <c r="F325" i="14" s="1"/>
  <c r="F609" i="14" a="1"/>
  <c r="F609" i="14" s="1"/>
  <c r="F131" i="14" a="1"/>
  <c r="F131" i="14" s="1"/>
  <c r="F619" i="14" a="1"/>
  <c r="F619" i="14" s="1"/>
  <c r="F981" i="14" a="1"/>
  <c r="F981" i="14" s="1"/>
  <c r="F321" i="14" a="1"/>
  <c r="F321" i="14" s="1"/>
  <c r="F688" i="14" a="1"/>
  <c r="F688" i="14" s="1"/>
  <c r="F192" i="14" a="1"/>
  <c r="F192" i="14" s="1"/>
  <c r="F699" i="14" a="1"/>
  <c r="F699" i="14" s="1"/>
  <c r="F1039" i="14" a="1"/>
  <c r="F1039" i="14" s="1"/>
  <c r="F346" i="14" a="1"/>
  <c r="F346" i="14" s="1"/>
  <c r="F660" i="14" a="1"/>
  <c r="F660" i="14" s="1"/>
  <c r="F94" i="14" a="1"/>
  <c r="F94" i="14" s="1"/>
  <c r="F635" i="14" a="1"/>
  <c r="F635" i="14" s="1"/>
  <c r="F890" i="14" a="1"/>
  <c r="F890" i="14" s="1"/>
  <c r="F917" i="14" a="1"/>
  <c r="F917" i="14" s="1"/>
  <c r="F417" i="14" a="1"/>
  <c r="F417" i="14" s="1"/>
  <c r="F920" i="14" a="1"/>
  <c r="F920" i="14" s="1"/>
  <c r="F1070" i="14" a="1"/>
  <c r="F1070" i="14" s="1"/>
  <c r="F14" i="14" a="1"/>
  <c r="F14" i="14" s="1"/>
  <c r="F929" i="14" a="1"/>
  <c r="F929" i="14" s="1"/>
  <c r="F399" i="14" a="1"/>
  <c r="F399" i="14" s="1"/>
  <c r="F853" i="14" a="1"/>
  <c r="F853" i="14" s="1"/>
  <c r="F964" i="14" a="1"/>
  <c r="F964" i="14" s="1"/>
  <c r="F1278" i="14" a="1"/>
  <c r="F1278" i="14" s="1"/>
  <c r="F974" i="14" a="1"/>
  <c r="F974" i="14" s="1"/>
  <c r="F415" i="14" a="1"/>
  <c r="F415" i="14" s="1"/>
  <c r="F896" i="14" a="1"/>
  <c r="F896" i="14" s="1"/>
  <c r="F1045" i="14" a="1"/>
  <c r="F1045" i="14" s="1"/>
  <c r="F12" i="14" a="1"/>
  <c r="F12" i="14" s="1"/>
  <c r="F971" i="14" a="1"/>
  <c r="F971" i="14" s="1"/>
  <c r="F411" i="14" a="1"/>
  <c r="F411" i="14" s="1"/>
  <c r="F891" i="14" a="1"/>
  <c r="F891" i="14" s="1"/>
  <c r="F1042" i="14" a="1"/>
  <c r="F1042" i="14" s="1"/>
  <c r="F934" i="14" a="1"/>
  <c r="F934" i="14" s="1"/>
  <c r="F424" i="14" a="1"/>
  <c r="F424" i="14" s="1"/>
  <c r="F924" i="14" a="1"/>
  <c r="F924" i="14" s="1"/>
  <c r="F1072" i="14" a="1"/>
  <c r="F1072" i="14" s="1"/>
  <c r="F362" i="14" a="1"/>
  <c r="F362" i="14" s="1"/>
  <c r="F654" i="14" a="1"/>
  <c r="F654" i="14" s="1"/>
  <c r="F149" i="14" a="1"/>
  <c r="F149" i="14" s="1"/>
  <c r="F642" i="14" a="1"/>
  <c r="F642" i="14" s="1"/>
  <c r="F1024" i="14" a="1"/>
  <c r="F1024" i="14" s="1"/>
  <c r="F15" i="14" a="1"/>
  <c r="F15" i="14" s="1"/>
  <c r="F954" i="14" a="1"/>
  <c r="F954" i="14" s="1"/>
  <c r="F368" i="14" a="1"/>
  <c r="F368" i="14" s="1"/>
  <c r="F865" i="14" a="1"/>
  <c r="F865" i="14" s="1"/>
  <c r="F1033" i="14" a="1"/>
  <c r="F1033" i="14" s="1"/>
  <c r="F1208" i="14" a="1"/>
  <c r="F1208" i="14" s="1"/>
  <c r="F1235" i="14" a="1"/>
  <c r="F1235" i="14" s="1"/>
  <c r="F712" i="14" a="1"/>
  <c r="F712" i="14" s="1"/>
  <c r="F493" i="14" a="1"/>
  <c r="F493" i="14" s="1"/>
  <c r="F81" i="14" a="1"/>
  <c r="F81" i="14" s="1"/>
  <c r="F976" i="14" a="1"/>
  <c r="F976" i="14" s="1"/>
  <c r="F551" i="14" a="1"/>
  <c r="F551" i="14" s="1"/>
  <c r="F372" i="14" a="1"/>
  <c r="F372" i="14" s="1"/>
  <c r="F244" i="14" a="1"/>
  <c r="F244" i="14" s="1"/>
  <c r="F935" i="14" a="1"/>
  <c r="F935" i="14" s="1"/>
  <c r="F397" i="14" a="1"/>
  <c r="F397" i="14" s="1"/>
  <c r="F473" i="14" a="1"/>
  <c r="F473" i="14" s="1"/>
  <c r="F133" i="14" a="1"/>
  <c r="F133" i="14" s="1"/>
  <c r="F523" i="14" a="1"/>
  <c r="F523" i="14" s="1"/>
  <c r="F946" i="14" a="1"/>
  <c r="F946" i="14" s="1"/>
  <c r="F353" i="14" a="1"/>
  <c r="F353" i="14" s="1"/>
  <c r="F495" i="14" a="1"/>
  <c r="F495" i="14" s="1"/>
  <c r="F166" i="14" a="1"/>
  <c r="F166" i="14" s="1"/>
  <c r="F509" i="14" a="1"/>
  <c r="F509" i="14" s="1"/>
  <c r="F1486" i="14" a="1"/>
  <c r="F1486" i="14" s="1"/>
  <c r="F1256" i="14" a="1"/>
  <c r="F1256" i="14" s="1"/>
  <c r="F1300" i="14" a="1"/>
  <c r="F1300" i="14" s="1"/>
  <c r="F1268" i="14" a="1"/>
  <c r="F1268" i="14" s="1"/>
  <c r="F1132" i="14" a="1"/>
  <c r="F1132" i="14" s="1"/>
  <c r="F1458" i="14" a="1"/>
  <c r="F1458" i="14" s="1"/>
  <c r="F1225" i="14" a="1"/>
  <c r="F1225" i="14" s="1"/>
  <c r="F1360" i="14" a="1"/>
  <c r="F1360" i="14" s="1"/>
  <c r="F1310" i="14" a="1"/>
  <c r="F1310" i="14" s="1"/>
  <c r="F1098" i="14" a="1"/>
  <c r="F1098" i="14" s="1"/>
  <c r="F1349" i="14" a="1"/>
  <c r="F1349" i="14" s="1"/>
  <c r="F1028" i="14" a="1"/>
  <c r="F1028" i="14" s="1"/>
  <c r="F1209" i="14" a="1"/>
  <c r="F1209" i="14" s="1"/>
  <c r="F1104" i="14" a="1"/>
  <c r="F1104" i="14" s="1"/>
  <c r="F645" i="14" a="1"/>
  <c r="F645" i="14" s="1"/>
  <c r="F1433" i="14" a="1"/>
  <c r="F1433" i="14" s="1"/>
  <c r="F1238" i="14" a="1"/>
  <c r="F1238" i="14" s="1"/>
  <c r="F1352" i="14" a="1"/>
  <c r="F1352" i="14" s="1"/>
  <c r="F1304" i="14" a="1"/>
  <c r="F1304" i="14" s="1"/>
  <c r="F1136" i="14" a="1"/>
  <c r="F1136" i="14" s="1"/>
  <c r="F139" i="14" a="1"/>
  <c r="F139" i="14" s="1"/>
  <c r="F537" i="14" a="1"/>
  <c r="F537" i="14" s="1"/>
  <c r="F22" i="14" a="1"/>
  <c r="F22" i="14" s="1"/>
  <c r="F401" i="14" a="1"/>
  <c r="F401" i="14" s="1"/>
  <c r="F710" i="14" a="1"/>
  <c r="F710" i="14" s="1"/>
  <c r="F503" i="14" a="1"/>
  <c r="F503" i="14" s="1"/>
  <c r="F552" i="14" a="1"/>
  <c r="F552" i="14" s="1"/>
  <c r="F614" i="14" a="1"/>
  <c r="F614" i="14" s="1"/>
  <c r="F858" i="14" a="1"/>
  <c r="F858" i="14" s="1"/>
  <c r="F406" i="14" a="1"/>
  <c r="F406" i="14" s="1"/>
  <c r="F554" i="14" a="1"/>
  <c r="F554" i="14" s="1"/>
  <c r="F103" i="14" a="1"/>
  <c r="F103" i="14" s="1"/>
  <c r="F661" i="14" a="1"/>
  <c r="F661" i="14" s="1"/>
  <c r="F879" i="14" a="1"/>
  <c r="F879" i="14" s="1"/>
  <c r="F1097" i="14" a="1"/>
  <c r="F1097" i="14" s="1"/>
  <c r="F371" i="14" a="1"/>
  <c r="F371" i="14" s="1"/>
  <c r="F585" i="14" a="1"/>
  <c r="F585" i="14" s="1"/>
  <c r="F513" i="14" a="1"/>
  <c r="F513" i="14" s="1"/>
  <c r="F1171" i="14" a="1"/>
  <c r="F1171" i="14" s="1"/>
  <c r="F390" i="14" a="1"/>
  <c r="F390" i="14" s="1"/>
  <c r="F701" i="14" a="1"/>
  <c r="F701" i="14" s="1"/>
  <c r="F300" i="14" a="1"/>
  <c r="F300" i="14" s="1"/>
  <c r="F692" i="14" a="1"/>
  <c r="F692" i="14" s="1"/>
  <c r="F1160" i="14" a="1"/>
  <c r="F1160" i="14" s="1"/>
  <c r="F464" i="14" a="1"/>
  <c r="F464" i="14" s="1"/>
  <c r="F568" i="14" a="1"/>
  <c r="F568" i="14" s="1"/>
  <c r="F181" i="14" a="1"/>
  <c r="F181" i="14" s="1"/>
  <c r="F809" i="14" a="1"/>
  <c r="F809" i="14" s="1"/>
  <c r="F1079" i="14" a="1"/>
  <c r="F1079" i="14" s="1"/>
  <c r="F395" i="14" a="1"/>
  <c r="F395" i="14" s="1"/>
  <c r="F570" i="14" a="1"/>
  <c r="F570" i="14" s="1"/>
  <c r="F186" i="14" a="1"/>
  <c r="F186" i="14" s="1"/>
  <c r="F867" i="14" a="1"/>
  <c r="F867" i="14" s="1"/>
  <c r="F1497" i="14" a="1"/>
  <c r="F1497" i="14" s="1"/>
  <c r="F1258" i="14" a="1"/>
  <c r="F1258" i="14" s="1"/>
  <c r="F1340" i="14" a="1"/>
  <c r="F1340" i="14" s="1"/>
  <c r="F1294" i="14" a="1"/>
  <c r="F1294" i="14" s="1"/>
  <c r="F1137" i="14" a="1"/>
  <c r="F1137" i="14" s="1"/>
  <c r="F427" i="14" a="1"/>
  <c r="F427" i="14" s="1"/>
  <c r="F592" i="14" a="1"/>
  <c r="F592" i="14" s="1"/>
  <c r="F674" i="14" a="1"/>
  <c r="F674" i="14" s="1"/>
  <c r="F928" i="14" a="1"/>
  <c r="F928" i="14" s="1"/>
  <c r="F1082" i="14" a="1"/>
  <c r="F1082" i="14" s="1"/>
  <c r="F373" i="14" a="1"/>
  <c r="F373" i="14" s="1"/>
  <c r="F613" i="14" a="1"/>
  <c r="F613" i="14" s="1"/>
  <c r="F501" i="14" a="1"/>
  <c r="F501" i="14" s="1"/>
  <c r="F1154" i="14" a="1"/>
  <c r="F1154" i="14" s="1"/>
  <c r="F430" i="14" a="1"/>
  <c r="F430" i="14" s="1"/>
  <c r="F574" i="14" a="1"/>
  <c r="F574" i="14" s="1"/>
  <c r="F566" i="14" a="1"/>
  <c r="F566" i="14" s="1"/>
  <c r="F8" i="14" a="1"/>
  <c r="F8" i="14" s="1"/>
  <c r="F911" i="14" a="1"/>
  <c r="F911" i="14" s="1"/>
  <c r="F384" i="14" a="1"/>
  <c r="F384" i="14" s="1"/>
  <c r="F893" i="14" a="1"/>
  <c r="F893" i="14" s="1"/>
  <c r="F1212" i="14" a="1"/>
  <c r="F1212" i="14" s="1"/>
  <c r="F284" i="14" a="1"/>
  <c r="F284" i="14" s="1"/>
  <c r="F793" i="14" a="1"/>
  <c r="F793" i="14" s="1"/>
  <c r="F282" i="14" a="1"/>
  <c r="F282" i="14" s="1"/>
  <c r="F761" i="14" a="1"/>
  <c r="F761" i="14" s="1"/>
  <c r="F217" i="14" a="1"/>
  <c r="F217" i="14" s="1"/>
  <c r="F788" i="14" a="1"/>
  <c r="F788" i="14" s="1"/>
  <c r="F264" i="14" a="1"/>
  <c r="F264" i="14" s="1"/>
  <c r="F751" i="14" a="1"/>
  <c r="F751" i="14" s="1"/>
  <c r="F1207" i="14" a="1"/>
  <c r="F1207" i="14" s="1"/>
  <c r="F240" i="14" a="1"/>
  <c r="F240" i="14" s="1"/>
  <c r="F588" i="14" a="1"/>
  <c r="F588" i="14" s="1"/>
  <c r="F67" i="14" a="1"/>
  <c r="F67" i="14" s="1"/>
  <c r="F715" i="14" a="1"/>
  <c r="F715" i="14" s="1"/>
  <c r="F1109" i="14" a="1"/>
  <c r="F1109" i="14" s="1"/>
  <c r="F266" i="14" a="1"/>
  <c r="F266" i="14" s="1"/>
  <c r="F616" i="14" a="1"/>
  <c r="F616" i="14" s="1"/>
  <c r="F86" i="14" a="1"/>
  <c r="F86" i="14" s="1"/>
  <c r="F734" i="14" a="1"/>
  <c r="F734" i="14" s="1"/>
  <c r="F1126" i="14" a="1"/>
  <c r="F1126" i="14" s="1"/>
  <c r="F367" i="14" a="1"/>
  <c r="F367" i="14" s="1"/>
  <c r="F562" i="14" a="1"/>
  <c r="F562" i="14" s="1"/>
  <c r="F45" i="14" a="1"/>
  <c r="F45" i="14" s="1"/>
  <c r="F541" i="14" a="1"/>
  <c r="F541" i="14" s="1"/>
  <c r="F1078" i="14" a="1"/>
  <c r="F1078" i="14" s="1"/>
  <c r="F1251" i="14" a="1"/>
  <c r="F1251" i="14" s="1"/>
  <c r="F524" i="14" a="1"/>
  <c r="F524" i="14" s="1"/>
  <c r="F878" i="14" a="1"/>
  <c r="F878" i="14" s="1"/>
  <c r="F549" i="14" a="1"/>
  <c r="F549" i="14" s="1"/>
  <c r="F152" i="14" a="1"/>
  <c r="F152" i="14" s="1"/>
  <c r="F1188" i="14" a="1"/>
  <c r="F1188" i="14" s="1"/>
  <c r="F665" i="14" a="1"/>
  <c r="F665" i="14" s="1"/>
  <c r="F1036" i="14" a="1"/>
  <c r="F1036" i="14" s="1"/>
  <c r="F565" i="14" a="1"/>
  <c r="F565" i="14" s="1"/>
  <c r="F932" i="14" a="1"/>
  <c r="F932" i="14" s="1"/>
  <c r="F510" i="14" a="1"/>
  <c r="F510" i="14" s="1"/>
  <c r="F826" i="14" a="1"/>
  <c r="F826" i="14" s="1"/>
  <c r="F531" i="14" a="1"/>
  <c r="F531" i="14" s="1"/>
  <c r="F1172" i="14" a="1"/>
  <c r="F1172" i="14" s="1"/>
  <c r="F676" i="14" a="1"/>
  <c r="F676" i="14" s="1"/>
  <c r="F956" i="14" a="1"/>
  <c r="F956" i="14" s="1"/>
  <c r="F821" i="14" a="1"/>
  <c r="F821" i="14" s="1"/>
  <c r="F348" i="14" a="1"/>
  <c r="F348" i="14" s="1"/>
  <c r="F1175" i="14" a="1"/>
  <c r="F1175" i="14" s="1"/>
  <c r="F707" i="14" a="1"/>
  <c r="F707" i="14" s="1"/>
  <c r="F1056" i="14" a="1"/>
  <c r="F1056" i="14" s="1"/>
  <c r="F596" i="14" a="1"/>
  <c r="F596" i="14" s="1"/>
  <c r="I298" i="14" a="1"/>
  <c r="I298" i="14" s="1"/>
  <c r="I1362" i="14" a="1"/>
  <c r="I1362" i="14" s="1"/>
  <c r="I1441" i="14" a="1"/>
  <c r="I1441" i="14" s="1"/>
  <c r="I76" i="14" a="1"/>
  <c r="I76" i="14" s="1"/>
  <c r="I294" i="14" a="1"/>
  <c r="I294" i="14" s="1"/>
  <c r="I1369" i="14" a="1"/>
  <c r="I1369" i="14" s="1"/>
  <c r="I1451" i="14" a="1"/>
  <c r="I1451" i="14" s="1"/>
  <c r="I72" i="14" a="1"/>
  <c r="I72" i="14" s="1"/>
  <c r="I92" i="14" a="1"/>
  <c r="I92" i="14" s="1"/>
  <c r="I316" i="14" a="1"/>
  <c r="I316" i="14" s="1"/>
  <c r="I1351" i="14" a="1"/>
  <c r="I1351" i="14" s="1"/>
  <c r="I1452" i="14" a="1"/>
  <c r="I1452" i="14" s="1"/>
  <c r="I743" i="14" a="1"/>
  <c r="I743" i="14" s="1"/>
  <c r="I320" i="14" a="1"/>
  <c r="I320" i="14" s="1"/>
  <c r="I36" i="14" a="1"/>
  <c r="I36" i="14" s="1"/>
  <c r="I1424" i="14" a="1"/>
  <c r="I1424" i="14" s="1"/>
  <c r="I1489" i="14" a="1"/>
  <c r="I1489" i="14" s="1"/>
  <c r="I279" i="14" a="1"/>
  <c r="I279" i="14" s="1"/>
  <c r="I281" i="14" a="1"/>
  <c r="I281" i="14" s="1"/>
  <c r="I1394" i="14" a="1"/>
  <c r="I1394" i="14" s="1"/>
  <c r="I1480" i="14" a="1"/>
  <c r="I1480" i="14" s="1"/>
  <c r="I249" i="14" a="1"/>
  <c r="I249" i="14" s="1"/>
  <c r="I307" i="14" a="1"/>
  <c r="I307" i="14" s="1"/>
  <c r="I51" i="14" a="1"/>
  <c r="I51" i="14" s="1"/>
  <c r="I1403" i="14" a="1"/>
  <c r="I1403" i="14" s="1"/>
  <c r="I1483" i="14" a="1"/>
  <c r="I1483" i="14" s="1"/>
  <c r="I256" i="14" a="1"/>
  <c r="I256" i="14" s="1"/>
  <c r="I302" i="14" a="1"/>
  <c r="I302" i="14" s="1"/>
  <c r="I37" i="14" a="1"/>
  <c r="I37" i="14" s="1"/>
  <c r="I1397" i="14" a="1"/>
  <c r="I1397" i="14" s="1"/>
  <c r="I1481" i="14" a="1"/>
  <c r="I1481" i="14" s="1"/>
  <c r="I257" i="14" a="1"/>
  <c r="I257" i="14" s="1"/>
  <c r="I332" i="14" a="1"/>
  <c r="I332" i="14" s="1"/>
  <c r="I41" i="14" a="1"/>
  <c r="I41" i="14" s="1"/>
  <c r="I1427" i="14" a="1"/>
  <c r="I1427" i="14" s="1"/>
  <c r="I1488" i="14" a="1"/>
  <c r="I1488" i="14" s="1"/>
  <c r="I292" i="14" a="1"/>
  <c r="I292" i="14" s="1"/>
  <c r="I413" i="14" a="1"/>
  <c r="I413" i="14" s="1"/>
  <c r="I1365" i="14" a="1"/>
  <c r="I1365" i="14" s="1"/>
  <c r="I1448" i="14" a="1"/>
  <c r="I1448" i="14" s="1"/>
  <c r="I110" i="14" a="1"/>
  <c r="I110" i="14" s="1"/>
  <c r="I293" i="14" a="1"/>
  <c r="I293" i="14" s="1"/>
  <c r="I1380" i="14" a="1"/>
  <c r="I1380" i="14" s="1"/>
  <c r="I1479" i="14" a="1"/>
  <c r="I1479" i="14" s="1"/>
  <c r="I251" i="14" a="1"/>
  <c r="I251" i="14" s="1"/>
  <c r="I718" i="14" a="1"/>
  <c r="I718" i="14" s="1"/>
  <c r="I1052" i="14" a="1"/>
  <c r="I1052" i="14" s="1"/>
  <c r="I1155" i="14" a="1"/>
  <c r="I1155" i="14" s="1"/>
  <c r="I1190" i="14" a="1"/>
  <c r="I1190" i="14" s="1"/>
  <c r="I739" i="14" a="1"/>
  <c r="I739" i="14" s="1"/>
  <c r="I687" i="14" a="1"/>
  <c r="I687" i="14" s="1"/>
  <c r="I955" i="14" a="1"/>
  <c r="I955" i="14" s="1"/>
  <c r="I1237" i="14" a="1"/>
  <c r="I1237" i="14" s="1"/>
  <c r="I1259" i="14" a="1"/>
  <c r="I1259" i="14" s="1"/>
  <c r="I599" i="14" a="1"/>
  <c r="I599" i="14" s="1"/>
  <c r="I589" i="14" a="1"/>
  <c r="I589" i="14" s="1"/>
  <c r="I855" i="14" a="1"/>
  <c r="I855" i="14" s="1"/>
  <c r="I1221" i="14" a="1"/>
  <c r="I1221" i="14" s="1"/>
  <c r="I1282" i="14" a="1"/>
  <c r="I1282" i="14" s="1"/>
  <c r="I615" i="14" a="1"/>
  <c r="I615" i="14" s="1"/>
  <c r="I623" i="14" a="1"/>
  <c r="I623" i="14" s="1"/>
  <c r="I907" i="14" a="1"/>
  <c r="I907" i="14" s="1"/>
  <c r="I1219" i="14" a="1"/>
  <c r="I1219" i="14" s="1"/>
  <c r="I1292" i="14" a="1"/>
  <c r="I1292" i="14" s="1"/>
  <c r="I677" i="14" a="1"/>
  <c r="I677" i="14" s="1"/>
  <c r="I1423" i="14" a="1"/>
  <c r="I1423" i="14" s="1"/>
  <c r="I1456" i="14" a="1"/>
  <c r="I1456" i="14" s="1"/>
  <c r="I79" i="14" a="1"/>
  <c r="I79" i="14" s="1"/>
  <c r="I1447" i="14" a="1"/>
  <c r="I1447" i="14" s="1"/>
  <c r="I1399" i="14" a="1"/>
  <c r="I1399" i="14" s="1"/>
  <c r="I1411" i="14" a="1"/>
  <c r="I1411" i="14" s="1"/>
  <c r="I97" i="14" a="1"/>
  <c r="I97" i="14" s="1"/>
  <c r="I1406" i="14" a="1"/>
  <c r="I1406" i="14" s="1"/>
  <c r="I1249" i="14" a="1"/>
  <c r="I1249" i="14" s="1"/>
  <c r="I1299" i="14" a="1"/>
  <c r="I1299" i="14" s="1"/>
  <c r="I497" i="14" a="1"/>
  <c r="I497" i="14" s="1"/>
  <c r="I507" i="14" a="1"/>
  <c r="I507" i="14" s="1"/>
  <c r="I1247" i="14" a="1"/>
  <c r="I1247" i="14" s="1"/>
  <c r="I1370" i="14" a="1"/>
  <c r="I1370" i="14" s="1"/>
  <c r="I1381" i="14" a="1"/>
  <c r="I1381" i="14" s="1"/>
  <c r="I89" i="14" a="1"/>
  <c r="I89" i="14" s="1"/>
  <c r="I1396" i="14" a="1"/>
  <c r="I1396" i="14" s="1"/>
  <c r="I163" i="14" a="1"/>
  <c r="I163" i="14" s="1"/>
  <c r="I52" i="14" a="1"/>
  <c r="I52" i="14" s="1"/>
  <c r="I1371" i="14" a="1"/>
  <c r="I1371" i="14" s="1"/>
  <c r="I1338" i="14" a="1"/>
  <c r="I1338" i="14" s="1"/>
  <c r="I172" i="14" a="1"/>
  <c r="I172" i="14" s="1"/>
  <c r="I193" i="14" a="1"/>
  <c r="I193" i="14" s="1"/>
  <c r="I369" i="14" a="1"/>
  <c r="I369" i="14" s="1"/>
  <c r="I1353" i="14" a="1"/>
  <c r="I1353" i="14" s="1"/>
  <c r="I1341" i="14" a="1"/>
  <c r="I1341" i="14" s="1"/>
  <c r="I95" i="14" a="1"/>
  <c r="I95" i="14" s="1"/>
  <c r="I1234" i="14" a="1"/>
  <c r="I1234" i="14" s="1"/>
  <c r="I1334" i="14" a="1"/>
  <c r="I1334" i="14" s="1"/>
  <c r="I1430" i="14" a="1"/>
  <c r="I1430" i="14" s="1"/>
  <c r="I87" i="14" a="1"/>
  <c r="I87" i="14" s="1"/>
  <c r="I658" i="14" a="1"/>
  <c r="I658" i="14" s="1"/>
  <c r="I833" i="14" a="1"/>
  <c r="I833" i="14" s="1"/>
  <c r="I1306" i="14" a="1"/>
  <c r="I1306" i="14" s="1"/>
  <c r="I1287" i="14" a="1"/>
  <c r="I1287" i="14" s="1"/>
  <c r="I803" i="14" a="1"/>
  <c r="I803" i="14" s="1"/>
  <c r="I807" i="14" a="1"/>
  <c r="I807" i="14" s="1"/>
  <c r="I984" i="14" a="1"/>
  <c r="I984" i="14" s="1"/>
  <c r="I1325" i="14" a="1"/>
  <c r="I1325" i="14" s="1"/>
  <c r="I1313" i="14" a="1"/>
  <c r="I1313" i="14" s="1"/>
  <c r="I988" i="14" a="1"/>
  <c r="I988" i="14" s="1"/>
  <c r="I716" i="14" a="1"/>
  <c r="I716" i="14" s="1"/>
  <c r="I875" i="14" a="1"/>
  <c r="I875" i="14" s="1"/>
  <c r="I1336" i="14" a="1"/>
  <c r="I1336" i="14" s="1"/>
  <c r="I1315" i="14" a="1"/>
  <c r="I1315" i="14" s="1"/>
  <c r="I869" i="14" a="1"/>
  <c r="I869" i="14" s="1"/>
  <c r="I720" i="14" a="1"/>
  <c r="I720" i="14" s="1"/>
  <c r="I885" i="14" a="1"/>
  <c r="I885" i="14" s="1"/>
  <c r="I1319" i="14" a="1"/>
  <c r="I1319" i="14" s="1"/>
  <c r="I1284" i="14" a="1"/>
  <c r="I1284" i="14" s="1"/>
  <c r="I881" i="14" a="1"/>
  <c r="I881" i="14" s="1"/>
  <c r="I1450" i="14" a="1"/>
  <c r="I1450" i="14" s="1"/>
  <c r="I1478" i="14" a="1"/>
  <c r="I1478" i="14" s="1"/>
  <c r="I88" i="14" a="1"/>
  <c r="I88" i="14" s="1"/>
  <c r="I1465" i="14" a="1"/>
  <c r="I1465" i="14" s="1"/>
  <c r="I260" i="14" a="1"/>
  <c r="I260" i="14" s="1"/>
  <c r="I447" i="14" a="1"/>
  <c r="I447" i="14" s="1"/>
  <c r="I7" i="14" a="1"/>
  <c r="I7" i="14" s="1"/>
  <c r="I1359" i="14" a="1"/>
  <c r="I1359" i="14" s="1"/>
  <c r="I700" i="14" a="1"/>
  <c r="I700" i="14" s="1"/>
  <c r="I866" i="14" a="1"/>
  <c r="I866" i="14" s="1"/>
  <c r="I1305" i="14" a="1"/>
  <c r="I1305" i="14" s="1"/>
  <c r="I1295" i="14" a="1"/>
  <c r="I1295" i="14" s="1"/>
  <c r="I818" i="14" a="1"/>
  <c r="I818" i="14" s="1"/>
  <c r="I724" i="14" a="1"/>
  <c r="I724" i="14" s="1"/>
  <c r="I883" i="14" a="1"/>
  <c r="I883" i="14" s="1"/>
  <c r="I1329" i="14" a="1"/>
  <c r="I1329" i="14" s="1"/>
  <c r="I1383" i="14" a="1"/>
  <c r="I1383" i="14" s="1"/>
  <c r="I733" i="14" a="1"/>
  <c r="I733" i="14" s="1"/>
  <c r="I382" i="14" a="1"/>
  <c r="I382" i="14" s="1"/>
  <c r="I20" i="14" a="1"/>
  <c r="I20" i="14" s="1"/>
  <c r="I1434" i="14" a="1"/>
  <c r="I1434" i="14" s="1"/>
  <c r="I1495" i="14" a="1"/>
  <c r="I1495" i="14" s="1"/>
  <c r="I357" i="14" a="1"/>
  <c r="I357" i="14" s="1"/>
  <c r="I211" i="14" a="1"/>
  <c r="I211" i="14" s="1"/>
  <c r="I274" i="14" a="1"/>
  <c r="I274" i="14" s="1"/>
  <c r="I1408" i="14" a="1"/>
  <c r="I1408" i="14" s="1"/>
  <c r="I1492" i="14" a="1"/>
  <c r="I1492" i="14" s="1"/>
  <c r="I174" i="14" a="1"/>
  <c r="I174" i="14" s="1"/>
  <c r="I199" i="14" a="1"/>
  <c r="I199" i="14" s="1"/>
  <c r="I123" i="14" a="1"/>
  <c r="I123" i="14" s="1"/>
  <c r="I1387" i="14" a="1"/>
  <c r="I1387" i="14" s="1"/>
  <c r="I1491" i="14" a="1"/>
  <c r="I1491" i="14" s="1"/>
  <c r="I154" i="14" a="1"/>
  <c r="I154" i="14" s="1"/>
  <c r="I48" i="14" a="1"/>
  <c r="I48" i="14" s="1"/>
  <c r="I201" i="14" a="1"/>
  <c r="I201" i="14" s="1"/>
  <c r="I1385" i="14" a="1"/>
  <c r="I1385" i="14" s="1"/>
  <c r="I1462" i="14" a="1"/>
  <c r="I1462" i="14" s="1"/>
  <c r="I71" i="14" a="1"/>
  <c r="I71" i="14" s="1"/>
  <c r="I252" i="14" a="1"/>
  <c r="I252" i="14" s="1"/>
  <c r="I1395" i="14" a="1"/>
  <c r="I1395" i="14" s="1"/>
  <c r="I1466" i="14" a="1"/>
  <c r="I1466" i="14" s="1"/>
  <c r="I334" i="14" a="1"/>
  <c r="I334" i="14" s="1"/>
  <c r="I1276" i="14" a="1"/>
  <c r="I1276" i="14" s="1"/>
  <c r="I1444" i="14" a="1"/>
  <c r="I1444" i="14" s="1"/>
  <c r="I101" i="14" a="1"/>
  <c r="I101" i="14" s="1"/>
  <c r="I1038" i="14" a="1"/>
  <c r="I1038" i="14" s="1"/>
  <c r="I1032" i="14" a="1"/>
  <c r="I1032" i="14" s="1"/>
  <c r="I1135" i="14" a="1"/>
  <c r="I1135" i="14" s="1"/>
  <c r="I1138" i="14" a="1"/>
  <c r="I1138" i="14" s="1"/>
  <c r="I958" i="14" a="1"/>
  <c r="I958" i="14" s="1"/>
  <c r="I1166" i="14" a="1"/>
  <c r="I1166" i="14" s="1"/>
  <c r="I1149" i="14" a="1"/>
  <c r="I1149" i="14" s="1"/>
  <c r="I859" i="14" a="1"/>
  <c r="I859" i="14" s="1"/>
  <c r="I774" i="14" a="1"/>
  <c r="I774" i="14" s="1"/>
  <c r="I1125" i="14" a="1"/>
  <c r="I1125" i="14" s="1"/>
  <c r="I1016" i="14" a="1"/>
  <c r="I1016" i="14" s="1"/>
  <c r="I986" i="14" a="1"/>
  <c r="I986" i="14" s="1"/>
  <c r="I1129" i="14" a="1"/>
  <c r="I1129" i="14" s="1"/>
  <c r="I1121" i="14" a="1"/>
  <c r="I1121" i="14" s="1"/>
  <c r="I938" i="14" a="1"/>
  <c r="I938" i="14" s="1"/>
  <c r="I1090" i="14" a="1"/>
  <c r="I1090" i="14" s="1"/>
  <c r="I1123" i="14" a="1"/>
  <c r="I1123" i="14" s="1"/>
  <c r="I789" i="14" a="1"/>
  <c r="I789" i="14" s="1"/>
  <c r="I756" i="14" a="1"/>
  <c r="I756" i="14" s="1"/>
  <c r="I1063" i="14" a="1"/>
  <c r="I1063" i="14" s="1"/>
  <c r="I1173" i="14" a="1"/>
  <c r="I1173" i="14" s="1"/>
  <c r="I1158" i="14" a="1"/>
  <c r="I1158" i="14" s="1"/>
  <c r="I815" i="14" a="1"/>
  <c r="I815" i="14" s="1"/>
  <c r="I781" i="14" a="1"/>
  <c r="I781" i="14" s="1"/>
  <c r="I1147" i="14" a="1"/>
  <c r="I1147" i="14" s="1"/>
  <c r="J298" i="14" a="1"/>
  <c r="J298" i="14" s="1"/>
  <c r="J1362" i="14" a="1"/>
  <c r="J1362" i="14" s="1"/>
  <c r="J1441" i="14" a="1"/>
  <c r="J1441" i="14" s="1"/>
  <c r="J76" i="14" a="1"/>
  <c r="J76" i="14" s="1"/>
  <c r="J294" i="14" a="1"/>
  <c r="J294" i="14" s="1"/>
  <c r="J1369" i="14" a="1"/>
  <c r="J1369" i="14" s="1"/>
  <c r="J1451" i="14" a="1"/>
  <c r="J1451" i="14" s="1"/>
  <c r="J72" i="14" a="1"/>
  <c r="J72" i="14" s="1"/>
  <c r="J92" i="14" a="1"/>
  <c r="J92" i="14" s="1"/>
  <c r="J316" i="14" a="1"/>
  <c r="J316" i="14" s="1"/>
  <c r="J1351" i="14" a="1"/>
  <c r="J1351" i="14" s="1"/>
  <c r="J1452" i="14" a="1"/>
  <c r="J1452" i="14" s="1"/>
  <c r="J743" i="14" a="1"/>
  <c r="J743" i="14" s="1"/>
  <c r="J320" i="14" a="1"/>
  <c r="J320" i="14" s="1"/>
  <c r="J36" i="14" a="1"/>
  <c r="J36" i="14" s="1"/>
  <c r="J1424" i="14" a="1"/>
  <c r="J1424" i="14" s="1"/>
  <c r="J1489" i="14" a="1"/>
  <c r="J1489" i="14" s="1"/>
  <c r="J279" i="14" a="1"/>
  <c r="J279" i="14" s="1"/>
  <c r="J281" i="14" a="1"/>
  <c r="J281" i="14" s="1"/>
  <c r="J1394" i="14" a="1"/>
  <c r="J1394" i="14" s="1"/>
  <c r="J1480" i="14" a="1"/>
  <c r="J1480" i="14" s="1"/>
  <c r="J249" i="14" a="1"/>
  <c r="J249" i="14" s="1"/>
  <c r="J307" i="14" a="1"/>
  <c r="J307" i="14" s="1"/>
  <c r="J51" i="14" a="1"/>
  <c r="J51" i="14" s="1"/>
  <c r="J1403" i="14" a="1"/>
  <c r="J1403" i="14" s="1"/>
  <c r="J1483" i="14" a="1"/>
  <c r="J1483" i="14" s="1"/>
  <c r="J256" i="14" a="1"/>
  <c r="J256" i="14" s="1"/>
  <c r="J302" i="14" a="1"/>
  <c r="J302" i="14" s="1"/>
  <c r="J37" i="14" a="1"/>
  <c r="J37" i="14" s="1"/>
  <c r="J1397" i="14" a="1"/>
  <c r="J1397" i="14" s="1"/>
  <c r="J1481" i="14" a="1"/>
  <c r="J1481" i="14" s="1"/>
  <c r="J257" i="14" a="1"/>
  <c r="J257" i="14" s="1"/>
  <c r="J332" i="14" a="1"/>
  <c r="J332" i="14" s="1"/>
  <c r="J41" i="14" a="1"/>
  <c r="J41" i="14" s="1"/>
  <c r="J1427" i="14" a="1"/>
  <c r="J1427" i="14" s="1"/>
  <c r="J1488" i="14" a="1"/>
  <c r="J1488" i="14" s="1"/>
  <c r="J292" i="14" a="1"/>
  <c r="J292" i="14" s="1"/>
  <c r="J413" i="14" a="1"/>
  <c r="J413" i="14" s="1"/>
  <c r="J1365" i="14" a="1"/>
  <c r="J1365" i="14" s="1"/>
  <c r="J1448" i="14" a="1"/>
  <c r="J1448" i="14" s="1"/>
  <c r="J110" i="14" a="1"/>
  <c r="J110" i="14" s="1"/>
  <c r="J293" i="14" a="1"/>
  <c r="J293" i="14" s="1"/>
  <c r="J1380" i="14" a="1"/>
  <c r="J1380" i="14" s="1"/>
  <c r="J1479" i="14" a="1"/>
  <c r="J1479" i="14" s="1"/>
  <c r="J251" i="14" a="1"/>
  <c r="J251" i="14" s="1"/>
  <c r="J718" i="14" a="1"/>
  <c r="J718" i="14" s="1"/>
  <c r="J1052" i="14" a="1"/>
  <c r="J1052" i="14" s="1"/>
  <c r="J1155" i="14" a="1"/>
  <c r="J1155" i="14" s="1"/>
  <c r="J1190" i="14" a="1"/>
  <c r="J1190" i="14" s="1"/>
  <c r="J739" i="14" a="1"/>
  <c r="J739" i="14" s="1"/>
  <c r="J687" i="14" a="1"/>
  <c r="J687" i="14" s="1"/>
  <c r="J955" i="14" a="1"/>
  <c r="J955" i="14" s="1"/>
  <c r="J1237" i="14" a="1"/>
  <c r="J1237" i="14" s="1"/>
  <c r="J1259" i="14" a="1"/>
  <c r="J1259" i="14" s="1"/>
  <c r="J599" i="14" a="1"/>
  <c r="J599" i="14" s="1"/>
  <c r="J589" i="14" a="1"/>
  <c r="J589" i="14" s="1"/>
  <c r="J855" i="14" a="1"/>
  <c r="J855" i="14" s="1"/>
  <c r="J1221" i="14" a="1"/>
  <c r="J1221" i="14" s="1"/>
  <c r="J1282" i="14" a="1"/>
  <c r="J1282" i="14" s="1"/>
  <c r="J615" i="14" a="1"/>
  <c r="J615" i="14" s="1"/>
  <c r="J623" i="14" a="1"/>
  <c r="J623" i="14" s="1"/>
  <c r="J907" i="14" a="1"/>
  <c r="J907" i="14" s="1"/>
  <c r="J1219" i="14" a="1"/>
  <c r="J1219" i="14" s="1"/>
  <c r="J1292" i="14" a="1"/>
  <c r="J1292" i="14" s="1"/>
  <c r="J677" i="14" a="1"/>
  <c r="J677" i="14" s="1"/>
  <c r="J1423" i="14" a="1"/>
  <c r="J1423" i="14" s="1"/>
  <c r="J1456" i="14" a="1"/>
  <c r="J1456" i="14" s="1"/>
  <c r="J79" i="14" a="1"/>
  <c r="J79" i="14" s="1"/>
  <c r="J1447" i="14" a="1"/>
  <c r="J1447" i="14" s="1"/>
  <c r="J1399" i="14" a="1"/>
  <c r="J1399" i="14" s="1"/>
  <c r="J1411" i="14" a="1"/>
  <c r="J1411" i="14" s="1"/>
  <c r="J97" i="14" a="1"/>
  <c r="J97" i="14" s="1"/>
  <c r="J1406" i="14" a="1"/>
  <c r="J1406" i="14" s="1"/>
  <c r="J1249" i="14" a="1"/>
  <c r="J1249" i="14" s="1"/>
  <c r="J1299" i="14" a="1"/>
  <c r="J1299" i="14" s="1"/>
  <c r="J497" i="14" a="1"/>
  <c r="J497" i="14" s="1"/>
  <c r="J507" i="14" a="1"/>
  <c r="J507" i="14" s="1"/>
  <c r="J1247" i="14" a="1"/>
  <c r="J1247" i="14" s="1"/>
  <c r="J1370" i="14" a="1"/>
  <c r="J1370" i="14" s="1"/>
  <c r="J1381" i="14" a="1"/>
  <c r="J1381" i="14" s="1"/>
  <c r="J89" i="14" a="1"/>
  <c r="J89" i="14" s="1"/>
  <c r="J1396" i="14" a="1"/>
  <c r="J1396" i="14" s="1"/>
  <c r="J163" i="14" a="1"/>
  <c r="J163" i="14" s="1"/>
  <c r="J52" i="14" a="1"/>
  <c r="J52" i="14" s="1"/>
  <c r="J1371" i="14" a="1"/>
  <c r="J1371" i="14" s="1"/>
  <c r="J1338" i="14" a="1"/>
  <c r="J1338" i="14" s="1"/>
  <c r="J172" i="14" a="1"/>
  <c r="J172" i="14" s="1"/>
  <c r="J193" i="14" a="1"/>
  <c r="J193" i="14" s="1"/>
  <c r="J369" i="14" a="1"/>
  <c r="J369" i="14" s="1"/>
  <c r="J1353" i="14" a="1"/>
  <c r="J1353" i="14" s="1"/>
  <c r="J1341" i="14" a="1"/>
  <c r="J1341" i="14" s="1"/>
  <c r="J207" i="14" a="1"/>
  <c r="J207" i="14" s="1"/>
  <c r="J95" i="14" a="1"/>
  <c r="J95" i="14" s="1"/>
  <c r="J1234" i="14" a="1"/>
  <c r="J1234" i="14" s="1"/>
  <c r="J1334" i="14" a="1"/>
  <c r="J1334" i="14" s="1"/>
  <c r="J1430" i="14" a="1"/>
  <c r="J1430" i="14" s="1"/>
  <c r="J87" i="14" a="1"/>
  <c r="J87" i="14" s="1"/>
  <c r="J658" i="14" a="1"/>
  <c r="J658" i="14" s="1"/>
  <c r="J833" i="14" a="1"/>
  <c r="J833" i="14" s="1"/>
  <c r="J1306" i="14" a="1"/>
  <c r="J1306" i="14" s="1"/>
  <c r="J1287" i="14" a="1"/>
  <c r="J1287" i="14" s="1"/>
  <c r="J803" i="14" a="1"/>
  <c r="J803" i="14" s="1"/>
  <c r="J807" i="14" a="1"/>
  <c r="J807" i="14" s="1"/>
  <c r="J984" i="14" a="1"/>
  <c r="J984" i="14" s="1"/>
  <c r="J1325" i="14" a="1"/>
  <c r="J1325" i="14" s="1"/>
  <c r="J1313" i="14" a="1"/>
  <c r="J1313" i="14" s="1"/>
  <c r="J988" i="14" a="1"/>
  <c r="J988" i="14" s="1"/>
  <c r="J716" i="14" a="1"/>
  <c r="J716" i="14" s="1"/>
  <c r="J875" i="14" a="1"/>
  <c r="J875" i="14" s="1"/>
  <c r="J1336" i="14" a="1"/>
  <c r="J1336" i="14" s="1"/>
  <c r="J1315" i="14" a="1"/>
  <c r="J1315" i="14" s="1"/>
  <c r="J869" i="14" a="1"/>
  <c r="J869" i="14" s="1"/>
  <c r="J720" i="14" a="1"/>
  <c r="J720" i="14" s="1"/>
  <c r="J885" i="14" a="1"/>
  <c r="J885" i="14" s="1"/>
  <c r="J1319" i="14" a="1"/>
  <c r="J1319" i="14" s="1"/>
  <c r="J1284" i="14" a="1"/>
  <c r="J1284" i="14" s="1"/>
  <c r="J881" i="14" a="1"/>
  <c r="J881" i="14" s="1"/>
  <c r="J1450" i="14" a="1"/>
  <c r="J1450" i="14" s="1"/>
  <c r="J1478" i="14" a="1"/>
  <c r="J1478" i="14" s="1"/>
  <c r="J88" i="14" a="1"/>
  <c r="J88" i="14" s="1"/>
  <c r="J1465" i="14" a="1"/>
  <c r="J1465" i="14" s="1"/>
  <c r="J260" i="14" a="1"/>
  <c r="J260" i="14" s="1"/>
  <c r="J447" i="14" a="1"/>
  <c r="J447" i="14" s="1"/>
  <c r="J7" i="14" a="1"/>
  <c r="J7" i="14" s="1"/>
  <c r="J1359" i="14" a="1"/>
  <c r="J1359" i="14" s="1"/>
  <c r="J271" i="14" a="1"/>
  <c r="J271" i="14" s="1"/>
  <c r="J700" i="14" a="1"/>
  <c r="J700" i="14" s="1"/>
  <c r="J866" i="14" a="1"/>
  <c r="J866" i="14" s="1"/>
  <c r="J1305" i="14" a="1"/>
  <c r="J1305" i="14" s="1"/>
  <c r="J1295" i="14" a="1"/>
  <c r="J1295" i="14" s="1"/>
  <c r="J818" i="14" a="1"/>
  <c r="J818" i="14" s="1"/>
  <c r="J724" i="14" a="1"/>
  <c r="J724" i="14" s="1"/>
  <c r="J883" i="14" a="1"/>
  <c r="J883" i="14" s="1"/>
  <c r="J1329" i="14" a="1"/>
  <c r="J1329" i="14" s="1"/>
  <c r="J1383" i="14" a="1"/>
  <c r="J1383" i="14" s="1"/>
  <c r="J733" i="14" a="1"/>
  <c r="J733" i="14" s="1"/>
  <c r="J382" i="14" a="1"/>
  <c r="J382" i="14" s="1"/>
  <c r="J20" i="14" a="1"/>
  <c r="J20" i="14" s="1"/>
  <c r="J1434" i="14" a="1"/>
  <c r="J1434" i="14" s="1"/>
  <c r="J1495" i="14" a="1"/>
  <c r="J1495" i="14" s="1"/>
  <c r="J357" i="14" a="1"/>
  <c r="J357" i="14" s="1"/>
  <c r="J211" i="14" a="1"/>
  <c r="J211" i="14" s="1"/>
  <c r="J274" i="14" a="1"/>
  <c r="J274" i="14" s="1"/>
  <c r="J1408" i="14" a="1"/>
  <c r="J1408" i="14" s="1"/>
  <c r="J1492" i="14" a="1"/>
  <c r="J1492" i="14" s="1"/>
  <c r="J174" i="14" a="1"/>
  <c r="J174" i="14" s="1"/>
  <c r="J199" i="14" a="1"/>
  <c r="J199" i="14" s="1"/>
  <c r="J123" i="14" a="1"/>
  <c r="J123" i="14" s="1"/>
  <c r="J1387" i="14" a="1"/>
  <c r="J1387" i="14" s="1"/>
  <c r="J1491" i="14" a="1"/>
  <c r="J1491" i="14" s="1"/>
  <c r="J154" i="14" a="1"/>
  <c r="J154" i="14" s="1"/>
  <c r="J48" i="14" a="1"/>
  <c r="J48" i="14" s="1"/>
  <c r="J201" i="14" a="1"/>
  <c r="J201" i="14" s="1"/>
  <c r="J1385" i="14" a="1"/>
  <c r="J1385" i="14" s="1"/>
  <c r="J1462" i="14" a="1"/>
  <c r="J1462" i="14" s="1"/>
  <c r="J71" i="14" a="1"/>
  <c r="J71" i="14" s="1"/>
  <c r="J252" i="14" a="1"/>
  <c r="J252" i="14" s="1"/>
  <c r="J1395" i="14" a="1"/>
  <c r="J1395" i="14" s="1"/>
  <c r="J1466" i="14" a="1"/>
  <c r="J1466" i="14" s="1"/>
  <c r="J334" i="14" a="1"/>
  <c r="J334" i="14" s="1"/>
  <c r="J1276" i="14" a="1"/>
  <c r="J1276" i="14" s="1"/>
  <c r="J1444" i="14" a="1"/>
  <c r="J1444" i="14" s="1"/>
  <c r="J101" i="14" a="1"/>
  <c r="J101" i="14" s="1"/>
  <c r="J1038" i="14" a="1"/>
  <c r="J1038" i="14" s="1"/>
  <c r="J1032" i="14" a="1"/>
  <c r="J1032" i="14" s="1"/>
  <c r="J1135" i="14" a="1"/>
  <c r="J1135" i="14" s="1"/>
  <c r="J1138" i="14" a="1"/>
  <c r="J1138" i="14" s="1"/>
  <c r="J958" i="14" a="1"/>
  <c r="J958" i="14" s="1"/>
  <c r="J1166" i="14" a="1"/>
  <c r="J1166" i="14" s="1"/>
  <c r="J1149" i="14" a="1"/>
  <c r="J1149" i="14" s="1"/>
  <c r="J859" i="14" a="1"/>
  <c r="J859" i="14" s="1"/>
  <c r="J774" i="14" a="1"/>
  <c r="J774" i="14" s="1"/>
  <c r="J1125" i="14" a="1"/>
  <c r="J1125" i="14" s="1"/>
  <c r="J1016" i="14" a="1"/>
  <c r="J1016" i="14" s="1"/>
  <c r="J986" i="14" a="1"/>
  <c r="J986" i="14" s="1"/>
  <c r="J1129" i="14" a="1"/>
  <c r="J1129" i="14" s="1"/>
  <c r="J1121" i="14" a="1"/>
  <c r="J1121" i="14" s="1"/>
  <c r="J938" i="14" a="1"/>
  <c r="J938" i="14" s="1"/>
  <c r="J1090" i="14" a="1"/>
  <c r="J1090" i="14" s="1"/>
  <c r="J1123" i="14" a="1"/>
  <c r="J1123" i="14" s="1"/>
  <c r="J789" i="14" a="1"/>
  <c r="J789" i="14" s="1"/>
  <c r="J756" i="14" a="1"/>
  <c r="J756" i="14" s="1"/>
  <c r="J1063" i="14" a="1"/>
  <c r="J1063" i="14" s="1"/>
  <c r="J1173" i="14" a="1"/>
  <c r="J1173" i="14" s="1"/>
  <c r="J1158" i="14" a="1"/>
  <c r="J1158" i="14" s="1"/>
  <c r="J815" i="14" a="1"/>
  <c r="J815" i="14" s="1"/>
  <c r="J781" i="14" a="1"/>
  <c r="J781" i="14" s="1"/>
  <c r="J1147" i="14" a="1"/>
  <c r="J1147" i="14" s="1"/>
  <c r="I55" i="14" a="1"/>
  <c r="I55" i="14" s="1"/>
  <c r="I671" i="14" a="1"/>
  <c r="I671" i="14" s="1"/>
  <c r="I107" i="14" a="1"/>
  <c r="I107" i="14" s="1"/>
  <c r="I190" i="14" a="1"/>
  <c r="I190" i="14" s="1"/>
  <c r="I93" i="14" a="1"/>
  <c r="I93" i="14" s="1"/>
  <c r="I719" i="14" a="1"/>
  <c r="I719" i="14" s="1"/>
  <c r="I164" i="14" a="1"/>
  <c r="I164" i="14" s="1"/>
  <c r="I259" i="14" a="1"/>
  <c r="I259" i="14" s="1"/>
  <c r="I703" i="14" a="1"/>
  <c r="I703" i="14" s="1"/>
  <c r="I75" i="14" a="1"/>
  <c r="I75" i="14" s="1"/>
  <c r="I138" i="14" a="1"/>
  <c r="I138" i="14" s="1"/>
  <c r="I443" i="14" a="1"/>
  <c r="I443" i="14" s="1"/>
  <c r="I475" i="14" a="1"/>
  <c r="I475" i="14" s="1"/>
  <c r="I990" i="14" a="1"/>
  <c r="I990" i="14" s="1"/>
  <c r="I376" i="14" a="1"/>
  <c r="I376" i="14" s="1"/>
  <c r="I463" i="14" a="1"/>
  <c r="I463" i="14" s="1"/>
  <c r="I361" i="14" a="1"/>
  <c r="I361" i="14" s="1"/>
  <c r="I472" i="14" a="1"/>
  <c r="I472" i="14" s="1"/>
  <c r="I997" i="14" a="1"/>
  <c r="I997" i="14" s="1"/>
  <c r="I375" i="14" a="1"/>
  <c r="I375" i="14" s="1"/>
  <c r="I440" i="14" a="1"/>
  <c r="I440" i="14" s="1"/>
  <c r="I336" i="14" a="1"/>
  <c r="I336" i="14" s="1"/>
  <c r="I518" i="14" a="1"/>
  <c r="I518" i="14" s="1"/>
  <c r="I1044" i="14" a="1"/>
  <c r="I1044" i="14" s="1"/>
  <c r="I388" i="14" a="1"/>
  <c r="I388" i="14" s="1"/>
  <c r="I460" i="14" a="1"/>
  <c r="I460" i="14" s="1"/>
  <c r="I344" i="14" a="1"/>
  <c r="I344" i="14" s="1"/>
  <c r="I480" i="14" a="1"/>
  <c r="I480" i="14" s="1"/>
  <c r="I1049" i="14" a="1"/>
  <c r="I1049" i="14" s="1"/>
  <c r="I387" i="14" a="1"/>
  <c r="I387" i="14" s="1"/>
  <c r="I456" i="14" a="1"/>
  <c r="I456" i="14" s="1"/>
  <c r="I343" i="14" a="1"/>
  <c r="I343" i="14" s="1"/>
  <c r="I476" i="14" a="1"/>
  <c r="I476" i="14" s="1"/>
  <c r="I1011" i="14" a="1"/>
  <c r="I1011" i="14" s="1"/>
  <c r="I379" i="14" a="1"/>
  <c r="I379" i="14" s="1"/>
  <c r="I467" i="14" a="1"/>
  <c r="I467" i="14" s="1"/>
  <c r="I364" i="14" a="1"/>
  <c r="I364" i="14" s="1"/>
  <c r="I165" i="14" a="1"/>
  <c r="I165" i="14" s="1"/>
  <c r="I663" i="14" a="1"/>
  <c r="I663" i="14" s="1"/>
  <c r="I127" i="14" a="1"/>
  <c r="I127" i="14" s="1"/>
  <c r="I222" i="14" a="1"/>
  <c r="I222" i="14" s="1"/>
  <c r="I490" i="14" a="1"/>
  <c r="I490" i="14" s="1"/>
  <c r="I1051" i="14" a="1"/>
  <c r="I1051" i="14" s="1"/>
  <c r="I53" i="14" a="1"/>
  <c r="I53" i="14" s="1"/>
  <c r="I446" i="14" a="1"/>
  <c r="I446" i="14" s="1"/>
  <c r="I335" i="14" a="1"/>
  <c r="I335" i="14" s="1"/>
  <c r="I1103" i="14" a="1"/>
  <c r="I1103" i="14" s="1"/>
  <c r="I649" i="14" a="1"/>
  <c r="I649" i="14" s="1"/>
  <c r="I748" i="14" a="1"/>
  <c r="I748" i="14" s="1"/>
  <c r="I709" i="14" a="1"/>
  <c r="I709" i="14" s="1"/>
  <c r="I1053" i="14" a="1"/>
  <c r="I1053" i="14" s="1"/>
  <c r="I1236" i="14" a="1"/>
  <c r="I1236" i="14" s="1"/>
  <c r="I538" i="14" a="1"/>
  <c r="I538" i="14" s="1"/>
  <c r="I591" i="14" a="1"/>
  <c r="I591" i="14" s="1"/>
  <c r="I618" i="14" a="1"/>
  <c r="I618" i="14" s="1"/>
  <c r="I949" i="14" a="1"/>
  <c r="I949" i="14" s="1"/>
  <c r="I452" i="14" a="1"/>
  <c r="I452" i="14" s="1"/>
  <c r="I433" i="14" a="1"/>
  <c r="I433" i="14" s="1"/>
  <c r="I516" i="14" a="1"/>
  <c r="I516" i="14" s="1"/>
  <c r="I561" i="14" a="1"/>
  <c r="I561" i="14" s="1"/>
  <c r="I940" i="14" a="1"/>
  <c r="I940" i="14" s="1"/>
  <c r="I426" i="14" a="1"/>
  <c r="I426" i="14" s="1"/>
  <c r="I459" i="14" a="1"/>
  <c r="I459" i="14" s="1"/>
  <c r="I527" i="14" a="1"/>
  <c r="I527" i="14" s="1"/>
  <c r="I584" i="14" a="1"/>
  <c r="I584" i="14" s="1"/>
  <c r="I1477" i="14" a="1"/>
  <c r="I1477" i="14" s="1"/>
  <c r="I1183" i="14" a="1"/>
  <c r="I1183" i="14" s="1"/>
  <c r="I1297" i="14" a="1"/>
  <c r="I1297" i="14" s="1"/>
  <c r="I1321" i="14" a="1"/>
  <c r="I1321" i="14" s="1"/>
  <c r="I1418" i="14" a="1"/>
  <c r="I1418" i="14" s="1"/>
  <c r="I1453" i="14" a="1"/>
  <c r="I1453" i="14" s="1"/>
  <c r="I1143" i="14" a="1"/>
  <c r="I1143" i="14" s="1"/>
  <c r="I1374" i="14" a="1"/>
  <c r="I1374" i="14" s="1"/>
  <c r="I1375" i="14" a="1"/>
  <c r="I1375" i="14" s="1"/>
  <c r="I1273" i="14" a="1"/>
  <c r="I1273" i="14" s="1"/>
  <c r="I1350" i="14" a="1"/>
  <c r="I1350" i="14" s="1"/>
  <c r="I754" i="14" a="1"/>
  <c r="I754" i="14" s="1"/>
  <c r="I455" i="14" a="1"/>
  <c r="I455" i="14" s="1"/>
  <c r="I1229" i="14" a="1"/>
  <c r="I1229" i="14" s="1"/>
  <c r="I1245" i="14" a="1"/>
  <c r="I1245" i="14" s="1"/>
  <c r="I1454" i="14" a="1"/>
  <c r="I1454" i="14" s="1"/>
  <c r="I1156" i="14" a="1"/>
  <c r="I1156" i="14" s="1"/>
  <c r="I1372" i="14" a="1"/>
  <c r="I1372" i="14" s="1"/>
  <c r="I6" i="14" a="1"/>
  <c r="I6" i="14" s="1"/>
  <c r="I1277" i="14" a="1"/>
  <c r="I1277" i="14" s="1"/>
  <c r="I227" i="14" a="1"/>
  <c r="I227" i="14" s="1"/>
  <c r="I648" i="14" a="1"/>
  <c r="I648" i="14" s="1"/>
  <c r="I18" i="14" a="1"/>
  <c r="I18" i="14" s="1"/>
  <c r="I118" i="14" a="1"/>
  <c r="I118" i="14" s="1"/>
  <c r="I196" i="14" a="1"/>
  <c r="I196" i="14" s="1"/>
  <c r="I713" i="14" a="1"/>
  <c r="I713" i="14" s="1"/>
  <c r="I23" i="14" a="1"/>
  <c r="I23" i="14" s="1"/>
  <c r="I145" i="14" a="1"/>
  <c r="I145" i="14" s="1"/>
  <c r="I44" i="14" a="1"/>
  <c r="I44" i="14" s="1"/>
  <c r="I729" i="14" a="1"/>
  <c r="I729" i="14" s="1"/>
  <c r="I85" i="14" a="1"/>
  <c r="I85" i="14" s="1"/>
  <c r="I157" i="14" a="1"/>
  <c r="I157" i="14" s="1"/>
  <c r="I46" i="14" a="1"/>
  <c r="I46" i="14" s="1"/>
  <c r="I758" i="14" a="1"/>
  <c r="I758" i="14" s="1"/>
  <c r="I489" i="14" a="1"/>
  <c r="I489" i="14" s="1"/>
  <c r="I449" i="14" a="1"/>
  <c r="I449" i="14" s="1"/>
  <c r="I629" i="14" a="1"/>
  <c r="I629" i="14" s="1"/>
  <c r="I605" i="14" a="1"/>
  <c r="I605" i="14" s="1"/>
  <c r="I306" i="14" a="1"/>
  <c r="I306" i="14" s="1"/>
  <c r="I521" i="14" a="1"/>
  <c r="I521" i="14" s="1"/>
  <c r="I608" i="14" a="1"/>
  <c r="I608" i="14" s="1"/>
  <c r="I746" i="14" a="1"/>
  <c r="I746" i="14" s="1"/>
  <c r="I777" i="14" a="1"/>
  <c r="I777" i="14" s="1"/>
  <c r="I276" i="14" a="1"/>
  <c r="I276" i="14" s="1"/>
  <c r="I483" i="14" a="1"/>
  <c r="I483" i="14" s="1"/>
  <c r="I546" i="14" a="1"/>
  <c r="I546" i="14" s="1"/>
  <c r="I625" i="14" a="1"/>
  <c r="I625" i="14" s="1"/>
  <c r="I682" i="14" a="1"/>
  <c r="I682" i="14" s="1"/>
  <c r="I231" i="14" a="1"/>
  <c r="I231" i="14" s="1"/>
  <c r="I525" i="14" a="1"/>
  <c r="I525" i="14" s="1"/>
  <c r="I548" i="14" a="1"/>
  <c r="I548" i="14" s="1"/>
  <c r="I633" i="14" a="1"/>
  <c r="I633" i="14" s="1"/>
  <c r="I689" i="14" a="1"/>
  <c r="I689" i="14" s="1"/>
  <c r="I1484" i="14" a="1"/>
  <c r="I1484" i="14" s="1"/>
  <c r="I1189" i="14" a="1"/>
  <c r="I1189" i="14" s="1"/>
  <c r="I1339" i="14" a="1"/>
  <c r="I1339" i="14" s="1"/>
  <c r="I1358" i="14" a="1"/>
  <c r="I1358" i="14" s="1"/>
  <c r="I1445" i="14" a="1"/>
  <c r="I1445" i="14" s="1"/>
  <c r="I250" i="14" a="1"/>
  <c r="I250" i="14" s="1"/>
  <c r="I749" i="14" a="1"/>
  <c r="I749" i="14" s="1"/>
  <c r="I19" i="14" a="1"/>
  <c r="I19" i="14" s="1"/>
  <c r="I214" i="14" a="1"/>
  <c r="I214" i="14" s="1"/>
  <c r="I771" i="14" a="1"/>
  <c r="I771" i="14" s="1"/>
  <c r="I494" i="14" a="1"/>
  <c r="I494" i="14" s="1"/>
  <c r="I402" i="14" a="1"/>
  <c r="I402" i="14" s="1"/>
  <c r="I673" i="14" a="1"/>
  <c r="I673" i="14" s="1"/>
  <c r="I639" i="14" a="1"/>
  <c r="I639" i="14" s="1"/>
  <c r="I253" i="14" a="1"/>
  <c r="I253" i="14" s="1"/>
  <c r="I543" i="14" a="1"/>
  <c r="I543" i="14" s="1"/>
  <c r="I29" i="14" a="1"/>
  <c r="I29" i="14" s="1"/>
  <c r="I640" i="14" a="1"/>
  <c r="I640" i="14" s="1"/>
  <c r="I542" i="14" a="1"/>
  <c r="I542" i="14" s="1"/>
  <c r="I499" i="14" a="1"/>
  <c r="I499" i="14" s="1"/>
  <c r="I1046" i="14" a="1"/>
  <c r="I1046" i="14" s="1"/>
  <c r="I445" i="14" a="1"/>
  <c r="I445" i="14" s="1"/>
  <c r="I514" i="14" a="1"/>
  <c r="I514" i="14" s="1"/>
  <c r="I409" i="14" a="1"/>
  <c r="I409" i="14" s="1"/>
  <c r="I377" i="14" a="1"/>
  <c r="I377" i="14" s="1"/>
  <c r="I1018" i="14" a="1"/>
  <c r="I1018" i="14" s="1"/>
  <c r="I235" i="14" a="1"/>
  <c r="I235" i="14" s="1"/>
  <c r="I407" i="14" a="1"/>
  <c r="I407" i="14" s="1"/>
  <c r="I352" i="14" a="1"/>
  <c r="I352" i="14" s="1"/>
  <c r="I1027" i="14" a="1"/>
  <c r="I1027" i="14" s="1"/>
  <c r="I226" i="14" a="1"/>
  <c r="I226" i="14" s="1"/>
  <c r="I394" i="14" a="1"/>
  <c r="I394" i="14" s="1"/>
  <c r="I237" i="14" a="1"/>
  <c r="I237" i="14" s="1"/>
  <c r="I786" i="14" a="1"/>
  <c r="I786" i="14" s="1"/>
  <c r="I738" i="14" a="1"/>
  <c r="I738" i="14" s="1"/>
  <c r="I141" i="14" a="1"/>
  <c r="I141" i="14" s="1"/>
  <c r="I69" i="14" a="1"/>
  <c r="I69" i="14" s="1"/>
  <c r="I806" i="14" a="1"/>
  <c r="I806" i="14" s="1"/>
  <c r="I740" i="14" a="1"/>
  <c r="I740" i="14" s="1"/>
  <c r="I173" i="14" a="1"/>
  <c r="I173" i="14" s="1"/>
  <c r="I102" i="14" a="1"/>
  <c r="I102" i="14" s="1"/>
  <c r="I487" i="14" a="1"/>
  <c r="I487" i="14" s="1"/>
  <c r="I708" i="14" a="1"/>
  <c r="I708" i="14" s="1"/>
  <c r="I119" i="14" a="1"/>
  <c r="I119" i="14" s="1"/>
  <c r="I213" i="14" a="1"/>
  <c r="I213" i="14" s="1"/>
  <c r="I1197" i="14" a="1"/>
  <c r="I1197" i="14" s="1"/>
  <c r="I80" i="14" a="1"/>
  <c r="I80" i="14" s="1"/>
  <c r="I711" i="14" a="1"/>
  <c r="I711" i="14" s="1"/>
  <c r="I927" i="14" a="1"/>
  <c r="I927" i="14" s="1"/>
  <c r="I1003" i="14" a="1"/>
  <c r="I1003" i="14" s="1"/>
  <c r="I1261" i="14" a="1"/>
  <c r="I1261" i="14" s="1"/>
  <c r="I340" i="14" a="1"/>
  <c r="I340" i="14" s="1"/>
  <c r="I888" i="14" a="1"/>
  <c r="I888" i="14" s="1"/>
  <c r="I1014" i="14" a="1"/>
  <c r="I1014" i="14" s="1"/>
  <c r="I1077" i="14" a="1"/>
  <c r="I1077" i="14" s="1"/>
  <c r="I1194" i="14" a="1"/>
  <c r="I1194" i="14" s="1"/>
  <c r="I56" i="14" a="1"/>
  <c r="I56" i="14" s="1"/>
  <c r="I668" i="14" a="1"/>
  <c r="I668" i="14" s="1"/>
  <c r="I908" i="14" a="1"/>
  <c r="I908" i="14" s="1"/>
  <c r="I965" i="14" a="1"/>
  <c r="I965" i="14" s="1"/>
  <c r="I1252" i="14" a="1"/>
  <c r="I1252" i="14" s="1"/>
  <c r="I246" i="14" a="1"/>
  <c r="I246" i="14" s="1"/>
  <c r="I59" i="14" a="1"/>
  <c r="I59" i="14" s="1"/>
  <c r="I1034" i="14" a="1"/>
  <c r="I1034" i="14" s="1"/>
  <c r="I1119" i="14" a="1"/>
  <c r="I1119" i="14" s="1"/>
  <c r="I1260" i="14" a="1"/>
  <c r="I1260" i="14" s="1"/>
  <c r="I349" i="14" a="1"/>
  <c r="I349" i="14" s="1"/>
  <c r="I916" i="14" a="1"/>
  <c r="I916" i="14" s="1"/>
  <c r="I1040" i="14" a="1"/>
  <c r="I1040" i="14" s="1"/>
  <c r="I1142" i="14" a="1"/>
  <c r="I1142" i="14" s="1"/>
  <c r="J55" i="14" a="1"/>
  <c r="J55" i="14" s="1"/>
  <c r="J671" i="14" a="1"/>
  <c r="J671" i="14" s="1"/>
  <c r="J107" i="14" a="1"/>
  <c r="J107" i="14" s="1"/>
  <c r="J190" i="14" a="1"/>
  <c r="J190" i="14" s="1"/>
  <c r="J93" i="14" a="1"/>
  <c r="J93" i="14" s="1"/>
  <c r="J719" i="14" a="1"/>
  <c r="J719" i="14" s="1"/>
  <c r="J164" i="14" a="1"/>
  <c r="J164" i="14" s="1"/>
  <c r="J259" i="14" a="1"/>
  <c r="J259" i="14" s="1"/>
  <c r="J703" i="14" a="1"/>
  <c r="J703" i="14" s="1"/>
  <c r="J75" i="14" a="1"/>
  <c r="J75" i="14" s="1"/>
  <c r="J138" i="14" a="1"/>
  <c r="J138" i="14" s="1"/>
  <c r="J443" i="14" a="1"/>
  <c r="J443" i="14" s="1"/>
  <c r="J475" i="14" a="1"/>
  <c r="J475" i="14" s="1"/>
  <c r="J990" i="14" a="1"/>
  <c r="J990" i="14" s="1"/>
  <c r="J376" i="14" a="1"/>
  <c r="J376" i="14" s="1"/>
  <c r="J463" i="14" a="1"/>
  <c r="J463" i="14" s="1"/>
  <c r="J361" i="14" a="1"/>
  <c r="J361" i="14" s="1"/>
  <c r="J472" i="14" a="1"/>
  <c r="J472" i="14" s="1"/>
  <c r="J997" i="14" a="1"/>
  <c r="J997" i="14" s="1"/>
  <c r="J375" i="14" a="1"/>
  <c r="J375" i="14" s="1"/>
  <c r="J440" i="14" a="1"/>
  <c r="J440" i="14" s="1"/>
  <c r="J336" i="14" a="1"/>
  <c r="J336" i="14" s="1"/>
  <c r="J518" i="14" a="1"/>
  <c r="J518" i="14" s="1"/>
  <c r="J1044" i="14" a="1"/>
  <c r="J1044" i="14" s="1"/>
  <c r="J388" i="14" a="1"/>
  <c r="J388" i="14" s="1"/>
  <c r="J460" i="14" a="1"/>
  <c r="J460" i="14" s="1"/>
  <c r="J344" i="14" a="1"/>
  <c r="J344" i="14" s="1"/>
  <c r="J480" i="14" a="1"/>
  <c r="J480" i="14" s="1"/>
  <c r="J1049" i="14" a="1"/>
  <c r="J1049" i="14" s="1"/>
  <c r="J387" i="14" a="1"/>
  <c r="J387" i="14" s="1"/>
  <c r="J456" i="14" a="1"/>
  <c r="J456" i="14" s="1"/>
  <c r="J343" i="14" a="1"/>
  <c r="J343" i="14" s="1"/>
  <c r="J476" i="14" a="1"/>
  <c r="J476" i="14" s="1"/>
  <c r="J1011" i="14" a="1"/>
  <c r="J1011" i="14" s="1"/>
  <c r="J379" i="14" a="1"/>
  <c r="J379" i="14" s="1"/>
  <c r="J467" i="14" a="1"/>
  <c r="J467" i="14" s="1"/>
  <c r="J364" i="14" a="1"/>
  <c r="J364" i="14" s="1"/>
  <c r="J165" i="14" a="1"/>
  <c r="J165" i="14" s="1"/>
  <c r="J663" i="14" a="1"/>
  <c r="J663" i="14" s="1"/>
  <c r="J127" i="14" a="1"/>
  <c r="J127" i="14" s="1"/>
  <c r="J222" i="14" a="1"/>
  <c r="J222" i="14" s="1"/>
  <c r="J490" i="14" a="1"/>
  <c r="J490" i="14" s="1"/>
  <c r="J1051" i="14" a="1"/>
  <c r="J1051" i="14" s="1"/>
  <c r="J53" i="14" a="1"/>
  <c r="J53" i="14" s="1"/>
  <c r="J446" i="14" a="1"/>
  <c r="J446" i="14" s="1"/>
  <c r="J335" i="14" a="1"/>
  <c r="J335" i="14" s="1"/>
  <c r="J1103" i="14" a="1"/>
  <c r="J1103" i="14" s="1"/>
  <c r="J649" i="14" a="1"/>
  <c r="J649" i="14" s="1"/>
  <c r="J748" i="14" a="1"/>
  <c r="J748" i="14" s="1"/>
  <c r="J709" i="14" a="1"/>
  <c r="J709" i="14" s="1"/>
  <c r="J1053" i="14" a="1"/>
  <c r="J1053" i="14" s="1"/>
  <c r="J1236" i="14" a="1"/>
  <c r="J1236" i="14" s="1"/>
  <c r="J538" i="14" a="1"/>
  <c r="J538" i="14" s="1"/>
  <c r="J591" i="14" a="1"/>
  <c r="J591" i="14" s="1"/>
  <c r="J618" i="14" a="1"/>
  <c r="J618" i="14" s="1"/>
  <c r="J949" i="14" a="1"/>
  <c r="J949" i="14" s="1"/>
  <c r="J452" i="14" a="1"/>
  <c r="J452" i="14" s="1"/>
  <c r="J433" i="14" a="1"/>
  <c r="J433" i="14" s="1"/>
  <c r="J516" i="14" a="1"/>
  <c r="J516" i="14" s="1"/>
  <c r="J561" i="14" a="1"/>
  <c r="J561" i="14" s="1"/>
  <c r="J940" i="14" a="1"/>
  <c r="J940" i="14" s="1"/>
  <c r="J426" i="14" a="1"/>
  <c r="J426" i="14" s="1"/>
  <c r="J459" i="14" a="1"/>
  <c r="J459" i="14" s="1"/>
  <c r="J527" i="14" a="1"/>
  <c r="J527" i="14" s="1"/>
  <c r="J584" i="14" a="1"/>
  <c r="J584" i="14" s="1"/>
  <c r="J1477" i="14" a="1"/>
  <c r="J1477" i="14" s="1"/>
  <c r="J1183" i="14" a="1"/>
  <c r="J1183" i="14" s="1"/>
  <c r="J1297" i="14" a="1"/>
  <c r="J1297" i="14" s="1"/>
  <c r="J1321" i="14" a="1"/>
  <c r="J1321" i="14" s="1"/>
  <c r="J1418" i="14" a="1"/>
  <c r="J1418" i="14" s="1"/>
  <c r="J1453" i="14" a="1"/>
  <c r="J1453" i="14" s="1"/>
  <c r="J1143" i="14" a="1"/>
  <c r="J1143" i="14" s="1"/>
  <c r="J1374" i="14" a="1"/>
  <c r="J1374" i="14" s="1"/>
  <c r="J1375" i="14" a="1"/>
  <c r="J1375" i="14" s="1"/>
  <c r="J1273" i="14" a="1"/>
  <c r="J1273" i="14" s="1"/>
  <c r="J1350" i="14" a="1"/>
  <c r="J1350" i="14" s="1"/>
  <c r="J754" i="14" a="1"/>
  <c r="J754" i="14" s="1"/>
  <c r="J455" i="14" a="1"/>
  <c r="J455" i="14" s="1"/>
  <c r="J1229" i="14" a="1"/>
  <c r="J1229" i="14" s="1"/>
  <c r="J1245" i="14" a="1"/>
  <c r="J1245" i="14" s="1"/>
  <c r="J1454" i="14" a="1"/>
  <c r="J1454" i="14" s="1"/>
  <c r="J1156" i="14" a="1"/>
  <c r="J1156" i="14" s="1"/>
  <c r="J1372" i="14" a="1"/>
  <c r="J1372" i="14" s="1"/>
  <c r="J6" i="14" a="1"/>
  <c r="J6" i="14" s="1"/>
  <c r="J1277" i="14" a="1"/>
  <c r="J1277" i="14" s="1"/>
  <c r="J227" i="14" a="1"/>
  <c r="J227" i="14" s="1"/>
  <c r="J648" i="14" a="1"/>
  <c r="J648" i="14" s="1"/>
  <c r="J18" i="14" a="1"/>
  <c r="J18" i="14" s="1"/>
  <c r="J118" i="14" a="1"/>
  <c r="J118" i="14" s="1"/>
  <c r="J196" i="14" a="1"/>
  <c r="J196" i="14" s="1"/>
  <c r="J713" i="14" a="1"/>
  <c r="J713" i="14" s="1"/>
  <c r="J23" i="14" a="1"/>
  <c r="J23" i="14" s="1"/>
  <c r="J145" i="14" a="1"/>
  <c r="J145" i="14" s="1"/>
  <c r="J44" i="14" a="1"/>
  <c r="J44" i="14" s="1"/>
  <c r="J729" i="14" a="1"/>
  <c r="J729" i="14" s="1"/>
  <c r="J85" i="14" a="1"/>
  <c r="J85" i="14" s="1"/>
  <c r="J157" i="14" a="1"/>
  <c r="J157" i="14" s="1"/>
  <c r="J46" i="14" a="1"/>
  <c r="J46" i="14" s="1"/>
  <c r="J758" i="14" a="1"/>
  <c r="J758" i="14" s="1"/>
  <c r="J489" i="14" a="1"/>
  <c r="J489" i="14" s="1"/>
  <c r="J449" i="14" a="1"/>
  <c r="J449" i="14" s="1"/>
  <c r="J629" i="14" a="1"/>
  <c r="J629" i="14" s="1"/>
  <c r="J605" i="14" a="1"/>
  <c r="J605" i="14" s="1"/>
  <c r="J306" i="14" a="1"/>
  <c r="J306" i="14" s="1"/>
  <c r="J521" i="14" a="1"/>
  <c r="J521" i="14" s="1"/>
  <c r="J608" i="14" a="1"/>
  <c r="J608" i="14" s="1"/>
  <c r="J746" i="14" a="1"/>
  <c r="J746" i="14" s="1"/>
  <c r="J777" i="14" a="1"/>
  <c r="J777" i="14" s="1"/>
  <c r="J276" i="14" a="1"/>
  <c r="J276" i="14" s="1"/>
  <c r="J483" i="14" a="1"/>
  <c r="J483" i="14" s="1"/>
  <c r="J546" i="14" a="1"/>
  <c r="J546" i="14" s="1"/>
  <c r="J625" i="14" a="1"/>
  <c r="J625" i="14" s="1"/>
  <c r="J682" i="14" a="1"/>
  <c r="J682" i="14" s="1"/>
  <c r="J231" i="14" a="1"/>
  <c r="J231" i="14" s="1"/>
  <c r="J525" i="14" a="1"/>
  <c r="J525" i="14" s="1"/>
  <c r="J548" i="14" a="1"/>
  <c r="J548" i="14" s="1"/>
  <c r="J633" i="14" a="1"/>
  <c r="J633" i="14" s="1"/>
  <c r="J689" i="14" a="1"/>
  <c r="J689" i="14" s="1"/>
  <c r="J1484" i="14" a="1"/>
  <c r="J1484" i="14" s="1"/>
  <c r="J1189" i="14" a="1"/>
  <c r="J1189" i="14" s="1"/>
  <c r="J1339" i="14" a="1"/>
  <c r="J1339" i="14" s="1"/>
  <c r="J1358" i="14" a="1"/>
  <c r="J1358" i="14" s="1"/>
  <c r="J1445" i="14" a="1"/>
  <c r="J1445" i="14" s="1"/>
  <c r="J250" i="14" a="1"/>
  <c r="J250" i="14" s="1"/>
  <c r="J749" i="14" a="1"/>
  <c r="J749" i="14" s="1"/>
  <c r="J19" i="14" a="1"/>
  <c r="J19" i="14" s="1"/>
  <c r="J214" i="14" a="1"/>
  <c r="J214" i="14" s="1"/>
  <c r="J771" i="14" a="1"/>
  <c r="J771" i="14" s="1"/>
  <c r="J494" i="14" a="1"/>
  <c r="J494" i="14" s="1"/>
  <c r="J402" i="14" a="1"/>
  <c r="J402" i="14" s="1"/>
  <c r="J673" i="14" a="1"/>
  <c r="J673" i="14" s="1"/>
  <c r="J639" i="14" a="1"/>
  <c r="J639" i="14" s="1"/>
  <c r="J253" i="14" a="1"/>
  <c r="J253" i="14" s="1"/>
  <c r="J543" i="14" a="1"/>
  <c r="J543" i="14" s="1"/>
  <c r="J29" i="14" a="1"/>
  <c r="J29" i="14" s="1"/>
  <c r="J640" i="14" a="1"/>
  <c r="J640" i="14" s="1"/>
  <c r="J542" i="14" a="1"/>
  <c r="J542" i="14" s="1"/>
  <c r="J499" i="14" a="1"/>
  <c r="J499" i="14" s="1"/>
  <c r="J1046" i="14" a="1"/>
  <c r="J1046" i="14" s="1"/>
  <c r="J445" i="14" a="1"/>
  <c r="J445" i="14" s="1"/>
  <c r="J514" i="14" a="1"/>
  <c r="J514" i="14" s="1"/>
  <c r="J409" i="14" a="1"/>
  <c r="J409" i="14" s="1"/>
  <c r="J377" i="14" a="1"/>
  <c r="J377" i="14" s="1"/>
  <c r="J1018" i="14" a="1"/>
  <c r="J1018" i="14" s="1"/>
  <c r="J235" i="14" a="1"/>
  <c r="J235" i="14" s="1"/>
  <c r="J407" i="14" a="1"/>
  <c r="J407" i="14" s="1"/>
  <c r="J352" i="14" a="1"/>
  <c r="J352" i="14" s="1"/>
  <c r="J1027" i="14" a="1"/>
  <c r="J1027" i="14" s="1"/>
  <c r="J226" i="14" a="1"/>
  <c r="J226" i="14" s="1"/>
  <c r="J394" i="14" a="1"/>
  <c r="J394" i="14" s="1"/>
  <c r="J237" i="14" a="1"/>
  <c r="J237" i="14" s="1"/>
  <c r="J786" i="14" a="1"/>
  <c r="J786" i="14" s="1"/>
  <c r="J738" i="14" a="1"/>
  <c r="J738" i="14" s="1"/>
  <c r="J141" i="14" a="1"/>
  <c r="J141" i="14" s="1"/>
  <c r="J242" i="14" a="1"/>
  <c r="J242" i="14" s="1"/>
  <c r="J69" i="14" a="1"/>
  <c r="J69" i="14" s="1"/>
  <c r="J806" i="14" a="1"/>
  <c r="J806" i="14" s="1"/>
  <c r="J740" i="14" a="1"/>
  <c r="J740" i="14" s="1"/>
  <c r="J173" i="14" a="1"/>
  <c r="J173" i="14" s="1"/>
  <c r="J270" i="14" a="1"/>
  <c r="J270" i="14" s="1"/>
  <c r="J102" i="14" a="1"/>
  <c r="J102" i="14" s="1"/>
  <c r="J487" i="14" a="1"/>
  <c r="J487" i="14" s="1"/>
  <c r="J708" i="14" a="1"/>
  <c r="J708" i="14" s="1"/>
  <c r="J119" i="14" a="1"/>
  <c r="J119" i="14" s="1"/>
  <c r="J213" i="14" a="1"/>
  <c r="J213" i="14" s="1"/>
  <c r="J1197" i="14" a="1"/>
  <c r="J1197" i="14" s="1"/>
  <c r="J80" i="14" a="1"/>
  <c r="J80" i="14" s="1"/>
  <c r="J711" i="14" a="1"/>
  <c r="J711" i="14" s="1"/>
  <c r="J927" i="14" a="1"/>
  <c r="J927" i="14" s="1"/>
  <c r="J1003" i="14" a="1"/>
  <c r="J1003" i="14" s="1"/>
  <c r="J1261" i="14" a="1"/>
  <c r="J1261" i="14" s="1"/>
  <c r="J340" i="14" a="1"/>
  <c r="J340" i="14" s="1"/>
  <c r="J888" i="14" a="1"/>
  <c r="J888" i="14" s="1"/>
  <c r="J1014" i="14" a="1"/>
  <c r="J1014" i="14" s="1"/>
  <c r="J1077" i="14" a="1"/>
  <c r="J1077" i="14" s="1"/>
  <c r="J1194" i="14" a="1"/>
  <c r="J1194" i="14" s="1"/>
  <c r="J56" i="14" a="1"/>
  <c r="J56" i="14" s="1"/>
  <c r="J668" i="14" a="1"/>
  <c r="J668" i="14" s="1"/>
  <c r="J908" i="14" a="1"/>
  <c r="J908" i="14" s="1"/>
  <c r="J965" i="14" a="1"/>
  <c r="J965" i="14" s="1"/>
  <c r="J1252" i="14" a="1"/>
  <c r="J1252" i="14" s="1"/>
  <c r="J246" i="14" a="1"/>
  <c r="J246" i="14" s="1"/>
  <c r="J59" i="14" a="1"/>
  <c r="J59" i="14" s="1"/>
  <c r="J1034" i="14" a="1"/>
  <c r="J1034" i="14" s="1"/>
  <c r="J1119" i="14" a="1"/>
  <c r="J1119" i="14" s="1"/>
  <c r="J1260" i="14" a="1"/>
  <c r="J1260" i="14" s="1"/>
  <c r="J349" i="14" a="1"/>
  <c r="J349" i="14" s="1"/>
  <c r="J916" i="14" a="1"/>
  <c r="J916" i="14" s="1"/>
  <c r="J1040" i="14" a="1"/>
  <c r="J1040" i="14" s="1"/>
  <c r="J1142" i="14" a="1"/>
  <c r="J1142" i="14" s="1"/>
  <c r="F310" i="14" a="1"/>
  <c r="F310" i="14" s="1"/>
  <c r="F593" i="14" a="1"/>
  <c r="F593" i="14" s="1"/>
  <c r="F381" i="14" a="1"/>
  <c r="F381" i="14" s="1"/>
  <c r="F948" i="14" a="1"/>
  <c r="F948" i="14" s="1"/>
  <c r="F308" i="14" a="1"/>
  <c r="F308" i="14" s="1"/>
  <c r="F624" i="14" a="1"/>
  <c r="F624" i="14" s="1"/>
  <c r="F659" i="14" a="1"/>
  <c r="F659" i="14" s="1"/>
  <c r="F383" i="14" a="1"/>
  <c r="F383" i="14" s="1"/>
  <c r="F1017" i="14" a="1"/>
  <c r="F1017" i="14" s="1"/>
  <c r="F328" i="14" a="1"/>
  <c r="F328" i="14" s="1"/>
  <c r="F606" i="14" a="1"/>
  <c r="F606" i="14" s="1"/>
  <c r="F601" i="14" a="1"/>
  <c r="F601" i="14" s="1"/>
  <c r="F403" i="14" a="1"/>
  <c r="F403" i="14" s="1"/>
  <c r="F843" i="14" a="1"/>
  <c r="F843" i="14" s="1"/>
  <c r="F1316" i="14" a="1"/>
  <c r="F1316" i="14" s="1"/>
  <c r="F836" i="14" a="1"/>
  <c r="F836" i="14" s="1"/>
  <c r="F897" i="14" a="1"/>
  <c r="F897" i="14" s="1"/>
  <c r="F1075" i="14" a="1"/>
  <c r="F1075" i="14" s="1"/>
  <c r="F842" i="14" a="1"/>
  <c r="F842" i="14" s="1"/>
  <c r="F825" i="14" a="1"/>
  <c r="F825" i="14" s="1"/>
  <c r="F16" i="14" a="1"/>
  <c r="F16" i="14" s="1"/>
  <c r="F996" i="14" a="1"/>
  <c r="F996" i="14" s="1"/>
  <c r="F877" i="14" a="1"/>
  <c r="F877" i="14" s="1"/>
  <c r="F852" i="14" a="1"/>
  <c r="F852" i="14" s="1"/>
  <c r="F27" i="14" a="1"/>
  <c r="F27" i="14" s="1"/>
  <c r="F1013" i="14" a="1"/>
  <c r="F1013" i="14" s="1"/>
  <c r="F918" i="14" a="1"/>
  <c r="F918" i="14" s="1"/>
  <c r="F850" i="14" a="1"/>
  <c r="F850" i="14" s="1"/>
  <c r="F26" i="14" a="1"/>
  <c r="F26" i="14" s="1"/>
  <c r="F1021" i="14" a="1"/>
  <c r="F1021" i="14" s="1"/>
  <c r="F99" i="14" a="1"/>
  <c r="F99" i="14" s="1"/>
  <c r="F829" i="14" a="1"/>
  <c r="F829" i="14" s="1"/>
  <c r="F914" i="14" a="1"/>
  <c r="F914" i="14" s="1"/>
  <c r="F1081" i="14" a="1"/>
  <c r="F1081" i="14" s="1"/>
  <c r="F502" i="14" a="1"/>
  <c r="F502" i="14" s="1"/>
  <c r="F572" i="14" a="1"/>
  <c r="F572" i="14" s="1"/>
  <c r="F602" i="14" a="1"/>
  <c r="F602" i="14" s="1"/>
  <c r="F450" i="14" a="1"/>
  <c r="F450" i="14" s="1"/>
  <c r="F944" i="14" a="1"/>
  <c r="F944" i="14" s="1"/>
  <c r="F60" i="14" a="1"/>
  <c r="F60" i="14" s="1"/>
  <c r="F906" i="14" a="1"/>
  <c r="F906" i="14" s="1"/>
  <c r="F832" i="14" a="1"/>
  <c r="F832" i="14" s="1"/>
  <c r="F21" i="14" a="1"/>
  <c r="F21" i="14" s="1"/>
  <c r="F987" i="14" a="1"/>
  <c r="F987" i="14" s="1"/>
  <c r="F1271" i="14" a="1"/>
  <c r="F1271" i="14" s="1"/>
  <c r="F425" i="14" a="1"/>
  <c r="F425" i="14" s="1"/>
  <c r="F488" i="14" a="1"/>
  <c r="F488" i="14" s="1"/>
  <c r="F1047" i="14" a="1"/>
  <c r="F1047" i="14" s="1"/>
  <c r="F57" i="14" a="1"/>
  <c r="F57" i="14" s="1"/>
  <c r="F922" i="14" a="1"/>
  <c r="F922" i="14" s="1"/>
  <c r="F354" i="14" a="1"/>
  <c r="F354" i="14" s="1"/>
  <c r="F370" i="14" a="1"/>
  <c r="F370" i="14" s="1"/>
  <c r="F1001" i="14" a="1"/>
  <c r="F1001" i="14" s="1"/>
  <c r="F203" i="14" a="1"/>
  <c r="F203" i="14" s="1"/>
  <c r="F847" i="14" a="1"/>
  <c r="F847" i="14" s="1"/>
  <c r="F125" i="14" a="1"/>
  <c r="F125" i="14" s="1"/>
  <c r="F912" i="14" a="1"/>
  <c r="F912" i="14" s="1"/>
  <c r="F511" i="14" a="1"/>
  <c r="F511" i="14" s="1"/>
  <c r="F889" i="14" a="1"/>
  <c r="F889" i="14" s="1"/>
  <c r="F161" i="14" a="1"/>
  <c r="F161" i="14" s="1"/>
  <c r="F931" i="14" a="1"/>
  <c r="F931" i="14" s="1"/>
  <c r="F486" i="14" a="1"/>
  <c r="F486" i="14" s="1"/>
  <c r="F1467" i="14" a="1"/>
  <c r="F1467" i="14" s="1"/>
  <c r="F1281" i="14" a="1"/>
  <c r="F1281" i="14" s="1"/>
  <c r="F1266" i="14" a="1"/>
  <c r="F1266" i="14" s="1"/>
  <c r="F1476" i="14" a="1"/>
  <c r="F1476" i="14" s="1"/>
  <c r="F1113" i="14" a="1"/>
  <c r="F1113" i="14" s="1"/>
  <c r="F1432" i="14" a="1"/>
  <c r="F1432" i="14" s="1"/>
  <c r="F1223" i="14" a="1"/>
  <c r="F1223" i="14" s="1"/>
  <c r="F1308" i="14" a="1"/>
  <c r="F1308" i="14" s="1"/>
  <c r="F1439" i="14" a="1"/>
  <c r="F1439" i="14" s="1"/>
  <c r="F1095" i="14" a="1"/>
  <c r="F1095" i="14" s="1"/>
  <c r="F1346" i="14" a="1"/>
  <c r="F1346" i="14" s="1"/>
  <c r="F1139" i="14" a="1"/>
  <c r="F1139" i="14" s="1"/>
  <c r="F1106" i="14" a="1"/>
  <c r="F1106" i="14" s="1"/>
  <c r="F1318" i="14" a="1"/>
  <c r="F1318" i="14" s="1"/>
  <c r="F657" i="14" a="1"/>
  <c r="F657" i="14" s="1"/>
  <c r="F1389" i="14" a="1"/>
  <c r="F1389" i="14" s="1"/>
  <c r="F1220" i="14" a="1"/>
  <c r="F1220" i="14" s="1"/>
  <c r="F1307" i="14" a="1"/>
  <c r="F1307" i="14" s="1"/>
  <c r="F1435" i="14" a="1"/>
  <c r="F1435" i="14" s="1"/>
  <c r="F1130" i="14" a="1"/>
  <c r="F1130" i="14" s="1"/>
  <c r="F100" i="14" a="1"/>
  <c r="F100" i="14" s="1"/>
  <c r="F458" i="14" a="1"/>
  <c r="F458" i="14" s="1"/>
  <c r="F448" i="14" a="1"/>
  <c r="F448" i="14" s="1"/>
  <c r="F444" i="14" a="1"/>
  <c r="F444" i="14" s="1"/>
  <c r="F667" i="14" a="1"/>
  <c r="F667" i="14" s="1"/>
  <c r="F420" i="14" a="1"/>
  <c r="F420" i="14" s="1"/>
  <c r="F496" i="14" a="1"/>
  <c r="F496" i="14" s="1"/>
  <c r="F586" i="14" a="1"/>
  <c r="F586" i="14" s="1"/>
  <c r="F478" i="14" a="1"/>
  <c r="F478" i="14" s="1"/>
  <c r="F820" i="14" a="1"/>
  <c r="F820" i="14" s="1"/>
  <c r="F312" i="14" a="1"/>
  <c r="F312" i="14" s="1"/>
  <c r="F560" i="14" a="1"/>
  <c r="F560" i="14" s="1"/>
  <c r="F622" i="14" a="1"/>
  <c r="F622" i="14" s="1"/>
  <c r="F385" i="14" a="1"/>
  <c r="F385" i="14" s="1"/>
  <c r="F827" i="14" a="1"/>
  <c r="F827" i="14" s="1"/>
  <c r="F1022" i="14" a="1"/>
  <c r="F1022" i="14" s="1"/>
  <c r="F162" i="14" a="1"/>
  <c r="F162" i="14" s="1"/>
  <c r="F961" i="14" a="1"/>
  <c r="F961" i="14" s="1"/>
  <c r="F482" i="14" a="1"/>
  <c r="F482" i="14" s="1"/>
  <c r="F1048" i="14" a="1"/>
  <c r="F1048" i="14" s="1"/>
  <c r="F108" i="14" a="1"/>
  <c r="F108" i="14" s="1"/>
  <c r="F272" i="14" a="1"/>
  <c r="F272" i="14" s="1"/>
  <c r="F1117" i="14" a="1"/>
  <c r="F1117" i="14" s="1"/>
  <c r="F651" i="14" a="1"/>
  <c r="F651" i="14" s="1"/>
  <c r="F1031" i="14" a="1"/>
  <c r="F1031" i="14" s="1"/>
  <c r="F215" i="14" a="1"/>
  <c r="F215" i="14" s="1"/>
  <c r="F175" i="14" a="1"/>
  <c r="F175" i="14" s="1"/>
  <c r="F1059" i="14" a="1"/>
  <c r="F1059" i="14" s="1"/>
  <c r="F732" i="14" a="1"/>
  <c r="F732" i="14" s="1"/>
  <c r="F910" i="14" a="1"/>
  <c r="F910" i="14" s="1"/>
  <c r="F114" i="14" a="1"/>
  <c r="F114" i="14" s="1"/>
  <c r="F177" i="14" a="1"/>
  <c r="F177" i="14" s="1"/>
  <c r="F1061" i="14" a="1"/>
  <c r="F1061" i="14" s="1"/>
  <c r="F653" i="14" a="1"/>
  <c r="F653" i="14" s="1"/>
  <c r="F1494" i="14" a="1"/>
  <c r="F1494" i="14" s="1"/>
  <c r="F1291" i="14" a="1"/>
  <c r="F1291" i="14" s="1"/>
  <c r="F1286" i="14" a="1"/>
  <c r="F1286" i="14" s="1"/>
  <c r="F1496" i="14" a="1"/>
  <c r="F1496" i="14" s="1"/>
  <c r="F1122" i="14" a="1"/>
  <c r="F1122" i="14" s="1"/>
  <c r="F374" i="14" a="1"/>
  <c r="F374" i="14" s="1"/>
  <c r="F528" i="14" a="1"/>
  <c r="F528" i="14" s="1"/>
  <c r="F630" i="14" a="1"/>
  <c r="F630" i="14" s="1"/>
  <c r="F515" i="14" a="1"/>
  <c r="F515" i="14" s="1"/>
  <c r="F909" i="14" a="1"/>
  <c r="F909" i="14" s="1"/>
  <c r="F979" i="14" a="1"/>
  <c r="F979" i="14" s="1"/>
  <c r="F167" i="14" a="1"/>
  <c r="F167" i="14" s="1"/>
  <c r="F978" i="14" a="1"/>
  <c r="F978" i="14" s="1"/>
  <c r="F505" i="14" a="1"/>
  <c r="F505" i="14" s="1"/>
  <c r="F1030" i="14" a="1"/>
  <c r="F1030" i="14" s="1"/>
  <c r="F159" i="14" a="1"/>
  <c r="F159" i="14" s="1"/>
  <c r="F179" i="14" a="1"/>
  <c r="F179" i="14" s="1"/>
  <c r="F762" i="14" a="1"/>
  <c r="F762" i="14" s="1"/>
  <c r="F822" i="14" a="1"/>
  <c r="F822" i="14" s="1"/>
  <c r="F25" i="14" a="1"/>
  <c r="F25" i="14" s="1"/>
  <c r="F1475" i="14" a="1"/>
  <c r="F1475" i="14" s="1"/>
  <c r="F1116" i="14" a="1"/>
  <c r="F1116" i="14" s="1"/>
  <c r="F10" i="14" a="1"/>
  <c r="F10" i="14" s="1"/>
  <c r="F287" i="14" a="1"/>
  <c r="F287" i="14" s="1"/>
  <c r="F1473" i="14" a="1"/>
  <c r="F1473" i="14" s="1"/>
  <c r="F735" i="14" a="1"/>
  <c r="F735" i="14" s="1"/>
  <c r="F1178" i="14" a="1"/>
  <c r="F1178" i="14" s="1"/>
  <c r="F136" i="14" a="1"/>
  <c r="F136" i="14" s="1"/>
  <c r="F1471" i="14" a="1"/>
  <c r="F1471" i="14" s="1"/>
  <c r="F723" i="14" a="1"/>
  <c r="F723" i="14" s="1"/>
  <c r="F1177" i="14" a="1"/>
  <c r="F1177" i="14" s="1"/>
  <c r="F205" i="14" a="1"/>
  <c r="F205" i="14" s="1"/>
  <c r="F1437" i="14" a="1"/>
  <c r="F1437" i="14" s="1"/>
  <c r="F953" i="14" a="1"/>
  <c r="F953" i="14" s="1"/>
  <c r="F148" i="14" a="1"/>
  <c r="F148" i="14" s="1"/>
  <c r="F1055" i="14" a="1"/>
  <c r="F1055" i="14" s="1"/>
  <c r="F258" i="14" a="1"/>
  <c r="F258" i="14" s="1"/>
  <c r="F1446" i="14" a="1"/>
  <c r="F1446" i="14" s="1"/>
  <c r="F989" i="14" a="1"/>
  <c r="F989" i="14" s="1"/>
  <c r="F1064" i="14" a="1"/>
  <c r="F1064" i="14" s="1"/>
  <c r="F342" i="14" a="1"/>
  <c r="F342" i="14" s="1"/>
  <c r="F1417" i="14" a="1"/>
  <c r="F1417" i="14" s="1"/>
  <c r="F776" i="14" a="1"/>
  <c r="F776" i="14" s="1"/>
  <c r="F1118" i="14" a="1"/>
  <c r="F1118" i="14" s="1"/>
  <c r="F1043" i="14" a="1"/>
  <c r="F1043" i="14" s="1"/>
  <c r="F1131" i="14" a="1"/>
  <c r="F1131" i="14" s="1"/>
  <c r="F691" i="14" a="1"/>
  <c r="F691" i="14" s="1"/>
  <c r="F219" i="14" a="1"/>
  <c r="F219" i="14" s="1"/>
  <c r="F1161" i="14" a="1"/>
  <c r="F1161" i="14" s="1"/>
  <c r="F784" i="14" a="1"/>
  <c r="F784" i="14" s="1"/>
  <c r="F765" i="14" a="1"/>
  <c r="F765" i="14" s="1"/>
  <c r="F347" i="14" a="1"/>
  <c r="F347" i="14" s="1"/>
  <c r="F1020" i="14" a="1"/>
  <c r="F1020" i="14" s="1"/>
  <c r="F1112" i="14" a="1"/>
  <c r="F1112" i="14" s="1"/>
  <c r="F650" i="14" a="1"/>
  <c r="F650" i="14" s="1"/>
  <c r="F245" i="14" a="1"/>
  <c r="F245" i="14" s="1"/>
  <c r="F1114" i="14" a="1"/>
  <c r="F1114" i="14" s="1"/>
  <c r="F759" i="14" a="1"/>
  <c r="F759" i="14" s="1"/>
  <c r="F611" i="14" a="1"/>
  <c r="F611" i="14" s="1"/>
  <c r="F1179" i="14" a="1"/>
  <c r="F1179" i="14" s="1"/>
  <c r="F1165" i="14" a="1"/>
  <c r="F1165" i="14" s="1"/>
  <c r="F797" i="14" a="1"/>
  <c r="F797" i="14" s="1"/>
  <c r="F792" i="14" a="1"/>
  <c r="F792" i="14" s="1"/>
  <c r="F1216" i="14" a="1"/>
  <c r="F1216" i="14" s="1"/>
  <c r="I325" i="14" a="1"/>
  <c r="I325" i="14" s="1"/>
  <c r="I609" i="14" a="1"/>
  <c r="I609" i="14" s="1"/>
  <c r="I131" i="14" a="1"/>
  <c r="I131" i="14" s="1"/>
  <c r="I619" i="14" a="1"/>
  <c r="I619" i="14" s="1"/>
  <c r="I981" i="14" a="1"/>
  <c r="I981" i="14" s="1"/>
  <c r="I321" i="14" a="1"/>
  <c r="I321" i="14" s="1"/>
  <c r="I688" i="14" a="1"/>
  <c r="I688" i="14" s="1"/>
  <c r="I192" i="14" a="1"/>
  <c r="I192" i="14" s="1"/>
  <c r="I699" i="14" a="1"/>
  <c r="I699" i="14" s="1"/>
  <c r="I1039" i="14" a="1"/>
  <c r="I1039" i="14" s="1"/>
  <c r="I346" i="14" a="1"/>
  <c r="I346" i="14" s="1"/>
  <c r="I660" i="14" a="1"/>
  <c r="I660" i="14" s="1"/>
  <c r="I94" i="14" a="1"/>
  <c r="I94" i="14" s="1"/>
  <c r="I635" i="14" a="1"/>
  <c r="I635" i="14" s="1"/>
  <c r="I890" i="14" a="1"/>
  <c r="I890" i="14" s="1"/>
  <c r="I917" i="14" a="1"/>
  <c r="I917" i="14" s="1"/>
  <c r="I417" i="14" a="1"/>
  <c r="I417" i="14" s="1"/>
  <c r="I920" i="14" a="1"/>
  <c r="I920" i="14" s="1"/>
  <c r="I1070" i="14" a="1"/>
  <c r="I1070" i="14" s="1"/>
  <c r="I14" i="14" a="1"/>
  <c r="I14" i="14" s="1"/>
  <c r="I929" i="14" a="1"/>
  <c r="I929" i="14" s="1"/>
  <c r="I399" i="14" a="1"/>
  <c r="I399" i="14" s="1"/>
  <c r="I853" i="14" a="1"/>
  <c r="I853" i="14" s="1"/>
  <c r="I964" i="14" a="1"/>
  <c r="I964" i="14" s="1"/>
  <c r="I1278" i="14" a="1"/>
  <c r="I1278" i="14" s="1"/>
  <c r="I974" i="14" a="1"/>
  <c r="I974" i="14" s="1"/>
  <c r="I415" i="14" a="1"/>
  <c r="I415" i="14" s="1"/>
  <c r="I896" i="14" a="1"/>
  <c r="I896" i="14" s="1"/>
  <c r="I1045" i="14" a="1"/>
  <c r="I1045" i="14" s="1"/>
  <c r="I12" i="14" a="1"/>
  <c r="I12" i="14" s="1"/>
  <c r="I971" i="14" a="1"/>
  <c r="I971" i="14" s="1"/>
  <c r="I411" i="14" a="1"/>
  <c r="I411" i="14" s="1"/>
  <c r="I891" i="14" a="1"/>
  <c r="I891" i="14" s="1"/>
  <c r="I1042" i="14" a="1"/>
  <c r="I1042" i="14" s="1"/>
  <c r="I934" i="14" a="1"/>
  <c r="I934" i="14" s="1"/>
  <c r="I424" i="14" a="1"/>
  <c r="I424" i="14" s="1"/>
  <c r="I924" i="14" a="1"/>
  <c r="I924" i="14" s="1"/>
  <c r="I1072" i="14" a="1"/>
  <c r="I1072" i="14" s="1"/>
  <c r="I362" i="14" a="1"/>
  <c r="I362" i="14" s="1"/>
  <c r="I654" i="14" a="1"/>
  <c r="I654" i="14" s="1"/>
  <c r="I149" i="14" a="1"/>
  <c r="I149" i="14" s="1"/>
  <c r="I642" i="14" a="1"/>
  <c r="I642" i="14" s="1"/>
  <c r="I1024" i="14" a="1"/>
  <c r="I1024" i="14" s="1"/>
  <c r="I15" i="14" a="1"/>
  <c r="I15" i="14" s="1"/>
  <c r="I954" i="14" a="1"/>
  <c r="I954" i="14" s="1"/>
  <c r="I368" i="14" a="1"/>
  <c r="I368" i="14" s="1"/>
  <c r="I865" i="14" a="1"/>
  <c r="I865" i="14" s="1"/>
  <c r="I1033" i="14" a="1"/>
  <c r="I1033" i="14" s="1"/>
  <c r="I1208" i="14" a="1"/>
  <c r="I1208" i="14" s="1"/>
  <c r="I1235" i="14" a="1"/>
  <c r="I1235" i="14" s="1"/>
  <c r="I712" i="14" a="1"/>
  <c r="I712" i="14" s="1"/>
  <c r="I493" i="14" a="1"/>
  <c r="I493" i="14" s="1"/>
  <c r="I81" i="14" a="1"/>
  <c r="I81" i="14" s="1"/>
  <c r="I976" i="14" a="1"/>
  <c r="I976" i="14" s="1"/>
  <c r="I551" i="14" a="1"/>
  <c r="I551" i="14" s="1"/>
  <c r="I372" i="14" a="1"/>
  <c r="I372" i="14" s="1"/>
  <c r="I244" i="14" a="1"/>
  <c r="I244" i="14" s="1"/>
  <c r="I935" i="14" a="1"/>
  <c r="I935" i="14" s="1"/>
  <c r="I397" i="14" a="1"/>
  <c r="I397" i="14" s="1"/>
  <c r="I473" i="14" a="1"/>
  <c r="I473" i="14" s="1"/>
  <c r="I133" i="14" a="1"/>
  <c r="I133" i="14" s="1"/>
  <c r="I523" i="14" a="1"/>
  <c r="I523" i="14" s="1"/>
  <c r="I946" i="14" a="1"/>
  <c r="I946" i="14" s="1"/>
  <c r="I353" i="14" a="1"/>
  <c r="I353" i="14" s="1"/>
  <c r="I495" i="14" a="1"/>
  <c r="I495" i="14" s="1"/>
  <c r="I166" i="14" a="1"/>
  <c r="I166" i="14" s="1"/>
  <c r="I509" i="14" a="1"/>
  <c r="I509" i="14" s="1"/>
  <c r="I1486" i="14" a="1"/>
  <c r="I1486" i="14" s="1"/>
  <c r="I1256" i="14" a="1"/>
  <c r="I1256" i="14" s="1"/>
  <c r="I1300" i="14" a="1"/>
  <c r="I1300" i="14" s="1"/>
  <c r="I1268" i="14" a="1"/>
  <c r="I1268" i="14" s="1"/>
  <c r="I1132" i="14" a="1"/>
  <c r="I1132" i="14" s="1"/>
  <c r="I1458" i="14" a="1"/>
  <c r="I1458" i="14" s="1"/>
  <c r="I1225" i="14" a="1"/>
  <c r="I1225" i="14" s="1"/>
  <c r="I1360" i="14" a="1"/>
  <c r="I1360" i="14" s="1"/>
  <c r="I1310" i="14" a="1"/>
  <c r="I1310" i="14" s="1"/>
  <c r="I1098" i="14" a="1"/>
  <c r="I1098" i="14" s="1"/>
  <c r="I1349" i="14" a="1"/>
  <c r="I1349" i="14" s="1"/>
  <c r="I1028" i="14" a="1"/>
  <c r="I1028" i="14" s="1"/>
  <c r="I1209" i="14" a="1"/>
  <c r="I1209" i="14" s="1"/>
  <c r="I1104" i="14" a="1"/>
  <c r="I1104" i="14" s="1"/>
  <c r="I645" i="14" a="1"/>
  <c r="I645" i="14" s="1"/>
  <c r="I1433" i="14" a="1"/>
  <c r="I1433" i="14" s="1"/>
  <c r="I1238" i="14" a="1"/>
  <c r="I1238" i="14" s="1"/>
  <c r="I1352" i="14" a="1"/>
  <c r="I1352" i="14" s="1"/>
  <c r="I1304" i="14" a="1"/>
  <c r="I1304" i="14" s="1"/>
  <c r="I1136" i="14" a="1"/>
  <c r="I1136" i="14" s="1"/>
  <c r="I139" i="14" a="1"/>
  <c r="I139" i="14" s="1"/>
  <c r="I537" i="14" a="1"/>
  <c r="I537" i="14" s="1"/>
  <c r="I22" i="14" a="1"/>
  <c r="I22" i="14" s="1"/>
  <c r="I401" i="14" a="1"/>
  <c r="I401" i="14" s="1"/>
  <c r="I710" i="14" a="1"/>
  <c r="I710" i="14" s="1"/>
  <c r="I503" i="14" a="1"/>
  <c r="I503" i="14" s="1"/>
  <c r="I552" i="14" a="1"/>
  <c r="I552" i="14" s="1"/>
  <c r="I614" i="14" a="1"/>
  <c r="I614" i="14" s="1"/>
  <c r="I858" i="14" a="1"/>
  <c r="I858" i="14" s="1"/>
  <c r="I406" i="14" a="1"/>
  <c r="I406" i="14" s="1"/>
  <c r="I554" i="14" a="1"/>
  <c r="I554" i="14" s="1"/>
  <c r="I103" i="14" a="1"/>
  <c r="I103" i="14" s="1"/>
  <c r="I661" i="14" a="1"/>
  <c r="I661" i="14" s="1"/>
  <c r="I879" i="14" a="1"/>
  <c r="I879" i="14" s="1"/>
  <c r="I1097" i="14" a="1"/>
  <c r="I1097" i="14" s="1"/>
  <c r="I371" i="14" a="1"/>
  <c r="I371" i="14" s="1"/>
  <c r="I585" i="14" a="1"/>
  <c r="I585" i="14" s="1"/>
  <c r="I513" i="14" a="1"/>
  <c r="I513" i="14" s="1"/>
  <c r="I1171" i="14" a="1"/>
  <c r="I1171" i="14" s="1"/>
  <c r="I390" i="14" a="1"/>
  <c r="I390" i="14" s="1"/>
  <c r="I701" i="14" a="1"/>
  <c r="I701" i="14" s="1"/>
  <c r="I300" i="14" a="1"/>
  <c r="I300" i="14" s="1"/>
  <c r="I692" i="14" a="1"/>
  <c r="I692" i="14" s="1"/>
  <c r="I1160" i="14" a="1"/>
  <c r="I1160" i="14" s="1"/>
  <c r="I464" i="14" a="1"/>
  <c r="I464" i="14" s="1"/>
  <c r="I568" i="14" a="1"/>
  <c r="I568" i="14" s="1"/>
  <c r="I181" i="14" a="1"/>
  <c r="I181" i="14" s="1"/>
  <c r="I809" i="14" a="1"/>
  <c r="I809" i="14" s="1"/>
  <c r="I1079" i="14" a="1"/>
  <c r="I1079" i="14" s="1"/>
  <c r="I395" i="14" a="1"/>
  <c r="I395" i="14" s="1"/>
  <c r="I570" i="14" a="1"/>
  <c r="I570" i="14" s="1"/>
  <c r="I186" i="14" a="1"/>
  <c r="I186" i="14" s="1"/>
  <c r="I867" i="14" a="1"/>
  <c r="I867" i="14" s="1"/>
  <c r="I1497" i="14" a="1"/>
  <c r="I1497" i="14" s="1"/>
  <c r="I1258" i="14" a="1"/>
  <c r="I1258" i="14" s="1"/>
  <c r="I1340" i="14" a="1"/>
  <c r="I1340" i="14" s="1"/>
  <c r="I1294" i="14" a="1"/>
  <c r="I1294" i="14" s="1"/>
  <c r="I1137" i="14" a="1"/>
  <c r="I1137" i="14" s="1"/>
  <c r="I427" i="14" a="1"/>
  <c r="I427" i="14" s="1"/>
  <c r="I592" i="14" a="1"/>
  <c r="I592" i="14" s="1"/>
  <c r="I674" i="14" a="1"/>
  <c r="I674" i="14" s="1"/>
  <c r="I928" i="14" a="1"/>
  <c r="I928" i="14" s="1"/>
  <c r="I1082" i="14" a="1"/>
  <c r="I1082" i="14" s="1"/>
  <c r="I373" i="14" a="1"/>
  <c r="I373" i="14" s="1"/>
  <c r="I613" i="14" a="1"/>
  <c r="I613" i="14" s="1"/>
  <c r="I501" i="14" a="1"/>
  <c r="I501" i="14" s="1"/>
  <c r="I1154" i="14" a="1"/>
  <c r="I1154" i="14" s="1"/>
  <c r="I430" i="14" a="1"/>
  <c r="I430" i="14" s="1"/>
  <c r="I574" i="14" a="1"/>
  <c r="I574" i="14" s="1"/>
  <c r="I188" i="14" a="1"/>
  <c r="I188" i="14" s="1"/>
  <c r="I550" i="14" a="1"/>
  <c r="I550" i="14" s="1"/>
  <c r="I1000" i="14" a="1"/>
  <c r="I1000" i="14" s="1"/>
  <c r="I477" i="14" a="1"/>
  <c r="I477" i="14" s="1"/>
  <c r="I977" i="14" a="1"/>
  <c r="I977" i="14" s="1"/>
  <c r="I1100" i="14" a="1"/>
  <c r="I1100" i="14" s="1"/>
  <c r="I146" i="14" a="1"/>
  <c r="I146" i="14" s="1"/>
  <c r="I969" i="14" a="1"/>
  <c r="I969" i="14" s="1"/>
  <c r="I365" i="14" a="1"/>
  <c r="I365" i="14" s="1"/>
  <c r="I863" i="14" a="1"/>
  <c r="I863" i="14" s="1"/>
  <c r="I1089" i="14" a="1"/>
  <c r="I1089" i="14" s="1"/>
  <c r="I116" i="14" a="1"/>
  <c r="I116" i="14" s="1"/>
  <c r="I951" i="14" a="1"/>
  <c r="I951" i="14" s="1"/>
  <c r="I356" i="14" a="1"/>
  <c r="I356" i="14" s="1"/>
  <c r="I849" i="14" a="1"/>
  <c r="I849" i="14" s="1"/>
  <c r="I1088" i="14" a="1"/>
  <c r="I1088" i="14" s="1"/>
  <c r="I262" i="14" a="1"/>
  <c r="I262" i="14" s="1"/>
  <c r="I580" i="14" a="1"/>
  <c r="I580" i="14" s="1"/>
  <c r="I800" i="14" a="1"/>
  <c r="I800" i="14" s="1"/>
  <c r="I942" i="14" a="1"/>
  <c r="I942" i="14" s="1"/>
  <c r="I317" i="14" a="1"/>
  <c r="I317" i="14" s="1"/>
  <c r="I600" i="14" a="1"/>
  <c r="I600" i="14" s="1"/>
  <c r="I817" i="14" a="1"/>
  <c r="I817" i="14" s="1"/>
  <c r="I959" i="14" a="1"/>
  <c r="I959" i="14" s="1"/>
  <c r="I392" i="14" a="1"/>
  <c r="I392" i="14" s="1"/>
  <c r="I617" i="14" a="1"/>
  <c r="I617" i="14" s="1"/>
  <c r="I144" i="14" a="1"/>
  <c r="I144" i="14" s="1"/>
  <c r="I638" i="14" a="1"/>
  <c r="I638" i="14" s="1"/>
  <c r="I1002" i="14" a="1"/>
  <c r="I1002" i="14" s="1"/>
  <c r="I1264" i="14" a="1"/>
  <c r="I1264" i="14" s="1"/>
  <c r="I243" i="14" a="1"/>
  <c r="I243" i="14" s="1"/>
  <c r="I857" i="14" a="1"/>
  <c r="I857" i="14" s="1"/>
  <c r="I500" i="14" a="1"/>
  <c r="I500" i="14" s="1"/>
  <c r="I1253" i="14" a="1"/>
  <c r="I1253" i="14" s="1"/>
  <c r="I438" i="14" a="1"/>
  <c r="I438" i="14" s="1"/>
  <c r="I936" i="14" a="1"/>
  <c r="I936" i="14" s="1"/>
  <c r="I529" i="14" a="1"/>
  <c r="I529" i="14" s="1"/>
  <c r="I151" i="14" a="1"/>
  <c r="I151" i="14" s="1"/>
  <c r="I1096" i="14" a="1"/>
  <c r="I1096" i="14" s="1"/>
  <c r="I202" i="14" a="1"/>
  <c r="I202" i="14" s="1"/>
  <c r="I819" i="14" a="1"/>
  <c r="I819" i="14" s="1"/>
  <c r="I504" i="14" a="1"/>
  <c r="I504" i="14" s="1"/>
  <c r="I13" i="14" a="1"/>
  <c r="I13" i="14" s="1"/>
  <c r="I359" i="14" a="1"/>
  <c r="I359" i="14" s="1"/>
  <c r="I962" i="14" a="1"/>
  <c r="I962" i="14" s="1"/>
  <c r="I763" i="14" a="1"/>
  <c r="I763" i="14" s="1"/>
  <c r="I218" i="14" a="1"/>
  <c r="I218" i="14" s="1"/>
  <c r="I1239" i="14" a="1"/>
  <c r="I1239" i="14" s="1"/>
  <c r="I461" i="14" a="1"/>
  <c r="I461" i="14" s="1"/>
  <c r="I967" i="14" a="1"/>
  <c r="I967" i="14" s="1"/>
  <c r="I1067" i="14" a="1"/>
  <c r="I1067" i="14" s="1"/>
  <c r="I156" i="14" a="1"/>
  <c r="I156" i="14" s="1"/>
  <c r="J325" i="14" a="1"/>
  <c r="J325" i="14" s="1"/>
  <c r="J609" i="14" a="1"/>
  <c r="J609" i="14" s="1"/>
  <c r="J131" i="14" a="1"/>
  <c r="J131" i="14" s="1"/>
  <c r="J619" i="14" a="1"/>
  <c r="J619" i="14" s="1"/>
  <c r="J981" i="14" a="1"/>
  <c r="J981" i="14" s="1"/>
  <c r="J321" i="14" a="1"/>
  <c r="J321" i="14" s="1"/>
  <c r="J688" i="14" a="1"/>
  <c r="J688" i="14" s="1"/>
  <c r="J192" i="14" a="1"/>
  <c r="J192" i="14" s="1"/>
  <c r="J699" i="14" a="1"/>
  <c r="J699" i="14" s="1"/>
  <c r="J1039" i="14" a="1"/>
  <c r="J1039" i="14" s="1"/>
  <c r="J346" i="14" a="1"/>
  <c r="J346" i="14" s="1"/>
  <c r="J660" i="14" a="1"/>
  <c r="J660" i="14" s="1"/>
  <c r="J94" i="14" a="1"/>
  <c r="J94" i="14" s="1"/>
  <c r="J635" i="14" a="1"/>
  <c r="J635" i="14" s="1"/>
  <c r="J890" i="14" a="1"/>
  <c r="J890" i="14" s="1"/>
  <c r="J917" i="14" a="1"/>
  <c r="J917" i="14" s="1"/>
  <c r="J417" i="14" a="1"/>
  <c r="J417" i="14" s="1"/>
  <c r="J920" i="14" a="1"/>
  <c r="J920" i="14" s="1"/>
  <c r="J1070" i="14" a="1"/>
  <c r="J1070" i="14" s="1"/>
  <c r="J14" i="14" a="1"/>
  <c r="J14" i="14" s="1"/>
  <c r="J929" i="14" a="1"/>
  <c r="J929" i="14" s="1"/>
  <c r="J399" i="14" a="1"/>
  <c r="J399" i="14" s="1"/>
  <c r="J853" i="14" a="1"/>
  <c r="J853" i="14" s="1"/>
  <c r="J964" i="14" a="1"/>
  <c r="J964" i="14" s="1"/>
  <c r="J1278" i="14" a="1"/>
  <c r="J1278" i="14" s="1"/>
  <c r="J974" i="14" a="1"/>
  <c r="J974" i="14" s="1"/>
  <c r="J415" i="14" a="1"/>
  <c r="J415" i="14" s="1"/>
  <c r="J896" i="14" a="1"/>
  <c r="J896" i="14" s="1"/>
  <c r="J1045" i="14" a="1"/>
  <c r="J1045" i="14" s="1"/>
  <c r="J12" i="14" a="1"/>
  <c r="J12" i="14" s="1"/>
  <c r="J971" i="14" a="1"/>
  <c r="J971" i="14" s="1"/>
  <c r="J411" i="14" a="1"/>
  <c r="J411" i="14" s="1"/>
  <c r="J891" i="14" a="1"/>
  <c r="J891" i="14" s="1"/>
  <c r="J1042" i="14" a="1"/>
  <c r="J1042" i="14" s="1"/>
  <c r="J934" i="14" a="1"/>
  <c r="J934" i="14" s="1"/>
  <c r="J424" i="14" a="1"/>
  <c r="J424" i="14" s="1"/>
  <c r="J924" i="14" a="1"/>
  <c r="J924" i="14" s="1"/>
  <c r="J1072" i="14" a="1"/>
  <c r="J1072" i="14" s="1"/>
  <c r="J362" i="14" a="1"/>
  <c r="J362" i="14" s="1"/>
  <c r="J654" i="14" a="1"/>
  <c r="J654" i="14" s="1"/>
  <c r="J149" i="14" a="1"/>
  <c r="J149" i="14" s="1"/>
  <c r="J642" i="14" a="1"/>
  <c r="J642" i="14" s="1"/>
  <c r="J1024" i="14" a="1"/>
  <c r="J1024" i="14" s="1"/>
  <c r="J15" i="14" a="1"/>
  <c r="J15" i="14" s="1"/>
  <c r="J954" i="14" a="1"/>
  <c r="J954" i="14" s="1"/>
  <c r="J368" i="14" a="1"/>
  <c r="J368" i="14" s="1"/>
  <c r="J865" i="14" a="1"/>
  <c r="J865" i="14" s="1"/>
  <c r="J1033" i="14" a="1"/>
  <c r="J1033" i="14" s="1"/>
  <c r="J1208" i="14" a="1"/>
  <c r="J1208" i="14" s="1"/>
  <c r="J1235" i="14" a="1"/>
  <c r="J1235" i="14" s="1"/>
  <c r="J712" i="14" a="1"/>
  <c r="J712" i="14" s="1"/>
  <c r="J493" i="14" a="1"/>
  <c r="J493" i="14" s="1"/>
  <c r="J81" i="14" a="1"/>
  <c r="J81" i="14" s="1"/>
  <c r="J976" i="14" a="1"/>
  <c r="J976" i="14" s="1"/>
  <c r="J551" i="14" a="1"/>
  <c r="J551" i="14" s="1"/>
  <c r="J372" i="14" a="1"/>
  <c r="J372" i="14" s="1"/>
  <c r="J244" i="14" a="1"/>
  <c r="J244" i="14" s="1"/>
  <c r="J935" i="14" a="1"/>
  <c r="J935" i="14" s="1"/>
  <c r="J397" i="14" a="1"/>
  <c r="J397" i="14" s="1"/>
  <c r="J473" i="14" a="1"/>
  <c r="J473" i="14" s="1"/>
  <c r="J133" i="14" a="1"/>
  <c r="J133" i="14" s="1"/>
  <c r="J523" i="14" a="1"/>
  <c r="J523" i="14" s="1"/>
  <c r="J946" i="14" a="1"/>
  <c r="J946" i="14" s="1"/>
  <c r="J353" i="14" a="1"/>
  <c r="J353" i="14" s="1"/>
  <c r="J495" i="14" a="1"/>
  <c r="J495" i="14" s="1"/>
  <c r="J166" i="14" a="1"/>
  <c r="J166" i="14" s="1"/>
  <c r="J509" i="14" a="1"/>
  <c r="J509" i="14" s="1"/>
  <c r="J1486" i="14" a="1"/>
  <c r="J1486" i="14" s="1"/>
  <c r="J1256" i="14" a="1"/>
  <c r="J1256" i="14" s="1"/>
  <c r="J1300" i="14" a="1"/>
  <c r="J1300" i="14" s="1"/>
  <c r="J1268" i="14" a="1"/>
  <c r="J1268" i="14" s="1"/>
  <c r="J1132" i="14" a="1"/>
  <c r="J1132" i="14" s="1"/>
  <c r="J1458" i="14" a="1"/>
  <c r="J1458" i="14" s="1"/>
  <c r="J1225" i="14" a="1"/>
  <c r="J1225" i="14" s="1"/>
  <c r="J1360" i="14" a="1"/>
  <c r="J1360" i="14" s="1"/>
  <c r="J1310" i="14" a="1"/>
  <c r="J1310" i="14" s="1"/>
  <c r="J1098" i="14" a="1"/>
  <c r="J1098" i="14" s="1"/>
  <c r="J1349" i="14" a="1"/>
  <c r="J1349" i="14" s="1"/>
  <c r="J1028" i="14" a="1"/>
  <c r="J1028" i="14" s="1"/>
  <c r="J1209" i="14" a="1"/>
  <c r="J1209" i="14" s="1"/>
  <c r="J1104" i="14" a="1"/>
  <c r="J1104" i="14" s="1"/>
  <c r="J645" i="14" a="1"/>
  <c r="J645" i="14" s="1"/>
  <c r="J1433" i="14" a="1"/>
  <c r="J1433" i="14" s="1"/>
  <c r="J1238" i="14" a="1"/>
  <c r="J1238" i="14" s="1"/>
  <c r="J1352" i="14" a="1"/>
  <c r="J1352" i="14" s="1"/>
  <c r="J1304" i="14" a="1"/>
  <c r="J1304" i="14" s="1"/>
  <c r="J1136" i="14" a="1"/>
  <c r="J1136" i="14" s="1"/>
  <c r="J139" i="14" a="1"/>
  <c r="J139" i="14" s="1"/>
  <c r="J537" i="14" a="1"/>
  <c r="J537" i="14" s="1"/>
  <c r="J22" i="14" a="1"/>
  <c r="J22" i="14" s="1"/>
  <c r="J401" i="14" a="1"/>
  <c r="J401" i="14" s="1"/>
  <c r="J710" i="14" a="1"/>
  <c r="J710" i="14" s="1"/>
  <c r="J503" i="14" a="1"/>
  <c r="J503" i="14" s="1"/>
  <c r="J552" i="14" a="1"/>
  <c r="J552" i="14" s="1"/>
  <c r="J614" i="14" a="1"/>
  <c r="J614" i="14" s="1"/>
  <c r="J858" i="14" a="1"/>
  <c r="J858" i="14" s="1"/>
  <c r="J406" i="14" a="1"/>
  <c r="J406" i="14" s="1"/>
  <c r="J554" i="14" a="1"/>
  <c r="J554" i="14" s="1"/>
  <c r="J103" i="14" a="1"/>
  <c r="J103" i="14" s="1"/>
  <c r="J661" i="14" a="1"/>
  <c r="J661" i="14" s="1"/>
  <c r="J879" i="14" a="1"/>
  <c r="J879" i="14" s="1"/>
  <c r="J1097" i="14" a="1"/>
  <c r="J1097" i="14" s="1"/>
  <c r="J371" i="14" a="1"/>
  <c r="J371" i="14" s="1"/>
  <c r="J585" i="14" a="1"/>
  <c r="J585" i="14" s="1"/>
  <c r="J513" i="14" a="1"/>
  <c r="J513" i="14" s="1"/>
  <c r="J1171" i="14" a="1"/>
  <c r="J1171" i="14" s="1"/>
  <c r="J390" i="14" a="1"/>
  <c r="J390" i="14" s="1"/>
  <c r="J701" i="14" a="1"/>
  <c r="J701" i="14" s="1"/>
  <c r="J300" i="14" a="1"/>
  <c r="J300" i="14" s="1"/>
  <c r="J692" i="14" a="1"/>
  <c r="J692" i="14" s="1"/>
  <c r="J1160" i="14" a="1"/>
  <c r="J1160" i="14" s="1"/>
  <c r="J464" i="14" a="1"/>
  <c r="J464" i="14" s="1"/>
  <c r="J568" i="14" a="1"/>
  <c r="J568" i="14" s="1"/>
  <c r="J181" i="14" a="1"/>
  <c r="J181" i="14" s="1"/>
  <c r="J809" i="14" a="1"/>
  <c r="J809" i="14" s="1"/>
  <c r="J1079" i="14" a="1"/>
  <c r="J1079" i="14" s="1"/>
  <c r="J395" i="14" a="1"/>
  <c r="J395" i="14" s="1"/>
  <c r="J570" i="14" a="1"/>
  <c r="J570" i="14" s="1"/>
  <c r="J186" i="14" a="1"/>
  <c r="J186" i="14" s="1"/>
  <c r="J867" i="14" a="1"/>
  <c r="J867" i="14" s="1"/>
  <c r="J1497" i="14" a="1"/>
  <c r="J1497" i="14" s="1"/>
  <c r="J1258" i="14" a="1"/>
  <c r="J1258" i="14" s="1"/>
  <c r="J1340" i="14" a="1"/>
  <c r="J1340" i="14" s="1"/>
  <c r="J1294" i="14" a="1"/>
  <c r="J1294" i="14" s="1"/>
  <c r="J1137" i="14" a="1"/>
  <c r="J1137" i="14" s="1"/>
  <c r="J427" i="14" a="1"/>
  <c r="J427" i="14" s="1"/>
  <c r="J592" i="14" a="1"/>
  <c r="J592" i="14" s="1"/>
  <c r="J674" i="14" a="1"/>
  <c r="J674" i="14" s="1"/>
  <c r="J928" i="14" a="1"/>
  <c r="J928" i="14" s="1"/>
  <c r="J1082" i="14" a="1"/>
  <c r="J1082" i="14" s="1"/>
  <c r="J373" i="14" a="1"/>
  <c r="J373" i="14" s="1"/>
  <c r="J613" i="14" a="1"/>
  <c r="J613" i="14" s="1"/>
  <c r="J501" i="14" a="1"/>
  <c r="J501" i="14" s="1"/>
  <c r="J1154" i="14" a="1"/>
  <c r="J1154" i="14" s="1"/>
  <c r="J430" i="14" a="1"/>
  <c r="J430" i="14" s="1"/>
  <c r="J574" i="14" a="1"/>
  <c r="J574" i="14" s="1"/>
  <c r="J188" i="14" a="1"/>
  <c r="J188" i="14" s="1"/>
  <c r="J550" i="14" a="1"/>
  <c r="J550" i="14" s="1"/>
  <c r="J1000" i="14" a="1"/>
  <c r="J1000" i="14" s="1"/>
  <c r="J477" i="14" a="1"/>
  <c r="J477" i="14" s="1"/>
  <c r="J977" i="14" a="1"/>
  <c r="J977" i="14" s="1"/>
  <c r="J1100" i="14" a="1"/>
  <c r="J1100" i="14" s="1"/>
  <c r="J146" i="14" a="1"/>
  <c r="J146" i="14" s="1"/>
  <c r="J969" i="14" a="1"/>
  <c r="J969" i="14" s="1"/>
  <c r="J365" i="14" a="1"/>
  <c r="J365" i="14" s="1"/>
  <c r="J863" i="14" a="1"/>
  <c r="J863" i="14" s="1"/>
  <c r="J1089" i="14" a="1"/>
  <c r="J1089" i="14" s="1"/>
  <c r="J116" i="14" a="1"/>
  <c r="J116" i="14" s="1"/>
  <c r="J951" i="14" a="1"/>
  <c r="J951" i="14" s="1"/>
  <c r="J356" i="14" a="1"/>
  <c r="J356" i="14" s="1"/>
  <c r="J849" i="14" a="1"/>
  <c r="J849" i="14" s="1"/>
  <c r="J1088" i="14" a="1"/>
  <c r="J1088" i="14" s="1"/>
  <c r="J262" i="14" a="1"/>
  <c r="J262" i="14" s="1"/>
  <c r="J580" i="14" a="1"/>
  <c r="J580" i="14" s="1"/>
  <c r="J169" i="14" a="1"/>
  <c r="J169" i="14" s="1"/>
  <c r="J800" i="14" a="1"/>
  <c r="J800" i="14" s="1"/>
  <c r="J942" i="14" a="1"/>
  <c r="J942" i="14" s="1"/>
  <c r="J317" i="14" a="1"/>
  <c r="J317" i="14" s="1"/>
  <c r="J600" i="14" a="1"/>
  <c r="J600" i="14" s="1"/>
  <c r="J206" i="14" a="1"/>
  <c r="J206" i="14" s="1"/>
  <c r="J817" i="14" a="1"/>
  <c r="J817" i="14" s="1"/>
  <c r="J959" i="14" a="1"/>
  <c r="J959" i="14" s="1"/>
  <c r="J392" i="14" a="1"/>
  <c r="J392" i="14" s="1"/>
  <c r="J617" i="14" a="1"/>
  <c r="J617" i="14" s="1"/>
  <c r="J144" i="14" a="1"/>
  <c r="J144" i="14" s="1"/>
  <c r="J638" i="14" a="1"/>
  <c r="J638" i="14" s="1"/>
  <c r="J1002" i="14" a="1"/>
  <c r="J1002" i="14" s="1"/>
  <c r="J1264" i="14" a="1"/>
  <c r="J1264" i="14" s="1"/>
  <c r="J243" i="14" a="1"/>
  <c r="J243" i="14" s="1"/>
  <c r="J857" i="14" a="1"/>
  <c r="J857" i="14" s="1"/>
  <c r="J500" i="14" a="1"/>
  <c r="J500" i="14" s="1"/>
  <c r="J1253" i="14" a="1"/>
  <c r="J1253" i="14" s="1"/>
  <c r="J438" i="14" a="1"/>
  <c r="J438" i="14" s="1"/>
  <c r="J936" i="14" a="1"/>
  <c r="J936" i="14" s="1"/>
  <c r="J529" i="14" a="1"/>
  <c r="J529" i="14" s="1"/>
  <c r="J151" i="14" a="1"/>
  <c r="J151" i="14" s="1"/>
  <c r="J1096" i="14" a="1"/>
  <c r="J1096" i="14" s="1"/>
  <c r="J202" i="14" a="1"/>
  <c r="J202" i="14" s="1"/>
  <c r="J819" i="14" a="1"/>
  <c r="J819" i="14" s="1"/>
  <c r="J504" i="14" a="1"/>
  <c r="J504" i="14" s="1"/>
  <c r="J13" i="14" a="1"/>
  <c r="J13" i="14" s="1"/>
  <c r="J359" i="14" a="1"/>
  <c r="J359" i="14" s="1"/>
  <c r="J962" i="14" a="1"/>
  <c r="J962" i="14" s="1"/>
  <c r="J763" i="14" a="1"/>
  <c r="J763" i="14" s="1"/>
  <c r="J218" i="14" a="1"/>
  <c r="J218" i="14" s="1"/>
  <c r="J1239" i="14" a="1"/>
  <c r="J1239" i="14" s="1"/>
  <c r="J461" i="14" a="1"/>
  <c r="J461" i="14" s="1"/>
  <c r="J967" i="14" a="1"/>
  <c r="J967" i="14" s="1"/>
  <c r="J1067" i="14" a="1"/>
  <c r="J1067" i="14" s="1"/>
  <c r="J156" i="14" a="1"/>
  <c r="J156" i="14" s="1"/>
  <c r="E707" i="14" a="1"/>
  <c r="E707" i="14" s="1"/>
  <c r="E956" i="14" a="1"/>
  <c r="E956" i="14" s="1"/>
  <c r="M956" i="14" s="1"/>
  <c r="P956" i="14" s="1"/>
  <c r="E932" i="14" a="1"/>
  <c r="E932" i="14" s="1"/>
  <c r="M932" i="14" s="1"/>
  <c r="P932" i="14" s="1"/>
  <c r="E1036" i="14" a="1"/>
  <c r="E1036" i="14" s="1"/>
  <c r="E524" i="14" a="1"/>
  <c r="E524" i="14" s="1"/>
  <c r="M524" i="14" s="1"/>
  <c r="P524" i="14" s="1"/>
  <c r="E45" i="14" a="1"/>
  <c r="E45" i="14" s="1"/>
  <c r="E734" i="14" a="1"/>
  <c r="E734" i="14" s="1"/>
  <c r="M734" i="14" s="1"/>
  <c r="P734" i="14" s="1"/>
  <c r="E1109" i="14" a="1"/>
  <c r="E1109" i="14" s="1"/>
  <c r="M1109" i="14" s="1"/>
  <c r="P1109" i="14" s="1"/>
  <c r="E240" i="14" a="1"/>
  <c r="E240" i="14" s="1"/>
  <c r="M240" i="14" s="1"/>
  <c r="P240" i="14" s="1"/>
  <c r="E217" i="14" a="1"/>
  <c r="E217" i="14" s="1"/>
  <c r="M217" i="14" s="1"/>
  <c r="P217" i="14" s="1"/>
  <c r="E284" i="14" a="1"/>
  <c r="E284" i="14" s="1"/>
  <c r="E911" i="14" a="1"/>
  <c r="E911" i="14" s="1"/>
  <c r="M911" i="14" s="1"/>
  <c r="P911" i="14" s="1"/>
  <c r="E704" i="14" a="1"/>
  <c r="E704" i="14" s="1"/>
  <c r="M704" i="14" s="1"/>
  <c r="P704" i="14" s="1"/>
  <c r="E189" i="14" a="1"/>
  <c r="E189" i="14" s="1"/>
  <c r="M189" i="14" s="1"/>
  <c r="P189" i="14" s="1"/>
  <c r="E1015" i="14" a="1"/>
  <c r="E1015" i="14" s="1"/>
  <c r="M1015" i="14" s="1"/>
  <c r="P1015" i="14" s="1"/>
  <c r="E775" i="14" a="1"/>
  <c r="E775" i="14" s="1"/>
  <c r="M775" i="14" s="1"/>
  <c r="P775" i="14" s="1"/>
  <c r="E1485" i="14" a="1"/>
  <c r="E1485" i="14" s="1"/>
  <c r="M1485" i="14" s="1"/>
  <c r="P1485" i="14" s="1"/>
  <c r="E91" i="14" a="1"/>
  <c r="E91" i="14" s="1"/>
  <c r="M91" i="14" s="1"/>
  <c r="P91" i="14" s="1"/>
  <c r="E468" i="14" a="1"/>
  <c r="E468" i="14" s="1"/>
  <c r="M468" i="14" s="1"/>
  <c r="P468" i="14" s="1"/>
  <c r="E766" i="14" a="1"/>
  <c r="E766" i="14" s="1"/>
  <c r="M766" i="14" s="1"/>
  <c r="P766" i="14" s="1"/>
  <c r="E83" i="14" a="1"/>
  <c r="E83" i="14" s="1"/>
  <c r="M83" i="14" s="1"/>
  <c r="P83" i="14" s="1"/>
  <c r="E621" i="14" a="1"/>
  <c r="E621" i="14" s="1"/>
  <c r="M621" i="14" s="1"/>
  <c r="P621" i="14" s="1"/>
  <c r="E575" i="14" a="1"/>
  <c r="E575" i="14" s="1"/>
  <c r="M575" i="14" s="1"/>
  <c r="P575" i="14" s="1"/>
  <c r="E389" i="14" a="1"/>
  <c r="E389" i="14" s="1"/>
  <c r="M389" i="14" s="1"/>
  <c r="P389" i="14" s="1"/>
  <c r="E432" i="14" a="1"/>
  <c r="E432" i="14" s="1"/>
  <c r="M432" i="14" s="1"/>
  <c r="P432" i="14" s="1"/>
  <c r="E1335" i="14" a="1"/>
  <c r="E1335" i="14" s="1"/>
  <c r="M1335" i="14" s="1"/>
  <c r="P1335" i="14" s="1"/>
  <c r="E1203" i="14" a="1"/>
  <c r="E1203" i="14" s="1"/>
  <c r="M1203" i="14" s="1"/>
  <c r="P1203" i="14" s="1"/>
  <c r="E1332" i="14" a="1"/>
  <c r="E1332" i="14" s="1"/>
  <c r="M1332" i="14" s="1"/>
  <c r="P1332" i="14" s="1"/>
  <c r="E1428" i="14" a="1"/>
  <c r="E1428" i="14" s="1"/>
  <c r="M1428" i="14" s="1"/>
  <c r="P1428" i="14" s="1"/>
  <c r="E1275" i="14" a="1"/>
  <c r="E1275" i="14" s="1"/>
  <c r="M1275" i="14" s="1"/>
  <c r="P1275" i="14" s="1"/>
  <c r="E559" i="14" a="1"/>
  <c r="E559" i="14" s="1"/>
  <c r="M559" i="14" s="1"/>
  <c r="P559" i="14" s="1"/>
  <c r="E120" i="14" a="1"/>
  <c r="E120" i="14" s="1"/>
  <c r="M120" i="14" s="1"/>
  <c r="P120" i="14" s="1"/>
  <c r="E431" i="14" a="1"/>
  <c r="E431" i="14" s="1"/>
  <c r="M431" i="14" s="1"/>
  <c r="P431" i="14" s="1"/>
  <c r="E341" i="14" a="1"/>
  <c r="E341" i="14" s="1"/>
  <c r="M341" i="14" s="1"/>
  <c r="P341" i="14" s="1"/>
  <c r="E728" i="14" a="1"/>
  <c r="E728" i="14" s="1"/>
  <c r="M728" i="14" s="1"/>
  <c r="P728" i="14" s="1"/>
  <c r="E884" i="14" a="1"/>
  <c r="E884" i="14" s="1"/>
  <c r="M884" i="14" s="1"/>
  <c r="P884" i="14" s="1"/>
  <c r="E65" i="14" a="1"/>
  <c r="E65" i="14" s="1"/>
  <c r="M65" i="14" s="1"/>
  <c r="P65" i="14" s="1"/>
  <c r="E479" i="14" a="1"/>
  <c r="E479" i="14" s="1"/>
  <c r="M479" i="14" s="1"/>
  <c r="P479" i="14" s="1"/>
  <c r="E802" i="14" a="1"/>
  <c r="E802" i="14" s="1"/>
  <c r="M802" i="14" s="1"/>
  <c r="P802" i="14" s="1"/>
  <c r="E1162" i="14" a="1"/>
  <c r="E1162" i="14" s="1"/>
  <c r="M1162" i="14" s="1"/>
  <c r="P1162" i="14" s="1"/>
  <c r="E872" i="14" a="1"/>
  <c r="E872" i="14" s="1"/>
  <c r="M872" i="14" s="1"/>
  <c r="P872" i="14" s="1"/>
  <c r="E905" i="14" a="1"/>
  <c r="E905" i="14" s="1"/>
  <c r="M905" i="14" s="1"/>
  <c r="P905" i="14" s="1"/>
  <c r="E290" i="14" a="1"/>
  <c r="E290" i="14" s="1"/>
  <c r="M290" i="14" s="1"/>
  <c r="P290" i="14" s="1"/>
  <c r="E1193" i="14" a="1"/>
  <c r="E1193" i="14" s="1"/>
  <c r="M1193" i="14" s="1"/>
  <c r="P1193" i="14" s="1"/>
  <c r="E805" i="14" a="1"/>
  <c r="E805" i="14" s="1"/>
  <c r="M805" i="14" s="1"/>
  <c r="P805" i="14" s="1"/>
  <c r="E1062" i="14" a="1"/>
  <c r="E1062" i="14" s="1"/>
  <c r="M1062" i="14" s="1"/>
  <c r="P1062" i="14" s="1"/>
  <c r="E311" i="14" a="1"/>
  <c r="E311" i="14" s="1"/>
  <c r="M311" i="14" s="1"/>
  <c r="P311" i="14" s="1"/>
  <c r="E590" i="14" a="1"/>
  <c r="E590" i="14" s="1"/>
  <c r="M590" i="14" s="1"/>
  <c r="P590" i="14" s="1"/>
  <c r="E1205" i="14" a="1"/>
  <c r="E1205" i="14" s="1"/>
  <c r="M1205" i="14" s="1"/>
  <c r="P1205" i="14" s="1"/>
  <c r="E533" i="14" a="1"/>
  <c r="E533" i="14" s="1"/>
  <c r="M533" i="14" s="1"/>
  <c r="P533" i="14" s="1"/>
  <c r="E1181" i="14" a="1"/>
  <c r="E1181" i="14" s="1"/>
  <c r="M1181" i="14" s="1"/>
  <c r="P1181" i="14" s="1"/>
  <c r="E744" i="14" a="1"/>
  <c r="E744" i="14" s="1"/>
  <c r="M744" i="14" s="1"/>
  <c r="P744" i="14" s="1"/>
  <c r="E1180" i="14" a="1"/>
  <c r="E1180" i="14" s="1"/>
  <c r="M1180" i="14" s="1"/>
  <c r="P1180" i="14" s="1"/>
  <c r="E481" i="14" a="1"/>
  <c r="E481" i="14" s="1"/>
  <c r="M481" i="14" s="1"/>
  <c r="P481" i="14" s="1"/>
  <c r="E975" i="14" a="1"/>
  <c r="E975" i="14" s="1"/>
  <c r="M975" i="14" s="1"/>
  <c r="P975" i="14" s="1"/>
  <c r="E1211" i="14" a="1"/>
  <c r="E1211" i="14" s="1"/>
  <c r="M1211" i="14" s="1"/>
  <c r="P1211" i="14" s="1"/>
  <c r="E627" i="14" a="1"/>
  <c r="E627" i="14" s="1"/>
  <c r="M627" i="14" s="1"/>
  <c r="P627" i="14" s="1"/>
  <c r="E1101" i="14" a="1"/>
  <c r="E1101" i="14" s="1"/>
  <c r="M1101" i="14" s="1"/>
  <c r="P1101" i="14" s="1"/>
  <c r="E508" i="14" a="1"/>
  <c r="E508" i="14" s="1"/>
  <c r="M508" i="14" s="1"/>
  <c r="P508" i="14" s="1"/>
  <c r="E966" i="14" a="1"/>
  <c r="E966" i="14" s="1"/>
  <c r="M966" i="14" s="1"/>
  <c r="P966" i="14" s="1"/>
  <c r="E604" i="14" a="1"/>
  <c r="E604" i="14" s="1"/>
  <c r="M604" i="14" s="1"/>
  <c r="P604" i="14" s="1"/>
  <c r="E400" i="14" a="1"/>
  <c r="E400" i="14" s="1"/>
  <c r="M400" i="14" s="1"/>
  <c r="P400" i="14" s="1"/>
  <c r="E358" i="14" a="1"/>
  <c r="E358" i="14" s="1"/>
  <c r="M358" i="14" s="1"/>
  <c r="P358" i="14" s="1"/>
  <c r="E678" i="14" a="1"/>
  <c r="E678" i="14" s="1"/>
  <c r="M678" i="14" s="1"/>
  <c r="P678" i="14" s="1"/>
  <c r="E926" i="14" a="1"/>
  <c r="E926" i="14" s="1"/>
  <c r="M926" i="14" s="1"/>
  <c r="P926" i="14" s="1"/>
  <c r="E783" i="14" a="1"/>
  <c r="E783" i="14" s="1"/>
  <c r="M783" i="14" s="1"/>
  <c r="P783" i="14" s="1"/>
  <c r="E295" i="14" a="1"/>
  <c r="E295" i="14" s="1"/>
  <c r="M295" i="14" s="1"/>
  <c r="P295" i="14" s="1"/>
  <c r="E233" i="14" a="1"/>
  <c r="E233" i="14" s="1"/>
  <c r="M233" i="14" s="1"/>
  <c r="P233" i="14" s="1"/>
  <c r="E814" i="14" a="1"/>
  <c r="E814" i="14" s="1"/>
  <c r="M814" i="14" s="1"/>
  <c r="P814" i="14" s="1"/>
  <c r="E823" i="14" a="1"/>
  <c r="E823" i="14" s="1"/>
  <c r="M823" i="14" s="1"/>
  <c r="P823" i="14" s="1"/>
  <c r="E333" i="14" a="1"/>
  <c r="E333" i="14" s="1"/>
  <c r="M333" i="14" s="1"/>
  <c r="P333" i="14" s="1"/>
  <c r="E930" i="14" a="1"/>
  <c r="E930" i="14" s="1"/>
  <c r="M930" i="14" s="1"/>
  <c r="P930" i="14" s="1"/>
  <c r="E532" i="14" a="1"/>
  <c r="E532" i="14" s="1"/>
  <c r="M532" i="14" s="1"/>
  <c r="P532" i="14" s="1"/>
  <c r="E179" i="14" a="1"/>
  <c r="E179" i="14" s="1"/>
  <c r="E1030" i="14" a="1"/>
  <c r="E1030" i="14" s="1"/>
  <c r="E978" i="14" a="1"/>
  <c r="E978" i="14" s="1"/>
  <c r="E167" i="14" a="1"/>
  <c r="E167" i="14" s="1"/>
  <c r="E909" i="14" a="1"/>
  <c r="E909" i="14" s="1"/>
  <c r="E528" i="14" a="1"/>
  <c r="E528" i="14" s="1"/>
  <c r="E1122" i="14" a="1"/>
  <c r="E1122" i="14" s="1"/>
  <c r="E1286" i="14" a="1"/>
  <c r="E1286" i="14" s="1"/>
  <c r="E653" i="14" a="1"/>
  <c r="E653" i="14" s="1"/>
  <c r="E177" i="14" a="1"/>
  <c r="E177" i="14" s="1"/>
  <c r="E910" i="14" a="1"/>
  <c r="E910" i="14" s="1"/>
  <c r="E732" i="14" a="1"/>
  <c r="E732" i="14" s="1"/>
  <c r="E215" i="14" a="1"/>
  <c r="E215" i="14" s="1"/>
  <c r="E651" i="14" a="1"/>
  <c r="E651" i="14" s="1"/>
  <c r="E272" i="14" a="1"/>
  <c r="E272" i="14" s="1"/>
  <c r="E1048" i="14" a="1"/>
  <c r="E1048" i="14" s="1"/>
  <c r="E961" i="14" a="1"/>
  <c r="E961" i="14" s="1"/>
  <c r="E1022" i="14" a="1"/>
  <c r="E1022" i="14" s="1"/>
  <c r="E385" i="14" a="1"/>
  <c r="E385" i="14" s="1"/>
  <c r="E560" i="14" a="1"/>
  <c r="E560" i="14" s="1"/>
  <c r="E312" i="14" a="1"/>
  <c r="E312" i="14" s="1"/>
  <c r="E478" i="14" a="1"/>
  <c r="E478" i="14" s="1"/>
  <c r="E496" i="14" a="1"/>
  <c r="E496" i="14" s="1"/>
  <c r="E444" i="14" a="1"/>
  <c r="E444" i="14" s="1"/>
  <c r="E458" i="14" a="1"/>
  <c r="E458" i="14" s="1"/>
  <c r="E1130" i="14" a="1"/>
  <c r="E1130" i="14" s="1"/>
  <c r="E1307" i="14" a="1"/>
  <c r="E1307" i="14" s="1"/>
  <c r="E1389" i="14" a="1"/>
  <c r="E1389" i="14" s="1"/>
  <c r="E1318" i="14" a="1"/>
  <c r="E1318" i="14" s="1"/>
  <c r="E1139" i="14" a="1"/>
  <c r="E1139" i="14" s="1"/>
  <c r="E1095" i="14" a="1"/>
  <c r="E1095" i="14" s="1"/>
  <c r="E1308" i="14" a="1"/>
  <c r="E1308" i="14" s="1"/>
  <c r="E1432" i="14" a="1"/>
  <c r="E1432" i="14" s="1"/>
  <c r="E1476" i="14" a="1"/>
  <c r="E1476" i="14" s="1"/>
  <c r="E1281" i="14" a="1"/>
  <c r="E1281" i="14" s="1"/>
  <c r="E486" i="14" a="1"/>
  <c r="E486" i="14" s="1"/>
  <c r="E161" i="14" a="1"/>
  <c r="E161" i="14" s="1"/>
  <c r="E889" i="14" a="1"/>
  <c r="E889" i="14" s="1"/>
  <c r="E912" i="14" a="1"/>
  <c r="E912" i="14" s="1"/>
  <c r="E847" i="14" a="1"/>
  <c r="E847" i="14" s="1"/>
  <c r="E1001" i="14" a="1"/>
  <c r="E1001" i="14" s="1"/>
  <c r="E370" i="14" a="1"/>
  <c r="E370" i="14" s="1"/>
  <c r="E57" i="14" a="1"/>
  <c r="E57" i="14" s="1"/>
  <c r="E488" i="14" a="1"/>
  <c r="E488" i="14" s="1"/>
  <c r="E1271" i="14" a="1"/>
  <c r="E1271" i="14" s="1"/>
  <c r="E987" i="14" a="1"/>
  <c r="E987" i="14" s="1"/>
  <c r="E832" i="14" a="1"/>
  <c r="E832" i="14" s="1"/>
  <c r="E60" i="14" a="1"/>
  <c r="E60" i="14" s="1"/>
  <c r="E602" i="14" a="1"/>
  <c r="E602" i="14" s="1"/>
  <c r="E502" i="14" a="1"/>
  <c r="E502" i="14" s="1"/>
  <c r="E829" i="14" a="1"/>
  <c r="E829" i="14" s="1"/>
  <c r="E26" i="14" a="1"/>
  <c r="E26" i="14" s="1"/>
  <c r="E842" i="14" a="1"/>
  <c r="E842" i="14" s="1"/>
  <c r="M842" i="14" s="1"/>
  <c r="P842" i="14" s="1"/>
  <c r="E1067" i="14" a="1"/>
  <c r="E1067" i="14" s="1"/>
  <c r="M1067" i="14" s="1"/>
  <c r="P1067" i="14" s="1"/>
  <c r="E218" i="14" a="1"/>
  <c r="E218" i="14" s="1"/>
  <c r="M218" i="14" s="1"/>
  <c r="P218" i="14" s="1"/>
  <c r="E819" i="14" a="1"/>
  <c r="E819" i="14" s="1"/>
  <c r="M819" i="14" s="1"/>
  <c r="P819" i="14" s="1"/>
  <c r="E529" i="14" a="1"/>
  <c r="E529" i="14" s="1"/>
  <c r="M529" i="14" s="1"/>
  <c r="P529" i="14" s="1"/>
  <c r="E1264" i="14" a="1"/>
  <c r="E1264" i="14" s="1"/>
  <c r="M1264" i="14" s="1"/>
  <c r="P1264" i="14" s="1"/>
  <c r="E959" i="14" a="1"/>
  <c r="E959" i="14" s="1"/>
  <c r="M959" i="14" s="1"/>
  <c r="P959" i="14" s="1"/>
  <c r="E942" i="14" a="1"/>
  <c r="E942" i="14" s="1"/>
  <c r="M942" i="14" s="1"/>
  <c r="P942" i="14" s="1"/>
  <c r="E849" i="14" a="1"/>
  <c r="E849" i="14" s="1"/>
  <c r="E365" i="14" a="1"/>
  <c r="E365" i="14" s="1"/>
  <c r="M365" i="14" s="1"/>
  <c r="P365" i="14" s="1"/>
  <c r="E977" i="14" a="1"/>
  <c r="E977" i="14" s="1"/>
  <c r="M977" i="14" s="1"/>
  <c r="P977" i="14" s="1"/>
  <c r="E574" i="14" a="1"/>
  <c r="E574" i="14" s="1"/>
  <c r="M574" i="14" s="1"/>
  <c r="P574" i="14" s="1"/>
  <c r="E373" i="14" a="1"/>
  <c r="E373" i="14" s="1"/>
  <c r="M373" i="14" s="1"/>
  <c r="P373" i="14" s="1"/>
  <c r="E1258" i="14" a="1"/>
  <c r="E1258" i="14" s="1"/>
  <c r="E570" i="14" a="1"/>
  <c r="E570" i="14" s="1"/>
  <c r="E464" i="14" a="1"/>
  <c r="E464" i="14" s="1"/>
  <c r="M464" i="14" s="1"/>
  <c r="P464" i="14" s="1"/>
  <c r="E701" i="14" a="1"/>
  <c r="E701" i="14" s="1"/>
  <c r="M701" i="14" s="1"/>
  <c r="P701" i="14" s="1"/>
  <c r="E103" i="14" a="1"/>
  <c r="E103" i="14" s="1"/>
  <c r="M103" i="14" s="1"/>
  <c r="P103" i="14" s="1"/>
  <c r="E614" i="14" a="1"/>
  <c r="E614" i="14" s="1"/>
  <c r="M614" i="14" s="1"/>
  <c r="P614" i="14" s="1"/>
  <c r="E710" i="14" a="1"/>
  <c r="E710" i="14" s="1"/>
  <c r="M710" i="14" s="1"/>
  <c r="P710" i="14" s="1"/>
  <c r="E139" i="14" a="1"/>
  <c r="E139" i="14" s="1"/>
  <c r="M139" i="14" s="1"/>
  <c r="P139" i="14" s="1"/>
  <c r="E1238" i="14" a="1"/>
  <c r="E1238" i="14" s="1"/>
  <c r="E1104" i="14" a="1"/>
  <c r="E1104" i="14" s="1"/>
  <c r="E1209" i="14" a="1"/>
  <c r="E1209" i="14" s="1"/>
  <c r="M1209" i="14" s="1"/>
  <c r="P1209" i="14" s="1"/>
  <c r="E1028" i="14" a="1"/>
  <c r="E1028" i="14" s="1"/>
  <c r="M1028" i="14" s="1"/>
  <c r="P1028" i="14" s="1"/>
  <c r="E1349" i="14" a="1"/>
  <c r="E1349" i="14" s="1"/>
  <c r="E1098" i="14" a="1"/>
  <c r="E1098" i="14" s="1"/>
  <c r="M1098" i="14" s="1"/>
  <c r="P1098" i="14" s="1"/>
  <c r="E1310" i="14" a="1"/>
  <c r="E1310" i="14" s="1"/>
  <c r="M1310" i="14" s="1"/>
  <c r="P1310" i="14" s="1"/>
  <c r="E1225" i="14" a="1"/>
  <c r="E1225" i="14" s="1"/>
  <c r="E1256" i="14" a="1"/>
  <c r="E1256" i="14" s="1"/>
  <c r="M1256" i="14" s="1"/>
  <c r="P1256" i="14" s="1"/>
  <c r="E1486" i="14" a="1"/>
  <c r="E1486" i="14" s="1"/>
  <c r="M1486" i="14" s="1"/>
  <c r="P1486" i="14" s="1"/>
  <c r="E509" i="14" a="1"/>
  <c r="E509" i="14" s="1"/>
  <c r="M509" i="14" s="1"/>
  <c r="P509" i="14" s="1"/>
  <c r="E166" i="14" a="1"/>
  <c r="E166" i="14" s="1"/>
  <c r="E495" i="14" a="1"/>
  <c r="E495" i="14" s="1"/>
  <c r="M495" i="14" s="1"/>
  <c r="P495" i="14" s="1"/>
  <c r="E353" i="14" a="1"/>
  <c r="E353" i="14" s="1"/>
  <c r="M353" i="14" s="1"/>
  <c r="P353" i="14" s="1"/>
  <c r="E946" i="14" a="1"/>
  <c r="E946" i="14" s="1"/>
  <c r="E523" i="14" a="1"/>
  <c r="E523" i="14" s="1"/>
  <c r="E133" i="14" a="1"/>
  <c r="E133" i="14" s="1"/>
  <c r="M133" i="14" s="1"/>
  <c r="P133" i="14" s="1"/>
  <c r="E473" i="14" a="1"/>
  <c r="E473" i="14" s="1"/>
  <c r="M473" i="14" s="1"/>
  <c r="P473" i="14" s="1"/>
  <c r="E397" i="14" a="1"/>
  <c r="E397" i="14" s="1"/>
  <c r="M397" i="14" s="1"/>
  <c r="P397" i="14" s="1"/>
  <c r="E935" i="14" a="1"/>
  <c r="E935" i="14" s="1"/>
  <c r="E244" i="14" a="1"/>
  <c r="E244" i="14" s="1"/>
  <c r="M244" i="14" s="1"/>
  <c r="P244" i="14" s="1"/>
  <c r="E372" i="14" a="1"/>
  <c r="E372" i="14" s="1"/>
  <c r="M372" i="14" s="1"/>
  <c r="P372" i="14" s="1"/>
  <c r="E551" i="14" a="1"/>
  <c r="E551" i="14" s="1"/>
  <c r="E976" i="14" a="1"/>
  <c r="E976" i="14" s="1"/>
  <c r="E81" i="14" a="1"/>
  <c r="E81" i="14" s="1"/>
  <c r="M81" i="14" s="1"/>
  <c r="P81" i="14" s="1"/>
  <c r="E493" i="14" a="1"/>
  <c r="E493" i="14" s="1"/>
  <c r="M493" i="14" s="1"/>
  <c r="P493" i="14" s="1"/>
  <c r="E712" i="14" a="1"/>
  <c r="E712" i="14" s="1"/>
  <c r="M712" i="14" s="1"/>
  <c r="P712" i="14" s="1"/>
  <c r="E1235" i="14" a="1"/>
  <c r="E1235" i="14" s="1"/>
  <c r="E13" i="14" a="1"/>
  <c r="E13" i="14" s="1"/>
  <c r="M13" i="14" s="1"/>
  <c r="P13" i="14" s="1"/>
  <c r="E1253" i="14" a="1"/>
  <c r="E1253" i="14" s="1"/>
  <c r="M1253" i="14" s="1"/>
  <c r="P1253" i="14" s="1"/>
  <c r="E638" i="14" a="1"/>
  <c r="E638" i="14" s="1"/>
  <c r="M638" i="14" s="1"/>
  <c r="P638" i="14" s="1"/>
  <c r="E317" i="14" a="1"/>
  <c r="E317" i="14" s="1"/>
  <c r="M317" i="14" s="1"/>
  <c r="P317" i="14" s="1"/>
  <c r="E356" i="14" a="1"/>
  <c r="E356" i="14" s="1"/>
  <c r="M356" i="14" s="1"/>
  <c r="P356" i="14" s="1"/>
  <c r="E477" i="14" a="1"/>
  <c r="E477" i="14" s="1"/>
  <c r="M477" i="14" s="1"/>
  <c r="P477" i="14" s="1"/>
  <c r="E1137" i="14" a="1"/>
  <c r="E1137" i="14" s="1"/>
  <c r="M1137" i="14" s="1"/>
  <c r="P1137" i="14" s="1"/>
  <c r="E809" i="14" a="1"/>
  <c r="E809" i="14" s="1"/>
  <c r="M809" i="14" s="1"/>
  <c r="P809" i="14" s="1"/>
  <c r="E585" i="14" a="1"/>
  <c r="E585" i="14" s="1"/>
  <c r="M585" i="14" s="1"/>
  <c r="P585" i="14" s="1"/>
  <c r="E1268" i="14" a="1"/>
  <c r="E1268" i="14" s="1"/>
  <c r="M1268" i="14" s="1"/>
  <c r="P1268" i="14" s="1"/>
  <c r="E1034" i="14" a="1"/>
  <c r="E1034" i="14" s="1"/>
  <c r="M1034" i="14" s="1"/>
  <c r="P1034" i="14" s="1"/>
  <c r="E908" i="14" a="1"/>
  <c r="E908" i="14" s="1"/>
  <c r="M908" i="14" s="1"/>
  <c r="P908" i="14" s="1"/>
  <c r="E1194" i="14" a="1"/>
  <c r="E1194" i="14" s="1"/>
  <c r="M1194" i="14" s="1"/>
  <c r="P1194" i="14" s="1"/>
  <c r="E888" i="14" a="1"/>
  <c r="E888" i="14" s="1"/>
  <c r="M888" i="14" s="1"/>
  <c r="P888" i="14" s="1"/>
  <c r="E1261" i="14" a="1"/>
  <c r="E1261" i="14" s="1"/>
  <c r="M1261" i="14" s="1"/>
  <c r="P1261" i="14" s="1"/>
  <c r="E927" i="14" a="1"/>
  <c r="E927" i="14" s="1"/>
  <c r="M927" i="14" s="1"/>
  <c r="P927" i="14" s="1"/>
  <c r="E80" i="14" a="1"/>
  <c r="E80" i="14" s="1"/>
  <c r="M80" i="14" s="1"/>
  <c r="P80" i="14" s="1"/>
  <c r="E119" i="14" a="1"/>
  <c r="E119" i="14" s="1"/>
  <c r="E487" i="14" a="1"/>
  <c r="E487" i="14" s="1"/>
  <c r="M487" i="14" s="1"/>
  <c r="P487" i="14" s="1"/>
  <c r="E270" i="14" a="1"/>
  <c r="E270" i="14" s="1"/>
  <c r="M270" i="14" s="1"/>
  <c r="P270" i="14" s="1"/>
  <c r="E242" i="14" a="1"/>
  <c r="E242" i="14" s="1"/>
  <c r="M242" i="14" s="1"/>
  <c r="P242" i="14" s="1"/>
  <c r="E1175" i="14" a="1"/>
  <c r="E1175" i="14" s="1"/>
  <c r="E676" i="14" a="1"/>
  <c r="E676" i="14" s="1"/>
  <c r="M676" i="14" s="1"/>
  <c r="P676" i="14" s="1"/>
  <c r="E510" i="14" a="1"/>
  <c r="E510" i="14" s="1"/>
  <c r="E665" i="14" a="1"/>
  <c r="E665" i="14" s="1"/>
  <c r="M665" i="14" s="1"/>
  <c r="P665" i="14" s="1"/>
  <c r="E878" i="14" a="1"/>
  <c r="E878" i="14" s="1"/>
  <c r="E541" i="14" a="1"/>
  <c r="E541" i="14" s="1"/>
  <c r="M541" i="14" s="1"/>
  <c r="P541" i="14" s="1"/>
  <c r="E1126" i="14" a="1"/>
  <c r="E1126" i="14" s="1"/>
  <c r="E266" i="14" a="1"/>
  <c r="E266" i="14" s="1"/>
  <c r="M266" i="14" s="1"/>
  <c r="P266" i="14" s="1"/>
  <c r="E588" i="14" a="1"/>
  <c r="E588" i="14" s="1"/>
  <c r="E264" i="14" a="1"/>
  <c r="E264" i="14" s="1"/>
  <c r="M264" i="14" s="1"/>
  <c r="P264" i="14" s="1"/>
  <c r="E761" i="14" a="1"/>
  <c r="E761" i="14" s="1"/>
  <c r="E1212" i="14" a="1"/>
  <c r="E1212" i="14" s="1"/>
  <c r="E8" i="14" a="1"/>
  <c r="E8" i="14" s="1"/>
  <c r="E530" i="14" a="1"/>
  <c r="E530" i="14" s="1"/>
  <c r="M530" i="14" s="1"/>
  <c r="P530" i="14" s="1"/>
  <c r="E943" i="14" a="1"/>
  <c r="E943" i="14" s="1"/>
  <c r="M943" i="14" s="1"/>
  <c r="P943" i="14" s="1"/>
  <c r="E337" i="14" a="1"/>
  <c r="E337" i="14" s="1"/>
  <c r="M337" i="14" s="1"/>
  <c r="P337" i="14" s="1"/>
  <c r="E1283" i="14" a="1"/>
  <c r="E1283" i="14" s="1"/>
  <c r="M1283" i="14" s="1"/>
  <c r="P1283" i="14" s="1"/>
  <c r="E470" i="14" a="1"/>
  <c r="E470" i="14" s="1"/>
  <c r="M470" i="14" s="1"/>
  <c r="P470" i="14" s="1"/>
  <c r="E171" i="14" a="1"/>
  <c r="E171" i="14" s="1"/>
  <c r="M171" i="14" s="1"/>
  <c r="P171" i="14" s="1"/>
  <c r="E535" i="14" a="1"/>
  <c r="E535" i="14" s="1"/>
  <c r="M535" i="14" s="1"/>
  <c r="P535" i="14" s="1"/>
  <c r="E180" i="14" a="1"/>
  <c r="E180" i="14" s="1"/>
  <c r="M180" i="14" s="1"/>
  <c r="P180" i="14" s="1"/>
  <c r="E1037" i="14" a="1"/>
  <c r="E1037" i="14" s="1"/>
  <c r="M1037" i="14" s="1"/>
  <c r="P1037" i="14" s="1"/>
  <c r="E937" i="14" a="1"/>
  <c r="E937" i="14" s="1"/>
  <c r="M937" i="14" s="1"/>
  <c r="P937" i="14" s="1"/>
  <c r="E474" i="14" a="1"/>
  <c r="E474" i="14" s="1"/>
  <c r="M474" i="14" s="1"/>
  <c r="P474" i="14" s="1"/>
  <c r="E84" i="14" a="1"/>
  <c r="E84" i="14" s="1"/>
  <c r="M84" i="14" s="1"/>
  <c r="P84" i="14" s="1"/>
  <c r="E1330" i="14" a="1"/>
  <c r="E1330" i="14" s="1"/>
  <c r="M1330" i="14" s="1"/>
  <c r="P1330" i="14" s="1"/>
  <c r="E436" i="14" a="1"/>
  <c r="E436" i="14" s="1"/>
  <c r="M436" i="14" s="1"/>
  <c r="P436" i="14" s="1"/>
  <c r="E1146" i="14" a="1"/>
  <c r="E1146" i="14" s="1"/>
  <c r="M1146" i="14" s="1"/>
  <c r="P1146" i="14" s="1"/>
  <c r="E1344" i="14" a="1"/>
  <c r="E1344" i="14" s="1"/>
  <c r="M1344" i="14" s="1"/>
  <c r="P1344" i="14" s="1"/>
  <c r="E1391" i="14" a="1"/>
  <c r="E1391" i="14" s="1"/>
  <c r="M1391" i="14" s="1"/>
  <c r="P1391" i="14" s="1"/>
  <c r="E628" i="14" a="1"/>
  <c r="E628" i="14" s="1"/>
  <c r="M628" i="14" s="1"/>
  <c r="P628" i="14" s="1"/>
  <c r="E666" i="14" a="1"/>
  <c r="E666" i="14" s="1"/>
  <c r="M666" i="14" s="1"/>
  <c r="P666" i="14" s="1"/>
  <c r="E812" i="14" a="1"/>
  <c r="E812" i="14" s="1"/>
  <c r="M812" i="14" s="1"/>
  <c r="P812" i="14" s="1"/>
  <c r="E398" i="14" a="1"/>
  <c r="E398" i="14" s="1"/>
  <c r="M398" i="14" s="1"/>
  <c r="P398" i="14" s="1"/>
  <c r="E1257" i="14" a="1"/>
  <c r="E1257" i="14" s="1"/>
  <c r="M1257" i="14" s="1"/>
  <c r="P1257" i="14" s="1"/>
  <c r="E856" i="14" a="1"/>
  <c r="E856" i="14" s="1"/>
  <c r="M856" i="14" s="1"/>
  <c r="P856" i="14" s="1"/>
  <c r="E697" i="14" a="1"/>
  <c r="E697" i="14" s="1"/>
  <c r="M697" i="14" s="1"/>
  <c r="P697" i="14" s="1"/>
  <c r="E1196" i="14" a="1"/>
  <c r="E1196" i="14" s="1"/>
  <c r="M1196" i="14" s="1"/>
  <c r="P1196" i="14" s="1"/>
  <c r="E34" i="14" a="1"/>
  <c r="E34" i="14" s="1"/>
  <c r="M34" i="14" s="1"/>
  <c r="P34" i="14" s="1"/>
  <c r="E313" i="14" a="1"/>
  <c r="E313" i="14" s="1"/>
  <c r="M313" i="14" s="1"/>
  <c r="P313" i="14" s="1"/>
  <c r="E315" i="14" a="1"/>
  <c r="E315" i="14" s="1"/>
  <c r="M315" i="14" s="1"/>
  <c r="P315" i="14" s="1"/>
  <c r="E1151" i="14" a="1"/>
  <c r="E1151" i="14" s="1"/>
  <c r="M1151" i="14" s="1"/>
  <c r="P1151" i="14" s="1"/>
  <c r="E811" i="14" a="1"/>
  <c r="E811" i="14" s="1"/>
  <c r="M811" i="14" s="1"/>
  <c r="P811" i="14" s="1"/>
  <c r="E994" i="14" a="1"/>
  <c r="E994" i="14" s="1"/>
  <c r="M994" i="14" s="1"/>
  <c r="P994" i="14" s="1"/>
  <c r="E30" i="14" a="1"/>
  <c r="E30" i="14" s="1"/>
  <c r="M30" i="14" s="1"/>
  <c r="P30" i="14" s="1"/>
  <c r="E17" i="14" a="1"/>
  <c r="E17" i="14" s="1"/>
  <c r="M17" i="14" s="1"/>
  <c r="P17" i="14" s="1"/>
  <c r="E1167" i="14" a="1"/>
  <c r="E1167" i="14" s="1"/>
  <c r="M1167" i="14" s="1"/>
  <c r="P1167" i="14" s="1"/>
  <c r="E96" i="14" a="1"/>
  <c r="E96" i="14" s="1"/>
  <c r="M96" i="14" s="1"/>
  <c r="P96" i="14" s="1"/>
  <c r="E280" i="14" a="1"/>
  <c r="E280" i="14" s="1"/>
  <c r="M280" i="14" s="1"/>
  <c r="P280" i="14" s="1"/>
  <c r="E686" i="14" a="1"/>
  <c r="E686" i="14" s="1"/>
  <c r="M686" i="14" s="1"/>
  <c r="P686" i="14" s="1"/>
  <c r="E156" i="14" a="1"/>
  <c r="E156" i="14" s="1"/>
  <c r="M156" i="14" s="1"/>
  <c r="P156" i="14" s="1"/>
  <c r="E1239" i="14" a="1"/>
  <c r="E1239" i="14" s="1"/>
  <c r="M1239" i="14" s="1"/>
  <c r="P1239" i="14" s="1"/>
  <c r="E504" i="14" a="1"/>
  <c r="E504" i="14" s="1"/>
  <c r="M504" i="14" s="1"/>
  <c r="P504" i="14" s="1"/>
  <c r="E151" i="14" a="1"/>
  <c r="E151" i="14" s="1"/>
  <c r="M151" i="14" s="1"/>
  <c r="P151" i="14" s="1"/>
  <c r="E857" i="14" a="1"/>
  <c r="E857" i="14" s="1"/>
  <c r="M857" i="14" s="1"/>
  <c r="P857" i="14" s="1"/>
  <c r="E617" i="14" a="1"/>
  <c r="E617" i="14" s="1"/>
  <c r="M617" i="14" s="1"/>
  <c r="P617" i="14" s="1"/>
  <c r="E206" i="14" a="1"/>
  <c r="E206" i="14" s="1"/>
  <c r="M206" i="14" s="1"/>
  <c r="P206" i="14" s="1"/>
  <c r="E580" i="14" a="1"/>
  <c r="E580" i="14" s="1"/>
  <c r="M580" i="14" s="1"/>
  <c r="P580" i="14" s="1"/>
  <c r="E951" i="14" a="1"/>
  <c r="E951" i="14" s="1"/>
  <c r="M951" i="14" s="1"/>
  <c r="P951" i="14" s="1"/>
  <c r="E969" i="14" a="1"/>
  <c r="E969" i="14" s="1"/>
  <c r="M969" i="14" s="1"/>
  <c r="P969" i="14" s="1"/>
  <c r="E188" i="14" a="1"/>
  <c r="E188" i="14" s="1"/>
  <c r="M188" i="14" s="1"/>
  <c r="P188" i="14" s="1"/>
  <c r="E501" i="14" a="1"/>
  <c r="E501" i="14" s="1"/>
  <c r="M501" i="14" s="1"/>
  <c r="P501" i="14" s="1"/>
  <c r="E674" i="14" a="1"/>
  <c r="E674" i="14" s="1"/>
  <c r="M674" i="14" s="1"/>
  <c r="P674" i="14" s="1"/>
  <c r="E1340" i="14" a="1"/>
  <c r="E1340" i="14" s="1"/>
  <c r="M1340" i="14" s="1"/>
  <c r="P1340" i="14" s="1"/>
  <c r="E186" i="14" a="1"/>
  <c r="E186" i="14" s="1"/>
  <c r="M186" i="14" s="1"/>
  <c r="P186" i="14" s="1"/>
  <c r="E1160" i="14" a="1"/>
  <c r="E1160" i="14" s="1"/>
  <c r="E390" i="14" a="1"/>
  <c r="E390" i="14" s="1"/>
  <c r="M390" i="14" s="1"/>
  <c r="P390" i="14" s="1"/>
  <c r="E879" i="14" a="1"/>
  <c r="E879" i="14" s="1"/>
  <c r="M879" i="14" s="1"/>
  <c r="P879" i="14" s="1"/>
  <c r="E858" i="14" a="1"/>
  <c r="E858" i="14" s="1"/>
  <c r="M858" i="14" s="1"/>
  <c r="P858" i="14" s="1"/>
  <c r="E503" i="14" a="1"/>
  <c r="E503" i="14" s="1"/>
  <c r="M503" i="14" s="1"/>
  <c r="P503" i="14" s="1"/>
  <c r="E537" i="14" a="1"/>
  <c r="E537" i="14" s="1"/>
  <c r="E1352" i="14" a="1"/>
  <c r="E1352" i="14" s="1"/>
  <c r="M1352" i="14" s="1"/>
  <c r="P1352" i="14" s="1"/>
  <c r="E1458" i="14" a="1"/>
  <c r="E1458" i="14" s="1"/>
  <c r="E349" i="14" a="1"/>
  <c r="E349" i="14" s="1"/>
  <c r="M349" i="14" s="1"/>
  <c r="P349" i="14" s="1"/>
  <c r="E246" i="14" a="1"/>
  <c r="E246" i="14" s="1"/>
  <c r="M246" i="14" s="1"/>
  <c r="P246" i="14" s="1"/>
  <c r="E173" i="14" a="1"/>
  <c r="E173" i="14" s="1"/>
  <c r="M173" i="14" s="1"/>
  <c r="P173" i="14" s="1"/>
  <c r="E596" i="14" a="1"/>
  <c r="E596" i="14" s="1"/>
  <c r="M596" i="14" s="1"/>
  <c r="P596" i="14" s="1"/>
  <c r="E348" i="14" a="1"/>
  <c r="E348" i="14" s="1"/>
  <c r="M348" i="14" s="1"/>
  <c r="P348" i="14" s="1"/>
  <c r="E1172" i="14" a="1"/>
  <c r="E1172" i="14" s="1"/>
  <c r="M1172" i="14" s="1"/>
  <c r="P1172" i="14" s="1"/>
  <c r="E531" i="14" a="1"/>
  <c r="E531" i="14" s="1"/>
  <c r="M531" i="14" s="1"/>
  <c r="P531" i="14" s="1"/>
  <c r="E1188" i="14" a="1"/>
  <c r="E1188" i="14" s="1"/>
  <c r="M1188" i="14" s="1"/>
  <c r="P1188" i="14" s="1"/>
  <c r="E549" i="14" a="1"/>
  <c r="E549" i="14" s="1"/>
  <c r="E1251" i="14" a="1"/>
  <c r="E1251" i="14" s="1"/>
  <c r="M1251" i="14" s="1"/>
  <c r="P1251" i="14" s="1"/>
  <c r="E562" i="14" a="1"/>
  <c r="E562" i="14" s="1"/>
  <c r="M562" i="14" s="1"/>
  <c r="P562" i="14" s="1"/>
  <c r="E86" i="14" a="1"/>
  <c r="E86" i="14" s="1"/>
  <c r="M86" i="14" s="1"/>
  <c r="P86" i="14" s="1"/>
  <c r="E715" i="14" a="1"/>
  <c r="E715" i="14" s="1"/>
  <c r="M715" i="14" s="1"/>
  <c r="P715" i="14" s="1"/>
  <c r="E1207" i="14" a="1"/>
  <c r="E1207" i="14" s="1"/>
  <c r="M1207" i="14" s="1"/>
  <c r="P1207" i="14" s="1"/>
  <c r="E788" i="14" a="1"/>
  <c r="E788" i="14" s="1"/>
  <c r="E282" i="14" a="1"/>
  <c r="E282" i="14" s="1"/>
  <c r="E893" i="14" a="1"/>
  <c r="E893" i="14" s="1"/>
  <c r="M893" i="14" s="1"/>
  <c r="P893" i="14" s="1"/>
  <c r="E566" i="14" a="1"/>
  <c r="E566" i="14" s="1"/>
  <c r="E983" i="14" a="1"/>
  <c r="E983" i="14" s="1"/>
  <c r="M983" i="14" s="1"/>
  <c r="P983" i="14" s="1"/>
  <c r="E134" i="14" a="1"/>
  <c r="E134" i="14" s="1"/>
  <c r="M134" i="14" s="1"/>
  <c r="P134" i="14" s="1"/>
  <c r="E158" i="14" a="1"/>
  <c r="E158" i="14" s="1"/>
  <c r="M158" i="14" s="1"/>
  <c r="P158" i="14" s="1"/>
  <c r="E1382" i="14" a="1"/>
  <c r="E1382" i="14" s="1"/>
  <c r="M1382" i="14" s="1"/>
  <c r="P1382" i="14" s="1"/>
  <c r="E770" i="14" a="1"/>
  <c r="E770" i="14" s="1"/>
  <c r="M770" i="14" s="1"/>
  <c r="P770" i="14" s="1"/>
  <c r="E862" i="14" a="1"/>
  <c r="E862" i="14" s="1"/>
  <c r="M862" i="14" s="1"/>
  <c r="P862" i="14" s="1"/>
  <c r="E267" i="14" a="1"/>
  <c r="E267" i="14" s="1"/>
  <c r="M267" i="14" s="1"/>
  <c r="P267" i="14" s="1"/>
  <c r="E993" i="14" a="1"/>
  <c r="E993" i="14" s="1"/>
  <c r="M993" i="14" s="1"/>
  <c r="P993" i="14" s="1"/>
  <c r="E1023" i="14" a="1"/>
  <c r="E1023" i="14" s="1"/>
  <c r="M1023" i="14" s="1"/>
  <c r="P1023" i="14" s="1"/>
  <c r="E126" i="14" a="1"/>
  <c r="E126" i="14" s="1"/>
  <c r="M126" i="14" s="1"/>
  <c r="P126" i="14" s="1"/>
  <c r="E705" i="14" a="1"/>
  <c r="E705" i="14" s="1"/>
  <c r="M705" i="14" s="1"/>
  <c r="P705" i="14" s="1"/>
  <c r="E540" i="14" a="1"/>
  <c r="E540" i="14" s="1"/>
  <c r="M540" i="14" s="1"/>
  <c r="P540" i="14" s="1"/>
  <c r="E104" i="14" a="1"/>
  <c r="E104" i="14" s="1"/>
  <c r="M104" i="14" s="1"/>
  <c r="P104" i="14" s="1"/>
  <c r="E28" i="14" a="1"/>
  <c r="E28" i="14" s="1"/>
  <c r="M28" i="14" s="1"/>
  <c r="P28" i="14" s="1"/>
  <c r="E70" i="14" a="1"/>
  <c r="E70" i="14" s="1"/>
  <c r="M70" i="14" s="1"/>
  <c r="P70" i="14" s="1"/>
  <c r="E1222" i="14" a="1"/>
  <c r="E1222" i="14" s="1"/>
  <c r="M1222" i="14" s="1"/>
  <c r="P1222" i="14" s="1"/>
  <c r="E1242" i="14" a="1"/>
  <c r="E1242" i="14" s="1"/>
  <c r="M1242" i="14" s="1"/>
  <c r="P1242" i="14" s="1"/>
  <c r="E773" i="14" a="1"/>
  <c r="E773" i="14" s="1"/>
  <c r="M773" i="14" s="1"/>
  <c r="P773" i="14" s="1"/>
  <c r="E785" i="14" a="1"/>
  <c r="E785" i="14" s="1"/>
  <c r="M785" i="14" s="1"/>
  <c r="P785" i="14" s="1"/>
  <c r="E1463" i="14" a="1"/>
  <c r="E1463" i="14" s="1"/>
  <c r="M1463" i="14" s="1"/>
  <c r="P1463" i="14" s="1"/>
  <c r="E539" i="14" a="1"/>
  <c r="E539" i="14" s="1"/>
  <c r="M539" i="14" s="1"/>
  <c r="P539" i="14" s="1"/>
  <c r="E439" i="14" a="1"/>
  <c r="E439" i="14" s="1"/>
  <c r="M439" i="14" s="1"/>
  <c r="P439" i="14" s="1"/>
  <c r="E921" i="14" a="1"/>
  <c r="E921" i="14" s="1"/>
  <c r="M921" i="14" s="1"/>
  <c r="P921" i="14" s="1"/>
  <c r="E453" i="14" a="1"/>
  <c r="E453" i="14" s="1"/>
  <c r="M453" i="14" s="1"/>
  <c r="P453" i="14" s="1"/>
  <c r="E1233" i="14" a="1"/>
  <c r="E1233" i="14" s="1"/>
  <c r="M1233" i="14" s="1"/>
  <c r="P1233" i="14" s="1"/>
  <c r="E1152" i="14" a="1"/>
  <c r="E1152" i="14" s="1"/>
  <c r="M1152" i="14" s="1"/>
  <c r="P1152" i="14" s="1"/>
  <c r="E555" i="14" a="1"/>
  <c r="E555" i="14" s="1"/>
  <c r="M555" i="14" s="1"/>
  <c r="P555" i="14" s="1"/>
  <c r="E330" i="14" a="1"/>
  <c r="E330" i="14" s="1"/>
  <c r="M330" i="14" s="1"/>
  <c r="P330" i="14" s="1"/>
  <c r="E901" i="14" a="1"/>
  <c r="E901" i="14" s="1"/>
  <c r="M901" i="14" s="1"/>
  <c r="P901" i="14" s="1"/>
  <c r="E1163" i="14" a="1"/>
  <c r="E1163" i="14" s="1"/>
  <c r="M1163" i="14" s="1"/>
  <c r="P1163" i="14" s="1"/>
  <c r="E844" i="14" a="1"/>
  <c r="E844" i="14" s="1"/>
  <c r="M844" i="14" s="1"/>
  <c r="P844" i="14" s="1"/>
  <c r="E861" i="14" a="1"/>
  <c r="E861" i="14" s="1"/>
  <c r="M861" i="14" s="1"/>
  <c r="P861" i="14" s="1"/>
  <c r="E322" i="14" a="1"/>
  <c r="E322" i="14" s="1"/>
  <c r="M322" i="14" s="1"/>
  <c r="P322" i="14" s="1"/>
  <c r="E35" i="14" a="1"/>
  <c r="E35" i="14" s="1"/>
  <c r="M35" i="14" s="1"/>
  <c r="P35" i="14" s="1"/>
  <c r="E576" i="14" a="1"/>
  <c r="E576" i="14" s="1"/>
  <c r="M576" i="14" s="1"/>
  <c r="P576" i="14" s="1"/>
  <c r="E725" i="14" a="1"/>
  <c r="E725" i="14" s="1"/>
  <c r="M725" i="14" s="1"/>
  <c r="P725" i="14" s="1"/>
  <c r="E1111" i="14" a="1"/>
  <c r="E1111" i="14" s="1"/>
  <c r="M1111" i="14" s="1"/>
  <c r="P1111" i="14" s="1"/>
  <c r="E61" i="14" a="1"/>
  <c r="E61" i="14" s="1"/>
  <c r="M61" i="14" s="1"/>
  <c r="P61" i="14" s="1"/>
  <c r="E558" i="14" a="1"/>
  <c r="E558" i="14" s="1"/>
  <c r="M558" i="14" s="1"/>
  <c r="P558" i="14" s="1"/>
  <c r="E285" i="14" a="1"/>
  <c r="E285" i="14" s="1"/>
  <c r="M285" i="14" s="1"/>
  <c r="P285" i="14" s="1"/>
  <c r="E967" i="14" a="1"/>
  <c r="E967" i="14" s="1"/>
  <c r="M967" i="14" s="1"/>
  <c r="P967" i="14" s="1"/>
  <c r="E962" i="14" a="1"/>
  <c r="E962" i="14" s="1"/>
  <c r="M962" i="14" s="1"/>
  <c r="P962" i="14" s="1"/>
  <c r="E202" i="14" a="1"/>
  <c r="E202" i="14" s="1"/>
  <c r="M202" i="14" s="1"/>
  <c r="P202" i="14" s="1"/>
  <c r="E438" i="14" a="1"/>
  <c r="E438" i="14" s="1"/>
  <c r="M438" i="14" s="1"/>
  <c r="P438" i="14" s="1"/>
  <c r="E243" i="14" a="1"/>
  <c r="E243" i="14" s="1"/>
  <c r="M243" i="14" s="1"/>
  <c r="P243" i="14" s="1"/>
  <c r="E392" i="14" a="1"/>
  <c r="E392" i="14" s="1"/>
  <c r="M392" i="14" s="1"/>
  <c r="P392" i="14" s="1"/>
  <c r="E600" i="14" a="1"/>
  <c r="E600" i="14" s="1"/>
  <c r="M600" i="14" s="1"/>
  <c r="P600" i="14" s="1"/>
  <c r="E262" i="14" a="1"/>
  <c r="E262" i="14" s="1"/>
  <c r="M262" i="14" s="1"/>
  <c r="P262" i="14" s="1"/>
  <c r="E1089" i="14" a="1"/>
  <c r="E1089" i="14" s="1"/>
  <c r="M1089" i="14" s="1"/>
  <c r="P1089" i="14" s="1"/>
  <c r="E146" i="14" a="1"/>
  <c r="E146" i="14" s="1"/>
  <c r="M146" i="14" s="1"/>
  <c r="P146" i="14" s="1"/>
  <c r="E1154" i="14" a="1"/>
  <c r="E1154" i="14" s="1"/>
  <c r="E928" i="14" a="1"/>
  <c r="E928" i="14" s="1"/>
  <c r="E427" i="14" a="1"/>
  <c r="E427" i="14" s="1"/>
  <c r="E867" i="14" a="1"/>
  <c r="E867" i="14" s="1"/>
  <c r="M867" i="14" s="1"/>
  <c r="P867" i="14" s="1"/>
  <c r="E1079" i="14" a="1"/>
  <c r="E1079" i="14" s="1"/>
  <c r="M1079" i="14" s="1"/>
  <c r="P1079" i="14" s="1"/>
  <c r="E692" i="14" a="1"/>
  <c r="E692" i="14" s="1"/>
  <c r="E1171" i="14" a="1"/>
  <c r="E1171" i="14" s="1"/>
  <c r="E371" i="14" a="1"/>
  <c r="E371" i="14" s="1"/>
  <c r="M371" i="14" s="1"/>
  <c r="P371" i="14" s="1"/>
  <c r="E554" i="14" a="1"/>
  <c r="E554" i="14" s="1"/>
  <c r="E401" i="14" a="1"/>
  <c r="E401" i="14" s="1"/>
  <c r="M401" i="14" s="1"/>
  <c r="P401" i="14" s="1"/>
  <c r="E1136" i="14" a="1"/>
  <c r="E1136" i="14" s="1"/>
  <c r="E1433" i="14" a="1"/>
  <c r="E1433" i="14" s="1"/>
  <c r="M1433" i="14" s="1"/>
  <c r="P1433" i="14" s="1"/>
  <c r="E1300" i="14" a="1"/>
  <c r="E1300" i="14" s="1"/>
  <c r="E916" i="14" a="1"/>
  <c r="E916" i="14" s="1"/>
  <c r="E1260" i="14" a="1"/>
  <c r="E1260" i="14" s="1"/>
  <c r="M1260" i="14" s="1"/>
  <c r="P1260" i="14" s="1"/>
  <c r="E1252" i="14" a="1"/>
  <c r="E1252" i="14" s="1"/>
  <c r="M1252" i="14" s="1"/>
  <c r="P1252" i="14" s="1"/>
  <c r="E56" i="14" a="1"/>
  <c r="E56" i="14" s="1"/>
  <c r="M56" i="14" s="1"/>
  <c r="P56" i="14" s="1"/>
  <c r="E740" i="14" a="1"/>
  <c r="E740" i="14" s="1"/>
  <c r="M740" i="14" s="1"/>
  <c r="P740" i="14" s="1"/>
  <c r="E185" i="14" a="1"/>
  <c r="E185" i="14" s="1"/>
  <c r="M185" i="14" s="1"/>
  <c r="P185" i="14" s="1"/>
  <c r="E669" i="14" a="1"/>
  <c r="E669" i="14" s="1"/>
  <c r="M669" i="14" s="1"/>
  <c r="P669" i="14" s="1"/>
  <c r="E11" i="14" a="1"/>
  <c r="E11" i="14" s="1"/>
  <c r="M11" i="14" s="1"/>
  <c r="P11" i="14" s="1"/>
  <c r="E636" i="14" a="1"/>
  <c r="E636" i="14" s="1"/>
  <c r="M636" i="14" s="1"/>
  <c r="P636" i="14" s="1"/>
  <c r="E1092" i="14" a="1"/>
  <c r="E1092" i="14" s="1"/>
  <c r="M1092" i="14" s="1"/>
  <c r="P1092" i="14" s="1"/>
  <c r="E485" i="14" a="1"/>
  <c r="E485" i="14" s="1"/>
  <c r="M485" i="14" s="1"/>
  <c r="P485" i="14" s="1"/>
  <c r="E183" i="14" a="1"/>
  <c r="E183" i="14" s="1"/>
  <c r="M183" i="14" s="1"/>
  <c r="P183" i="14" s="1"/>
  <c r="E519" i="14" a="1"/>
  <c r="E519" i="14" s="1"/>
  <c r="M519" i="14" s="1"/>
  <c r="P519" i="14" s="1"/>
  <c r="E1199" i="14" a="1"/>
  <c r="E1199" i="14" s="1"/>
  <c r="M1199" i="14" s="1"/>
  <c r="P1199" i="14" s="1"/>
  <c r="E512" i="14" a="1"/>
  <c r="E512" i="14" s="1"/>
  <c r="M512" i="14" s="1"/>
  <c r="P512" i="14" s="1"/>
  <c r="E1254" i="14" a="1"/>
  <c r="E1254" i="14" s="1"/>
  <c r="M1254" i="14" s="1"/>
  <c r="P1254" i="14" s="1"/>
  <c r="E410" i="14" a="1"/>
  <c r="E410" i="14" s="1"/>
  <c r="M410" i="14" s="1"/>
  <c r="P410" i="14" s="1"/>
  <c r="E583" i="14" a="1"/>
  <c r="E583" i="14" s="1"/>
  <c r="M583" i="14" s="1"/>
  <c r="P583" i="14" s="1"/>
  <c r="E939" i="14" a="1"/>
  <c r="E939" i="14" s="1"/>
  <c r="M939" i="14" s="1"/>
  <c r="P939" i="14" s="1"/>
  <c r="E804" i="14" a="1"/>
  <c r="E804" i="14" s="1"/>
  <c r="M804" i="14" s="1"/>
  <c r="P804" i="14" s="1"/>
  <c r="E319" i="14" a="1"/>
  <c r="E319" i="14" s="1"/>
  <c r="M319" i="14" s="1"/>
  <c r="P319" i="14" s="1"/>
  <c r="E327" i="14" a="1"/>
  <c r="E327" i="14" s="1"/>
  <c r="M327" i="14" s="1"/>
  <c r="P327" i="14" s="1"/>
  <c r="E632" i="14" a="1"/>
  <c r="E632" i="14" s="1"/>
  <c r="M632" i="14" s="1"/>
  <c r="P632" i="14" s="1"/>
  <c r="E1074" i="14" a="1"/>
  <c r="E1074" i="14" s="1"/>
  <c r="M1074" i="14" s="1"/>
  <c r="P1074" i="14" s="1"/>
  <c r="E831" i="14" a="1"/>
  <c r="E831" i="14" s="1"/>
  <c r="M831" i="14" s="1"/>
  <c r="P831" i="14" s="1"/>
  <c r="E318" i="14" a="1"/>
  <c r="E318" i="14" s="1"/>
  <c r="M318" i="14" s="1"/>
  <c r="P318" i="14" s="1"/>
  <c r="E845" i="14" a="1"/>
  <c r="E845" i="14" s="1"/>
  <c r="M845" i="14" s="1"/>
  <c r="P845" i="14" s="1"/>
  <c r="E1093" i="14" a="1"/>
  <c r="E1093" i="14" s="1"/>
  <c r="M1093" i="14" s="1"/>
  <c r="P1093" i="14" s="1"/>
  <c r="E960" i="14" a="1"/>
  <c r="E960" i="14" s="1"/>
  <c r="M960" i="14" s="1"/>
  <c r="P960" i="14" s="1"/>
  <c r="E9" i="14" a="1"/>
  <c r="E9" i="14" s="1"/>
  <c r="M9" i="14" s="1"/>
  <c r="P9" i="14" s="1"/>
  <c r="E894" i="14" a="1"/>
  <c r="E894" i="14" s="1"/>
  <c r="M894" i="14" s="1"/>
  <c r="P894" i="14" s="1"/>
  <c r="E159" i="14" a="1"/>
  <c r="E159" i="14" s="1"/>
  <c r="M159" i="14" s="1"/>
  <c r="P159" i="14" s="1"/>
  <c r="E505" i="14" a="1"/>
  <c r="E505" i="14" s="1"/>
  <c r="E979" i="14" a="1"/>
  <c r="E979" i="14" s="1"/>
  <c r="M979" i="14" s="1"/>
  <c r="P979" i="14" s="1"/>
  <c r="E515" i="14" a="1"/>
  <c r="E515" i="14" s="1"/>
  <c r="E630" i="14" a="1"/>
  <c r="E630" i="14" s="1"/>
  <c r="M630" i="14" s="1"/>
  <c r="P630" i="14" s="1"/>
  <c r="E374" i="14" a="1"/>
  <c r="E374" i="14" s="1"/>
  <c r="E1496" i="14" a="1"/>
  <c r="E1496" i="14" s="1"/>
  <c r="E1291" i="14" a="1"/>
  <c r="E1291" i="14" s="1"/>
  <c r="E1494" i="14" a="1"/>
  <c r="E1494" i="14" s="1"/>
  <c r="M1494" i="14" s="1"/>
  <c r="P1494" i="14" s="1"/>
  <c r="E1061" i="14" a="1"/>
  <c r="E1061" i="14" s="1"/>
  <c r="M1061" i="14" s="1"/>
  <c r="P1061" i="14" s="1"/>
  <c r="E114" i="14" a="1"/>
  <c r="E114" i="14" s="1"/>
  <c r="E1059" i="14" a="1"/>
  <c r="E1059" i="14" s="1"/>
  <c r="E175" i="14" a="1"/>
  <c r="E175" i="14" s="1"/>
  <c r="M175" i="14" s="1"/>
  <c r="P175" i="14" s="1"/>
  <c r="E1031" i="14" a="1"/>
  <c r="E1031" i="14" s="1"/>
  <c r="M1031" i="14" s="1"/>
  <c r="P1031" i="14" s="1"/>
  <c r="E1117" i="14" a="1"/>
  <c r="E1117" i="14" s="1"/>
  <c r="M1117" i="14" s="1"/>
  <c r="P1117" i="14" s="1"/>
  <c r="E108" i="14" a="1"/>
  <c r="E108" i="14" s="1"/>
  <c r="M108" i="14" s="1"/>
  <c r="P108" i="14" s="1"/>
  <c r="E482" i="14" a="1"/>
  <c r="E482" i="14" s="1"/>
  <c r="M482" i="14" s="1"/>
  <c r="P482" i="14" s="1"/>
  <c r="E162" i="14" a="1"/>
  <c r="E162" i="14" s="1"/>
  <c r="M162" i="14" s="1"/>
  <c r="P162" i="14" s="1"/>
  <c r="E827" i="14" a="1"/>
  <c r="E827" i="14" s="1"/>
  <c r="E622" i="14" a="1"/>
  <c r="E622" i="14" s="1"/>
  <c r="M622" i="14" s="1"/>
  <c r="P622" i="14" s="1"/>
  <c r="E820" i="14" a="1"/>
  <c r="E820" i="14" s="1"/>
  <c r="M820" i="14" s="1"/>
  <c r="P820" i="14" s="1"/>
  <c r="E586" i="14" a="1"/>
  <c r="E586" i="14" s="1"/>
  <c r="E420" i="14" a="1"/>
  <c r="E420" i="14" s="1"/>
  <c r="M420" i="14" s="1"/>
  <c r="P420" i="14" s="1"/>
  <c r="E667" i="14" a="1"/>
  <c r="E667" i="14" s="1"/>
  <c r="M667" i="14" s="1"/>
  <c r="P667" i="14" s="1"/>
  <c r="E448" i="14" a="1"/>
  <c r="E448" i="14" s="1"/>
  <c r="M448" i="14" s="1"/>
  <c r="P448" i="14" s="1"/>
  <c r="E100" i="14" a="1"/>
  <c r="E100" i="14" s="1"/>
  <c r="M100" i="14" s="1"/>
  <c r="P100" i="14" s="1"/>
  <c r="E1435" i="14" a="1"/>
  <c r="E1435" i="14" s="1"/>
  <c r="E1220" i="14" a="1"/>
  <c r="E1220" i="14" s="1"/>
  <c r="M1220" i="14" s="1"/>
  <c r="P1220" i="14" s="1"/>
  <c r="E657" i="14" a="1"/>
  <c r="E657" i="14" s="1"/>
  <c r="M657" i="14" s="1"/>
  <c r="P657" i="14" s="1"/>
  <c r="E1106" i="14" a="1"/>
  <c r="E1106" i="14" s="1"/>
  <c r="M1106" i="14" s="1"/>
  <c r="P1106" i="14" s="1"/>
  <c r="E1346" i="14" a="1"/>
  <c r="E1346" i="14" s="1"/>
  <c r="M1346" i="14" s="1"/>
  <c r="P1346" i="14" s="1"/>
  <c r="E1439" i="14" a="1"/>
  <c r="E1439" i="14" s="1"/>
  <c r="M1439" i="14" s="1"/>
  <c r="P1439" i="14" s="1"/>
  <c r="E1223" i="14" a="1"/>
  <c r="E1223" i="14" s="1"/>
  <c r="M1223" i="14" s="1"/>
  <c r="P1223" i="14" s="1"/>
  <c r="E1113" i="14" a="1"/>
  <c r="E1113" i="14" s="1"/>
  <c r="M1113" i="14" s="1"/>
  <c r="P1113" i="14" s="1"/>
  <c r="E1266" i="14" a="1"/>
  <c r="E1266" i="14" s="1"/>
  <c r="E1467" i="14" a="1"/>
  <c r="E1467" i="14" s="1"/>
  <c r="M1467" i="14" s="1"/>
  <c r="P1467" i="14" s="1"/>
  <c r="E931" i="14" a="1"/>
  <c r="E931" i="14" s="1"/>
  <c r="M931" i="14" s="1"/>
  <c r="P931" i="14" s="1"/>
  <c r="E511" i="14" a="1"/>
  <c r="E511" i="14" s="1"/>
  <c r="E125" i="14" a="1"/>
  <c r="E125" i="14" s="1"/>
  <c r="M125" i="14" s="1"/>
  <c r="P125" i="14" s="1"/>
  <c r="E203" i="14" a="1"/>
  <c r="E203" i="14" s="1"/>
  <c r="E354" i="14" a="1"/>
  <c r="E354" i="14" s="1"/>
  <c r="E922" i="14" a="1"/>
  <c r="E922" i="14" s="1"/>
  <c r="E1047" i="14" a="1"/>
  <c r="E1047" i="14" s="1"/>
  <c r="M1047" i="14" s="1"/>
  <c r="P1047" i="14" s="1"/>
  <c r="E425" i="14" a="1"/>
  <c r="E425" i="14" s="1"/>
  <c r="E21" i="14" a="1"/>
  <c r="E21" i="14" s="1"/>
  <c r="E906" i="14" a="1"/>
  <c r="E906" i="14" s="1"/>
  <c r="M906" i="14" s="1"/>
  <c r="E944" i="14" a="1"/>
  <c r="E944" i="14" s="1"/>
  <c r="M944" i="14" s="1"/>
  <c r="P944" i="14" s="1"/>
  <c r="E450" i="14" a="1"/>
  <c r="E450" i="14" s="1"/>
  <c r="E572" i="14" a="1"/>
  <c r="E572" i="14" s="1"/>
  <c r="M572" i="14" s="1"/>
  <c r="P572" i="14" s="1"/>
  <c r="E1081" i="14" a="1"/>
  <c r="E1081" i="14" s="1"/>
  <c r="E914" i="14" a="1"/>
  <c r="E914" i="14" s="1"/>
  <c r="E99" i="14" a="1"/>
  <c r="E99" i="14" s="1"/>
  <c r="M99" i="14" s="1"/>
  <c r="P99" i="14" s="1"/>
  <c r="E1021" i="14" a="1"/>
  <c r="E1021" i="14" s="1"/>
  <c r="E850" i="14" a="1"/>
  <c r="E850" i="14" s="1"/>
  <c r="M850" i="14" s="1"/>
  <c r="P850" i="14" s="1"/>
  <c r="E918" i="14" a="1"/>
  <c r="E918" i="14" s="1"/>
  <c r="M918" i="14" s="1"/>
  <c r="P918" i="14" s="1"/>
  <c r="E1013" i="14" a="1"/>
  <c r="E1013" i="14" s="1"/>
  <c r="E27" i="14" a="1"/>
  <c r="E27" i="14" s="1"/>
  <c r="M27" i="14" s="1"/>
  <c r="P27" i="14" s="1"/>
  <c r="E852" i="14" a="1"/>
  <c r="E852" i="14" s="1"/>
  <c r="M852" i="14" s="1"/>
  <c r="P852" i="14" s="1"/>
  <c r="E877" i="14" a="1"/>
  <c r="E877" i="14" s="1"/>
  <c r="M877" i="14" s="1"/>
  <c r="P877" i="14" s="1"/>
  <c r="E996" i="14" a="1"/>
  <c r="E996" i="14" s="1"/>
  <c r="E16" i="14" a="1"/>
  <c r="E16" i="14" s="1"/>
  <c r="M16" i="14" s="1"/>
  <c r="P16" i="14" s="1"/>
  <c r="E825" i="14" a="1"/>
  <c r="E825" i="14" s="1"/>
  <c r="M825" i="14" s="1"/>
  <c r="P825" i="14" s="1"/>
  <c r="E1075" i="14" a="1"/>
  <c r="E1075" i="14" s="1"/>
  <c r="E897" i="14" a="1"/>
  <c r="E897" i="14" s="1"/>
  <c r="M897" i="14" s="1"/>
  <c r="P897" i="14" s="1"/>
  <c r="E836" i="14" a="1"/>
  <c r="E836" i="14" s="1"/>
  <c r="M836" i="14" s="1"/>
  <c r="P836" i="14" s="1"/>
  <c r="E1316" i="14" a="1"/>
  <c r="E1316" i="14" s="1"/>
  <c r="M1316" i="14" s="1"/>
  <c r="P1316" i="14" s="1"/>
  <c r="E843" i="14" a="1"/>
  <c r="E843" i="14" s="1"/>
  <c r="E403" i="14" a="1"/>
  <c r="E403" i="14" s="1"/>
  <c r="E601" i="14" a="1"/>
  <c r="E601" i="14" s="1"/>
  <c r="M601" i="14" s="1"/>
  <c r="P601" i="14" s="1"/>
  <c r="E606" i="14" a="1"/>
  <c r="E606" i="14" s="1"/>
  <c r="M606" i="14" s="1"/>
  <c r="P606" i="14" s="1"/>
  <c r="E328" i="14" a="1"/>
  <c r="E328" i="14" s="1"/>
  <c r="E1017" i="14" a="1"/>
  <c r="E1017" i="14" s="1"/>
  <c r="M1017" i="14" s="1"/>
  <c r="P1017" i="14" s="1"/>
  <c r="E383" i="14" a="1"/>
  <c r="E383" i="14" s="1"/>
  <c r="M383" i="14" s="1"/>
  <c r="P383" i="14" s="1"/>
  <c r="E659" i="14" a="1"/>
  <c r="E659" i="14" s="1"/>
  <c r="M659" i="14" s="1"/>
  <c r="P659" i="14" s="1"/>
  <c r="E624" i="14" a="1"/>
  <c r="E624" i="14" s="1"/>
  <c r="E308" i="14" a="1"/>
  <c r="E308" i="14" s="1"/>
  <c r="E948" i="14" a="1"/>
  <c r="E948" i="14" s="1"/>
  <c r="M948" i="14" s="1"/>
  <c r="P948" i="14" s="1"/>
  <c r="E381" i="14" a="1"/>
  <c r="E381" i="14" s="1"/>
  <c r="M381" i="14" s="1"/>
  <c r="P381" i="14" s="1"/>
  <c r="E593" i="14" a="1"/>
  <c r="E593" i="14" s="1"/>
  <c r="E310" i="14" a="1"/>
  <c r="E310" i="14" s="1"/>
  <c r="M310" i="14" s="1"/>
  <c r="P310" i="14" s="1"/>
  <c r="E461" i="14" a="1"/>
  <c r="E461" i="14" s="1"/>
  <c r="M461" i="14" s="1"/>
  <c r="P461" i="14" s="1"/>
  <c r="E763" i="14" a="1"/>
  <c r="E763" i="14" s="1"/>
  <c r="M763" i="14" s="1"/>
  <c r="P763" i="14" s="1"/>
  <c r="E1096" i="14" a="1"/>
  <c r="E1096" i="14" s="1"/>
  <c r="M1096" i="14" s="1"/>
  <c r="P1096" i="14" s="1"/>
  <c r="E500" i="14" a="1"/>
  <c r="E500" i="14" s="1"/>
  <c r="M500" i="14" s="1"/>
  <c r="P500" i="14" s="1"/>
  <c r="E1002" i="14" a="1"/>
  <c r="E1002" i="14" s="1"/>
  <c r="M1002" i="14" s="1"/>
  <c r="P1002" i="14" s="1"/>
  <c r="E817" i="14" a="1"/>
  <c r="E817" i="14" s="1"/>
  <c r="M817" i="14" s="1"/>
  <c r="P817" i="14" s="1"/>
  <c r="E169" i="14" a="1"/>
  <c r="E169" i="14" s="1"/>
  <c r="M169" i="14" s="1"/>
  <c r="P169" i="14" s="1"/>
  <c r="E1088" i="14" a="1"/>
  <c r="E1088" i="14" s="1"/>
  <c r="M1088" i="14" s="1"/>
  <c r="P1088" i="14" s="1"/>
  <c r="E863" i="14" a="1"/>
  <c r="E863" i="14" s="1"/>
  <c r="M863" i="14" s="1"/>
  <c r="P863" i="14" s="1"/>
  <c r="E1100" i="14" a="1"/>
  <c r="E1100" i="14" s="1"/>
  <c r="M1100" i="14" s="1"/>
  <c r="P1100" i="14" s="1"/>
  <c r="E550" i="14" a="1"/>
  <c r="E550" i="14" s="1"/>
  <c r="M550" i="14" s="1"/>
  <c r="P550" i="14" s="1"/>
  <c r="E430" i="14" a="1"/>
  <c r="E430" i="14" s="1"/>
  <c r="M430" i="14" s="1"/>
  <c r="P430" i="14" s="1"/>
  <c r="E1082" i="14" a="1"/>
  <c r="E1082" i="14" s="1"/>
  <c r="M1082" i="14" s="1"/>
  <c r="P1082" i="14" s="1"/>
  <c r="E592" i="14" a="1"/>
  <c r="E592" i="14" s="1"/>
  <c r="M592" i="14" s="1"/>
  <c r="P592" i="14" s="1"/>
  <c r="E1497" i="14" a="1"/>
  <c r="E1497" i="14" s="1"/>
  <c r="M1497" i="14" s="1"/>
  <c r="P1497" i="14" s="1"/>
  <c r="E395" i="14" a="1"/>
  <c r="E395" i="14" s="1"/>
  <c r="M395" i="14" s="1"/>
  <c r="P395" i="14" s="1"/>
  <c r="E568" i="14" a="1"/>
  <c r="E568" i="14" s="1"/>
  <c r="M568" i="14" s="1"/>
  <c r="P568" i="14" s="1"/>
  <c r="E300" i="14" a="1"/>
  <c r="E300" i="14" s="1"/>
  <c r="M300" i="14" s="1"/>
  <c r="P300" i="14" s="1"/>
  <c r="E513" i="14" a="1"/>
  <c r="E513" i="14" s="1"/>
  <c r="M513" i="14" s="1"/>
  <c r="P513" i="14" s="1"/>
  <c r="E661" i="14" a="1"/>
  <c r="E661" i="14" s="1"/>
  <c r="M661" i="14" s="1"/>
  <c r="P661" i="14" s="1"/>
  <c r="E406" i="14" a="1"/>
  <c r="E406" i="14" s="1"/>
  <c r="M406" i="14" s="1"/>
  <c r="P406" i="14" s="1"/>
  <c r="E552" i="14" a="1"/>
  <c r="E552" i="14" s="1"/>
  <c r="E22" i="14" a="1"/>
  <c r="E22" i="14" s="1"/>
  <c r="M22" i="14" s="1"/>
  <c r="P22" i="14" s="1"/>
  <c r="E1304" i="14" a="1"/>
  <c r="E1304" i="14" s="1"/>
  <c r="E645" i="14" a="1"/>
  <c r="E645" i="14" s="1"/>
  <c r="M645" i="14" s="1"/>
  <c r="P645" i="14" s="1"/>
  <c r="E1132" i="14" a="1"/>
  <c r="E1132" i="14" s="1"/>
  <c r="M1132" i="14" s="1"/>
  <c r="P1132" i="14" s="1"/>
  <c r="E1040" i="14" a="1"/>
  <c r="E1040" i="14" s="1"/>
  <c r="M1040" i="14" s="1"/>
  <c r="P1040" i="14" s="1"/>
  <c r="E1119" i="14" a="1"/>
  <c r="E1119" i="14" s="1"/>
  <c r="M1119" i="14" s="1"/>
  <c r="P1119" i="14" s="1"/>
  <c r="E965" i="14" a="1"/>
  <c r="E965" i="14" s="1"/>
  <c r="M965" i="14" s="1"/>
  <c r="P965" i="14" s="1"/>
  <c r="E1077" i="14" a="1"/>
  <c r="E1077" i="14" s="1"/>
  <c r="M1077" i="14" s="1"/>
  <c r="P1077" i="14" s="1"/>
  <c r="E806" i="14" a="1"/>
  <c r="E806" i="14" s="1"/>
  <c r="M806" i="14" s="1"/>
  <c r="P806" i="14" s="1"/>
  <c r="E1056" i="14" a="1"/>
  <c r="E1056" i="14" s="1"/>
  <c r="M1056" i="14" s="1"/>
  <c r="P1056" i="14" s="1"/>
  <c r="E821" i="14" a="1"/>
  <c r="E821" i="14" s="1"/>
  <c r="M821" i="14" s="1"/>
  <c r="P821" i="14" s="1"/>
  <c r="E826" i="14" a="1"/>
  <c r="E826" i="14" s="1"/>
  <c r="E565" i="14" a="1"/>
  <c r="E565" i="14" s="1"/>
  <c r="M565" i="14" s="1"/>
  <c r="P565" i="14" s="1"/>
  <c r="E152" i="14" a="1"/>
  <c r="E152" i="14" s="1"/>
  <c r="M152" i="14" s="1"/>
  <c r="P152" i="14" s="1"/>
  <c r="E1078" i="14" a="1"/>
  <c r="E1078" i="14" s="1"/>
  <c r="M1078" i="14" s="1"/>
  <c r="P1078" i="14" s="1"/>
  <c r="E367" i="14" a="1"/>
  <c r="E367" i="14" s="1"/>
  <c r="E616" i="14" a="1"/>
  <c r="E616" i="14" s="1"/>
  <c r="E67" i="14" a="1"/>
  <c r="E67" i="14" s="1"/>
  <c r="E751" i="14" a="1"/>
  <c r="E751" i="14" s="1"/>
  <c r="M751" i="14" s="1"/>
  <c r="P751" i="14" s="1"/>
  <c r="E793" i="14" a="1"/>
  <c r="E793" i="14" s="1"/>
  <c r="M793" i="14" s="1"/>
  <c r="P793" i="14" s="1"/>
  <c r="E384" i="14" a="1"/>
  <c r="E384" i="14" s="1"/>
  <c r="M384" i="14" s="1"/>
  <c r="P384" i="14" s="1"/>
  <c r="E121" i="14" a="1"/>
  <c r="E121" i="14" s="1"/>
  <c r="M121" i="14" s="1"/>
  <c r="P121" i="14" s="1"/>
  <c r="E662" i="14" a="1"/>
  <c r="E662" i="14" s="1"/>
  <c r="M662" i="14" s="1"/>
  <c r="P662" i="14" s="1"/>
  <c r="E641" i="14" a="1"/>
  <c r="E641" i="14" s="1"/>
  <c r="M641" i="14" s="1"/>
  <c r="P641" i="14" s="1"/>
  <c r="E517" i="14" a="1"/>
  <c r="E517" i="14" s="1"/>
  <c r="M517" i="14" s="1"/>
  <c r="P517" i="14" s="1"/>
  <c r="E1429" i="14" a="1"/>
  <c r="E1429" i="14" s="1"/>
  <c r="M1429" i="14" s="1"/>
  <c r="P1429" i="14" s="1"/>
  <c r="E228" i="14" a="1"/>
  <c r="E228" i="14" s="1"/>
  <c r="M228" i="14" s="1"/>
  <c r="P228" i="14" s="1"/>
  <c r="E838" i="14" a="1"/>
  <c r="E838" i="14" s="1"/>
  <c r="M838" i="14" s="1"/>
  <c r="P838" i="14" s="1"/>
  <c r="E223" i="14" a="1"/>
  <c r="E223" i="14" s="1"/>
  <c r="M223" i="14" s="1"/>
  <c r="P223" i="14" s="1"/>
  <c r="E520" i="14" a="1"/>
  <c r="E520" i="14" s="1"/>
  <c r="M520" i="14" s="1"/>
  <c r="P520" i="14" s="1"/>
  <c r="E982" i="14" a="1"/>
  <c r="E982" i="14" s="1"/>
  <c r="M982" i="14" s="1"/>
  <c r="P982" i="14" s="1"/>
  <c r="E265" i="14" a="1"/>
  <c r="E265" i="14" s="1"/>
  <c r="M265" i="14" s="1"/>
  <c r="P265" i="14" s="1"/>
  <c r="E887" i="14" a="1"/>
  <c r="E887" i="14" s="1"/>
  <c r="M887" i="14" s="1"/>
  <c r="P887" i="14" s="1"/>
  <c r="E860" i="14" a="1"/>
  <c r="E860" i="14" s="1"/>
  <c r="M860" i="14" s="1"/>
  <c r="P860" i="14" s="1"/>
  <c r="E1379" i="14" a="1"/>
  <c r="E1379" i="14" s="1"/>
  <c r="M1379" i="14" s="1"/>
  <c r="P1379" i="14" s="1"/>
  <c r="E1331" i="14" a="1"/>
  <c r="E1331" i="14" s="1"/>
  <c r="M1331" i="14" s="1"/>
  <c r="P1331" i="14" s="1"/>
  <c r="E1218" i="14" a="1"/>
  <c r="E1218" i="14" s="1"/>
  <c r="M1218" i="14" s="1"/>
  <c r="P1218" i="14" s="1"/>
  <c r="E1355" i="14" a="1"/>
  <c r="E1355" i="14" s="1"/>
  <c r="M1355" i="14" s="1"/>
  <c r="P1355" i="14" s="1"/>
  <c r="E160" i="14" a="1"/>
  <c r="E160" i="14" s="1"/>
  <c r="M160" i="14" s="1"/>
  <c r="P160" i="14" s="1"/>
  <c r="E841" i="14" a="1"/>
  <c r="E841" i="14" s="1"/>
  <c r="M841" i="14" s="1"/>
  <c r="P841" i="14" s="1"/>
  <c r="E553" i="14" a="1"/>
  <c r="E553" i="14" s="1"/>
  <c r="M553" i="14" s="1"/>
  <c r="P553" i="14" s="1"/>
  <c r="E544" i="14" a="1"/>
  <c r="E544" i="14" s="1"/>
  <c r="M544" i="14" s="1"/>
  <c r="P544" i="14" s="1"/>
  <c r="E1150" i="14" a="1"/>
  <c r="E1150" i="14" s="1"/>
  <c r="M1150" i="14" s="1"/>
  <c r="P1150" i="14" s="1"/>
  <c r="E1007" i="14" a="1"/>
  <c r="E1007" i="14" s="1"/>
  <c r="M1007" i="14" s="1"/>
  <c r="P1007" i="14" s="1"/>
  <c r="E359" i="14" a="1"/>
  <c r="E359" i="14" s="1"/>
  <c r="M359" i="14" s="1"/>
  <c r="P359" i="14" s="1"/>
  <c r="E936" i="14" a="1"/>
  <c r="E936" i="14" s="1"/>
  <c r="M936" i="14" s="1"/>
  <c r="P936" i="14" s="1"/>
  <c r="E144" i="14" a="1"/>
  <c r="E144" i="14" s="1"/>
  <c r="M144" i="14" s="1"/>
  <c r="P144" i="14" s="1"/>
  <c r="E800" i="14" a="1"/>
  <c r="E800" i="14" s="1"/>
  <c r="M800" i="14" s="1"/>
  <c r="P800" i="14" s="1"/>
  <c r="E116" i="14" a="1"/>
  <c r="E116" i="14" s="1"/>
  <c r="M116" i="14" s="1"/>
  <c r="P116" i="14" s="1"/>
  <c r="E1000" i="14" a="1"/>
  <c r="E1000" i="14" s="1"/>
  <c r="M1000" i="14" s="1"/>
  <c r="P1000" i="14" s="1"/>
  <c r="E613" i="14" a="1"/>
  <c r="E613" i="14" s="1"/>
  <c r="M613" i="14" s="1"/>
  <c r="P613" i="14" s="1"/>
  <c r="E1294" i="14" a="1"/>
  <c r="E1294" i="14" s="1"/>
  <c r="M1294" i="14" s="1"/>
  <c r="P1294" i="14" s="1"/>
  <c r="E181" i="14" a="1"/>
  <c r="E181" i="14" s="1"/>
  <c r="M181" i="14" s="1"/>
  <c r="P181" i="14" s="1"/>
  <c r="E1097" i="14" a="1"/>
  <c r="E1097" i="14" s="1"/>
  <c r="E1360" i="14" a="1"/>
  <c r="E1360" i="14" s="1"/>
  <c r="M1360" i="14" s="1"/>
  <c r="P1360" i="14" s="1"/>
  <c r="E1142" i="14" a="1"/>
  <c r="E1142" i="14" s="1"/>
  <c r="M1142" i="14" s="1"/>
  <c r="P1142" i="14" s="1"/>
  <c r="E59" i="14" a="1"/>
  <c r="E59" i="14" s="1"/>
  <c r="M59" i="14" s="1"/>
  <c r="P59" i="14" s="1"/>
  <c r="E668" i="14" a="1"/>
  <c r="E668" i="14" s="1"/>
  <c r="M668" i="14" s="1"/>
  <c r="P668" i="14" s="1"/>
  <c r="E1014" i="14" a="1"/>
  <c r="E1014" i="14" s="1"/>
  <c r="M1014" i="14" s="1"/>
  <c r="P1014" i="14" s="1"/>
  <c r="E340" i="14" a="1"/>
  <c r="E340" i="14" s="1"/>
  <c r="E1003" i="14" a="1"/>
  <c r="E1003" i="14" s="1"/>
  <c r="M1003" i="14" s="1"/>
  <c r="P1003" i="14" s="1"/>
  <c r="E711" i="14" a="1"/>
  <c r="E711" i="14" s="1"/>
  <c r="M711" i="14" s="1"/>
  <c r="P711" i="14" s="1"/>
  <c r="E1197" i="14" a="1"/>
  <c r="E1197" i="14" s="1"/>
  <c r="M1197" i="14" s="1"/>
  <c r="P1197" i="14" s="1"/>
  <c r="E213" i="14" a="1"/>
  <c r="E213" i="14" s="1"/>
  <c r="M213" i="14" s="1"/>
  <c r="P213" i="14" s="1"/>
  <c r="E708" i="14" a="1"/>
  <c r="E708" i="14" s="1"/>
  <c r="M708" i="14" s="1"/>
  <c r="P708" i="14" s="1"/>
  <c r="E102" i="14" a="1"/>
  <c r="E102" i="14" s="1"/>
  <c r="M102" i="14" s="1"/>
  <c r="P102" i="14" s="1"/>
  <c r="E69" i="14" a="1"/>
  <c r="E69" i="14" s="1"/>
  <c r="M69" i="14" s="1"/>
  <c r="P69" i="14" s="1"/>
  <c r="G310" i="14" a="1"/>
  <c r="G310" i="14" s="1"/>
  <c r="K310" i="14" s="1"/>
  <c r="G593" i="14" a="1"/>
  <c r="G593" i="14" s="1"/>
  <c r="G381" i="14" a="1"/>
  <c r="G381" i="14" s="1"/>
  <c r="K381" i="14" s="1"/>
  <c r="G948" i="14" a="1"/>
  <c r="G948" i="14" s="1"/>
  <c r="K948" i="14" s="1"/>
  <c r="G308" i="14" a="1"/>
  <c r="G308" i="14" s="1"/>
  <c r="K308" i="14" s="1"/>
  <c r="G624" i="14" a="1"/>
  <c r="G624" i="14" s="1"/>
  <c r="K624" i="14" s="1"/>
  <c r="G659" i="14" a="1"/>
  <c r="G659" i="14" s="1"/>
  <c r="K659" i="14" s="1"/>
  <c r="G383" i="14" a="1"/>
  <c r="G383" i="14" s="1"/>
  <c r="K383" i="14" s="1"/>
  <c r="G1017" i="14" a="1"/>
  <c r="G1017" i="14" s="1"/>
  <c r="K1017" i="14" s="1"/>
  <c r="G328" i="14" a="1"/>
  <c r="G328" i="14" s="1"/>
  <c r="G606" i="14" a="1"/>
  <c r="G606" i="14" s="1"/>
  <c r="K606" i="14" s="1"/>
  <c r="G601" i="14" a="1"/>
  <c r="G601" i="14" s="1"/>
  <c r="K601" i="14" s="1"/>
  <c r="G403" i="14" a="1"/>
  <c r="G403" i="14" s="1"/>
  <c r="K403" i="14" s="1"/>
  <c r="G843" i="14" a="1"/>
  <c r="G843" i="14" s="1"/>
  <c r="K843" i="14" s="1"/>
  <c r="G1316" i="14" a="1"/>
  <c r="G1316" i="14" s="1"/>
  <c r="K1316" i="14" s="1"/>
  <c r="G836" i="14" a="1"/>
  <c r="G836" i="14" s="1"/>
  <c r="K836" i="14" s="1"/>
  <c r="G897" i="14" a="1"/>
  <c r="G897" i="14" s="1"/>
  <c r="K897" i="14" s="1"/>
  <c r="G1075" i="14" a="1"/>
  <c r="G1075" i="14" s="1"/>
  <c r="G842" i="14" a="1"/>
  <c r="G842" i="14" s="1"/>
  <c r="K842" i="14" s="1"/>
  <c r="G825" i="14" a="1"/>
  <c r="G825" i="14" s="1"/>
  <c r="K825" i="14" s="1"/>
  <c r="G16" i="14" a="1"/>
  <c r="G16" i="14" s="1"/>
  <c r="K16" i="14" s="1"/>
  <c r="G996" i="14" a="1"/>
  <c r="G996" i="14" s="1"/>
  <c r="K996" i="14" s="1"/>
  <c r="G877" i="14" a="1"/>
  <c r="G877" i="14" s="1"/>
  <c r="K877" i="14" s="1"/>
  <c r="G852" i="14" a="1"/>
  <c r="G852" i="14" s="1"/>
  <c r="K852" i="14" s="1"/>
  <c r="G27" i="14" a="1"/>
  <c r="G27" i="14" s="1"/>
  <c r="K27" i="14" s="1"/>
  <c r="G1013" i="14" a="1"/>
  <c r="G1013" i="14" s="1"/>
  <c r="G918" i="14" a="1"/>
  <c r="G918" i="14" s="1"/>
  <c r="K918" i="14" s="1"/>
  <c r="G850" i="14" a="1"/>
  <c r="G850" i="14" s="1"/>
  <c r="K850" i="14" s="1"/>
  <c r="G26" i="14" a="1"/>
  <c r="G26" i="14" s="1"/>
  <c r="K26" i="14" s="1"/>
  <c r="G1021" i="14" a="1"/>
  <c r="G1021" i="14" s="1"/>
  <c r="K1021" i="14" s="1"/>
  <c r="G99" i="14" a="1"/>
  <c r="G99" i="14" s="1"/>
  <c r="K99" i="14" s="1"/>
  <c r="G829" i="14" a="1"/>
  <c r="G829" i="14" s="1"/>
  <c r="K829" i="14" s="1"/>
  <c r="G914" i="14" a="1"/>
  <c r="G914" i="14" s="1"/>
  <c r="K914" i="14" s="1"/>
  <c r="G1081" i="14" a="1"/>
  <c r="G1081" i="14" s="1"/>
  <c r="G502" i="14" a="1"/>
  <c r="G502" i="14" s="1"/>
  <c r="K502" i="14" s="1"/>
  <c r="G572" i="14" a="1"/>
  <c r="G572" i="14" s="1"/>
  <c r="K572" i="14" s="1"/>
  <c r="G602" i="14" a="1"/>
  <c r="G602" i="14" s="1"/>
  <c r="K602" i="14" s="1"/>
  <c r="G450" i="14" a="1"/>
  <c r="G450" i="14" s="1"/>
  <c r="K450" i="14" s="1"/>
  <c r="G944" i="14" a="1"/>
  <c r="G944" i="14" s="1"/>
  <c r="K944" i="14" s="1"/>
  <c r="G60" i="14" a="1"/>
  <c r="G60" i="14" s="1"/>
  <c r="K60" i="14" s="1"/>
  <c r="G906" i="14" a="1"/>
  <c r="G906" i="14" s="1"/>
  <c r="K906" i="14" s="1"/>
  <c r="G832" i="14" a="1"/>
  <c r="G832" i="14" s="1"/>
  <c r="G21" i="14" a="1"/>
  <c r="G21" i="14" s="1"/>
  <c r="K21" i="14" s="1"/>
  <c r="G987" i="14" a="1"/>
  <c r="G987" i="14" s="1"/>
  <c r="K987" i="14" s="1"/>
  <c r="G1271" i="14" a="1"/>
  <c r="G1271" i="14" s="1"/>
  <c r="K1271" i="14" s="1"/>
  <c r="G425" i="14" a="1"/>
  <c r="G425" i="14" s="1"/>
  <c r="K425" i="14" s="1"/>
  <c r="G488" i="14" a="1"/>
  <c r="G488" i="14" s="1"/>
  <c r="K488" i="14" s="1"/>
  <c r="G1047" i="14" a="1"/>
  <c r="G1047" i="14" s="1"/>
  <c r="K1047" i="14" s="1"/>
  <c r="G57" i="14" a="1"/>
  <c r="G57" i="14" s="1"/>
  <c r="K57" i="14" s="1"/>
  <c r="G922" i="14" a="1"/>
  <c r="G922" i="14" s="1"/>
  <c r="G354" i="14" a="1"/>
  <c r="G354" i="14" s="1"/>
  <c r="K354" i="14" s="1"/>
  <c r="G370" i="14" a="1"/>
  <c r="G370" i="14" s="1"/>
  <c r="K370" i="14" s="1"/>
  <c r="G1001" i="14" a="1"/>
  <c r="G1001" i="14" s="1"/>
  <c r="K1001" i="14" s="1"/>
  <c r="G203" i="14" a="1"/>
  <c r="G203" i="14" s="1"/>
  <c r="K203" i="14" s="1"/>
  <c r="G847" i="14" a="1"/>
  <c r="G847" i="14" s="1"/>
  <c r="K847" i="14" s="1"/>
  <c r="G125" i="14" a="1"/>
  <c r="G125" i="14" s="1"/>
  <c r="K125" i="14" s="1"/>
  <c r="G912" i="14" a="1"/>
  <c r="G912" i="14" s="1"/>
  <c r="K912" i="14" s="1"/>
  <c r="G511" i="14" a="1"/>
  <c r="G511" i="14" s="1"/>
  <c r="G889" i="14" a="1"/>
  <c r="G889" i="14" s="1"/>
  <c r="K889" i="14" s="1"/>
  <c r="G161" i="14" a="1"/>
  <c r="G161" i="14" s="1"/>
  <c r="K161" i="14" s="1"/>
  <c r="G931" i="14" a="1"/>
  <c r="G931" i="14" s="1"/>
  <c r="K931" i="14" s="1"/>
  <c r="G486" i="14" a="1"/>
  <c r="G486" i="14" s="1"/>
  <c r="K486" i="14" s="1"/>
  <c r="G1467" i="14" a="1"/>
  <c r="G1467" i="14" s="1"/>
  <c r="K1467" i="14" s="1"/>
  <c r="G1281" i="14" a="1"/>
  <c r="G1281" i="14" s="1"/>
  <c r="K1281" i="14" s="1"/>
  <c r="G1266" i="14" a="1"/>
  <c r="G1266" i="14" s="1"/>
  <c r="K1266" i="14" s="1"/>
  <c r="G1476" i="14" a="1"/>
  <c r="G1476" i="14" s="1"/>
  <c r="G1113" i="14" a="1"/>
  <c r="G1113" i="14" s="1"/>
  <c r="K1113" i="14" s="1"/>
  <c r="G1432" i="14" a="1"/>
  <c r="G1432" i="14" s="1"/>
  <c r="K1432" i="14" s="1"/>
  <c r="G1223" i="14" a="1"/>
  <c r="G1223" i="14" s="1"/>
  <c r="K1223" i="14" s="1"/>
  <c r="G1308" i="14" a="1"/>
  <c r="G1308" i="14" s="1"/>
  <c r="K1308" i="14" s="1"/>
  <c r="G1439" i="14" a="1"/>
  <c r="G1439" i="14" s="1"/>
  <c r="K1439" i="14" s="1"/>
  <c r="G1095" i="14" a="1"/>
  <c r="G1095" i="14" s="1"/>
  <c r="K1095" i="14" s="1"/>
  <c r="G1346" i="14" a="1"/>
  <c r="G1346" i="14" s="1"/>
  <c r="K1346" i="14" s="1"/>
  <c r="G1139" i="14" a="1"/>
  <c r="G1139" i="14" s="1"/>
  <c r="G1106" i="14" a="1"/>
  <c r="G1106" i="14" s="1"/>
  <c r="K1106" i="14" s="1"/>
  <c r="G1318" i="14" a="1"/>
  <c r="G1318" i="14" s="1"/>
  <c r="K1318" i="14" s="1"/>
  <c r="G657" i="14" a="1"/>
  <c r="G657" i="14" s="1"/>
  <c r="K657" i="14" s="1"/>
  <c r="G1389" i="14" a="1"/>
  <c r="G1389" i="14" s="1"/>
  <c r="K1389" i="14" s="1"/>
  <c r="G1220" i="14" a="1"/>
  <c r="G1220" i="14" s="1"/>
  <c r="K1220" i="14" s="1"/>
  <c r="G1307" i="14" a="1"/>
  <c r="G1307" i="14" s="1"/>
  <c r="K1307" i="14" s="1"/>
  <c r="G1435" i="14" a="1"/>
  <c r="G1435" i="14" s="1"/>
  <c r="K1435" i="14" s="1"/>
  <c r="G1130" i="14" a="1"/>
  <c r="G1130" i="14" s="1"/>
  <c r="G100" i="14" a="1"/>
  <c r="G100" i="14" s="1"/>
  <c r="K100" i="14" s="1"/>
  <c r="G458" i="14" a="1"/>
  <c r="G458" i="14" s="1"/>
  <c r="K458" i="14" s="1"/>
  <c r="G448" i="14" a="1"/>
  <c r="G448" i="14" s="1"/>
  <c r="K448" i="14" s="1"/>
  <c r="G444" i="14" a="1"/>
  <c r="G444" i="14" s="1"/>
  <c r="K444" i="14" s="1"/>
  <c r="G667" i="14" a="1"/>
  <c r="G667" i="14" s="1"/>
  <c r="K667" i="14" s="1"/>
  <c r="G420" i="14" a="1"/>
  <c r="G420" i="14" s="1"/>
  <c r="K420" i="14" s="1"/>
  <c r="G496" i="14" a="1"/>
  <c r="G496" i="14" s="1"/>
  <c r="K496" i="14" s="1"/>
  <c r="G586" i="14" a="1"/>
  <c r="G586" i="14" s="1"/>
  <c r="G478" i="14" a="1"/>
  <c r="G478" i="14" s="1"/>
  <c r="K478" i="14" s="1"/>
  <c r="G820" i="14" a="1"/>
  <c r="G820" i="14" s="1"/>
  <c r="K820" i="14" s="1"/>
  <c r="G312" i="14" a="1"/>
  <c r="G312" i="14" s="1"/>
  <c r="K312" i="14" s="1"/>
  <c r="G560" i="14" a="1"/>
  <c r="G560" i="14" s="1"/>
  <c r="K560" i="14" s="1"/>
  <c r="G622" i="14" a="1"/>
  <c r="G622" i="14" s="1"/>
  <c r="K622" i="14" s="1"/>
  <c r="G385" i="14" a="1"/>
  <c r="G385" i="14" s="1"/>
  <c r="K385" i="14" s="1"/>
  <c r="G827" i="14" a="1"/>
  <c r="G827" i="14" s="1"/>
  <c r="K827" i="14" s="1"/>
  <c r="G1022" i="14" a="1"/>
  <c r="G1022" i="14" s="1"/>
  <c r="G162" i="14" a="1"/>
  <c r="G162" i="14" s="1"/>
  <c r="K162" i="14" s="1"/>
  <c r="G961" i="14" a="1"/>
  <c r="G961" i="14" s="1"/>
  <c r="K961" i="14" s="1"/>
  <c r="G482" i="14" a="1"/>
  <c r="G482" i="14" s="1"/>
  <c r="K482" i="14" s="1"/>
  <c r="G1048" i="14" a="1"/>
  <c r="G1048" i="14" s="1"/>
  <c r="K1048" i="14" s="1"/>
  <c r="G108" i="14" a="1"/>
  <c r="G108" i="14" s="1"/>
  <c r="K108" i="14" s="1"/>
  <c r="G272" i="14" a="1"/>
  <c r="G272" i="14" s="1"/>
  <c r="K272" i="14" s="1"/>
  <c r="G1117" i="14" a="1"/>
  <c r="G1117" i="14" s="1"/>
  <c r="K1117" i="14" s="1"/>
  <c r="G651" i="14" a="1"/>
  <c r="G651" i="14" s="1"/>
  <c r="G1031" i="14" a="1"/>
  <c r="G1031" i="14" s="1"/>
  <c r="K1031" i="14" s="1"/>
  <c r="G215" i="14" a="1"/>
  <c r="G215" i="14" s="1"/>
  <c r="K215" i="14" s="1"/>
  <c r="G175" i="14" a="1"/>
  <c r="G175" i="14" s="1"/>
  <c r="K175" i="14" s="1"/>
  <c r="G1059" i="14" a="1"/>
  <c r="G1059" i="14" s="1"/>
  <c r="K1059" i="14" s="1"/>
  <c r="G732" i="14" a="1"/>
  <c r="G732" i="14" s="1"/>
  <c r="K732" i="14" s="1"/>
  <c r="G910" i="14" a="1"/>
  <c r="G910" i="14" s="1"/>
  <c r="K910" i="14" s="1"/>
  <c r="G114" i="14" a="1"/>
  <c r="G114" i="14" s="1"/>
  <c r="K114" i="14" s="1"/>
  <c r="G177" i="14" a="1"/>
  <c r="G177" i="14" s="1"/>
  <c r="G1061" i="14" a="1"/>
  <c r="G1061" i="14" s="1"/>
  <c r="K1061" i="14" s="1"/>
  <c r="G653" i="14" a="1"/>
  <c r="G653" i="14" s="1"/>
  <c r="K653" i="14" s="1"/>
  <c r="G1494" i="14" a="1"/>
  <c r="G1494" i="14" s="1"/>
  <c r="K1494" i="14" s="1"/>
  <c r="G1291" i="14" a="1"/>
  <c r="G1291" i="14" s="1"/>
  <c r="K1291" i="14" s="1"/>
  <c r="G1286" i="14" a="1"/>
  <c r="G1286" i="14" s="1"/>
  <c r="K1286" i="14" s="1"/>
  <c r="G1496" i="14" a="1"/>
  <c r="G1496" i="14" s="1"/>
  <c r="K1496" i="14" s="1"/>
  <c r="G1122" i="14" a="1"/>
  <c r="G1122" i="14" s="1"/>
  <c r="K1122" i="14" s="1"/>
  <c r="G374" i="14" a="1"/>
  <c r="G374" i="14" s="1"/>
  <c r="G528" i="14" a="1"/>
  <c r="G528" i="14" s="1"/>
  <c r="K528" i="14" s="1"/>
  <c r="G630" i="14" a="1"/>
  <c r="G630" i="14" s="1"/>
  <c r="K630" i="14" s="1"/>
  <c r="G515" i="14" a="1"/>
  <c r="G515" i="14" s="1"/>
  <c r="K515" i="14" s="1"/>
  <c r="G909" i="14" a="1"/>
  <c r="G909" i="14" s="1"/>
  <c r="K909" i="14" s="1"/>
  <c r="G979" i="14" a="1"/>
  <c r="G979" i="14" s="1"/>
  <c r="K979" i="14" s="1"/>
  <c r="G167" i="14" a="1"/>
  <c r="G167" i="14" s="1"/>
  <c r="K167" i="14" s="1"/>
  <c r="G978" i="14" a="1"/>
  <c r="G978" i="14" s="1"/>
  <c r="K978" i="14" s="1"/>
  <c r="G505" i="14" a="1"/>
  <c r="G505" i="14" s="1"/>
  <c r="G1030" i="14" a="1"/>
  <c r="G1030" i="14" s="1"/>
  <c r="K1030" i="14" s="1"/>
  <c r="G159" i="14" a="1"/>
  <c r="G159" i="14" s="1"/>
  <c r="K159" i="14" s="1"/>
  <c r="G179" i="14" a="1"/>
  <c r="G179" i="14" s="1"/>
  <c r="K179" i="14" s="1"/>
  <c r="G894" i="14" a="1"/>
  <c r="G894" i="14" s="1"/>
  <c r="K894" i="14" s="1"/>
  <c r="G532" i="14" a="1"/>
  <c r="G532" i="14" s="1"/>
  <c r="K532" i="14" s="1"/>
  <c r="G9" i="14" a="1"/>
  <c r="G9" i="14" s="1"/>
  <c r="K9" i="14" s="1"/>
  <c r="G930" i="14" a="1"/>
  <c r="G930" i="14" s="1"/>
  <c r="K930" i="14" s="1"/>
  <c r="G960" i="14" a="1"/>
  <c r="G960" i="14" s="1"/>
  <c r="K960" i="14" s="1"/>
  <c r="G1093" i="14" a="1"/>
  <c r="G1093" i="14" s="1"/>
  <c r="K1093" i="14" s="1"/>
  <c r="G333" i="14" a="1"/>
  <c r="G333" i="14" s="1"/>
  <c r="K333" i="14" s="1"/>
  <c r="G823" i="14" a="1"/>
  <c r="G823" i="14" s="1"/>
  <c r="K823" i="14" s="1"/>
  <c r="G845" i="14" a="1"/>
  <c r="G845" i="14" s="1"/>
  <c r="K845" i="14" s="1"/>
  <c r="G318" i="14" a="1"/>
  <c r="G318" i="14" s="1"/>
  <c r="K318" i="14" s="1"/>
  <c r="G814" i="14" a="1"/>
  <c r="G814" i="14" s="1"/>
  <c r="K814" i="14" s="1"/>
  <c r="G831" i="14" a="1"/>
  <c r="G831" i="14" s="1"/>
  <c r="K831" i="14" s="1"/>
  <c r="G233" i="14" a="1"/>
  <c r="G233" i="14" s="1"/>
  <c r="K233" i="14" s="1"/>
  <c r="G1074" i="14" a="1"/>
  <c r="G1074" i="14" s="1"/>
  <c r="K1074" i="14" s="1"/>
  <c r="G295" i="14" a="1"/>
  <c r="G295" i="14" s="1"/>
  <c r="K295" i="14" s="1"/>
  <c r="G632" i="14" a="1"/>
  <c r="G632" i="14" s="1"/>
  <c r="K632" i="14" s="1"/>
  <c r="G783" i="14" a="1"/>
  <c r="G783" i="14" s="1"/>
  <c r="K783" i="14" s="1"/>
  <c r="G327" i="14" a="1"/>
  <c r="G327" i="14" s="1"/>
  <c r="K327" i="14" s="1"/>
  <c r="G926" i="14" a="1"/>
  <c r="G926" i="14" s="1"/>
  <c r="K926" i="14" s="1"/>
  <c r="G319" i="14" a="1"/>
  <c r="G319" i="14" s="1"/>
  <c r="K319" i="14" s="1"/>
  <c r="G678" i="14" a="1"/>
  <c r="G678" i="14" s="1"/>
  <c r="K678" i="14" s="1"/>
  <c r="G804" i="14" a="1"/>
  <c r="G804" i="14" s="1"/>
  <c r="K804" i="14" s="1"/>
  <c r="G358" i="14" a="1"/>
  <c r="G358" i="14" s="1"/>
  <c r="K358" i="14" s="1"/>
  <c r="G939" i="14" a="1"/>
  <c r="G939" i="14" s="1"/>
  <c r="K939" i="14" s="1"/>
  <c r="G400" i="14" a="1"/>
  <c r="G400" i="14" s="1"/>
  <c r="K400" i="14" s="1"/>
  <c r="G583" i="14" a="1"/>
  <c r="G583" i="14" s="1"/>
  <c r="K583" i="14" s="1"/>
  <c r="G604" i="14" a="1"/>
  <c r="G604" i="14" s="1"/>
  <c r="K604" i="14" s="1"/>
  <c r="G410" i="14" a="1"/>
  <c r="G410" i="14" s="1"/>
  <c r="K410" i="14" s="1"/>
  <c r="G966" i="14" a="1"/>
  <c r="G966" i="14" s="1"/>
  <c r="K966" i="14" s="1"/>
  <c r="G1254" i="14" a="1"/>
  <c r="G1254" i="14" s="1"/>
  <c r="K1254" i="14" s="1"/>
  <c r="G508" i="14" a="1"/>
  <c r="G508" i="14" s="1"/>
  <c r="K508" i="14" s="1"/>
  <c r="G512" i="14" a="1"/>
  <c r="G512" i="14" s="1"/>
  <c r="K512" i="14" s="1"/>
  <c r="G1101" i="14" a="1"/>
  <c r="G1101" i="14" s="1"/>
  <c r="K1101" i="14" s="1"/>
  <c r="G1199" i="14" a="1"/>
  <c r="G1199" i="14" s="1"/>
  <c r="K1199" i="14" s="1"/>
  <c r="G627" i="14" a="1"/>
  <c r="G627" i="14" s="1"/>
  <c r="K627" i="14" s="1"/>
  <c r="G519" i="14" a="1"/>
  <c r="G519" i="14" s="1"/>
  <c r="K519" i="14" s="1"/>
  <c r="G1211" i="14" a="1"/>
  <c r="G1211" i="14" s="1"/>
  <c r="K1211" i="14" s="1"/>
  <c r="G183" i="14" a="1"/>
  <c r="G183" i="14" s="1"/>
  <c r="K183" i="14" s="1"/>
  <c r="G975" i="14" a="1"/>
  <c r="G975" i="14" s="1"/>
  <c r="K975" i="14" s="1"/>
  <c r="G485" i="14" a="1"/>
  <c r="G485" i="14" s="1"/>
  <c r="K485" i="14" s="1"/>
  <c r="G481" i="14" a="1"/>
  <c r="G481" i="14" s="1"/>
  <c r="K481" i="14" s="1"/>
  <c r="G1092" i="14" a="1"/>
  <c r="G1092" i="14" s="1"/>
  <c r="K1092" i="14" s="1"/>
  <c r="G1180" i="14" a="1"/>
  <c r="G1180" i="14" s="1"/>
  <c r="K1180" i="14" s="1"/>
  <c r="G636" i="14" a="1"/>
  <c r="G636" i="14" s="1"/>
  <c r="K636" i="14" s="1"/>
  <c r="G744" i="14" a="1"/>
  <c r="G744" i="14" s="1"/>
  <c r="K744" i="14" s="1"/>
  <c r="G11" i="14" a="1"/>
  <c r="G11" i="14" s="1"/>
  <c r="K11" i="14" s="1"/>
  <c r="G1181" i="14" a="1"/>
  <c r="G1181" i="14" s="1"/>
  <c r="K1181" i="14" s="1"/>
  <c r="G669" i="14" a="1"/>
  <c r="G669" i="14" s="1"/>
  <c r="K669" i="14" s="1"/>
  <c r="G533" i="14" a="1"/>
  <c r="G533" i="14" s="1"/>
  <c r="K533" i="14" s="1"/>
  <c r="G1205" i="14" a="1"/>
  <c r="G1205" i="14" s="1"/>
  <c r="K1205" i="14" s="1"/>
  <c r="G185" i="14" a="1"/>
  <c r="G185" i="14" s="1"/>
  <c r="K185" i="14" s="1"/>
  <c r="H671" i="14" a="1"/>
  <c r="H671" i="14" s="1"/>
  <c r="H107" i="14" a="1"/>
  <c r="H107" i="14" s="1"/>
  <c r="H190" i="14" a="1"/>
  <c r="H190" i="14" s="1"/>
  <c r="H93" i="14" a="1"/>
  <c r="H93" i="14" s="1"/>
  <c r="H719" i="14" a="1"/>
  <c r="H719" i="14" s="1"/>
  <c r="H164" i="14" a="1"/>
  <c r="H164" i="14" s="1"/>
  <c r="H259" i="14" a="1"/>
  <c r="H259" i="14" s="1"/>
  <c r="H703" i="14" a="1"/>
  <c r="H703" i="14" s="1"/>
  <c r="H75" i="14" a="1"/>
  <c r="H75" i="14" s="1"/>
  <c r="H138" i="14" a="1"/>
  <c r="H138" i="14" s="1"/>
  <c r="H443" i="14" a="1"/>
  <c r="H443" i="14" s="1"/>
  <c r="H475" i="14" a="1"/>
  <c r="H475" i="14" s="1"/>
  <c r="H990" i="14" a="1"/>
  <c r="H990" i="14" s="1"/>
  <c r="H376" i="14" a="1"/>
  <c r="H376" i="14" s="1"/>
  <c r="H463" i="14" a="1"/>
  <c r="H463" i="14" s="1"/>
  <c r="H361" i="14" a="1"/>
  <c r="H361" i="14" s="1"/>
  <c r="H472" i="14" a="1"/>
  <c r="H472" i="14" s="1"/>
  <c r="H997" i="14" a="1"/>
  <c r="H997" i="14" s="1"/>
  <c r="H375" i="14" a="1"/>
  <c r="H375" i="14" s="1"/>
  <c r="H440" i="14" a="1"/>
  <c r="H440" i="14" s="1"/>
  <c r="H336" i="14" a="1"/>
  <c r="H336" i="14" s="1"/>
  <c r="H518" i="14" a="1"/>
  <c r="H518" i="14" s="1"/>
  <c r="H1044" i="14" a="1"/>
  <c r="H1044" i="14" s="1"/>
  <c r="H388" i="14" a="1"/>
  <c r="H388" i="14" s="1"/>
  <c r="H460" i="14" a="1"/>
  <c r="H460" i="14" s="1"/>
  <c r="H344" i="14" a="1"/>
  <c r="H344" i="14" s="1"/>
  <c r="H480" i="14" a="1"/>
  <c r="H480" i="14" s="1"/>
  <c r="H1049" i="14" a="1"/>
  <c r="H1049" i="14" s="1"/>
  <c r="H387" i="14" a="1"/>
  <c r="H387" i="14" s="1"/>
  <c r="H456" i="14" a="1"/>
  <c r="H456" i="14" s="1"/>
  <c r="H343" i="14" a="1"/>
  <c r="H343" i="14" s="1"/>
  <c r="H476" i="14" a="1"/>
  <c r="H476" i="14" s="1"/>
  <c r="H1011" i="14" a="1"/>
  <c r="H1011" i="14" s="1"/>
  <c r="H379" i="14" a="1"/>
  <c r="H379" i="14" s="1"/>
  <c r="H467" i="14" a="1"/>
  <c r="H467" i="14" s="1"/>
  <c r="H364" i="14" a="1"/>
  <c r="H364" i="14" s="1"/>
  <c r="H165" i="14" a="1"/>
  <c r="H165" i="14" s="1"/>
  <c r="H663" i="14" a="1"/>
  <c r="H663" i="14" s="1"/>
  <c r="H127" i="14" a="1"/>
  <c r="H127" i="14" s="1"/>
  <c r="H222" i="14" a="1"/>
  <c r="H222" i="14" s="1"/>
  <c r="H490" i="14" a="1"/>
  <c r="H490" i="14" s="1"/>
  <c r="H1051" i="14" a="1"/>
  <c r="H1051" i="14" s="1"/>
  <c r="H53" i="14" a="1"/>
  <c r="H53" i="14" s="1"/>
  <c r="H446" i="14" a="1"/>
  <c r="H446" i="14" s="1"/>
  <c r="H335" i="14" a="1"/>
  <c r="H335" i="14" s="1"/>
  <c r="H1103" i="14" a="1"/>
  <c r="H1103" i="14" s="1"/>
  <c r="H649" i="14" a="1"/>
  <c r="H649" i="14" s="1"/>
  <c r="H748" i="14" a="1"/>
  <c r="H748" i="14" s="1"/>
  <c r="H709" i="14" a="1"/>
  <c r="H709" i="14" s="1"/>
  <c r="H1053" i="14" a="1"/>
  <c r="H1053" i="14" s="1"/>
  <c r="H1236" i="14" a="1"/>
  <c r="H1236" i="14" s="1"/>
  <c r="H538" i="14" a="1"/>
  <c r="H538" i="14" s="1"/>
  <c r="H591" i="14" a="1"/>
  <c r="H591" i="14" s="1"/>
  <c r="H618" i="14" a="1"/>
  <c r="H618" i="14" s="1"/>
  <c r="H949" i="14" a="1"/>
  <c r="H949" i="14" s="1"/>
  <c r="H452" i="14" a="1"/>
  <c r="H452" i="14" s="1"/>
  <c r="H433" i="14" a="1"/>
  <c r="H433" i="14" s="1"/>
  <c r="H516" i="14" a="1"/>
  <c r="H516" i="14" s="1"/>
  <c r="H561" i="14" a="1"/>
  <c r="H561" i="14" s="1"/>
  <c r="H940" i="14" a="1"/>
  <c r="H940" i="14" s="1"/>
  <c r="H426" i="14" a="1"/>
  <c r="H426" i="14" s="1"/>
  <c r="H459" i="14" a="1"/>
  <c r="H459" i="14" s="1"/>
  <c r="H527" i="14" a="1"/>
  <c r="H527" i="14" s="1"/>
  <c r="H584" i="14" a="1"/>
  <c r="H584" i="14" s="1"/>
  <c r="H1477" i="14" a="1"/>
  <c r="H1477" i="14" s="1"/>
  <c r="H1183" i="14" a="1"/>
  <c r="H1183" i="14" s="1"/>
  <c r="H1297" i="14" a="1"/>
  <c r="H1297" i="14" s="1"/>
  <c r="H1321" i="14" a="1"/>
  <c r="H1321" i="14" s="1"/>
  <c r="H1418" i="14" a="1"/>
  <c r="H1418" i="14" s="1"/>
  <c r="H1453" i="14" a="1"/>
  <c r="H1453" i="14" s="1"/>
  <c r="H1143" i="14" a="1"/>
  <c r="H1143" i="14" s="1"/>
  <c r="H1374" i="14" a="1"/>
  <c r="H1374" i="14" s="1"/>
  <c r="H1375" i="14" a="1"/>
  <c r="H1375" i="14" s="1"/>
  <c r="H1273" i="14" a="1"/>
  <c r="H1273" i="14" s="1"/>
  <c r="H1350" i="14" a="1"/>
  <c r="H1350" i="14" s="1"/>
  <c r="H754" i="14" a="1"/>
  <c r="H754" i="14" s="1"/>
  <c r="H455" i="14" a="1"/>
  <c r="H455" i="14" s="1"/>
  <c r="H1229" i="14" a="1"/>
  <c r="H1229" i="14" s="1"/>
  <c r="H1245" i="14" a="1"/>
  <c r="H1245" i="14" s="1"/>
  <c r="H1454" i="14" a="1"/>
  <c r="H1454" i="14" s="1"/>
  <c r="H1156" i="14" a="1"/>
  <c r="H1156" i="14" s="1"/>
  <c r="H1372" i="14" a="1"/>
  <c r="H1372" i="14" s="1"/>
  <c r="H6" i="14" a="1"/>
  <c r="H6" i="14" s="1"/>
  <c r="H1277" i="14" a="1"/>
  <c r="H1277" i="14" s="1"/>
  <c r="H227" i="14" a="1"/>
  <c r="H227" i="14" s="1"/>
  <c r="H648" i="14" a="1"/>
  <c r="H648" i="14" s="1"/>
  <c r="H18" i="14" a="1"/>
  <c r="H18" i="14" s="1"/>
  <c r="H118" i="14" a="1"/>
  <c r="H118" i="14" s="1"/>
  <c r="H196" i="14" a="1"/>
  <c r="H196" i="14" s="1"/>
  <c r="H713" i="14" a="1"/>
  <c r="H713" i="14" s="1"/>
  <c r="H23" i="14" a="1"/>
  <c r="H23" i="14" s="1"/>
  <c r="H145" i="14" a="1"/>
  <c r="H145" i="14" s="1"/>
  <c r="H44" i="14" a="1"/>
  <c r="H44" i="14" s="1"/>
  <c r="H729" i="14" a="1"/>
  <c r="H729" i="14" s="1"/>
  <c r="H85" i="14" a="1"/>
  <c r="H85" i="14" s="1"/>
  <c r="H157" i="14" a="1"/>
  <c r="H157" i="14" s="1"/>
  <c r="H46" i="14" a="1"/>
  <c r="H46" i="14" s="1"/>
  <c r="H758" i="14" a="1"/>
  <c r="H758" i="14" s="1"/>
  <c r="H489" i="14" a="1"/>
  <c r="H489" i="14" s="1"/>
  <c r="H449" i="14" a="1"/>
  <c r="H449" i="14" s="1"/>
  <c r="H629" i="14" a="1"/>
  <c r="H629" i="14" s="1"/>
  <c r="H605" i="14" a="1"/>
  <c r="H605" i="14" s="1"/>
  <c r="H306" i="14" a="1"/>
  <c r="H306" i="14" s="1"/>
  <c r="H521" i="14" a="1"/>
  <c r="H521" i="14" s="1"/>
  <c r="H608" i="14" a="1"/>
  <c r="H608" i="14" s="1"/>
  <c r="H746" i="14" a="1"/>
  <c r="H746" i="14" s="1"/>
  <c r="H777" i="14" a="1"/>
  <c r="H777" i="14" s="1"/>
  <c r="H276" i="14" a="1"/>
  <c r="H276" i="14" s="1"/>
  <c r="H483" i="14" a="1"/>
  <c r="H483" i="14" s="1"/>
  <c r="H546" i="14" a="1"/>
  <c r="H546" i="14" s="1"/>
  <c r="H625" i="14" a="1"/>
  <c r="H625" i="14" s="1"/>
  <c r="H682" i="14" a="1"/>
  <c r="H682" i="14" s="1"/>
  <c r="H231" i="14" a="1"/>
  <c r="H231" i="14" s="1"/>
  <c r="H525" i="14" a="1"/>
  <c r="H525" i="14" s="1"/>
  <c r="H548" i="14" a="1"/>
  <c r="H548" i="14" s="1"/>
  <c r="H633" i="14" a="1"/>
  <c r="H633" i="14" s="1"/>
  <c r="H689" i="14" a="1"/>
  <c r="H689" i="14" s="1"/>
  <c r="H1484" i="14" a="1"/>
  <c r="H1484" i="14" s="1"/>
  <c r="H1189" i="14" a="1"/>
  <c r="H1189" i="14" s="1"/>
  <c r="H1339" i="14" a="1"/>
  <c r="H1339" i="14" s="1"/>
  <c r="H1358" i="14" a="1"/>
  <c r="H1358" i="14" s="1"/>
  <c r="H1445" i="14" a="1"/>
  <c r="H1445" i="14" s="1"/>
  <c r="H250" i="14" a="1"/>
  <c r="H250" i="14" s="1"/>
  <c r="H749" i="14" a="1"/>
  <c r="H749" i="14" s="1"/>
  <c r="H19" i="14" a="1"/>
  <c r="H19" i="14" s="1"/>
  <c r="H214" i="14" a="1"/>
  <c r="H214" i="14" s="1"/>
  <c r="H771" i="14" a="1"/>
  <c r="H771" i="14" s="1"/>
  <c r="H494" i="14" a="1"/>
  <c r="H494" i="14" s="1"/>
  <c r="H402" i="14" a="1"/>
  <c r="H402" i="14" s="1"/>
  <c r="H673" i="14" a="1"/>
  <c r="H673" i="14" s="1"/>
  <c r="H639" i="14" a="1"/>
  <c r="H639" i="14" s="1"/>
  <c r="H253" i="14" a="1"/>
  <c r="H253" i="14" s="1"/>
  <c r="H543" i="14" a="1"/>
  <c r="H543" i="14" s="1"/>
  <c r="H29" i="14" a="1"/>
  <c r="H29" i="14" s="1"/>
  <c r="H640" i="14" a="1"/>
  <c r="H640" i="14" s="1"/>
  <c r="H542" i="14" a="1"/>
  <c r="H542" i="14" s="1"/>
  <c r="H499" i="14" a="1"/>
  <c r="H499" i="14" s="1"/>
  <c r="H1046" i="14" a="1"/>
  <c r="H1046" i="14" s="1"/>
  <c r="H445" i="14" a="1"/>
  <c r="H445" i="14" s="1"/>
  <c r="H514" i="14" a="1"/>
  <c r="H514" i="14" s="1"/>
  <c r="H409" i="14" a="1"/>
  <c r="H409" i="14" s="1"/>
  <c r="H377" i="14" a="1"/>
  <c r="H377" i="14" s="1"/>
  <c r="H1018" i="14" a="1"/>
  <c r="H1018" i="14" s="1"/>
  <c r="H235" i="14" a="1"/>
  <c r="H235" i="14" s="1"/>
  <c r="H407" i="14" a="1"/>
  <c r="H407" i="14" s="1"/>
  <c r="H352" i="14" a="1"/>
  <c r="H352" i="14" s="1"/>
  <c r="H1027" i="14" a="1"/>
  <c r="H1027" i="14" s="1"/>
  <c r="H226" i="14" a="1"/>
  <c r="H226" i="14" s="1"/>
  <c r="H394" i="14" a="1"/>
  <c r="H394" i="14" s="1"/>
  <c r="H237" i="14" a="1"/>
  <c r="H237" i="14" s="1"/>
  <c r="H786" i="14" a="1"/>
  <c r="H786" i="14" s="1"/>
  <c r="H738" i="14" a="1"/>
  <c r="H738" i="14" s="1"/>
  <c r="H141" i="14" a="1"/>
  <c r="H141" i="14" s="1"/>
  <c r="H242" i="14" a="1"/>
  <c r="H242" i="14" s="1"/>
  <c r="H69" i="14" a="1"/>
  <c r="H69" i="14" s="1"/>
  <c r="H806" i="14" a="1"/>
  <c r="H806" i="14" s="1"/>
  <c r="H740" i="14" a="1"/>
  <c r="H740" i="14" s="1"/>
  <c r="H173" i="14" a="1"/>
  <c r="H173" i="14" s="1"/>
  <c r="H270" i="14" a="1"/>
  <c r="H270" i="14" s="1"/>
  <c r="H102" i="14" a="1"/>
  <c r="H102" i="14" s="1"/>
  <c r="H487" i="14" a="1"/>
  <c r="H487" i="14" s="1"/>
  <c r="L487" i="14" s="1"/>
  <c r="H708" i="14" a="1"/>
  <c r="H708" i="14" s="1"/>
  <c r="H119" i="14" a="1"/>
  <c r="H119" i="14" s="1"/>
  <c r="H213" i="14" a="1"/>
  <c r="H213" i="14" s="1"/>
  <c r="H1197" i="14" a="1"/>
  <c r="H1197" i="14" s="1"/>
  <c r="H80" i="14" a="1"/>
  <c r="H80" i="14" s="1"/>
  <c r="H711" i="14" a="1"/>
  <c r="H711" i="14" s="1"/>
  <c r="H927" i="14" a="1"/>
  <c r="H927" i="14" s="1"/>
  <c r="L927" i="14" s="1"/>
  <c r="H1003" i="14" a="1"/>
  <c r="H1003" i="14" s="1"/>
  <c r="H1261" i="14" a="1"/>
  <c r="H1261" i="14" s="1"/>
  <c r="H340" i="14" a="1"/>
  <c r="H340" i="14" s="1"/>
  <c r="H888" i="14" a="1"/>
  <c r="H888" i="14" s="1"/>
  <c r="H1014" i="14" a="1"/>
  <c r="H1014" i="14" s="1"/>
  <c r="H1077" i="14" a="1"/>
  <c r="H1077" i="14" s="1"/>
  <c r="H1194" i="14" a="1"/>
  <c r="H1194" i="14" s="1"/>
  <c r="H56" i="14" a="1"/>
  <c r="H56" i="14" s="1"/>
  <c r="L56" i="14" s="1"/>
  <c r="H668" i="14" a="1"/>
  <c r="H668" i="14" s="1"/>
  <c r="H908" i="14" a="1"/>
  <c r="H908" i="14" s="1"/>
  <c r="L908" i="14" s="1"/>
  <c r="H965" i="14" a="1"/>
  <c r="H965" i="14" s="1"/>
  <c r="H1252" i="14" a="1"/>
  <c r="H1252" i="14" s="1"/>
  <c r="L1252" i="14" s="1"/>
  <c r="H246" i="14" a="1"/>
  <c r="H246" i="14" s="1"/>
  <c r="H59" i="14" a="1"/>
  <c r="H59" i="14" s="1"/>
  <c r="H1034" i="14" a="1"/>
  <c r="H1034" i="14" s="1"/>
  <c r="L1034" i="14" s="1"/>
  <c r="H1119" i="14" a="1"/>
  <c r="H1119" i="14" s="1"/>
  <c r="H1260" i="14" a="1"/>
  <c r="H1260" i="14" s="1"/>
  <c r="H349" i="14" a="1"/>
  <c r="H349" i="14" s="1"/>
  <c r="H916" i="14" a="1"/>
  <c r="H916" i="14" s="1"/>
  <c r="H1040" i="14" a="1"/>
  <c r="H1040" i="14" s="1"/>
  <c r="H1142" i="14" a="1"/>
  <c r="H1142" i="14" s="1"/>
  <c r="O55" i="14"/>
  <c r="O671" i="14"/>
  <c r="O107" i="14"/>
  <c r="O93" i="14"/>
  <c r="O719" i="14"/>
  <c r="O164" i="14"/>
  <c r="O703" i="14"/>
  <c r="O75" i="14"/>
  <c r="O138" i="14"/>
  <c r="O475" i="14"/>
  <c r="O990" i="14"/>
  <c r="O376" i="14"/>
  <c r="O361" i="14"/>
  <c r="O472" i="14"/>
  <c r="O997" i="14"/>
  <c r="O336" i="14"/>
  <c r="O518" i="14"/>
  <c r="O388" i="14"/>
  <c r="O460" i="14"/>
  <c r="O344" i="14"/>
  <c r="O1049" i="14"/>
  <c r="O387" i="14"/>
  <c r="O456" i="14"/>
  <c r="O476" i="14"/>
  <c r="O1011" i="14"/>
  <c r="O364" i="14"/>
  <c r="O165" i="14"/>
  <c r="O663" i="14"/>
  <c r="O222" i="14"/>
  <c r="O490" i="14"/>
  <c r="O1051" i="14"/>
  <c r="O446" i="14"/>
  <c r="O335" i="14"/>
  <c r="O1103" i="14"/>
  <c r="O748" i="14"/>
  <c r="O709" i="14"/>
  <c r="O1053" i="14"/>
  <c r="O591" i="14"/>
  <c r="O618" i="14"/>
  <c r="O452" i="14"/>
  <c r="O433" i="14"/>
  <c r="O516" i="14"/>
  <c r="O940" i="14"/>
  <c r="O426" i="14"/>
  <c r="O459" i="14"/>
  <c r="O584" i="14"/>
  <c r="O1477" i="14"/>
  <c r="O1183" i="14"/>
  <c r="O1321" i="14"/>
  <c r="O1418" i="14"/>
  <c r="O1453" i="14"/>
  <c r="O1374" i="14"/>
  <c r="O1375" i="14"/>
  <c r="O1273" i="14"/>
  <c r="O754" i="14"/>
  <c r="O455" i="14"/>
  <c r="O1229" i="14"/>
  <c r="O1454" i="14"/>
  <c r="O1156" i="14"/>
  <c r="O1372" i="14"/>
  <c r="O227" i="14"/>
  <c r="O648" i="14"/>
  <c r="O118" i="14"/>
  <c r="O196" i="14"/>
  <c r="O145" i="14"/>
  <c r="O44" i="14"/>
  <c r="O729" i="14"/>
  <c r="O157" i="14"/>
  <c r="O46" i="14"/>
  <c r="O758" i="14"/>
  <c r="O449" i="14"/>
  <c r="O629" i="14"/>
  <c r="O605" i="14"/>
  <c r="O521" i="14"/>
  <c r="O608" i="14"/>
  <c r="O746" i="14"/>
  <c r="O276" i="14"/>
  <c r="O483" i="14"/>
  <c r="O546" i="14"/>
  <c r="O682" i="14"/>
  <c r="O231" i="14"/>
  <c r="O525" i="14"/>
  <c r="O689" i="14"/>
  <c r="O1484" i="14"/>
  <c r="O1339" i="14"/>
  <c r="O1358" i="14"/>
  <c r="O1445" i="14"/>
  <c r="O749" i="14"/>
  <c r="O19" i="14"/>
  <c r="O214" i="14"/>
  <c r="O494" i="14"/>
  <c r="O402" i="14"/>
  <c r="O673" i="14"/>
  <c r="O253" i="14"/>
  <c r="O543" i="14"/>
  <c r="O29" i="14"/>
  <c r="O542" i="14"/>
  <c r="O499" i="14"/>
  <c r="O1046" i="14"/>
  <c r="O514" i="14"/>
  <c r="O409" i="14"/>
  <c r="O377" i="14"/>
  <c r="O235" i="14"/>
  <c r="O407" i="14"/>
  <c r="O352" i="14"/>
  <c r="O226" i="14"/>
  <c r="O394" i="14"/>
  <c r="O237" i="14"/>
  <c r="O738" i="14"/>
  <c r="O141" i="14"/>
  <c r="O740" i="14"/>
  <c r="O173" i="14"/>
  <c r="O487" i="14"/>
  <c r="O708" i="14"/>
  <c r="O213" i="14"/>
  <c r="O80" i="14"/>
  <c r="O927" i="14"/>
  <c r="O1003" i="14"/>
  <c r="O1261" i="14"/>
  <c r="O888" i="14"/>
  <c r="O1077" i="14"/>
  <c r="O56" i="14"/>
  <c r="O668" i="14"/>
  <c r="O908" i="14"/>
  <c r="O1252" i="14"/>
  <c r="O59" i="14"/>
  <c r="O1119" i="14"/>
  <c r="O1260" i="14"/>
  <c r="O349" i="14"/>
  <c r="O1040" i="14"/>
  <c r="E1208" i="14" a="1"/>
  <c r="E1208" i="14" s="1"/>
  <c r="M1208" i="14" s="1"/>
  <c r="P1208" i="14" s="1"/>
  <c r="E1033" i="14" a="1"/>
  <c r="E1033" i="14" s="1"/>
  <c r="M1033" i="14" s="1"/>
  <c r="P1033" i="14" s="1"/>
  <c r="E865" i="14" a="1"/>
  <c r="E865" i="14" s="1"/>
  <c r="M865" i="14" s="1"/>
  <c r="P865" i="14" s="1"/>
  <c r="E368" i="14" a="1"/>
  <c r="E368" i="14" s="1"/>
  <c r="E954" i="14" a="1"/>
  <c r="E954" i="14" s="1"/>
  <c r="M954" i="14" s="1"/>
  <c r="P954" i="14" s="1"/>
  <c r="E15" i="14" a="1"/>
  <c r="E15" i="14" s="1"/>
  <c r="M15" i="14" s="1"/>
  <c r="P15" i="14" s="1"/>
  <c r="E1024" i="14" a="1"/>
  <c r="E1024" i="14" s="1"/>
  <c r="M1024" i="14" s="1"/>
  <c r="P1024" i="14" s="1"/>
  <c r="E642" i="14" a="1"/>
  <c r="E642" i="14" s="1"/>
  <c r="M642" i="14" s="1"/>
  <c r="P642" i="14" s="1"/>
  <c r="E149" i="14" a="1"/>
  <c r="E149" i="14" s="1"/>
  <c r="M149" i="14" s="1"/>
  <c r="P149" i="14" s="1"/>
  <c r="E654" i="14" a="1"/>
  <c r="E654" i="14" s="1"/>
  <c r="M654" i="14" s="1"/>
  <c r="P654" i="14" s="1"/>
  <c r="E362" i="14" a="1"/>
  <c r="E362" i="14" s="1"/>
  <c r="M362" i="14" s="1"/>
  <c r="P362" i="14" s="1"/>
  <c r="E1072" i="14" a="1"/>
  <c r="E1072" i="14" s="1"/>
  <c r="E924" i="14" a="1"/>
  <c r="E924" i="14" s="1"/>
  <c r="M924" i="14" s="1"/>
  <c r="P924" i="14" s="1"/>
  <c r="E424" i="14" a="1"/>
  <c r="E424" i="14" s="1"/>
  <c r="M424" i="14" s="1"/>
  <c r="P424" i="14" s="1"/>
  <c r="E934" i="14" a="1"/>
  <c r="E934" i="14" s="1"/>
  <c r="M934" i="14" s="1"/>
  <c r="P934" i="14" s="1"/>
  <c r="E1042" i="14" a="1"/>
  <c r="E1042" i="14" s="1"/>
  <c r="M1042" i="14" s="1"/>
  <c r="P1042" i="14" s="1"/>
  <c r="E891" i="14" a="1"/>
  <c r="E891" i="14" s="1"/>
  <c r="M891" i="14" s="1"/>
  <c r="P891" i="14" s="1"/>
  <c r="E411" i="14" a="1"/>
  <c r="E411" i="14" s="1"/>
  <c r="M411" i="14" s="1"/>
  <c r="P411" i="14" s="1"/>
  <c r="E971" i="14" a="1"/>
  <c r="E971" i="14" s="1"/>
  <c r="M971" i="14" s="1"/>
  <c r="P971" i="14" s="1"/>
  <c r="E12" i="14" a="1"/>
  <c r="E12" i="14" s="1"/>
  <c r="E1045" i="14" a="1"/>
  <c r="E1045" i="14" s="1"/>
  <c r="M1045" i="14" s="1"/>
  <c r="P1045" i="14" s="1"/>
  <c r="E896" i="14" a="1"/>
  <c r="E896" i="14" s="1"/>
  <c r="M896" i="14" s="1"/>
  <c r="P896" i="14" s="1"/>
  <c r="E415" i="14" a="1"/>
  <c r="E415" i="14" s="1"/>
  <c r="M415" i="14" s="1"/>
  <c r="P415" i="14" s="1"/>
  <c r="E974" i="14" a="1"/>
  <c r="E974" i="14" s="1"/>
  <c r="M974" i="14" s="1"/>
  <c r="P974" i="14" s="1"/>
  <c r="E1278" i="14" a="1"/>
  <c r="E1278" i="14" s="1"/>
  <c r="M1278" i="14" s="1"/>
  <c r="P1278" i="14" s="1"/>
  <c r="E964" i="14" a="1"/>
  <c r="E964" i="14" s="1"/>
  <c r="M964" i="14" s="1"/>
  <c r="P964" i="14" s="1"/>
  <c r="E853" i="14" a="1"/>
  <c r="E853" i="14" s="1"/>
  <c r="M853" i="14" s="1"/>
  <c r="P853" i="14" s="1"/>
  <c r="E399" i="14" a="1"/>
  <c r="E399" i="14" s="1"/>
  <c r="E929" i="14" a="1"/>
  <c r="E929" i="14" s="1"/>
  <c r="M929" i="14" s="1"/>
  <c r="P929" i="14" s="1"/>
  <c r="E14" i="14" a="1"/>
  <c r="E14" i="14" s="1"/>
  <c r="M14" i="14" s="1"/>
  <c r="P14" i="14" s="1"/>
  <c r="E1070" i="14" a="1"/>
  <c r="E1070" i="14" s="1"/>
  <c r="M1070" i="14" s="1"/>
  <c r="P1070" i="14" s="1"/>
  <c r="E920" i="14" a="1"/>
  <c r="E920" i="14" s="1"/>
  <c r="M920" i="14" s="1"/>
  <c r="P920" i="14" s="1"/>
  <c r="E417" i="14" a="1"/>
  <c r="E417" i="14" s="1"/>
  <c r="M417" i="14" s="1"/>
  <c r="P417" i="14" s="1"/>
  <c r="E917" i="14" a="1"/>
  <c r="E917" i="14" s="1"/>
  <c r="M917" i="14" s="1"/>
  <c r="P917" i="14" s="1"/>
  <c r="E890" i="14" a="1"/>
  <c r="E890" i="14" s="1"/>
  <c r="M890" i="14" s="1"/>
  <c r="P890" i="14" s="1"/>
  <c r="E635" i="14" a="1"/>
  <c r="E635" i="14" s="1"/>
  <c r="E94" i="14" a="1"/>
  <c r="E94" i="14" s="1"/>
  <c r="M94" i="14" s="1"/>
  <c r="P94" i="14" s="1"/>
  <c r="E660" i="14" a="1"/>
  <c r="E660" i="14" s="1"/>
  <c r="M660" i="14" s="1"/>
  <c r="P660" i="14" s="1"/>
  <c r="E346" i="14" a="1"/>
  <c r="E346" i="14" s="1"/>
  <c r="M346" i="14" s="1"/>
  <c r="P346" i="14" s="1"/>
  <c r="E1039" i="14" a="1"/>
  <c r="E1039" i="14" s="1"/>
  <c r="M1039" i="14" s="1"/>
  <c r="P1039" i="14" s="1"/>
  <c r="E699" i="14" a="1"/>
  <c r="E699" i="14" s="1"/>
  <c r="M699" i="14" s="1"/>
  <c r="P699" i="14" s="1"/>
  <c r="E192" i="14" a="1"/>
  <c r="E192" i="14" s="1"/>
  <c r="M192" i="14" s="1"/>
  <c r="P192" i="14" s="1"/>
  <c r="E688" i="14" a="1"/>
  <c r="E688" i="14" s="1"/>
  <c r="M688" i="14" s="1"/>
  <c r="P688" i="14" s="1"/>
  <c r="E321" i="14" a="1"/>
  <c r="E321" i="14" s="1"/>
  <c r="E981" i="14" a="1"/>
  <c r="E981" i="14" s="1"/>
  <c r="M981" i="14" s="1"/>
  <c r="P981" i="14" s="1"/>
  <c r="E619" i="14" a="1"/>
  <c r="E619" i="14" s="1"/>
  <c r="M619" i="14" s="1"/>
  <c r="P619" i="14" s="1"/>
  <c r="E131" i="14" a="1"/>
  <c r="E131" i="14" s="1"/>
  <c r="M131" i="14" s="1"/>
  <c r="P131" i="14" s="1"/>
  <c r="E609" i="14" a="1"/>
  <c r="E609" i="14" s="1"/>
  <c r="M609" i="14" s="1"/>
  <c r="P609" i="14" s="1"/>
  <c r="E325" i="14" a="1"/>
  <c r="E325" i="14" s="1"/>
  <c r="M325" i="14" s="1"/>
  <c r="P325" i="14" s="1"/>
  <c r="G305" i="14" a="1"/>
  <c r="G305" i="14" s="1"/>
  <c r="K305" i="14" s="1"/>
  <c r="G1413" i="14" a="1"/>
  <c r="G1413" i="14" s="1"/>
  <c r="K1413" i="14" s="1"/>
  <c r="G768" i="14" a="1"/>
  <c r="G768" i="14" s="1"/>
  <c r="K768" i="14" s="1"/>
  <c r="G210" i="14" a="1"/>
  <c r="G210" i="14" s="1"/>
  <c r="K210" i="14" s="1"/>
  <c r="G1066" i="14" a="1"/>
  <c r="G1066" i="14" s="1"/>
  <c r="K1066" i="14" s="1"/>
  <c r="G303" i="14" a="1"/>
  <c r="G303" i="14" s="1"/>
  <c r="K303" i="14" s="1"/>
  <c r="G1422" i="14" a="1"/>
  <c r="G1422" i="14" s="1"/>
  <c r="K1422" i="14" s="1"/>
  <c r="G808" i="14" a="1"/>
  <c r="G808" i="14" s="1"/>
  <c r="K808" i="14" s="1"/>
  <c r="G212" i="14" a="1"/>
  <c r="G212" i="14" s="1"/>
  <c r="K212" i="14" s="1"/>
  <c r="G1091" i="14" a="1"/>
  <c r="G1091" i="14" s="1"/>
  <c r="K1091" i="14" s="1"/>
  <c r="G323" i="14" a="1"/>
  <c r="G323" i="14" s="1"/>
  <c r="K323" i="14" s="1"/>
  <c r="G1425" i="14" a="1"/>
  <c r="G1425" i="14" s="1"/>
  <c r="K1425" i="14" s="1"/>
  <c r="G105" i="14" a="1"/>
  <c r="G105" i="14" s="1"/>
  <c r="K105" i="14" s="1"/>
  <c r="G261" i="14" a="1"/>
  <c r="G261" i="14" s="1"/>
  <c r="K261" i="14" s="1"/>
  <c r="G995" i="14" a="1"/>
  <c r="G995" i="14" s="1"/>
  <c r="K995" i="14" s="1"/>
  <c r="G39" i="14" a="1"/>
  <c r="G39" i="14" s="1"/>
  <c r="K39" i="14" s="1"/>
  <c r="G1472" i="14" a="1"/>
  <c r="G1472" i="14" s="1"/>
  <c r="K1472" i="14" s="1"/>
  <c r="G1076" i="14" a="1"/>
  <c r="G1076" i="14" s="1"/>
  <c r="K1076" i="14" s="1"/>
  <c r="G220" i="14" a="1"/>
  <c r="G220" i="14" s="1"/>
  <c r="K220" i="14" s="1"/>
  <c r="G3" i="14" a="1"/>
  <c r="G3" i="14" s="1"/>
  <c r="K3" i="14" s="1"/>
  <c r="G1457" i="14" a="1"/>
  <c r="G1457" i="14" s="1"/>
  <c r="K1457" i="14" s="1"/>
  <c r="G973" i="14" a="1"/>
  <c r="G973" i="14" s="1"/>
  <c r="K973" i="14" s="1"/>
  <c r="G269" i="14" a="1"/>
  <c r="G269" i="14" s="1"/>
  <c r="K269" i="14" s="1"/>
  <c r="G1102" i="14" a="1"/>
  <c r="G1102" i="14" s="1"/>
  <c r="K1102" i="14" s="1"/>
  <c r="G1464" i="14" a="1"/>
  <c r="G1464" i="14" s="1"/>
  <c r="K1464" i="14" s="1"/>
  <c r="G1012" i="14" a="1"/>
  <c r="G1012" i="14" s="1"/>
  <c r="K1012" i="14" s="1"/>
  <c r="G289" i="14" a="1"/>
  <c r="G289" i="14" s="1"/>
  <c r="K289" i="14" s="1"/>
  <c r="G1120" i="14" a="1"/>
  <c r="G1120" i="14" s="1"/>
  <c r="K1120" i="14" s="1"/>
  <c r="G1459" i="14" a="1"/>
  <c r="G1459" i="14" s="1"/>
  <c r="K1459" i="14" s="1"/>
  <c r="G1004" i="14" a="1"/>
  <c r="G1004" i="14" s="1"/>
  <c r="K1004" i="14" s="1"/>
  <c r="G288" i="14" a="1"/>
  <c r="G288" i="14" s="1"/>
  <c r="K288" i="14" s="1"/>
  <c r="G1115" i="14" a="1"/>
  <c r="G1115" i="14" s="1"/>
  <c r="K1115" i="14" s="1"/>
  <c r="G43" i="14" a="1"/>
  <c r="G43" i="14" s="1"/>
  <c r="K43" i="14" s="1"/>
  <c r="G1469" i="14" a="1"/>
  <c r="G1469" i="14" s="1"/>
  <c r="K1469" i="14" s="1"/>
  <c r="G1084" i="14" a="1"/>
  <c r="G1084" i="14" s="1"/>
  <c r="K1084" i="14" s="1"/>
  <c r="G278" i="14" a="1"/>
  <c r="G278" i="14" s="1"/>
  <c r="K278" i="14" s="1"/>
  <c r="G5" i="14" a="1"/>
  <c r="G5" i="14" s="1"/>
  <c r="K5" i="14" s="1"/>
  <c r="G421" i="14" a="1"/>
  <c r="G421" i="14" s="1"/>
  <c r="K421" i="14" s="1"/>
  <c r="G1421" i="14" a="1"/>
  <c r="G1421" i="14" s="1"/>
  <c r="K1421" i="14" s="1"/>
  <c r="G778" i="14" a="1"/>
  <c r="G778" i="14" s="1"/>
  <c r="K778" i="14" s="1"/>
  <c r="G296" i="14" a="1"/>
  <c r="G296" i="14" s="1"/>
  <c r="K296" i="14" s="1"/>
  <c r="G1085" i="14" a="1"/>
  <c r="G1085" i="14" s="1"/>
  <c r="K1085" i="14" s="1"/>
  <c r="G38" i="14" a="1"/>
  <c r="G38" i="14" s="1"/>
  <c r="K38" i="14" s="1"/>
  <c r="G1455" i="14" a="1"/>
  <c r="G1455" i="14" s="1"/>
  <c r="K1455" i="14" s="1"/>
  <c r="G985" i="14" a="1"/>
  <c r="G985" i="14" s="1"/>
  <c r="K985" i="14" s="1"/>
  <c r="G275" i="14" a="1"/>
  <c r="G275" i="14" s="1"/>
  <c r="K275" i="14" s="1"/>
  <c r="G1124" i="14" a="1"/>
  <c r="G1124" i="14" s="1"/>
  <c r="K1124" i="14" s="1"/>
  <c r="G1050" i="14" a="1"/>
  <c r="G1050" i="14" s="1"/>
  <c r="K1050" i="14" s="1"/>
  <c r="G1182" i="14" a="1"/>
  <c r="G1182" i="14" s="1"/>
  <c r="K1182" i="14" s="1"/>
  <c r="G522" i="14" a="1"/>
  <c r="G522" i="14" s="1"/>
  <c r="K522" i="14" s="1"/>
  <c r="G1019" i="14" a="1"/>
  <c r="G1019" i="14" s="1"/>
  <c r="K1019" i="14" s="1"/>
  <c r="G247" i="14" a="1"/>
  <c r="G247" i="14" s="1"/>
  <c r="K247" i="14" s="1"/>
  <c r="G972" i="14" a="1"/>
  <c r="G972" i="14" s="1"/>
  <c r="K972" i="14" s="1"/>
  <c r="G1255" i="14" a="1"/>
  <c r="G1255" i="14" s="1"/>
  <c r="K1255" i="14" s="1"/>
  <c r="G391" i="14" a="1"/>
  <c r="G391" i="14" s="1"/>
  <c r="K391" i="14" s="1"/>
  <c r="G970" i="14" a="1"/>
  <c r="G970" i="14" s="1"/>
  <c r="K970" i="14" s="1"/>
  <c r="G360" i="14" a="1"/>
  <c r="G360" i="14" s="1"/>
  <c r="K360" i="14" s="1"/>
  <c r="G871" i="14" a="1"/>
  <c r="G871" i="14" s="1"/>
  <c r="K871" i="14" s="1"/>
  <c r="G1274" i="14" a="1"/>
  <c r="G1274" i="14" s="1"/>
  <c r="K1274" i="14" s="1"/>
  <c r="G82" i="14" a="1"/>
  <c r="G82" i="14" s="1"/>
  <c r="K82" i="14" s="1"/>
  <c r="G794" i="14" a="1"/>
  <c r="G794" i="14" s="1"/>
  <c r="K794" i="14" s="1"/>
  <c r="G675" i="14" a="1"/>
  <c r="G675" i="14" s="1"/>
  <c r="K675" i="14" s="1"/>
  <c r="G919" i="14" a="1"/>
  <c r="G919" i="14" s="1"/>
  <c r="K919" i="14" s="1"/>
  <c r="G1280" i="14" a="1"/>
  <c r="G1280" i="14" s="1"/>
  <c r="K1280" i="14" s="1"/>
  <c r="G109" i="14" a="1"/>
  <c r="G109" i="14" s="1"/>
  <c r="K109" i="14" s="1"/>
  <c r="G824" i="14" a="1"/>
  <c r="G824" i="14" s="1"/>
  <c r="K824" i="14" s="1"/>
  <c r="G637" i="14" a="1"/>
  <c r="G637" i="14" s="1"/>
  <c r="K637" i="14" s="1"/>
  <c r="G1460" i="14" a="1"/>
  <c r="G1460" i="14" s="1"/>
  <c r="K1460" i="14" s="1"/>
  <c r="G1357" i="14" a="1"/>
  <c r="G1357" i="14" s="1"/>
  <c r="K1357" i="14" s="1"/>
  <c r="G1474" i="14" a="1"/>
  <c r="G1474" i="14" s="1"/>
  <c r="K1474" i="14" s="1"/>
  <c r="G760" i="14" a="1"/>
  <c r="G760" i="14" s="1"/>
  <c r="K760" i="14" s="1"/>
  <c r="G1415" i="14" a="1"/>
  <c r="G1415" i="14" s="1"/>
  <c r="K1415" i="14" s="1"/>
  <c r="G112" i="14" a="1"/>
  <c r="G112" i="14" s="1"/>
  <c r="K112" i="14" s="1"/>
  <c r="G1327" i="14" a="1"/>
  <c r="G1327" i="14" s="1"/>
  <c r="K1327" i="14" s="1"/>
  <c r="G1402" i="14" a="1"/>
  <c r="G1402" i="14" s="1"/>
  <c r="K1402" i="14" s="1"/>
  <c r="G742" i="14" a="1"/>
  <c r="G742" i="14" s="1"/>
  <c r="K742" i="14" s="1"/>
  <c r="G1303" i="14" a="1"/>
  <c r="G1303" i="14" s="1"/>
  <c r="K1303" i="14" s="1"/>
  <c r="G491" i="14" a="1"/>
  <c r="G491" i="14" s="1"/>
  <c r="K491" i="14" s="1"/>
  <c r="G1185" i="14" a="1"/>
  <c r="G1185" i="14" s="1"/>
  <c r="K1185" i="14" s="1"/>
  <c r="G1270" i="14" a="1"/>
  <c r="G1270" i="14" s="1"/>
  <c r="K1270" i="14" s="1"/>
  <c r="G419" i="14" a="1"/>
  <c r="G419" i="14" s="1"/>
  <c r="K419" i="14" s="1"/>
  <c r="G1398" i="14" a="1"/>
  <c r="G1398" i="14" s="1"/>
  <c r="K1398" i="14" s="1"/>
  <c r="G78" i="14" a="1"/>
  <c r="G78" i="14" s="1"/>
  <c r="K78" i="14" s="1"/>
  <c r="G1326" i="14" a="1"/>
  <c r="G1326" i="14" s="1"/>
  <c r="K1326" i="14" s="1"/>
  <c r="G1409" i="14" a="1"/>
  <c r="G1409" i="14" s="1"/>
  <c r="K1409" i="14" s="1"/>
  <c r="G790" i="14" a="1"/>
  <c r="G790" i="14" s="1"/>
  <c r="K790" i="14" s="1"/>
  <c r="G386" i="14" a="1"/>
  <c r="G386" i="14" s="1"/>
  <c r="K386" i="14" s="1"/>
  <c r="G1296" i="14" a="1"/>
  <c r="G1296" i="14" s="1"/>
  <c r="K1296" i="14" s="1"/>
  <c r="G607" i="14" a="1"/>
  <c r="G607" i="14" s="1"/>
  <c r="K607" i="14" s="1"/>
  <c r="G234" i="14" a="1"/>
  <c r="G234" i="14" s="1"/>
  <c r="K234" i="14" s="1"/>
  <c r="G58" i="14" a="1"/>
  <c r="G58" i="14" s="1"/>
  <c r="K58" i="14" s="1"/>
  <c r="G412" i="14" a="1"/>
  <c r="G412" i="14" s="1"/>
  <c r="K412" i="14" s="1"/>
  <c r="G1301" i="14" a="1"/>
  <c r="G1301" i="14" s="1"/>
  <c r="K1301" i="14" s="1"/>
  <c r="G702" i="14" a="1"/>
  <c r="G702" i="14" s="1"/>
  <c r="K702" i="14" s="1"/>
  <c r="G366" i="14" a="1"/>
  <c r="G366" i="14" s="1"/>
  <c r="K366" i="14" s="1"/>
  <c r="G963" i="14" a="1"/>
  <c r="G963" i="14" s="1"/>
  <c r="K963" i="14" s="1"/>
  <c r="G314" i="14" a="1"/>
  <c r="G314" i="14" s="1"/>
  <c r="K314" i="14" s="1"/>
  <c r="G1390" i="14" a="1"/>
  <c r="G1390" i="14" s="1"/>
  <c r="K1390" i="14" s="1"/>
  <c r="G536" i="14" a="1"/>
  <c r="G536" i="14" s="1"/>
  <c r="K536" i="14" s="1"/>
  <c r="G283" i="14" a="1"/>
  <c r="G283" i="14" s="1"/>
  <c r="K283" i="14" s="1"/>
  <c r="G957" i="14" a="1"/>
  <c r="G957" i="14" s="1"/>
  <c r="K957" i="14" s="1"/>
  <c r="G851" i="14" a="1"/>
  <c r="G851" i="14" s="1"/>
  <c r="K851" i="14" s="1"/>
  <c r="G1265" i="14" a="1"/>
  <c r="G1265" i="14" s="1"/>
  <c r="K1265" i="14" s="1"/>
  <c r="G273" i="14" a="1"/>
  <c r="G273" i="14" s="1"/>
  <c r="K273" i="14" s="1"/>
  <c r="G846" i="14" a="1"/>
  <c r="G846" i="14" s="1"/>
  <c r="K846" i="14" s="1"/>
  <c r="G745" i="14" a="1"/>
  <c r="G745" i="14" s="1"/>
  <c r="K745" i="14" s="1"/>
  <c r="G1005" i="14" a="1"/>
  <c r="G1005" i="14" s="1"/>
  <c r="K1005" i="14" s="1"/>
  <c r="G1356" i="14" a="1"/>
  <c r="G1356" i="14" s="1"/>
  <c r="K1356" i="14" s="1"/>
  <c r="G736" i="14" a="1"/>
  <c r="G736" i="14" s="1"/>
  <c r="K736" i="14" s="1"/>
  <c r="G612" i="14" a="1"/>
  <c r="G612" i="14" s="1"/>
  <c r="K612" i="14" s="1"/>
  <c r="G899" i="14" a="1"/>
  <c r="G899" i="14" s="1"/>
  <c r="K899" i="14" s="1"/>
  <c r="G1367" i="14" a="1"/>
  <c r="G1367" i="14" s="1"/>
  <c r="K1367" i="14" s="1"/>
  <c r="G598" i="14" a="1"/>
  <c r="G598" i="14" s="1"/>
  <c r="K598" i="14" s="1"/>
  <c r="G727" i="14" a="1"/>
  <c r="G727" i="14" s="1"/>
  <c r="K727" i="14" s="1"/>
  <c r="G903" i="14" a="1"/>
  <c r="G903" i="14" s="1"/>
  <c r="K903" i="14" s="1"/>
  <c r="G1347" i="14" a="1"/>
  <c r="G1347" i="14" s="1"/>
  <c r="K1347" i="14" s="1"/>
  <c r="G564" i="14" a="1"/>
  <c r="G564" i="14" s="1"/>
  <c r="K564" i="14" s="1"/>
  <c r="G646" i="14" a="1"/>
  <c r="G646" i="14" s="1"/>
  <c r="K646" i="14" s="1"/>
  <c r="G1482" i="14" a="1"/>
  <c r="G1482" i="14" s="1"/>
  <c r="K1482" i="14" s="1"/>
  <c r="G1312" i="14" a="1"/>
  <c r="G1312" i="14" s="1"/>
  <c r="K1312" i="14" s="1"/>
  <c r="G1493" i="14" a="1"/>
  <c r="G1493" i="14" s="1"/>
  <c r="K1493" i="14" s="1"/>
  <c r="G757" i="14" a="1"/>
  <c r="G757" i="14" s="1"/>
  <c r="K757" i="14" s="1"/>
  <c r="G457" i="14" a="1"/>
  <c r="G457" i="14" s="1"/>
  <c r="K457" i="14" s="1"/>
  <c r="G1322" i="14" a="1"/>
  <c r="G1322" i="14" s="1"/>
  <c r="K1322" i="14" s="1"/>
  <c r="G747" i="14" a="1"/>
  <c r="G747" i="14" s="1"/>
  <c r="K747" i="14" s="1"/>
  <c r="G408" i="14" a="1"/>
  <c r="G408" i="14" s="1"/>
  <c r="K408" i="14" s="1"/>
  <c r="G1035" i="14" a="1"/>
  <c r="G1035" i="14" s="1"/>
  <c r="K1035" i="14" s="1"/>
  <c r="G892" i="14" a="1"/>
  <c r="G892" i="14" s="1"/>
  <c r="K892" i="14" s="1"/>
  <c r="G1267" i="14" a="1"/>
  <c r="G1267" i="14" s="1"/>
  <c r="K1267" i="14" s="1"/>
  <c r="G301" i="14" a="1"/>
  <c r="G301" i="14" s="1"/>
  <c r="K301" i="14" s="1"/>
  <c r="G864" i="14" a="1"/>
  <c r="G864" i="14" s="1"/>
  <c r="K864" i="14" s="1"/>
  <c r="G764" i="14" a="1"/>
  <c r="G764" i="14" s="1"/>
  <c r="K764" i="14" s="1"/>
  <c r="G902" i="14" a="1"/>
  <c r="G902" i="14" s="1"/>
  <c r="K902" i="14" s="1"/>
  <c r="G1354" i="14" a="1"/>
  <c r="G1354" i="14" s="1"/>
  <c r="K1354" i="14" s="1"/>
  <c r="G224" i="14" a="1"/>
  <c r="G224" i="14" s="1"/>
  <c r="K224" i="14" s="1"/>
  <c r="G762" i="14" a="1"/>
  <c r="G762" i="14" s="1"/>
  <c r="K762" i="14" s="1"/>
  <c r="G822" i="14" a="1"/>
  <c r="G822" i="14" s="1"/>
  <c r="K822" i="14" s="1"/>
  <c r="G25" i="14" a="1"/>
  <c r="G25" i="14" s="1"/>
  <c r="K25" i="14" s="1"/>
  <c r="G1475" i="14" a="1"/>
  <c r="G1475" i="14" s="1"/>
  <c r="K1475" i="14" s="1"/>
  <c r="G1116" i="14" a="1"/>
  <c r="G1116" i="14" s="1"/>
  <c r="G10" i="14" a="1"/>
  <c r="G10" i="14" s="1"/>
  <c r="K10" i="14" s="1"/>
  <c r="G287" i="14" a="1"/>
  <c r="G287" i="14" s="1"/>
  <c r="K287" i="14" s="1"/>
  <c r="G1473" i="14" a="1"/>
  <c r="G1473" i="14" s="1"/>
  <c r="K1473" i="14" s="1"/>
  <c r="G735" i="14" a="1"/>
  <c r="G735" i="14" s="1"/>
  <c r="K735" i="14" s="1"/>
  <c r="G1178" i="14" a="1"/>
  <c r="G1178" i="14" s="1"/>
  <c r="K1178" i="14" s="1"/>
  <c r="G136" i="14" a="1"/>
  <c r="G136" i="14" s="1"/>
  <c r="K136" i="14" s="1"/>
  <c r="G1471" i="14" a="1"/>
  <c r="G1471" i="14" s="1"/>
  <c r="K1471" i="14" s="1"/>
  <c r="G723" i="14" a="1"/>
  <c r="G723" i="14" s="1"/>
  <c r="G1177" i="14" a="1"/>
  <c r="G1177" i="14" s="1"/>
  <c r="K1177" i="14" s="1"/>
  <c r="G205" i="14" a="1"/>
  <c r="G205" i="14" s="1"/>
  <c r="K205" i="14" s="1"/>
  <c r="G1437" i="14" a="1"/>
  <c r="G1437" i="14" s="1"/>
  <c r="K1437" i="14" s="1"/>
  <c r="G953" i="14" a="1"/>
  <c r="G953" i="14" s="1"/>
  <c r="K953" i="14" s="1"/>
  <c r="G148" i="14" a="1"/>
  <c r="G148" i="14" s="1"/>
  <c r="K148" i="14" s="1"/>
  <c r="G1055" i="14" a="1"/>
  <c r="G1055" i="14" s="1"/>
  <c r="K1055" i="14" s="1"/>
  <c r="G258" i="14" a="1"/>
  <c r="G258" i="14" s="1"/>
  <c r="K258" i="14" s="1"/>
  <c r="G1446" i="14" a="1"/>
  <c r="G1446" i="14" s="1"/>
  <c r="G989" i="14" a="1"/>
  <c r="G989" i="14" s="1"/>
  <c r="K989" i="14" s="1"/>
  <c r="G1064" i="14" a="1"/>
  <c r="G1064" i="14" s="1"/>
  <c r="K1064" i="14" s="1"/>
  <c r="G342" i="14" a="1"/>
  <c r="G342" i="14" s="1"/>
  <c r="K342" i="14" s="1"/>
  <c r="G1417" i="14" a="1"/>
  <c r="G1417" i="14" s="1"/>
  <c r="K1417" i="14" s="1"/>
  <c r="G776" i="14" a="1"/>
  <c r="G776" i="14" s="1"/>
  <c r="K776" i="14" s="1"/>
  <c r="G1118" i="14" a="1"/>
  <c r="G1118" i="14" s="1"/>
  <c r="K1118" i="14" s="1"/>
  <c r="G1043" i="14" a="1"/>
  <c r="G1043" i="14" s="1"/>
  <c r="K1043" i="14" s="1"/>
  <c r="G1131" i="14" a="1"/>
  <c r="G1131" i="14" s="1"/>
  <c r="G691" i="14" a="1"/>
  <c r="G691" i="14" s="1"/>
  <c r="K691" i="14" s="1"/>
  <c r="G219" i="14" a="1"/>
  <c r="G219" i="14" s="1"/>
  <c r="K219" i="14" s="1"/>
  <c r="G1161" i="14" a="1"/>
  <c r="G1161" i="14" s="1"/>
  <c r="K1161" i="14" s="1"/>
  <c r="G784" i="14" a="1"/>
  <c r="G784" i="14" s="1"/>
  <c r="K784" i="14" s="1"/>
  <c r="G765" i="14" a="1"/>
  <c r="G765" i="14" s="1"/>
  <c r="K765" i="14" s="1"/>
  <c r="G347" i="14" a="1"/>
  <c r="G347" i="14" s="1"/>
  <c r="K347" i="14" s="1"/>
  <c r="G1020" i="14" a="1"/>
  <c r="G1020" i="14" s="1"/>
  <c r="K1020" i="14" s="1"/>
  <c r="G1112" i="14" a="1"/>
  <c r="G1112" i="14" s="1"/>
  <c r="G650" i="14" a="1"/>
  <c r="G650" i="14" s="1"/>
  <c r="K650" i="14" s="1"/>
  <c r="G245" i="14" a="1"/>
  <c r="G245" i="14" s="1"/>
  <c r="K245" i="14" s="1"/>
  <c r="G1114" i="14" a="1"/>
  <c r="G1114" i="14" s="1"/>
  <c r="K1114" i="14" s="1"/>
  <c r="G759" i="14" a="1"/>
  <c r="G759" i="14" s="1"/>
  <c r="K759" i="14" s="1"/>
  <c r="G611" i="14" a="1"/>
  <c r="G611" i="14" s="1"/>
  <c r="K611" i="14" s="1"/>
  <c r="G1179" i="14" a="1"/>
  <c r="G1179" i="14" s="1"/>
  <c r="K1179" i="14" s="1"/>
  <c r="G1165" i="14" a="1"/>
  <c r="G1165" i="14" s="1"/>
  <c r="K1165" i="14" s="1"/>
  <c r="G797" i="14" a="1"/>
  <c r="G797" i="14" s="1"/>
  <c r="G792" i="14" a="1"/>
  <c r="G792" i="14" s="1"/>
  <c r="K792" i="14" s="1"/>
  <c r="G1216" i="14" a="1"/>
  <c r="G1216" i="14" s="1"/>
  <c r="K1216" i="14" s="1"/>
  <c r="H609" i="14" a="1"/>
  <c r="H609" i="14" s="1"/>
  <c r="H131" i="14" a="1"/>
  <c r="H131" i="14" s="1"/>
  <c r="H619" i="14" a="1"/>
  <c r="H619" i="14" s="1"/>
  <c r="H981" i="14" a="1"/>
  <c r="H981" i="14" s="1"/>
  <c r="H321" i="14" a="1"/>
  <c r="H321" i="14" s="1"/>
  <c r="H688" i="14" a="1"/>
  <c r="H688" i="14" s="1"/>
  <c r="H192" i="14" a="1"/>
  <c r="H192" i="14" s="1"/>
  <c r="H699" i="14" a="1"/>
  <c r="H699" i="14" s="1"/>
  <c r="H1039" i="14" a="1"/>
  <c r="H1039" i="14" s="1"/>
  <c r="H346" i="14" a="1"/>
  <c r="H346" i="14" s="1"/>
  <c r="H660" i="14" a="1"/>
  <c r="H660" i="14" s="1"/>
  <c r="H94" i="14" a="1"/>
  <c r="H94" i="14" s="1"/>
  <c r="H635" i="14" a="1"/>
  <c r="H635" i="14" s="1"/>
  <c r="H890" i="14" a="1"/>
  <c r="H890" i="14" s="1"/>
  <c r="H917" i="14" a="1"/>
  <c r="H917" i="14" s="1"/>
  <c r="H417" i="14" a="1"/>
  <c r="H417" i="14" s="1"/>
  <c r="H920" i="14" a="1"/>
  <c r="H920" i="14" s="1"/>
  <c r="H1070" i="14" a="1"/>
  <c r="H1070" i="14" s="1"/>
  <c r="H14" i="14" a="1"/>
  <c r="H14" i="14" s="1"/>
  <c r="H929" i="14" a="1"/>
  <c r="H929" i="14" s="1"/>
  <c r="H399" i="14" a="1"/>
  <c r="H399" i="14" s="1"/>
  <c r="H853" i="14" a="1"/>
  <c r="H853" i="14" s="1"/>
  <c r="H964" i="14" a="1"/>
  <c r="H964" i="14" s="1"/>
  <c r="H1278" i="14" a="1"/>
  <c r="H1278" i="14" s="1"/>
  <c r="H974" i="14" a="1"/>
  <c r="H974" i="14" s="1"/>
  <c r="H415" i="14" a="1"/>
  <c r="H415" i="14" s="1"/>
  <c r="H896" i="14" a="1"/>
  <c r="H896" i="14" s="1"/>
  <c r="H1045" i="14" a="1"/>
  <c r="H1045" i="14" s="1"/>
  <c r="H12" i="14" a="1"/>
  <c r="H12" i="14" s="1"/>
  <c r="H971" i="14" a="1"/>
  <c r="H971" i="14" s="1"/>
  <c r="H411" i="14" a="1"/>
  <c r="H411" i="14" s="1"/>
  <c r="H891" i="14" a="1"/>
  <c r="H891" i="14" s="1"/>
  <c r="H1042" i="14" a="1"/>
  <c r="H1042" i="14" s="1"/>
  <c r="H934" i="14" a="1"/>
  <c r="H934" i="14" s="1"/>
  <c r="H424" i="14" a="1"/>
  <c r="H424" i="14" s="1"/>
  <c r="H924" i="14" a="1"/>
  <c r="H924" i="14" s="1"/>
  <c r="H1072" i="14" a="1"/>
  <c r="H1072" i="14" s="1"/>
  <c r="H362" i="14" a="1"/>
  <c r="H362" i="14" s="1"/>
  <c r="H654" i="14" a="1"/>
  <c r="H654" i="14" s="1"/>
  <c r="H149" i="14" a="1"/>
  <c r="H149" i="14" s="1"/>
  <c r="H642" i="14" a="1"/>
  <c r="H642" i="14" s="1"/>
  <c r="H1024" i="14" a="1"/>
  <c r="H1024" i="14" s="1"/>
  <c r="H15" i="14" a="1"/>
  <c r="H15" i="14" s="1"/>
  <c r="H954" i="14" a="1"/>
  <c r="H954" i="14" s="1"/>
  <c r="H368" i="14" a="1"/>
  <c r="H368" i="14" s="1"/>
  <c r="H865" i="14" a="1"/>
  <c r="H865" i="14" s="1"/>
  <c r="H1033" i="14" a="1"/>
  <c r="H1033" i="14" s="1"/>
  <c r="H1208" i="14" a="1"/>
  <c r="H1208" i="14" s="1"/>
  <c r="H1235" i="14" a="1"/>
  <c r="H1235" i="14" s="1"/>
  <c r="L1235" i="14" s="1"/>
  <c r="H712" i="14" a="1"/>
  <c r="H712" i="14" s="1"/>
  <c r="L712" i="14" s="1"/>
  <c r="H493" i="14" a="1"/>
  <c r="H493" i="14" s="1"/>
  <c r="L493" i="14" s="1"/>
  <c r="H81" i="14" a="1"/>
  <c r="H81" i="14" s="1"/>
  <c r="H976" i="14" a="1"/>
  <c r="H976" i="14" s="1"/>
  <c r="L976" i="14" s="1"/>
  <c r="H551" i="14" a="1"/>
  <c r="H551" i="14" s="1"/>
  <c r="L551" i="14" s="1"/>
  <c r="H372" i="14" a="1"/>
  <c r="H372" i="14" s="1"/>
  <c r="L372" i="14" s="1"/>
  <c r="H244" i="14" a="1"/>
  <c r="H244" i="14" s="1"/>
  <c r="H935" i="14" a="1"/>
  <c r="H935" i="14" s="1"/>
  <c r="L935" i="14" s="1"/>
  <c r="H397" i="14" a="1"/>
  <c r="H397" i="14" s="1"/>
  <c r="L397" i="14" s="1"/>
  <c r="H473" i="14" a="1"/>
  <c r="H473" i="14" s="1"/>
  <c r="L473" i="14" s="1"/>
  <c r="H133" i="14" a="1"/>
  <c r="H133" i="14" s="1"/>
  <c r="H523" i="14" a="1"/>
  <c r="H523" i="14" s="1"/>
  <c r="L523" i="14" s="1"/>
  <c r="H946" i="14" a="1"/>
  <c r="H946" i="14" s="1"/>
  <c r="L946" i="14" s="1"/>
  <c r="H353" i="14" a="1"/>
  <c r="H353" i="14" s="1"/>
  <c r="L353" i="14" s="1"/>
  <c r="H495" i="14" a="1"/>
  <c r="H495" i="14" s="1"/>
  <c r="H166" i="14" a="1"/>
  <c r="H166" i="14" s="1"/>
  <c r="L166" i="14" s="1"/>
  <c r="H509" i="14" a="1"/>
  <c r="H509" i="14" s="1"/>
  <c r="L509" i="14" s="1"/>
  <c r="H1486" i="14" a="1"/>
  <c r="H1486" i="14" s="1"/>
  <c r="L1486" i="14" s="1"/>
  <c r="H1256" i="14" a="1"/>
  <c r="H1256" i="14" s="1"/>
  <c r="H1300" i="14" a="1"/>
  <c r="H1300" i="14" s="1"/>
  <c r="L1300" i="14" s="1"/>
  <c r="H1268" i="14" a="1"/>
  <c r="H1268" i="14" s="1"/>
  <c r="H1132" i="14" a="1"/>
  <c r="H1132" i="14" s="1"/>
  <c r="H1458" i="14" a="1"/>
  <c r="H1458" i="14" s="1"/>
  <c r="H1225" i="14" a="1"/>
  <c r="H1225" i="14" s="1"/>
  <c r="L1225" i="14" s="1"/>
  <c r="H1360" i="14" a="1"/>
  <c r="H1360" i="14" s="1"/>
  <c r="H1310" i="14" a="1"/>
  <c r="H1310" i="14" s="1"/>
  <c r="L1310" i="14" s="1"/>
  <c r="H1098" i="14" a="1"/>
  <c r="H1098" i="14" s="1"/>
  <c r="H1349" i="14" a="1"/>
  <c r="H1349" i="14" s="1"/>
  <c r="L1349" i="14" s="1"/>
  <c r="H1028" i="14" a="1"/>
  <c r="H1028" i="14" s="1"/>
  <c r="L1028" i="14" s="1"/>
  <c r="H1209" i="14" a="1"/>
  <c r="H1209" i="14" s="1"/>
  <c r="L1209" i="14" s="1"/>
  <c r="H1104" i="14" a="1"/>
  <c r="H1104" i="14" s="1"/>
  <c r="L1104" i="14" s="1"/>
  <c r="H645" i="14" a="1"/>
  <c r="H645" i="14" s="1"/>
  <c r="H1433" i="14" a="1"/>
  <c r="H1433" i="14" s="1"/>
  <c r="H1238" i="14" a="1"/>
  <c r="H1238" i="14" s="1"/>
  <c r="H1352" i="14" a="1"/>
  <c r="H1352" i="14" s="1"/>
  <c r="H1304" i="14" a="1"/>
  <c r="H1304" i="14" s="1"/>
  <c r="L1304" i="14" s="1"/>
  <c r="H1136" i="14" a="1"/>
  <c r="H1136" i="14" s="1"/>
  <c r="H139" i="14" a="1"/>
  <c r="H139" i="14" s="1"/>
  <c r="L139" i="14" s="1"/>
  <c r="H537" i="14" a="1"/>
  <c r="H537" i="14" s="1"/>
  <c r="L537" i="14" s="1"/>
  <c r="H22" i="14" a="1"/>
  <c r="H22" i="14" s="1"/>
  <c r="H401" i="14" a="1"/>
  <c r="H401" i="14" s="1"/>
  <c r="H710" i="14" a="1"/>
  <c r="H710" i="14" s="1"/>
  <c r="L710" i="14" s="1"/>
  <c r="H503" i="14" a="1"/>
  <c r="H503" i="14" s="1"/>
  <c r="L503" i="14" s="1"/>
  <c r="H552" i="14" a="1"/>
  <c r="H552" i="14" s="1"/>
  <c r="L552" i="14" s="1"/>
  <c r="H614" i="14" a="1"/>
  <c r="H614" i="14" s="1"/>
  <c r="L614" i="14" s="1"/>
  <c r="H858" i="14" a="1"/>
  <c r="H858" i="14" s="1"/>
  <c r="L858" i="14" s="1"/>
  <c r="H406" i="14" a="1"/>
  <c r="H406" i="14" s="1"/>
  <c r="H554" i="14" a="1"/>
  <c r="H554" i="14" s="1"/>
  <c r="L554" i="14" s="1"/>
  <c r="H103" i="14" a="1"/>
  <c r="H103" i="14" s="1"/>
  <c r="L103" i="14" s="1"/>
  <c r="H661" i="14" a="1"/>
  <c r="H661" i="14" s="1"/>
  <c r="L661" i="14" s="1"/>
  <c r="H879" i="14" a="1"/>
  <c r="H879" i="14" s="1"/>
  <c r="H1097" i="14" a="1"/>
  <c r="H1097" i="14" s="1"/>
  <c r="L1097" i="14" s="1"/>
  <c r="H371" i="14" a="1"/>
  <c r="H371" i="14" s="1"/>
  <c r="H585" i="14" a="1"/>
  <c r="H585" i="14" s="1"/>
  <c r="H513" i="14" a="1"/>
  <c r="H513" i="14" s="1"/>
  <c r="H1171" i="14" a="1"/>
  <c r="H1171" i="14" s="1"/>
  <c r="L1171" i="14" s="1"/>
  <c r="H390" i="14" a="1"/>
  <c r="H390" i="14" s="1"/>
  <c r="L390" i="14" s="1"/>
  <c r="H701" i="14" a="1"/>
  <c r="H701" i="14" s="1"/>
  <c r="L701" i="14" s="1"/>
  <c r="H300" i="14" a="1"/>
  <c r="H300" i="14" s="1"/>
  <c r="H692" i="14" a="1"/>
  <c r="H692" i="14" s="1"/>
  <c r="L692" i="14" s="1"/>
  <c r="H1160" i="14" a="1"/>
  <c r="H1160" i="14" s="1"/>
  <c r="L1160" i="14" s="1"/>
  <c r="H464" i="14" a="1"/>
  <c r="H464" i="14" s="1"/>
  <c r="L464" i="14" s="1"/>
  <c r="H568" i="14" a="1"/>
  <c r="H568" i="14" s="1"/>
  <c r="H181" i="14" a="1"/>
  <c r="H181" i="14" s="1"/>
  <c r="H809" i="14" a="1"/>
  <c r="H809" i="14" s="1"/>
  <c r="L809" i="14" s="1"/>
  <c r="H1079" i="14" a="1"/>
  <c r="H1079" i="14" s="1"/>
  <c r="L1079" i="14" s="1"/>
  <c r="H395" i="14" a="1"/>
  <c r="H395" i="14" s="1"/>
  <c r="H570" i="14" a="1"/>
  <c r="H570" i="14" s="1"/>
  <c r="L570" i="14" s="1"/>
  <c r="H186" i="14" a="1"/>
  <c r="H186" i="14" s="1"/>
  <c r="H867" i="14" a="1"/>
  <c r="H867" i="14" s="1"/>
  <c r="H1497" i="14" a="1"/>
  <c r="H1497" i="14" s="1"/>
  <c r="H1258" i="14" a="1"/>
  <c r="H1258" i="14" s="1"/>
  <c r="L1258" i="14" s="1"/>
  <c r="H1340" i="14" a="1"/>
  <c r="H1340" i="14" s="1"/>
  <c r="H1294" i="14" a="1"/>
  <c r="H1294" i="14" s="1"/>
  <c r="H1137" i="14" a="1"/>
  <c r="H1137" i="14" s="1"/>
  <c r="L1137" i="14" s="1"/>
  <c r="H427" i="14" a="1"/>
  <c r="H427" i="14" s="1"/>
  <c r="L427" i="14" s="1"/>
  <c r="H592" i="14" a="1"/>
  <c r="H592" i="14" s="1"/>
  <c r="H674" i="14" a="1"/>
  <c r="H674" i="14" s="1"/>
  <c r="L674" i="14" s="1"/>
  <c r="H928" i="14" a="1"/>
  <c r="H928" i="14" s="1"/>
  <c r="L928" i="14" s="1"/>
  <c r="H1082" i="14" a="1"/>
  <c r="H1082" i="14" s="1"/>
  <c r="H373" i="14" a="1"/>
  <c r="H373" i="14" s="1"/>
  <c r="L373" i="14" s="1"/>
  <c r="H613" i="14" a="1"/>
  <c r="H613" i="14" s="1"/>
  <c r="H501" i="14" a="1"/>
  <c r="H501" i="14" s="1"/>
  <c r="L501" i="14" s="1"/>
  <c r="H1154" i="14" a="1"/>
  <c r="H1154" i="14" s="1"/>
  <c r="L1154" i="14" s="1"/>
  <c r="H430" i="14" a="1"/>
  <c r="H430" i="14" s="1"/>
  <c r="L430" i="14" s="1"/>
  <c r="H574" i="14" a="1"/>
  <c r="H574" i="14" s="1"/>
  <c r="L574" i="14" s="1"/>
  <c r="H188" i="14" a="1"/>
  <c r="H188" i="14" s="1"/>
  <c r="H550" i="14" a="1"/>
  <c r="H550" i="14" s="1"/>
  <c r="H1000" i="14" a="1"/>
  <c r="H1000" i="14" s="1"/>
  <c r="L1000" i="14" s="1"/>
  <c r="H477" i="14" a="1"/>
  <c r="H477" i="14" s="1"/>
  <c r="L477" i="14" s="1"/>
  <c r="H977" i="14" a="1"/>
  <c r="H977" i="14" s="1"/>
  <c r="H1100" i="14" a="1"/>
  <c r="H1100" i="14" s="1"/>
  <c r="L1100" i="14" s="1"/>
  <c r="H146" i="14" a="1"/>
  <c r="H146" i="14" s="1"/>
  <c r="H969" i="14" a="1"/>
  <c r="H969" i="14" s="1"/>
  <c r="H365" i="14" a="1"/>
  <c r="H365" i="14" s="1"/>
  <c r="L365" i="14" s="1"/>
  <c r="H863" i="14" a="1"/>
  <c r="H863" i="14" s="1"/>
  <c r="H1089" i="14" a="1"/>
  <c r="H1089" i="14" s="1"/>
  <c r="H116" i="14" a="1"/>
  <c r="H116" i="14" s="1"/>
  <c r="H951" i="14" a="1"/>
  <c r="H951" i="14" s="1"/>
  <c r="L951" i="14" s="1"/>
  <c r="H356" i="14" a="1"/>
  <c r="H356" i="14" s="1"/>
  <c r="L356" i="14" s="1"/>
  <c r="H849" i="14" a="1"/>
  <c r="H849" i="14" s="1"/>
  <c r="L849" i="14" s="1"/>
  <c r="H1088" i="14" a="1"/>
  <c r="H1088" i="14" s="1"/>
  <c r="H262" i="14" a="1"/>
  <c r="H262" i="14" s="1"/>
  <c r="L262" i="14" s="1"/>
  <c r="H580" i="14" a="1"/>
  <c r="H580" i="14" s="1"/>
  <c r="L580" i="14" s="1"/>
  <c r="H169" i="14" a="1"/>
  <c r="H169" i="14" s="1"/>
  <c r="H800" i="14" a="1"/>
  <c r="H800" i="14" s="1"/>
  <c r="H942" i="14" a="1"/>
  <c r="H942" i="14" s="1"/>
  <c r="L942" i="14" s="1"/>
  <c r="H317" i="14" a="1"/>
  <c r="H317" i="14" s="1"/>
  <c r="L317" i="14" s="1"/>
  <c r="H600" i="14" a="1"/>
  <c r="H600" i="14" s="1"/>
  <c r="L600" i="14" s="1"/>
  <c r="H206" i="14" a="1"/>
  <c r="H206" i="14" s="1"/>
  <c r="H817" i="14" a="1"/>
  <c r="H817" i="14" s="1"/>
  <c r="H959" i="14" a="1"/>
  <c r="H959" i="14" s="1"/>
  <c r="L959" i="14" s="1"/>
  <c r="H392" i="14" a="1"/>
  <c r="H392" i="14" s="1"/>
  <c r="H617" i="14" a="1"/>
  <c r="H617" i="14" s="1"/>
  <c r="H144" i="14" a="1"/>
  <c r="H144" i="14" s="1"/>
  <c r="H638" i="14" a="1"/>
  <c r="H638" i="14" s="1"/>
  <c r="L638" i="14" s="1"/>
  <c r="H1002" i="14" a="1"/>
  <c r="H1002" i="14" s="1"/>
  <c r="H1264" i="14" a="1"/>
  <c r="H1264" i="14" s="1"/>
  <c r="H243" i="14" a="1"/>
  <c r="H243" i="14" s="1"/>
  <c r="H857" i="14" a="1"/>
  <c r="H857" i="14" s="1"/>
  <c r="L857" i="14" s="1"/>
  <c r="H500" i="14" a="1"/>
  <c r="H500" i="14" s="1"/>
  <c r="L500" i="14" s="1"/>
  <c r="H1253" i="14" a="1"/>
  <c r="H1253" i="14" s="1"/>
  <c r="L1253" i="14" s="1"/>
  <c r="H438" i="14" a="1"/>
  <c r="H438" i="14" s="1"/>
  <c r="L438" i="14" s="1"/>
  <c r="H936" i="14" a="1"/>
  <c r="H936" i="14" s="1"/>
  <c r="L936" i="14" s="1"/>
  <c r="H529" i="14" a="1"/>
  <c r="H529" i="14" s="1"/>
  <c r="L529" i="14" s="1"/>
  <c r="H151" i="14" a="1"/>
  <c r="H151" i="14" s="1"/>
  <c r="L151" i="14" s="1"/>
  <c r="H1096" i="14" a="1"/>
  <c r="H1096" i="14" s="1"/>
  <c r="H202" i="14" a="1"/>
  <c r="H202" i="14" s="1"/>
  <c r="L202" i="14" s="1"/>
  <c r="H819" i="14" a="1"/>
  <c r="H819" i="14" s="1"/>
  <c r="L819" i="14" s="1"/>
  <c r="H504" i="14" a="1"/>
  <c r="H504" i="14" s="1"/>
  <c r="L504" i="14" s="1"/>
  <c r="H13" i="14" a="1"/>
  <c r="H13" i="14" s="1"/>
  <c r="H359" i="14" a="1"/>
  <c r="H359" i="14" s="1"/>
  <c r="H962" i="14" a="1"/>
  <c r="H962" i="14" s="1"/>
  <c r="H763" i="14" a="1"/>
  <c r="H763" i="14" s="1"/>
  <c r="H218" i="14" a="1"/>
  <c r="H218" i="14" s="1"/>
  <c r="L218" i="14" s="1"/>
  <c r="H1239" i="14" a="1"/>
  <c r="H1239" i="14" s="1"/>
  <c r="L1239" i="14" s="1"/>
  <c r="H461" i="14" a="1"/>
  <c r="H461" i="14" s="1"/>
  <c r="H967" i="14" a="1"/>
  <c r="H967" i="14" s="1"/>
  <c r="H1067" i="14" a="1"/>
  <c r="H1067" i="14" s="1"/>
  <c r="L1067" i="14" s="1"/>
  <c r="H156" i="14" a="1"/>
  <c r="H156" i="14" s="1"/>
  <c r="L156" i="14" s="1"/>
  <c r="O325" i="14"/>
  <c r="O131" i="14"/>
  <c r="O619" i="14"/>
  <c r="O981" i="14"/>
  <c r="O688" i="14"/>
  <c r="O192" i="14"/>
  <c r="O699" i="14"/>
  <c r="O346" i="14"/>
  <c r="O660" i="14"/>
  <c r="O94" i="14"/>
  <c r="O890" i="14"/>
  <c r="O917" i="14"/>
  <c r="O417" i="14"/>
  <c r="O1070" i="14"/>
  <c r="O14" i="14"/>
  <c r="O929" i="14"/>
  <c r="O853" i="14"/>
  <c r="O964" i="14"/>
  <c r="O1278" i="14"/>
  <c r="O415" i="14"/>
  <c r="O896" i="14"/>
  <c r="O1045" i="14"/>
  <c r="O971" i="14"/>
  <c r="O411" i="14"/>
  <c r="O891" i="14"/>
  <c r="O934" i="14"/>
  <c r="O424" i="14"/>
  <c r="O924" i="14"/>
  <c r="O362" i="14"/>
  <c r="O654" i="14"/>
  <c r="O149" i="14"/>
  <c r="O1024" i="14"/>
  <c r="O15" i="14"/>
  <c r="O954" i="14"/>
  <c r="O865" i="14"/>
  <c r="O1033" i="14"/>
  <c r="O1208" i="14"/>
  <c r="O712" i="14"/>
  <c r="O493" i="14"/>
  <c r="O81" i="14"/>
  <c r="O551" i="14"/>
  <c r="O372" i="14"/>
  <c r="O244" i="14"/>
  <c r="O473" i="14"/>
  <c r="O133" i="14"/>
  <c r="O946" i="14"/>
  <c r="O353" i="14"/>
  <c r="O495" i="14"/>
  <c r="O509" i="14"/>
  <c r="O1486" i="14"/>
  <c r="O1256" i="14"/>
  <c r="O1268" i="14"/>
  <c r="O1132" i="14"/>
  <c r="O1458" i="14"/>
  <c r="O1360" i="14"/>
  <c r="O1310" i="14"/>
  <c r="O1098" i="14"/>
  <c r="O1028" i="14"/>
  <c r="O1209" i="14"/>
  <c r="O1104" i="14"/>
  <c r="O1433" i="14"/>
  <c r="O1238" i="14"/>
  <c r="O1352" i="14"/>
  <c r="O1136" i="14"/>
  <c r="O139" i="14"/>
  <c r="O537" i="14"/>
  <c r="O710" i="14"/>
  <c r="O503" i="14"/>
  <c r="O614" i="14"/>
  <c r="O858" i="14"/>
  <c r="O406" i="14"/>
  <c r="O103" i="14"/>
  <c r="O661" i="14"/>
  <c r="O879" i="14"/>
  <c r="O371" i="14"/>
  <c r="O585" i="14"/>
  <c r="O513" i="14"/>
  <c r="O390" i="14"/>
  <c r="O701" i="14"/>
  <c r="O300" i="14"/>
  <c r="O1160" i="14"/>
  <c r="O464" i="14"/>
  <c r="O568" i="14"/>
  <c r="O809" i="14"/>
  <c r="O1079" i="14"/>
  <c r="O395" i="14"/>
  <c r="O186" i="14"/>
  <c r="O867" i="14"/>
  <c r="O1497" i="14"/>
  <c r="O1294" i="14"/>
  <c r="O1137" i="14"/>
  <c r="O592" i="14"/>
  <c r="O674" i="14"/>
  <c r="O928" i="14"/>
  <c r="O373" i="14"/>
  <c r="O613" i="14"/>
  <c r="O501" i="14"/>
  <c r="O430" i="14"/>
  <c r="O574" i="14"/>
  <c r="O188" i="14"/>
  <c r="O1000" i="14"/>
  <c r="O477" i="14"/>
  <c r="O977" i="14"/>
  <c r="O146" i="14"/>
  <c r="O969" i="14"/>
  <c r="O365" i="14"/>
  <c r="O1089" i="14"/>
  <c r="O116" i="14"/>
  <c r="O951" i="14"/>
  <c r="O849" i="14"/>
  <c r="O1088" i="14"/>
  <c r="O262" i="14"/>
  <c r="O800" i="14"/>
  <c r="O942" i="14"/>
  <c r="O317" i="14"/>
  <c r="O817" i="14"/>
  <c r="O392" i="14"/>
  <c r="O617" i="14"/>
  <c r="O144" i="14"/>
  <c r="O638" i="14"/>
  <c r="O1002" i="14"/>
  <c r="O243" i="14"/>
  <c r="O500" i="14"/>
  <c r="O1253" i="14"/>
  <c r="O438" i="14"/>
  <c r="O936" i="14"/>
  <c r="O529" i="14"/>
  <c r="O1096" i="14"/>
  <c r="O504" i="14"/>
  <c r="O13" i="14"/>
  <c r="O359" i="14"/>
  <c r="O962" i="14"/>
  <c r="O218" i="14"/>
  <c r="O461" i="14"/>
  <c r="O967" i="14"/>
  <c r="O1067" i="14"/>
  <c r="O156" i="14"/>
  <c r="E738" i="14" a="1"/>
  <c r="E738" i="14" s="1"/>
  <c r="M738" i="14" s="1"/>
  <c r="P738" i="14" s="1"/>
  <c r="E237" i="14" a="1"/>
  <c r="E237" i="14" s="1"/>
  <c r="M237" i="14" s="1"/>
  <c r="P237" i="14" s="1"/>
  <c r="E226" i="14" a="1"/>
  <c r="E226" i="14" s="1"/>
  <c r="M226" i="14" s="1"/>
  <c r="P226" i="14" s="1"/>
  <c r="E352" i="14" a="1"/>
  <c r="E352" i="14" s="1"/>
  <c r="M352" i="14" s="1"/>
  <c r="P352" i="14" s="1"/>
  <c r="E407" i="14" a="1"/>
  <c r="E407" i="14" s="1"/>
  <c r="M407" i="14" s="1"/>
  <c r="P407" i="14" s="1"/>
  <c r="E1018" i="14" a="1"/>
  <c r="E1018" i="14" s="1"/>
  <c r="M1018" i="14" s="1"/>
  <c r="P1018" i="14" s="1"/>
  <c r="E409" i="14" a="1"/>
  <c r="E409" i="14" s="1"/>
  <c r="M409" i="14" s="1"/>
  <c r="P409" i="14" s="1"/>
  <c r="E445" i="14" a="1"/>
  <c r="E445" i="14" s="1"/>
  <c r="M445" i="14" s="1"/>
  <c r="P445" i="14" s="1"/>
  <c r="E499" i="14" a="1"/>
  <c r="E499" i="14" s="1"/>
  <c r="M499" i="14" s="1"/>
  <c r="P499" i="14" s="1"/>
  <c r="E640" i="14" a="1"/>
  <c r="E640" i="14" s="1"/>
  <c r="M640" i="14" s="1"/>
  <c r="P640" i="14" s="1"/>
  <c r="E29" i="14" a="1"/>
  <c r="E29" i="14" s="1"/>
  <c r="M29" i="14" s="1"/>
  <c r="P29" i="14" s="1"/>
  <c r="E253" i="14" a="1"/>
  <c r="E253" i="14" s="1"/>
  <c r="M253" i="14" s="1"/>
  <c r="P253" i="14" s="1"/>
  <c r="E673" i="14" a="1"/>
  <c r="E673" i="14" s="1"/>
  <c r="M673" i="14" s="1"/>
  <c r="P673" i="14" s="1"/>
  <c r="E494" i="14" a="1"/>
  <c r="E494" i="14" s="1"/>
  <c r="M494" i="14" s="1"/>
  <c r="P494" i="14" s="1"/>
  <c r="E214" i="14" a="1"/>
  <c r="E214" i="14" s="1"/>
  <c r="M214" i="14" s="1"/>
  <c r="P214" i="14" s="1"/>
  <c r="E19" i="14" a="1"/>
  <c r="E19" i="14" s="1"/>
  <c r="M19" i="14" s="1"/>
  <c r="P19" i="14" s="1"/>
  <c r="E749" i="14" a="1"/>
  <c r="E749" i="14" s="1"/>
  <c r="M749" i="14" s="1"/>
  <c r="P749" i="14" s="1"/>
  <c r="E1445" i="14" a="1"/>
  <c r="E1445" i="14" s="1"/>
  <c r="M1445" i="14" s="1"/>
  <c r="P1445" i="14" s="1"/>
  <c r="E1339" i="14" a="1"/>
  <c r="E1339" i="14" s="1"/>
  <c r="M1339" i="14" s="1"/>
  <c r="P1339" i="14" s="1"/>
  <c r="E1484" i="14" a="1"/>
  <c r="E1484" i="14" s="1"/>
  <c r="M1484" i="14" s="1"/>
  <c r="P1484" i="14" s="1"/>
  <c r="E633" i="14" a="1"/>
  <c r="E633" i="14" s="1"/>
  <c r="M633" i="14" s="1"/>
  <c r="P633" i="14" s="1"/>
  <c r="E525" i="14" a="1"/>
  <c r="E525" i="14" s="1"/>
  <c r="M525" i="14" s="1"/>
  <c r="P525" i="14" s="1"/>
  <c r="E625" i="14" a="1"/>
  <c r="E625" i="14" s="1"/>
  <c r="M625" i="14" s="1"/>
  <c r="P625" i="14" s="1"/>
  <c r="E483" i="14" a="1"/>
  <c r="E483" i="14" s="1"/>
  <c r="M483" i="14" s="1"/>
  <c r="P483" i="14" s="1"/>
  <c r="E777" i="14" a="1"/>
  <c r="E777" i="14" s="1"/>
  <c r="M777" i="14" s="1"/>
  <c r="P777" i="14" s="1"/>
  <c r="E608" i="14" a="1"/>
  <c r="E608" i="14" s="1"/>
  <c r="M608" i="14" s="1"/>
  <c r="P608" i="14" s="1"/>
  <c r="E306" i="14" a="1"/>
  <c r="E306" i="14" s="1"/>
  <c r="M306" i="14" s="1"/>
  <c r="P306" i="14" s="1"/>
  <c r="E629" i="14" a="1"/>
  <c r="E629" i="14" s="1"/>
  <c r="M629" i="14" s="1"/>
  <c r="P629" i="14" s="1"/>
  <c r="E489" i="14" a="1"/>
  <c r="E489" i="14" s="1"/>
  <c r="M489" i="14" s="1"/>
  <c r="P489" i="14" s="1"/>
  <c r="E46" i="14" a="1"/>
  <c r="E46" i="14" s="1"/>
  <c r="M46" i="14" s="1"/>
  <c r="P46" i="14" s="1"/>
  <c r="E85" i="14" a="1"/>
  <c r="E85" i="14" s="1"/>
  <c r="M85" i="14" s="1"/>
  <c r="P85" i="14" s="1"/>
  <c r="E145" i="14" a="1"/>
  <c r="E145" i="14" s="1"/>
  <c r="M145" i="14" s="1"/>
  <c r="P145" i="14" s="1"/>
  <c r="E713" i="14" a="1"/>
  <c r="E713" i="14" s="1"/>
  <c r="M713" i="14" s="1"/>
  <c r="P713" i="14" s="1"/>
  <c r="E118" i="14" a="1"/>
  <c r="E118" i="14" s="1"/>
  <c r="M118" i="14" s="1"/>
  <c r="P118" i="14" s="1"/>
  <c r="E227" i="14" a="1"/>
  <c r="E227" i="14" s="1"/>
  <c r="M227" i="14" s="1"/>
  <c r="P227" i="14" s="1"/>
  <c r="E6" i="14" a="1"/>
  <c r="E6" i="14" s="1"/>
  <c r="M6" i="14" s="1"/>
  <c r="P6" i="14" s="1"/>
  <c r="E1156" i="14" a="1"/>
  <c r="E1156" i="14" s="1"/>
  <c r="M1156" i="14" s="1"/>
  <c r="P1156" i="14" s="1"/>
  <c r="E1245" i="14" a="1"/>
  <c r="E1245" i="14" s="1"/>
  <c r="M1245" i="14" s="1"/>
  <c r="P1245" i="14" s="1"/>
  <c r="E455" i="14" a="1"/>
  <c r="E455" i="14" s="1"/>
  <c r="M455" i="14" s="1"/>
  <c r="P455" i="14" s="1"/>
  <c r="E1350" i="14" a="1"/>
  <c r="E1350" i="14" s="1"/>
  <c r="M1350" i="14" s="1"/>
  <c r="P1350" i="14" s="1"/>
  <c r="E1375" i="14" a="1"/>
  <c r="E1375" i="14" s="1"/>
  <c r="M1375" i="14" s="1"/>
  <c r="P1375" i="14" s="1"/>
  <c r="E1453" i="14" a="1"/>
  <c r="E1453" i="14" s="1"/>
  <c r="M1453" i="14" s="1"/>
  <c r="P1453" i="14" s="1"/>
  <c r="E1321" i="14" a="1"/>
  <c r="E1321" i="14" s="1"/>
  <c r="M1321" i="14" s="1"/>
  <c r="P1321" i="14" s="1"/>
  <c r="E1183" i="14" a="1"/>
  <c r="E1183" i="14" s="1"/>
  <c r="M1183" i="14" s="1"/>
  <c r="P1183" i="14" s="1"/>
  <c r="E527" i="14" a="1"/>
  <c r="E527" i="14" s="1"/>
  <c r="M527" i="14" s="1"/>
  <c r="P527" i="14" s="1"/>
  <c r="E459" i="14" a="1"/>
  <c r="E459" i="14" s="1"/>
  <c r="M459" i="14" s="1"/>
  <c r="P459" i="14" s="1"/>
  <c r="E940" i="14" a="1"/>
  <c r="E940" i="14" s="1"/>
  <c r="M940" i="14" s="1"/>
  <c r="P940" i="14" s="1"/>
  <c r="E516" i="14" a="1"/>
  <c r="E516" i="14" s="1"/>
  <c r="M516" i="14" s="1"/>
  <c r="P516" i="14" s="1"/>
  <c r="E452" i="14" a="1"/>
  <c r="E452" i="14" s="1"/>
  <c r="M452" i="14" s="1"/>
  <c r="P452" i="14" s="1"/>
  <c r="E618" i="14" a="1"/>
  <c r="E618" i="14" s="1"/>
  <c r="M618" i="14" s="1"/>
  <c r="P618" i="14" s="1"/>
  <c r="E538" i="14" a="1"/>
  <c r="E538" i="14" s="1"/>
  <c r="M538" i="14" s="1"/>
  <c r="P538" i="14" s="1"/>
  <c r="E1053" i="14" a="1"/>
  <c r="E1053" i="14" s="1"/>
  <c r="M1053" i="14" s="1"/>
  <c r="P1053" i="14" s="1"/>
  <c r="E748" i="14" a="1"/>
  <c r="E748" i="14" s="1"/>
  <c r="M748" i="14" s="1"/>
  <c r="P748" i="14" s="1"/>
  <c r="E335" i="14" a="1"/>
  <c r="E335" i="14" s="1"/>
  <c r="M335" i="14" s="1"/>
  <c r="P335" i="14" s="1"/>
  <c r="E53" i="14" a="1"/>
  <c r="E53" i="14" s="1"/>
  <c r="M53" i="14" s="1"/>
  <c r="P53" i="14" s="1"/>
  <c r="E490" i="14" a="1"/>
  <c r="E490" i="14" s="1"/>
  <c r="M490" i="14" s="1"/>
  <c r="P490" i="14" s="1"/>
  <c r="E222" i="14" a="1"/>
  <c r="E222" i="14" s="1"/>
  <c r="M222" i="14" s="1"/>
  <c r="P222" i="14" s="1"/>
  <c r="E663" i="14" a="1"/>
  <c r="E663" i="14" s="1"/>
  <c r="M663" i="14" s="1"/>
  <c r="P663" i="14" s="1"/>
  <c r="E364" i="14" a="1"/>
  <c r="E364" i="14" s="1"/>
  <c r="M364" i="14" s="1"/>
  <c r="P364" i="14" s="1"/>
  <c r="E379" i="14" a="1"/>
  <c r="E379" i="14" s="1"/>
  <c r="M379" i="14" s="1"/>
  <c r="P379" i="14" s="1"/>
  <c r="E476" i="14" a="1"/>
  <c r="E476" i="14" s="1"/>
  <c r="M476" i="14" s="1"/>
  <c r="P476" i="14" s="1"/>
  <c r="E456" i="14" a="1"/>
  <c r="E456" i="14" s="1"/>
  <c r="M456" i="14" s="1"/>
  <c r="P456" i="14" s="1"/>
  <c r="E1049" i="14" a="1"/>
  <c r="E1049" i="14" s="1"/>
  <c r="M1049" i="14" s="1"/>
  <c r="P1049" i="14" s="1"/>
  <c r="E344" i="14" a="1"/>
  <c r="E344" i="14" s="1"/>
  <c r="M344" i="14" s="1"/>
  <c r="P344" i="14" s="1"/>
  <c r="E388" i="14" a="1"/>
  <c r="E388" i="14" s="1"/>
  <c r="M388" i="14" s="1"/>
  <c r="P388" i="14" s="1"/>
  <c r="E518" i="14" a="1"/>
  <c r="E518" i="14" s="1"/>
  <c r="M518" i="14" s="1"/>
  <c r="P518" i="14" s="1"/>
  <c r="E440" i="14" a="1"/>
  <c r="E440" i="14" s="1"/>
  <c r="M440" i="14" s="1"/>
  <c r="P440" i="14" s="1"/>
  <c r="E997" i="14" a="1"/>
  <c r="E997" i="14" s="1"/>
  <c r="M997" i="14" s="1"/>
  <c r="P997" i="14" s="1"/>
  <c r="E361" i="14" a="1"/>
  <c r="E361" i="14" s="1"/>
  <c r="M361" i="14" s="1"/>
  <c r="P361" i="14" s="1"/>
  <c r="E376" i="14" a="1"/>
  <c r="E376" i="14" s="1"/>
  <c r="M376" i="14" s="1"/>
  <c r="P376" i="14" s="1"/>
  <c r="E475" i="14" a="1"/>
  <c r="E475" i="14" s="1"/>
  <c r="M475" i="14" s="1"/>
  <c r="P475" i="14" s="1"/>
  <c r="E138" i="14" a="1"/>
  <c r="E138" i="14" s="1"/>
  <c r="M138" i="14" s="1"/>
  <c r="P138" i="14" s="1"/>
  <c r="E703" i="14" a="1"/>
  <c r="E703" i="14" s="1"/>
  <c r="M703" i="14" s="1"/>
  <c r="P703" i="14" s="1"/>
  <c r="E164" i="14" a="1"/>
  <c r="E164" i="14" s="1"/>
  <c r="M164" i="14" s="1"/>
  <c r="P164" i="14" s="1"/>
  <c r="E93" i="14" a="1"/>
  <c r="E93" i="14" s="1"/>
  <c r="M93" i="14" s="1"/>
  <c r="P93" i="14" s="1"/>
  <c r="E190" i="14" a="1"/>
  <c r="E190" i="14" s="1"/>
  <c r="M190" i="14" s="1"/>
  <c r="P190" i="14" s="1"/>
  <c r="E107" i="14" a="1"/>
  <c r="E107" i="14" s="1"/>
  <c r="M107" i="14" s="1"/>
  <c r="P107" i="14" s="1"/>
  <c r="E671" i="14" a="1"/>
  <c r="E671" i="14" s="1"/>
  <c r="M671" i="14" s="1"/>
  <c r="P671" i="14" s="1"/>
  <c r="E55" i="14" a="1"/>
  <c r="E55" i="14" s="1"/>
  <c r="M55" i="14" s="1"/>
  <c r="P55" i="14" s="1"/>
  <c r="G338" i="14" a="1"/>
  <c r="G338" i="14" s="1"/>
  <c r="K338" i="14" s="1"/>
  <c r="G680" i="14" a="1"/>
  <c r="G680" i="14" s="1"/>
  <c r="K680" i="14" s="1"/>
  <c r="G194" i="14" a="1"/>
  <c r="G194" i="14" s="1"/>
  <c r="K194" i="14" s="1"/>
  <c r="G1133" i="14" a="1"/>
  <c r="G1133" i="14" s="1"/>
  <c r="K1133" i="14" s="1"/>
  <c r="G331" i="14" a="1"/>
  <c r="G331" i="14" s="1"/>
  <c r="K331" i="14" s="1"/>
  <c r="G1400" i="14" a="1"/>
  <c r="G1400" i="14" s="1"/>
  <c r="K1400" i="14" s="1"/>
  <c r="G717" i="14" a="1"/>
  <c r="G717" i="14" s="1"/>
  <c r="K717" i="14" s="1"/>
  <c r="G198" i="14" a="1"/>
  <c r="G198" i="14" s="1"/>
  <c r="K198" i="14" s="1"/>
  <c r="G1174" i="14" a="1"/>
  <c r="G1174" i="14" s="1"/>
  <c r="K1174" i="14" s="1"/>
  <c r="G351" i="14" a="1"/>
  <c r="G351" i="14" s="1"/>
  <c r="K351" i="14" s="1"/>
  <c r="G1364" i="14" a="1"/>
  <c r="G1364" i="14" s="1"/>
  <c r="K1364" i="14" s="1"/>
  <c r="G31" i="14" a="1"/>
  <c r="G31" i="14" s="1"/>
  <c r="K31" i="14" s="1"/>
  <c r="G248" i="14" a="1"/>
  <c r="G248" i="14" s="1"/>
  <c r="K248" i="14" s="1"/>
  <c r="G1069" i="14" a="1"/>
  <c r="G1069" i="14" s="1"/>
  <c r="K1069" i="14" s="1"/>
  <c r="G1431" i="14" a="1"/>
  <c r="G1431" i="14" s="1"/>
  <c r="K1431" i="14" s="1"/>
  <c r="G992" i="14" a="1"/>
  <c r="G992" i="14" s="1"/>
  <c r="K992" i="14" s="1"/>
  <c r="G117" i="14" a="1"/>
  <c r="G117" i="14" s="1"/>
  <c r="K117" i="14" s="1"/>
  <c r="G1198" i="14" a="1"/>
  <c r="G1198" i="14" s="1"/>
  <c r="K1198" i="14" s="1"/>
  <c r="G24" i="14" a="1"/>
  <c r="G24" i="14" s="1"/>
  <c r="K24" i="14" s="1"/>
  <c r="G1410" i="14" a="1"/>
  <c r="G1410" i="14" s="1"/>
  <c r="K1410" i="14" s="1"/>
  <c r="G854" i="14" a="1"/>
  <c r="G854" i="14" s="1"/>
  <c r="K854" i="14" s="1"/>
  <c r="G124" i="14" a="1"/>
  <c r="G124" i="14" s="1"/>
  <c r="K124" i="14" s="1"/>
  <c r="G1159" i="14" a="1"/>
  <c r="G1159" i="14" s="1"/>
  <c r="K1159" i="14" s="1"/>
  <c r="G32" i="14" a="1"/>
  <c r="G32" i="14" s="1"/>
  <c r="K32" i="14" s="1"/>
  <c r="G1419" i="14" a="1"/>
  <c r="G1419" i="14" s="1"/>
  <c r="K1419" i="14" s="1"/>
  <c r="G895" i="14" a="1"/>
  <c r="G895" i="14" s="1"/>
  <c r="K895" i="14" s="1"/>
  <c r="G137" i="14" a="1"/>
  <c r="G137" i="14" s="1"/>
  <c r="K137" i="14" s="1"/>
  <c r="G1170" i="14" a="1"/>
  <c r="G1170" i="14" s="1"/>
  <c r="K1170" i="14" s="1"/>
  <c r="G42" i="14" a="1"/>
  <c r="G42" i="14" s="1"/>
  <c r="K42" i="14" s="1"/>
  <c r="G1416" i="14" a="1"/>
  <c r="G1416" i="14" s="1"/>
  <c r="K1416" i="14" s="1"/>
  <c r="G898" i="14" a="1"/>
  <c r="G898" i="14" s="1"/>
  <c r="K898" i="14" s="1"/>
  <c r="G135" i="14" a="1"/>
  <c r="G135" i="14" s="1"/>
  <c r="K135" i="14" s="1"/>
  <c r="G1164" i="14" a="1"/>
  <c r="G1164" i="14" s="1"/>
  <c r="K1164" i="14" s="1"/>
  <c r="G1443" i="14" a="1"/>
  <c r="G1443" i="14" s="1"/>
  <c r="K1443" i="14" s="1"/>
  <c r="G999" i="14" a="1"/>
  <c r="G999" i="14" s="1"/>
  <c r="K999" i="14" s="1"/>
  <c r="G129" i="14" a="1"/>
  <c r="G129" i="14" s="1"/>
  <c r="K129" i="14" s="1"/>
  <c r="G1187" i="14" a="1"/>
  <c r="G1187" i="14" s="1"/>
  <c r="K1187" i="14" s="1"/>
  <c r="G441" i="14" a="1"/>
  <c r="G441" i="14" s="1"/>
  <c r="K441" i="14" s="1"/>
  <c r="G1378" i="14" a="1"/>
  <c r="G1378" i="14" s="1"/>
  <c r="K1378" i="14" s="1"/>
  <c r="G695" i="14" a="1"/>
  <c r="G695" i="14" s="1"/>
  <c r="K695" i="14" s="1"/>
  <c r="G254" i="14" a="1"/>
  <c r="G254" i="14" s="1"/>
  <c r="K254" i="14" s="1"/>
  <c r="G1168" i="14" a="1"/>
  <c r="G1168" i="14" s="1"/>
  <c r="K1168" i="14" s="1"/>
  <c r="G40" i="14" a="1"/>
  <c r="G40" i="14" s="1"/>
  <c r="K40" i="14" s="1"/>
  <c r="G1412" i="14" a="1"/>
  <c r="G1412" i="14" s="1"/>
  <c r="K1412" i="14" s="1"/>
  <c r="G876" i="14" a="1"/>
  <c r="G876" i="14" s="1"/>
  <c r="K876" i="14" s="1"/>
  <c r="G122" i="14" a="1"/>
  <c r="G122" i="14" s="1"/>
  <c r="K122" i="14" s="1"/>
  <c r="G1157" i="14" a="1"/>
  <c r="G1157" i="14" s="1"/>
  <c r="K1157" i="14" s="1"/>
  <c r="G1010" i="14" a="1"/>
  <c r="G1010" i="14" s="1"/>
  <c r="K1010" i="14" s="1"/>
  <c r="G1144" i="14" a="1"/>
  <c r="G1144" i="14" s="1"/>
  <c r="K1144" i="14" s="1"/>
  <c r="G484" i="14" a="1"/>
  <c r="G484" i="14" s="1"/>
  <c r="K484" i="14" s="1"/>
  <c r="G1026" i="14" a="1"/>
  <c r="G1026" i="14" s="1"/>
  <c r="K1026" i="14" s="1"/>
  <c r="G350" i="14" a="1"/>
  <c r="G350" i="14" s="1"/>
  <c r="K350" i="14" s="1"/>
  <c r="G933" i="14" a="1"/>
  <c r="G933" i="14" s="1"/>
  <c r="K933" i="14" s="1"/>
  <c r="G1226" i="14" a="1"/>
  <c r="G1226" i="14" s="1"/>
  <c r="K1226" i="14" s="1"/>
  <c r="G465" i="14" a="1"/>
  <c r="G465" i="14" s="1"/>
  <c r="K465" i="14" s="1"/>
  <c r="G950" i="14" a="1"/>
  <c r="G950" i="14" s="1"/>
  <c r="K950" i="14" s="1"/>
  <c r="G462" i="14" a="1"/>
  <c r="G462" i="14" s="1"/>
  <c r="K462" i="14" s="1"/>
  <c r="G801" i="14" a="1"/>
  <c r="G801" i="14" s="1"/>
  <c r="K801" i="14" s="1"/>
  <c r="G1217" i="14" a="1"/>
  <c r="G1217" i="14" s="1"/>
  <c r="K1217" i="14" s="1"/>
  <c r="G170" i="14" a="1"/>
  <c r="G170" i="14" s="1"/>
  <c r="K170" i="14" s="1"/>
  <c r="G787" i="14" a="1"/>
  <c r="G787" i="14" s="1"/>
  <c r="K787" i="14" s="1"/>
  <c r="G706" i="14" a="1"/>
  <c r="G706" i="14" s="1"/>
  <c r="K706" i="14" s="1"/>
  <c r="G828" i="14" a="1"/>
  <c r="G828" i="14" s="1"/>
  <c r="K828" i="14" s="1"/>
  <c r="G1224" i="14" a="1"/>
  <c r="G1224" i="14" s="1"/>
  <c r="K1224" i="14" s="1"/>
  <c r="G216" i="14" a="1"/>
  <c r="G216" i="14" s="1"/>
  <c r="K216" i="14" s="1"/>
  <c r="G813" i="14" a="1"/>
  <c r="G813" i="14" s="1"/>
  <c r="K813" i="14" s="1"/>
  <c r="G670" i="14" a="1"/>
  <c r="G670" i="14" s="1"/>
  <c r="K670" i="14" s="1"/>
  <c r="G1468" i="14" a="1"/>
  <c r="G1468" i="14" s="1"/>
  <c r="K1468" i="14" s="1"/>
  <c r="G113" i="14" a="1"/>
  <c r="G113" i="14" s="1"/>
  <c r="K113" i="14" s="1"/>
  <c r="G1368" i="14" a="1"/>
  <c r="G1368" i="14" s="1"/>
  <c r="K1368" i="14" s="1"/>
  <c r="G1470" i="14" a="1"/>
  <c r="G1470" i="14" s="1"/>
  <c r="K1470" i="14" s="1"/>
  <c r="G798" i="14" a="1"/>
  <c r="G798" i="14" s="1"/>
  <c r="K798" i="14" s="1"/>
  <c r="G1442" i="14" a="1"/>
  <c r="G1442" i="14" s="1"/>
  <c r="K1442" i="14" s="1"/>
  <c r="G1342" i="14" a="1"/>
  <c r="G1342" i="14" s="1"/>
  <c r="K1342" i="14" s="1"/>
  <c r="G1404" i="14" a="1"/>
  <c r="G1404" i="14" s="1"/>
  <c r="K1404" i="14" s="1"/>
  <c r="G752" i="14" a="1"/>
  <c r="G752" i="14" s="1"/>
  <c r="K752" i="14" s="1"/>
  <c r="G1289" i="14" a="1"/>
  <c r="G1289" i="14" s="1"/>
  <c r="K1289" i="14" s="1"/>
  <c r="G429" i="14" a="1"/>
  <c r="G429" i="14" s="1"/>
  <c r="K429" i="14" s="1"/>
  <c r="G1214" i="14" a="1"/>
  <c r="G1214" i="14" s="1"/>
  <c r="K1214" i="14" s="1"/>
  <c r="G1262" i="14" a="1"/>
  <c r="G1262" i="14" s="1"/>
  <c r="K1262" i="14" s="1"/>
  <c r="G404" i="14" a="1"/>
  <c r="G404" i="14" s="1"/>
  <c r="K404" i="14" s="1"/>
  <c r="G1426" i="14" a="1"/>
  <c r="G1426" i="14" s="1"/>
  <c r="K1426" i="14" s="1"/>
  <c r="G1337" i="14" a="1"/>
  <c r="G1337" i="14" s="1"/>
  <c r="K1337" i="14" s="1"/>
  <c r="G1386" i="14" a="1"/>
  <c r="G1386" i="14" s="1"/>
  <c r="K1386" i="14" s="1"/>
  <c r="G816" i="14" a="1"/>
  <c r="G816" i="14" s="1"/>
  <c r="K816" i="14" s="1"/>
  <c r="G378" i="14" a="1"/>
  <c r="G378" i="14" s="1"/>
  <c r="K378" i="14" s="1"/>
  <c r="G1373" i="14" a="1"/>
  <c r="G1373" i="14" s="1"/>
  <c r="K1373" i="14" s="1"/>
  <c r="G545" i="14" a="1"/>
  <c r="G545" i="14" s="1"/>
  <c r="K545" i="14" s="1"/>
  <c r="G225" i="14" a="1"/>
  <c r="G225" i="14" s="1"/>
  <c r="K225" i="14" s="1"/>
  <c r="G915" i="14" a="1"/>
  <c r="G915" i="14" s="1"/>
  <c r="K915" i="14" s="1"/>
  <c r="G423" i="14" a="1"/>
  <c r="G423" i="14" s="1"/>
  <c r="K423" i="14" s="1"/>
  <c r="G1361" i="14" a="1"/>
  <c r="G1361" i="14" s="1"/>
  <c r="K1361" i="14" s="1"/>
  <c r="G569" i="14" a="1"/>
  <c r="G569" i="14" s="1"/>
  <c r="K569" i="14" s="1"/>
  <c r="G355" i="14" a="1"/>
  <c r="G355" i="14" s="1"/>
  <c r="K355" i="14" s="1"/>
  <c r="G968" i="14" a="1"/>
  <c r="G968" i="14" s="1"/>
  <c r="K968" i="14" s="1"/>
  <c r="G329" i="14" a="1"/>
  <c r="G329" i="14" s="1"/>
  <c r="K329" i="14" s="1"/>
  <c r="G1345" i="14" a="1"/>
  <c r="G1345" i="14" s="1"/>
  <c r="K1345" i="14" s="1"/>
  <c r="G469" i="14" a="1"/>
  <c r="G469" i="14" s="1"/>
  <c r="K469" i="14" s="1"/>
  <c r="G263" i="14" a="1"/>
  <c r="G263" i="14" s="1"/>
  <c r="K263" i="14" s="1"/>
  <c r="G1057" i="14" a="1"/>
  <c r="G1057" i="14" s="1"/>
  <c r="K1057" i="14" s="1"/>
  <c r="G913" i="14" a="1"/>
  <c r="G913" i="14" s="1"/>
  <c r="K913" i="14" s="1"/>
  <c r="G1309" i="14" a="1"/>
  <c r="G1309" i="14" s="1"/>
  <c r="K1309" i="14" s="1"/>
  <c r="G176" i="14" a="1"/>
  <c r="G176" i="14" s="1"/>
  <c r="K176" i="14" s="1"/>
  <c r="G830" i="14" a="1"/>
  <c r="G830" i="14" s="1"/>
  <c r="K830" i="14" s="1"/>
  <c r="G534" i="14" a="1"/>
  <c r="G534" i="14" s="1"/>
  <c r="K534" i="14" s="1"/>
  <c r="G1083" i="14" a="1"/>
  <c r="G1083" i="14" s="1"/>
  <c r="K1083" i="14" s="1"/>
  <c r="G1328" i="14" a="1"/>
  <c r="G1328" i="14" s="1"/>
  <c r="K1328" i="14" s="1"/>
  <c r="G722" i="14" a="1"/>
  <c r="G722" i="14" s="1"/>
  <c r="K722" i="14" s="1"/>
  <c r="G791" i="14" a="1"/>
  <c r="G791" i="14" s="1"/>
  <c r="K791" i="14" s="1"/>
  <c r="G998" i="14" a="1"/>
  <c r="G998" i="14" s="1"/>
  <c r="K998" i="14" s="1"/>
  <c r="G1343" i="14" a="1"/>
  <c r="G1343" i="14" s="1"/>
  <c r="K1343" i="14" s="1"/>
  <c r="G577" i="14" a="1"/>
  <c r="G577" i="14" s="1"/>
  <c r="K577" i="14" s="1"/>
  <c r="G873" i="14" a="1"/>
  <c r="G873" i="14" s="1"/>
  <c r="K873" i="14" s="1"/>
  <c r="G1008" i="14" a="1"/>
  <c r="G1008" i="14" s="1"/>
  <c r="K1008" i="14" s="1"/>
  <c r="G1323" i="14" a="1"/>
  <c r="G1323" i="14" s="1"/>
  <c r="K1323" i="14" s="1"/>
  <c r="G581" i="14" a="1"/>
  <c r="G581" i="14" s="1"/>
  <c r="K581" i="14" s="1"/>
  <c r="G795" i="14" a="1"/>
  <c r="G795" i="14" s="1"/>
  <c r="K795" i="14" s="1"/>
  <c r="G1487" i="14" a="1"/>
  <c r="G1487" i="14" s="1"/>
  <c r="K1487" i="14" s="1"/>
  <c r="G98" i="14" a="1"/>
  <c r="G98" i="14" s="1"/>
  <c r="K98" i="14" s="1"/>
  <c r="G1314" i="14" a="1"/>
  <c r="G1314" i="14" s="1"/>
  <c r="K1314" i="14" s="1"/>
  <c r="G1490" i="14" a="1"/>
  <c r="G1490" i="14" s="1"/>
  <c r="K1490" i="14" s="1"/>
  <c r="G780" i="14" a="1"/>
  <c r="G780" i="14" s="1"/>
  <c r="K780" i="14" s="1"/>
  <c r="G466" i="14" a="1"/>
  <c r="G466" i="14" s="1"/>
  <c r="K466" i="14" s="1"/>
  <c r="G1376" i="14" a="1"/>
  <c r="G1376" i="14" s="1"/>
  <c r="K1376" i="14" s="1"/>
  <c r="G626" i="14" a="1"/>
  <c r="G626" i="14" s="1"/>
  <c r="K626" i="14" s="1"/>
  <c r="G393" i="14" a="1"/>
  <c r="G393" i="14" s="1"/>
  <c r="K393" i="14" s="1"/>
  <c r="G1041" i="14" a="1"/>
  <c r="G1041" i="14" s="1"/>
  <c r="K1041" i="14" s="1"/>
  <c r="G923" i="14" a="1"/>
  <c r="G923" i="14" s="1"/>
  <c r="K923" i="14" s="1"/>
  <c r="G1311" i="14" a="1"/>
  <c r="G1311" i="14" s="1"/>
  <c r="K1311" i="14" s="1"/>
  <c r="G182" i="14" a="1"/>
  <c r="G182" i="14" s="1"/>
  <c r="K182" i="14" s="1"/>
  <c r="G848" i="14" a="1"/>
  <c r="G848" i="14" s="1"/>
  <c r="K848" i="14" s="1"/>
  <c r="G1068" i="14" a="1"/>
  <c r="G1068" i="14" s="1"/>
  <c r="K1068" i="14" s="1"/>
  <c r="G1006" i="14" a="1"/>
  <c r="G1006" i="14" s="1"/>
  <c r="K1006" i="14" s="1"/>
  <c r="G1333" i="14" a="1"/>
  <c r="G1333" i="14" s="1"/>
  <c r="K1333" i="14" s="1"/>
  <c r="G268" i="14" a="1"/>
  <c r="G268" i="14" s="1"/>
  <c r="K268" i="14" s="1"/>
  <c r="G750" i="14" a="1"/>
  <c r="G750" i="14" s="1"/>
  <c r="K750" i="14" s="1"/>
  <c r="G595" i="14" a="1"/>
  <c r="G595" i="14" s="1"/>
  <c r="K595" i="14" s="1"/>
  <c r="G1438" i="14" a="1"/>
  <c r="G1438" i="14" s="1"/>
  <c r="K1438" i="14" s="1"/>
  <c r="G1058" i="14" a="1"/>
  <c r="G1058" i="14" s="1"/>
  <c r="K1058" i="14" s="1"/>
  <c r="G232" i="14" a="1"/>
  <c r="G232" i="14" s="1"/>
  <c r="K232" i="14" s="1"/>
  <c r="G1204" i="14" a="1"/>
  <c r="G1204" i="14" s="1"/>
  <c r="K1204" i="14" s="1"/>
  <c r="G277" i="14" a="1"/>
  <c r="G277" i="14" s="1"/>
  <c r="K277" i="14" s="1"/>
  <c r="G1401" i="14" a="1"/>
  <c r="G1401" i="14" s="1"/>
  <c r="K1401" i="14" s="1"/>
  <c r="G597" i="14" a="1"/>
  <c r="G597" i="14" s="1"/>
  <c r="K597" i="14" s="1"/>
  <c r="G1215" i="14" a="1"/>
  <c r="G1215" i="14" s="1"/>
  <c r="K1215" i="14" s="1"/>
  <c r="G130" i="14" a="1"/>
  <c r="G130" i="14" s="1"/>
  <c r="K130" i="14" s="1"/>
  <c r="G1405" i="14" a="1"/>
  <c r="G1405" i="14" s="1"/>
  <c r="K1405" i="14" s="1"/>
  <c r="G578" i="14" a="1"/>
  <c r="G578" i="14" s="1"/>
  <c r="K578" i="14" s="1"/>
  <c r="G1201" i="14" a="1"/>
  <c r="G1201" i="14" s="1"/>
  <c r="K1201" i="14" s="1"/>
  <c r="G239" i="14" a="1"/>
  <c r="G239" i="14" s="1"/>
  <c r="K239" i="14" s="1"/>
  <c r="G1393" i="14" a="1"/>
  <c r="G1393" i="14" s="1"/>
  <c r="K1393" i="14" s="1"/>
  <c r="G835" i="14" a="1"/>
  <c r="G835" i="14" s="1"/>
  <c r="K835" i="14" s="1"/>
  <c r="G143" i="14" a="1"/>
  <c r="G143" i="14" s="1"/>
  <c r="K143" i="14" s="1"/>
  <c r="G1128" i="14" a="1"/>
  <c r="G1128" i="14" s="1"/>
  <c r="K1128" i="14" s="1"/>
  <c r="G291" i="14" a="1"/>
  <c r="G291" i="14" s="1"/>
  <c r="K291" i="14" s="1"/>
  <c r="G1407" i="14" a="1"/>
  <c r="G1407" i="14" s="1"/>
  <c r="K1407" i="14" s="1"/>
  <c r="G870" i="14" a="1"/>
  <c r="G870" i="14" s="1"/>
  <c r="K870" i="14" s="1"/>
  <c r="G153" i="14" a="1"/>
  <c r="G153" i="14" s="1"/>
  <c r="K153" i="14" s="1"/>
  <c r="G1148" i="14" a="1"/>
  <c r="G1148" i="14" s="1"/>
  <c r="K1148" i="14" s="1"/>
  <c r="G363" i="14" a="1"/>
  <c r="G363" i="14" s="1"/>
  <c r="K363" i="14" s="1"/>
  <c r="G1272" i="14" a="1"/>
  <c r="G1272" i="14" s="1"/>
  <c r="K1272" i="14" s="1"/>
  <c r="G681" i="14" a="1"/>
  <c r="G681" i="14" s="1"/>
  <c r="K681" i="14" s="1"/>
  <c r="G236" i="14" a="1"/>
  <c r="G236" i="14" s="1"/>
  <c r="K236" i="14" s="1"/>
  <c r="G1141" i="14" a="1"/>
  <c r="G1141" i="14" s="1"/>
  <c r="K1141" i="14" s="1"/>
  <c r="G1071" i="14" a="1"/>
  <c r="G1071" i="14" s="1"/>
  <c r="K1071" i="14" s="1"/>
  <c r="G1099" i="14" a="1"/>
  <c r="G1099" i="14" s="1"/>
  <c r="K1099" i="14" s="1"/>
  <c r="G810" i="14" a="1"/>
  <c r="G810" i="14" s="1"/>
  <c r="K810" i="14" s="1"/>
  <c r="G1087" i="14" a="1"/>
  <c r="G1087" i="14" s="1"/>
  <c r="K1087" i="14" s="1"/>
  <c r="G155" i="14" a="1"/>
  <c r="G155" i="14" s="1"/>
  <c r="K155" i="14" s="1"/>
  <c r="G1195" i="14" a="1"/>
  <c r="G1195" i="14" s="1"/>
  <c r="K1195" i="14" s="1"/>
  <c r="G772" i="14" a="1"/>
  <c r="G772" i="14" s="1"/>
  <c r="K772" i="14" s="1"/>
  <c r="G837" i="14" a="1"/>
  <c r="G837" i="14" s="1"/>
  <c r="K837" i="14" s="1"/>
  <c r="G1206" i="14" a="1"/>
  <c r="G1206" i="14" s="1"/>
  <c r="K1206" i="14" s="1"/>
  <c r="G1080" i="14" a="1"/>
  <c r="G1080" i="14" s="1"/>
  <c r="K1080" i="14" s="1"/>
  <c r="G1094" i="14" a="1"/>
  <c r="G1094" i="14" s="1"/>
  <c r="K1094" i="14" s="1"/>
  <c r="G731" i="14" a="1"/>
  <c r="G731" i="14" s="1"/>
  <c r="K731" i="14" s="1"/>
  <c r="G1073" i="14" a="1"/>
  <c r="G1073" i="14" s="1"/>
  <c r="K1073" i="14" s="1"/>
  <c r="G184" i="14" a="1"/>
  <c r="G184" i="14" s="1"/>
  <c r="K184" i="14" s="1"/>
  <c r="G4" i="14" a="1"/>
  <c r="G4" i="14" s="1"/>
  <c r="K4" i="14" s="1"/>
  <c r="G741" i="14" a="1"/>
  <c r="G741" i="14" s="1"/>
  <c r="K741" i="14" s="1"/>
  <c r="G726" i="14" a="1"/>
  <c r="G726" i="14" s="1"/>
  <c r="K726" i="14" s="1"/>
  <c r="G1176" i="14" a="1"/>
  <c r="G1176" i="14" s="1"/>
  <c r="K1176" i="14" s="1"/>
  <c r="G345" i="14" a="1"/>
  <c r="G345" i="14" s="1"/>
  <c r="K345" i="14" s="1"/>
  <c r="G1186" i="14" a="1"/>
  <c r="G1186" i="14" s="1"/>
  <c r="K1186" i="14" s="1"/>
  <c r="G753" i="14" a="1"/>
  <c r="G753" i="14" s="1"/>
  <c r="K753" i="14" s="1"/>
  <c r="G874" i="14" a="1"/>
  <c r="G874" i="14" s="1"/>
  <c r="K874" i="14" s="1"/>
  <c r="G1200" i="14" a="1"/>
  <c r="G1200" i="14" s="1"/>
  <c r="K1200" i="14" s="1"/>
  <c r="H285" i="14" a="1"/>
  <c r="H285" i="14" s="1"/>
  <c r="L285" i="14" s="1"/>
  <c r="H558" i="14" a="1"/>
  <c r="H558" i="14" s="1"/>
  <c r="L558" i="14" s="1"/>
  <c r="H61" i="14" a="1"/>
  <c r="H61" i="14" s="1"/>
  <c r="L61" i="14" s="1"/>
  <c r="H686" i="14" a="1"/>
  <c r="H686" i="14" s="1"/>
  <c r="L686" i="14" s="1"/>
  <c r="H1111" i="14" a="1"/>
  <c r="H1111" i="14" s="1"/>
  <c r="H280" i="14" a="1"/>
  <c r="H280" i="14" s="1"/>
  <c r="L280" i="14" s="1"/>
  <c r="H590" i="14" a="1"/>
  <c r="H590" i="14" s="1"/>
  <c r="L590" i="14" s="1"/>
  <c r="H96" i="14" a="1"/>
  <c r="H96" i="14" s="1"/>
  <c r="L96" i="14" s="1"/>
  <c r="H725" i="14" a="1"/>
  <c r="H725" i="14" s="1"/>
  <c r="L725" i="14" s="1"/>
  <c r="H1167" i="14" a="1"/>
  <c r="H1167" i="14" s="1"/>
  <c r="L1167" i="14" s="1"/>
  <c r="H311" i="14" a="1"/>
  <c r="H311" i="14" s="1"/>
  <c r="L311" i="14" s="1"/>
  <c r="H576" i="14" a="1"/>
  <c r="H576" i="14" s="1"/>
  <c r="L576" i="14" s="1"/>
  <c r="H17" i="14" a="1"/>
  <c r="H17" i="14" s="1"/>
  <c r="L17" i="14" s="1"/>
  <c r="H35" i="14" a="1"/>
  <c r="H35" i="14" s="1"/>
  <c r="L35" i="14" s="1"/>
  <c r="H1062" i="14" a="1"/>
  <c r="H1062" i="14" s="1"/>
  <c r="L1062" i="14" s="1"/>
  <c r="H30" i="14" a="1"/>
  <c r="H30" i="14" s="1"/>
  <c r="L30" i="14" s="1"/>
  <c r="H805" i="14" a="1"/>
  <c r="H805" i="14" s="1"/>
  <c r="L805" i="14" s="1"/>
  <c r="H322" i="14" a="1"/>
  <c r="H322" i="14" s="1"/>
  <c r="H994" i="14" a="1"/>
  <c r="H994" i="14" s="1"/>
  <c r="H1193" i="14" a="1"/>
  <c r="H1193" i="14" s="1"/>
  <c r="H811" i="14" a="1"/>
  <c r="H811" i="14" s="1"/>
  <c r="L811" i="14" s="1"/>
  <c r="H290" i="14" a="1"/>
  <c r="H290" i="14" s="1"/>
  <c r="L290" i="14" s="1"/>
  <c r="H861" i="14" a="1"/>
  <c r="H861" i="14" s="1"/>
  <c r="L861" i="14" s="1"/>
  <c r="H1151" i="14" a="1"/>
  <c r="H1151" i="14" s="1"/>
  <c r="L1151" i="14" s="1"/>
  <c r="H844" i="14" a="1"/>
  <c r="H844" i="14" s="1"/>
  <c r="L844" i="14" s="1"/>
  <c r="H315" i="14" a="1"/>
  <c r="H315" i="14" s="1"/>
  <c r="L315" i="14" s="1"/>
  <c r="H905" i="14" a="1"/>
  <c r="H905" i="14" s="1"/>
  <c r="L905" i="14" s="1"/>
  <c r="H1163" i="14" a="1"/>
  <c r="H1163" i="14" s="1"/>
  <c r="H872" i="14" a="1"/>
  <c r="H872" i="14" s="1"/>
  <c r="L872" i="14" s="1"/>
  <c r="H313" i="14" a="1"/>
  <c r="H313" i="14" s="1"/>
  <c r="H901" i="14" a="1"/>
  <c r="H901" i="14" s="1"/>
  <c r="H1162" i="14" a="1"/>
  <c r="H1162" i="14" s="1"/>
  <c r="L1162" i="14" s="1"/>
  <c r="H34" i="14" a="1"/>
  <c r="H34" i="14" s="1"/>
  <c r="L34" i="14" s="1"/>
  <c r="H802" i="14" a="1"/>
  <c r="H802" i="14" s="1"/>
  <c r="L802" i="14" s="1"/>
  <c r="H330" i="14" a="1"/>
  <c r="H330" i="14" s="1"/>
  <c r="L330" i="14" s="1"/>
  <c r="H1007" i="14" a="1"/>
  <c r="H1007" i="14" s="1"/>
  <c r="L1007" i="14" s="1"/>
  <c r="H1196" i="14" a="1"/>
  <c r="H1196" i="14" s="1"/>
  <c r="L1196" i="14" s="1"/>
  <c r="H479" i="14" a="1"/>
  <c r="H479" i="14" s="1"/>
  <c r="L479" i="14" s="1"/>
  <c r="H555" i="14" a="1"/>
  <c r="H555" i="14" s="1"/>
  <c r="L555" i="14" s="1"/>
  <c r="H65" i="14" a="1"/>
  <c r="H65" i="14" s="1"/>
  <c r="L65" i="14" s="1"/>
  <c r="H697" i="14" a="1"/>
  <c r="H697" i="14" s="1"/>
  <c r="L697" i="14" s="1"/>
  <c r="H1152" i="14" a="1"/>
  <c r="H1152" i="14" s="1"/>
  <c r="L1152" i="14" s="1"/>
  <c r="H856" i="14" a="1"/>
  <c r="H856" i="14" s="1"/>
  <c r="H1233" i="14" a="1"/>
  <c r="H1233" i="14" s="1"/>
  <c r="H884" i="14" a="1"/>
  <c r="H884" i="14" s="1"/>
  <c r="L884" i="14" s="1"/>
  <c r="H1150" i="14" a="1"/>
  <c r="H1150" i="14" s="1"/>
  <c r="H1257" i="14" a="1"/>
  <c r="H1257" i="14" s="1"/>
  <c r="L1257" i="14" s="1"/>
  <c r="H453" i="14" a="1"/>
  <c r="H453" i="14" s="1"/>
  <c r="L453" i="14" s="1"/>
  <c r="H728" i="14" a="1"/>
  <c r="H728" i="14" s="1"/>
  <c r="L728" i="14" s="1"/>
  <c r="H544" i="14" a="1"/>
  <c r="H544" i="14" s="1"/>
  <c r="L544" i="14" s="1"/>
  <c r="H341" i="14" a="1"/>
  <c r="H341" i="14" s="1"/>
  <c r="L341" i="14" s="1"/>
  <c r="H921" i="14" a="1"/>
  <c r="H921" i="14" s="1"/>
  <c r="L921" i="14" s="1"/>
  <c r="H398" i="14" a="1"/>
  <c r="H398" i="14" s="1"/>
  <c r="L398" i="14" s="1"/>
  <c r="H553" i="14" a="1"/>
  <c r="H553" i="14" s="1"/>
  <c r="L553" i="14" s="1"/>
  <c r="H431" i="14" a="1"/>
  <c r="H431" i="14" s="1"/>
  <c r="L431" i="14" s="1"/>
  <c r="H439" i="14" a="1"/>
  <c r="H439" i="14" s="1"/>
  <c r="L439" i="14" s="1"/>
  <c r="H812" i="14" a="1"/>
  <c r="H812" i="14" s="1"/>
  <c r="L812" i="14" s="1"/>
  <c r="H539" i="14" a="1"/>
  <c r="H539" i="14" s="1"/>
  <c r="L539" i="14" s="1"/>
  <c r="H120" i="14" a="1"/>
  <c r="H120" i="14" s="1"/>
  <c r="L120" i="14" s="1"/>
  <c r="H666" i="14" a="1"/>
  <c r="H666" i="14" s="1"/>
  <c r="L666" i="14" s="1"/>
  <c r="H841" i="14" a="1"/>
  <c r="H841" i="14" s="1"/>
  <c r="H559" i="14" a="1"/>
  <c r="H559" i="14" s="1"/>
  <c r="L559" i="14" s="1"/>
  <c r="H160" i="14" a="1"/>
  <c r="H160" i="14" s="1"/>
  <c r="H628" i="14" a="1"/>
  <c r="H628" i="14" s="1"/>
  <c r="L628" i="14" s="1"/>
  <c r="H1463" i="14" a="1"/>
  <c r="H1463" i="14" s="1"/>
  <c r="L1463" i="14" s="1"/>
  <c r="H1275" i="14" a="1"/>
  <c r="H1275" i="14" s="1"/>
  <c r="L1275" i="14" s="1"/>
  <c r="H1391" i="14" a="1"/>
  <c r="H1391" i="14" s="1"/>
  <c r="L1391" i="14" s="1"/>
  <c r="H1355" i="14" a="1"/>
  <c r="H1355" i="14" s="1"/>
  <c r="H785" i="14" a="1"/>
  <c r="H785" i="14" s="1"/>
  <c r="L785" i="14" s="1"/>
  <c r="H1428" i="14" a="1"/>
  <c r="H1428" i="14" s="1"/>
  <c r="L1428" i="14" s="1"/>
  <c r="H1218" i="14" a="1"/>
  <c r="H1218" i="14" s="1"/>
  <c r="H1344" i="14" a="1"/>
  <c r="H1344" i="14" s="1"/>
  <c r="L1344" i="14" s="1"/>
  <c r="H1332" i="14" a="1"/>
  <c r="H1332" i="14" s="1"/>
  <c r="L1332" i="14" s="1"/>
  <c r="H773" i="14" a="1"/>
  <c r="H773" i="14" s="1"/>
  <c r="L773" i="14" s="1"/>
  <c r="H1331" i="14" a="1"/>
  <c r="H1331" i="14" s="1"/>
  <c r="H1146" i="14" a="1"/>
  <c r="H1146" i="14" s="1"/>
  <c r="L1146" i="14" s="1"/>
  <c r="H1242" i="14" a="1"/>
  <c r="H1242" i="14" s="1"/>
  <c r="H1203" i="14" a="1"/>
  <c r="H1203" i="14" s="1"/>
  <c r="L1203" i="14" s="1"/>
  <c r="H436" i="14" a="1"/>
  <c r="H436" i="14" s="1"/>
  <c r="L436" i="14" s="1"/>
  <c r="H1379" i="14" a="1"/>
  <c r="H1379" i="14" s="1"/>
  <c r="H1222" i="14" a="1"/>
  <c r="H1222" i="14" s="1"/>
  <c r="L1222" i="14" s="1"/>
  <c r="H1335" i="14" a="1"/>
  <c r="H1335" i="14" s="1"/>
  <c r="L1335" i="14" s="1"/>
  <c r="H1330" i="14" a="1"/>
  <c r="H1330" i="14" s="1"/>
  <c r="L1330" i="14" s="1"/>
  <c r="H860" i="14" a="1"/>
  <c r="H860" i="14" s="1"/>
  <c r="H70" i="14" a="1"/>
  <c r="H70" i="14" s="1"/>
  <c r="L70" i="14" s="1"/>
  <c r="H432" i="14" a="1"/>
  <c r="H432" i="14" s="1"/>
  <c r="L432" i="14" s="1"/>
  <c r="H84" i="14" a="1"/>
  <c r="H84" i="14" s="1"/>
  <c r="L84" i="14" s="1"/>
  <c r="H28" i="14" a="1"/>
  <c r="H28" i="14" s="1"/>
  <c r="L28" i="14" s="1"/>
  <c r="H887" i="14" a="1"/>
  <c r="H887" i="14" s="1"/>
  <c r="H389" i="14" a="1"/>
  <c r="H389" i="14" s="1"/>
  <c r="L389" i="14" s="1"/>
  <c r="H474" i="14" a="1"/>
  <c r="H474" i="14" s="1"/>
  <c r="H104" i="14" a="1"/>
  <c r="H104" i="14" s="1"/>
  <c r="L104" i="14" s="1"/>
  <c r="H575" i="14" a="1"/>
  <c r="H575" i="14" s="1"/>
  <c r="L575" i="14" s="1"/>
  <c r="H937" i="14" a="1"/>
  <c r="H937" i="14" s="1"/>
  <c r="L937" i="14" s="1"/>
  <c r="H265" i="14" a="1"/>
  <c r="H265" i="14" s="1"/>
  <c r="H540" i="14" a="1"/>
  <c r="H540" i="14" s="1"/>
  <c r="L540" i="14" s="1"/>
  <c r="H705" i="14" a="1"/>
  <c r="H705" i="14" s="1"/>
  <c r="L705" i="14" s="1"/>
  <c r="H1037" i="14" a="1"/>
  <c r="H1037" i="14" s="1"/>
  <c r="L1037" i="14" s="1"/>
  <c r="H982" i="14" a="1"/>
  <c r="H982" i="14" s="1"/>
  <c r="H126" i="14" a="1"/>
  <c r="H126" i="14" s="1"/>
  <c r="L126" i="14" s="1"/>
  <c r="H621" i="14" a="1"/>
  <c r="H621" i="14" s="1"/>
  <c r="L621" i="14" s="1"/>
  <c r="H180" i="14" a="1"/>
  <c r="H180" i="14" s="1"/>
  <c r="L180" i="14" s="1"/>
  <c r="H520" i="14" a="1"/>
  <c r="H520" i="14" s="1"/>
  <c r="L520" i="14" s="1"/>
  <c r="H1023" i="14" a="1"/>
  <c r="H1023" i="14" s="1"/>
  <c r="L1023" i="14" s="1"/>
  <c r="H83" i="14" a="1"/>
  <c r="H83" i="14" s="1"/>
  <c r="L83" i="14" s="1"/>
  <c r="H535" i="14" a="1"/>
  <c r="H535" i="14" s="1"/>
  <c r="L535" i="14" s="1"/>
  <c r="H223" i="14" a="1"/>
  <c r="H223" i="14" s="1"/>
  <c r="H766" i="14" a="1"/>
  <c r="H766" i="14" s="1"/>
  <c r="H993" i="14" a="1"/>
  <c r="H993" i="14" s="1"/>
  <c r="L993" i="14" s="1"/>
  <c r="H171" i="14" a="1"/>
  <c r="H171" i="14" s="1"/>
  <c r="L171" i="14" s="1"/>
  <c r="H468" i="14" a="1"/>
  <c r="H468" i="14" s="1"/>
  <c r="L468" i="14" s="1"/>
  <c r="H267" i="14" a="1"/>
  <c r="H267" i="14" s="1"/>
  <c r="L267" i="14" s="1"/>
  <c r="H838" i="14" a="1"/>
  <c r="H838" i="14" s="1"/>
  <c r="H862" i="14" a="1"/>
  <c r="H862" i="14" s="1"/>
  <c r="L862" i="14" s="1"/>
  <c r="H91" i="14" a="1"/>
  <c r="H91" i="14" s="1"/>
  <c r="L91" i="14" s="1"/>
  <c r="H470" i="14" a="1"/>
  <c r="H470" i="14" s="1"/>
  <c r="L470" i="14" s="1"/>
  <c r="H228" i="14" a="1"/>
  <c r="H228" i="14" s="1"/>
  <c r="H770" i="14" a="1"/>
  <c r="H770" i="14" s="1"/>
  <c r="L770" i="14" s="1"/>
  <c r="H1485" i="14" a="1"/>
  <c r="H1485" i="14" s="1"/>
  <c r="L1485" i="14" s="1"/>
  <c r="H1283" i="14" a="1"/>
  <c r="H1283" i="14" s="1"/>
  <c r="L1283" i="14" s="1"/>
  <c r="H1429" i="14" a="1"/>
  <c r="H1429" i="14" s="1"/>
  <c r="L1429" i="14" s="1"/>
  <c r="H1382" i="14" a="1"/>
  <c r="H1382" i="14" s="1"/>
  <c r="L1382" i="14" s="1"/>
  <c r="H775" i="14" a="1"/>
  <c r="H775" i="14" s="1"/>
  <c r="L775" i="14" s="1"/>
  <c r="H337" i="14" a="1"/>
  <c r="H337" i="14" s="1"/>
  <c r="L337" i="14" s="1"/>
  <c r="H517" i="14" a="1"/>
  <c r="H517" i="14" s="1"/>
  <c r="H158" i="14" a="1"/>
  <c r="H158" i="14" s="1"/>
  <c r="L158" i="14" s="1"/>
  <c r="H641" i="14" a="1"/>
  <c r="H641" i="14" s="1"/>
  <c r="H1015" i="14" a="1"/>
  <c r="H1015" i="14" s="1"/>
  <c r="L1015" i="14" s="1"/>
  <c r="H943" i="14" a="1"/>
  <c r="H943" i="14" s="1"/>
  <c r="L943" i="14" s="1"/>
  <c r="H134" i="14" a="1"/>
  <c r="H134" i="14" s="1"/>
  <c r="L134" i="14" s="1"/>
  <c r="H662" i="14" a="1"/>
  <c r="H662" i="14" s="1"/>
  <c r="H189" i="14" a="1"/>
  <c r="H189" i="14" s="1"/>
  <c r="L189" i="14" s="1"/>
  <c r="H530" i="14" a="1"/>
  <c r="H530" i="14" s="1"/>
  <c r="L530" i="14" s="1"/>
  <c r="H983" i="14" a="1"/>
  <c r="H983" i="14" s="1"/>
  <c r="L983" i="14" s="1"/>
  <c r="H121" i="14" a="1"/>
  <c r="H121" i="14" s="1"/>
  <c r="L121" i="14" s="1"/>
  <c r="H704" i="14" a="1"/>
  <c r="H704" i="14" s="1"/>
  <c r="L704" i="14" s="1"/>
  <c r="H566" i="14" a="1"/>
  <c r="H566" i="14" s="1"/>
  <c r="L566" i="14" s="1"/>
  <c r="H8" i="14" a="1"/>
  <c r="H8" i="14" s="1"/>
  <c r="L8" i="14" s="1"/>
  <c r="H911" i="14" a="1"/>
  <c r="H911" i="14" s="1"/>
  <c r="L911" i="14" s="1"/>
  <c r="H384" i="14" a="1"/>
  <c r="H384" i="14" s="1"/>
  <c r="L384" i="14" s="1"/>
  <c r="H893" i="14" a="1"/>
  <c r="H893" i="14" s="1"/>
  <c r="L893" i="14" s="1"/>
  <c r="H1212" i="14" a="1"/>
  <c r="H1212" i="14" s="1"/>
  <c r="L1212" i="14" s="1"/>
  <c r="H284" i="14" a="1"/>
  <c r="H284" i="14" s="1"/>
  <c r="L284" i="14" s="1"/>
  <c r="H793" i="14" a="1"/>
  <c r="H793" i="14" s="1"/>
  <c r="L793" i="14" s="1"/>
  <c r="H282" i="14" a="1"/>
  <c r="H282" i="14" s="1"/>
  <c r="L282" i="14" s="1"/>
  <c r="H761" i="14" a="1"/>
  <c r="H761" i="14" s="1"/>
  <c r="L761" i="14" s="1"/>
  <c r="H217" i="14" a="1"/>
  <c r="H217" i="14" s="1"/>
  <c r="L217" i="14" s="1"/>
  <c r="H788" i="14" a="1"/>
  <c r="H788" i="14" s="1"/>
  <c r="L788" i="14" s="1"/>
  <c r="H264" i="14" a="1"/>
  <c r="H264" i="14" s="1"/>
  <c r="L264" i="14" s="1"/>
  <c r="H751" i="14" a="1"/>
  <c r="H751" i="14" s="1"/>
  <c r="H1207" i="14" a="1"/>
  <c r="H1207" i="14" s="1"/>
  <c r="L1207" i="14" s="1"/>
  <c r="H240" i="14" a="1"/>
  <c r="H240" i="14" s="1"/>
  <c r="L240" i="14" s="1"/>
  <c r="H588" i="14" a="1"/>
  <c r="H588" i="14" s="1"/>
  <c r="L588" i="14" s="1"/>
  <c r="H67" i="14" a="1"/>
  <c r="H67" i="14" s="1"/>
  <c r="L67" i="14" s="1"/>
  <c r="H715" i="14" a="1"/>
  <c r="H715" i="14" s="1"/>
  <c r="L715" i="14" s="1"/>
  <c r="H1109" i="14" a="1"/>
  <c r="H1109" i="14" s="1"/>
  <c r="L1109" i="14" s="1"/>
  <c r="H266" i="14" a="1"/>
  <c r="H266" i="14" s="1"/>
  <c r="L266" i="14" s="1"/>
  <c r="H616" i="14" a="1"/>
  <c r="H616" i="14" s="1"/>
  <c r="L616" i="14" s="1"/>
  <c r="H86" i="14" a="1"/>
  <c r="H86" i="14" s="1"/>
  <c r="L86" i="14" s="1"/>
  <c r="H734" i="14" a="1"/>
  <c r="H734" i="14" s="1"/>
  <c r="L734" i="14" s="1"/>
  <c r="H1126" i="14" a="1"/>
  <c r="H1126" i="14" s="1"/>
  <c r="L1126" i="14" s="1"/>
  <c r="H367" i="14" a="1"/>
  <c r="H367" i="14" s="1"/>
  <c r="L367" i="14" s="1"/>
  <c r="H562" i="14" a="1"/>
  <c r="H562" i="14" s="1"/>
  <c r="L562" i="14" s="1"/>
  <c r="H45" i="14" a="1"/>
  <c r="H45" i="14" s="1"/>
  <c r="L45" i="14" s="1"/>
  <c r="H541" i="14" a="1"/>
  <c r="H541" i="14" s="1"/>
  <c r="L541" i="14" s="1"/>
  <c r="H1078" i="14" a="1"/>
  <c r="H1078" i="14" s="1"/>
  <c r="H1251" i="14" a="1"/>
  <c r="H1251" i="14" s="1"/>
  <c r="L1251" i="14" s="1"/>
  <c r="H524" i="14" a="1"/>
  <c r="H524" i="14" s="1"/>
  <c r="L524" i="14" s="1"/>
  <c r="H878" i="14" a="1"/>
  <c r="H878" i="14" s="1"/>
  <c r="L878" i="14" s="1"/>
  <c r="H549" i="14" a="1"/>
  <c r="H549" i="14" s="1"/>
  <c r="L549" i="14" s="1"/>
  <c r="H152" i="14" a="1"/>
  <c r="H152" i="14" s="1"/>
  <c r="L152" i="14" s="1"/>
  <c r="H1188" i="14" a="1"/>
  <c r="H1188" i="14" s="1"/>
  <c r="H665" i="14" a="1"/>
  <c r="H665" i="14" s="1"/>
  <c r="L665" i="14" s="1"/>
  <c r="H1036" i="14" a="1"/>
  <c r="H1036" i="14" s="1"/>
  <c r="L1036" i="14" s="1"/>
  <c r="H565" i="14" a="1"/>
  <c r="H565" i="14" s="1"/>
  <c r="H932" i="14" a="1"/>
  <c r="H932" i="14" s="1"/>
  <c r="L932" i="14" s="1"/>
  <c r="H510" i="14" a="1"/>
  <c r="H510" i="14" s="1"/>
  <c r="L510" i="14" s="1"/>
  <c r="H826" i="14" a="1"/>
  <c r="H826" i="14" s="1"/>
  <c r="L826" i="14" s="1"/>
  <c r="H531" i="14" a="1"/>
  <c r="H531" i="14" s="1"/>
  <c r="L531" i="14" s="1"/>
  <c r="H1172" i="14" a="1"/>
  <c r="H1172" i="14" s="1"/>
  <c r="L1172" i="14" s="1"/>
  <c r="H676" i="14" a="1"/>
  <c r="H676" i="14" s="1"/>
  <c r="L676" i="14" s="1"/>
  <c r="H956" i="14" a="1"/>
  <c r="H956" i="14" s="1"/>
  <c r="H821" i="14" a="1"/>
  <c r="H821" i="14" s="1"/>
  <c r="H348" i="14" a="1"/>
  <c r="H348" i="14" s="1"/>
  <c r="L348" i="14" s="1"/>
  <c r="H1175" i="14" a="1"/>
  <c r="H1175" i="14" s="1"/>
  <c r="H707" i="14" a="1"/>
  <c r="H707" i="14" s="1"/>
  <c r="L707" i="14" s="1"/>
  <c r="H1056" i="14" a="1"/>
  <c r="H1056" i="14" s="1"/>
  <c r="L1056" i="14" s="1"/>
  <c r="H596" i="14" a="1"/>
  <c r="H596" i="14" s="1"/>
  <c r="L596" i="14" s="1"/>
  <c r="O285" i="14"/>
  <c r="O558" i="14"/>
  <c r="O61" i="14"/>
  <c r="O686" i="14"/>
  <c r="O1111" i="14"/>
  <c r="O280" i="14"/>
  <c r="O590" i="14"/>
  <c r="O96" i="14"/>
  <c r="O725" i="14"/>
  <c r="O1167" i="14"/>
  <c r="O311" i="14"/>
  <c r="O576" i="14"/>
  <c r="O17" i="14"/>
  <c r="O35" i="14"/>
  <c r="O1062" i="14"/>
  <c r="O30" i="14"/>
  <c r="O805" i="14"/>
  <c r="O322" i="14"/>
  <c r="O994" i="14"/>
  <c r="O1193" i="14"/>
  <c r="O811" i="14"/>
  <c r="O290" i="14"/>
  <c r="O861" i="14"/>
  <c r="O1151" i="14"/>
  <c r="O844" i="14"/>
  <c r="O315" i="14"/>
  <c r="O905" i="14"/>
  <c r="O1163" i="14"/>
  <c r="O872" i="14"/>
  <c r="O313" i="14"/>
  <c r="O901" i="14"/>
  <c r="O1162" i="14"/>
  <c r="O34" i="14"/>
  <c r="O802" i="14"/>
  <c r="O330" i="14"/>
  <c r="O1007" i="14"/>
  <c r="O1196" i="14"/>
  <c r="O479" i="14"/>
  <c r="O555" i="14"/>
  <c r="O65" i="14"/>
  <c r="O697" i="14"/>
  <c r="O1152" i="14"/>
  <c r="O856" i="14"/>
  <c r="O1233" i="14"/>
  <c r="O884" i="14"/>
  <c r="O1150" i="14"/>
  <c r="O1257" i="14"/>
  <c r="O453" i="14"/>
  <c r="O728" i="14"/>
  <c r="O544" i="14"/>
  <c r="O341" i="14"/>
  <c r="O921" i="14"/>
  <c r="O398" i="14"/>
  <c r="O553" i="14"/>
  <c r="O431" i="14"/>
  <c r="O439" i="14"/>
  <c r="O812" i="14"/>
  <c r="O539" i="14"/>
  <c r="O120" i="14"/>
  <c r="O666" i="14"/>
  <c r="O841" i="14"/>
  <c r="O559" i="14"/>
  <c r="O160" i="14"/>
  <c r="O628" i="14"/>
  <c r="O1463" i="14"/>
  <c r="O1275" i="14"/>
  <c r="O1391" i="14"/>
  <c r="O1355" i="14"/>
  <c r="O785" i="14"/>
  <c r="O1428" i="14"/>
  <c r="O1218" i="14"/>
  <c r="O1344" i="14"/>
  <c r="O1332" i="14"/>
  <c r="O773" i="14"/>
  <c r="O1331" i="14"/>
  <c r="O1146" i="14"/>
  <c r="O1242" i="14"/>
  <c r="O1203" i="14"/>
  <c r="O436" i="14"/>
  <c r="O1379" i="14"/>
  <c r="O1222" i="14"/>
  <c r="O1335" i="14"/>
  <c r="O1330" i="14"/>
  <c r="O860" i="14"/>
  <c r="O70" i="14"/>
  <c r="O432" i="14"/>
  <c r="O84" i="14"/>
  <c r="O28" i="14"/>
  <c r="O887" i="14"/>
  <c r="O389" i="14"/>
  <c r="O474" i="14"/>
  <c r="O104" i="14"/>
  <c r="O575" i="14"/>
  <c r="O937" i="14"/>
  <c r="O265" i="14"/>
  <c r="O540" i="14"/>
  <c r="O705" i="14"/>
  <c r="O1037" i="14"/>
  <c r="O982" i="14"/>
  <c r="O126" i="14"/>
  <c r="O621" i="14"/>
  <c r="O180" i="14"/>
  <c r="O520" i="14"/>
  <c r="O1023" i="14"/>
  <c r="O83" i="14"/>
  <c r="O535" i="14"/>
  <c r="O223" i="14"/>
  <c r="O766" i="14"/>
  <c r="O993" i="14"/>
  <c r="O171" i="14"/>
  <c r="O468" i="14"/>
  <c r="O267" i="14"/>
  <c r="O838" i="14"/>
  <c r="O862" i="14"/>
  <c r="O91" i="14"/>
  <c r="O470" i="14"/>
  <c r="O228" i="14"/>
  <c r="O770" i="14"/>
  <c r="O1485" i="14"/>
  <c r="O1283" i="14"/>
  <c r="O1429" i="14"/>
  <c r="O1382" i="14"/>
  <c r="O775" i="14"/>
  <c r="O337" i="14"/>
  <c r="O517" i="14"/>
  <c r="O158" i="14"/>
  <c r="O641" i="14"/>
  <c r="O1015" i="14"/>
  <c r="O943" i="14"/>
  <c r="O134" i="14"/>
  <c r="O662" i="14"/>
  <c r="O189" i="14"/>
  <c r="O530" i="14"/>
  <c r="O983" i="14"/>
  <c r="O121" i="14"/>
  <c r="O704" i="14"/>
  <c r="O566" i="14"/>
  <c r="O8" i="14"/>
  <c r="O911" i="14"/>
  <c r="O384" i="14"/>
  <c r="O893" i="14"/>
  <c r="O1212" i="14"/>
  <c r="O284" i="14"/>
  <c r="O793" i="14"/>
  <c r="O282" i="14"/>
  <c r="O761" i="14"/>
  <c r="O217" i="14"/>
  <c r="O788" i="14"/>
  <c r="O264" i="14"/>
  <c r="O751" i="14"/>
  <c r="O1207" i="14"/>
  <c r="O240" i="14"/>
  <c r="O588" i="14"/>
  <c r="O67" i="14"/>
  <c r="O715" i="14"/>
  <c r="O1109" i="14"/>
  <c r="O266" i="14"/>
  <c r="O616" i="14"/>
  <c r="O86" i="14"/>
  <c r="O734" i="14"/>
  <c r="O1126" i="14"/>
  <c r="O367" i="14"/>
  <c r="O562" i="14"/>
  <c r="O45" i="14"/>
  <c r="O541" i="14"/>
  <c r="O1078" i="14"/>
  <c r="O1251" i="14"/>
  <c r="O524" i="14"/>
  <c r="O878" i="14"/>
  <c r="O549" i="14"/>
  <c r="O152" i="14"/>
  <c r="O1188" i="14"/>
  <c r="O665" i="14"/>
  <c r="O1036" i="14"/>
  <c r="O565" i="14"/>
  <c r="O932" i="14"/>
  <c r="O510" i="14"/>
  <c r="O826" i="14"/>
  <c r="O531" i="14"/>
  <c r="O1172" i="14"/>
  <c r="O676" i="14"/>
  <c r="O956" i="14"/>
  <c r="O821" i="14"/>
  <c r="O348" i="14"/>
  <c r="O1175" i="14"/>
  <c r="O707" i="14"/>
  <c r="O1056" i="14"/>
  <c r="O596" i="14"/>
  <c r="G1227" i="14" a="1"/>
  <c r="G1227" i="14" s="1"/>
  <c r="K1227" i="14" s="1"/>
  <c r="G684" i="14" a="1"/>
  <c r="G684" i="14" s="1"/>
  <c r="K684" i="14" s="1"/>
  <c r="G49" i="14" a="1"/>
  <c r="G49" i="14" s="1"/>
  <c r="K49" i="14" s="1"/>
  <c r="G1250" i="14" a="1"/>
  <c r="G1250" i="14" s="1"/>
  <c r="K1250" i="14" s="1"/>
  <c r="G721" i="14" a="1"/>
  <c r="G721" i="14" s="1"/>
  <c r="K721" i="14" s="1"/>
  <c r="G47" i="14" a="1"/>
  <c r="G47" i="14" s="1"/>
  <c r="K47" i="14" s="1"/>
  <c r="G54" i="14" a="1"/>
  <c r="G54" i="14" s="1"/>
  <c r="K54" i="14" s="1"/>
  <c r="G63" i="14" a="1"/>
  <c r="G63" i="14" s="1"/>
  <c r="K63" i="14" s="1"/>
  <c r="G1246" i="14" a="1"/>
  <c r="G1246" i="14" s="1"/>
  <c r="K1246" i="14" s="1"/>
  <c r="G33" i="14" a="1"/>
  <c r="G33" i="14" s="1"/>
  <c r="K33" i="14" s="1"/>
  <c r="G730" i="14" a="1"/>
  <c r="G730" i="14" s="1"/>
  <c r="K730" i="14" s="1"/>
  <c r="G324" i="14" a="1"/>
  <c r="G324" i="14" s="1"/>
  <c r="K324" i="14" s="1"/>
  <c r="G434" i="14" a="1"/>
  <c r="G434" i="14" s="1"/>
  <c r="K434" i="14" s="1"/>
  <c r="G1279" i="14" a="1"/>
  <c r="G1279" i="14" s="1"/>
  <c r="K1279" i="14" s="1"/>
  <c r="G991" i="14" a="1"/>
  <c r="G991" i="14" s="1"/>
  <c r="K991" i="14" s="1"/>
  <c r="G230" i="14" a="1"/>
  <c r="G230" i="14" s="1"/>
  <c r="K230" i="14" s="1"/>
  <c r="G286" i="14" a="1"/>
  <c r="G286" i="14" s="1"/>
  <c r="K286" i="14" s="1"/>
  <c r="G437" i="14" a="1"/>
  <c r="G437" i="14" s="1"/>
  <c r="K437" i="14" s="1"/>
  <c r="G1288" i="14" a="1"/>
  <c r="G1288" i="14" s="1"/>
  <c r="K1288" i="14" s="1"/>
  <c r="G880" i="14" a="1"/>
  <c r="G880" i="14" s="1"/>
  <c r="K880" i="14" s="1"/>
  <c r="G197" i="14" a="1"/>
  <c r="G197" i="14" s="1"/>
  <c r="K197" i="14" s="1"/>
  <c r="G309" i="14" a="1"/>
  <c r="G309" i="14" s="1"/>
  <c r="K309" i="14" s="1"/>
  <c r="G416" i="14" a="1"/>
  <c r="G416" i="14" s="1"/>
  <c r="K416" i="14" s="1"/>
  <c r="G1293" i="14" a="1"/>
  <c r="G1293" i="14" s="1"/>
  <c r="K1293" i="14" s="1"/>
  <c r="G900" i="14" a="1"/>
  <c r="G900" i="14" s="1"/>
  <c r="K900" i="14" s="1"/>
  <c r="G208" i="14" a="1"/>
  <c r="G208" i="14" s="1"/>
  <c r="K208" i="14" s="1"/>
  <c r="G304" i="14" a="1"/>
  <c r="G304" i="14" s="1"/>
  <c r="K304" i="14" s="1"/>
  <c r="G422" i="14" a="1"/>
  <c r="G422" i="14" s="1"/>
  <c r="K422" i="14" s="1"/>
  <c r="G1302" i="14" a="1"/>
  <c r="G1302" i="14" s="1"/>
  <c r="K1302" i="14" s="1"/>
  <c r="G904" i="14" a="1"/>
  <c r="G904" i="14" s="1"/>
  <c r="K904" i="14" s="1"/>
  <c r="G204" i="14" a="1"/>
  <c r="G204" i="14" s="1"/>
  <c r="K204" i="14" s="1"/>
  <c r="G339" i="14" a="1"/>
  <c r="G339" i="14" s="1"/>
  <c r="K339" i="14" s="1"/>
  <c r="G442" i="14" a="1"/>
  <c r="G442" i="14" s="1"/>
  <c r="K442" i="14" s="1"/>
  <c r="G1290" i="14" a="1"/>
  <c r="G1290" i="14" s="1"/>
  <c r="K1290" i="14" s="1"/>
  <c r="G1009" i="14" a="1"/>
  <c r="G1009" i="14" s="1"/>
  <c r="K1009" i="14" s="1"/>
  <c r="G238" i="14" a="1"/>
  <c r="G238" i="14" s="1"/>
  <c r="K238" i="14" s="1"/>
  <c r="G1240" i="14" a="1"/>
  <c r="G1240" i="14" s="1"/>
  <c r="K1240" i="14" s="1"/>
  <c r="G694" i="14" a="1"/>
  <c r="G694" i="14" s="1"/>
  <c r="K694" i="14" s="1"/>
  <c r="G73" i="14" a="1"/>
  <c r="G73" i="14" s="1"/>
  <c r="K73" i="14" s="1"/>
  <c r="G299" i="14" a="1"/>
  <c r="G299" i="14" s="1"/>
  <c r="K299" i="14" s="1"/>
  <c r="G414" i="14" a="1"/>
  <c r="G414" i="14" s="1"/>
  <c r="K414" i="14" s="1"/>
  <c r="G1298" i="14" a="1"/>
  <c r="G1298" i="14" s="1"/>
  <c r="K1298" i="14" s="1"/>
  <c r="G886" i="14" a="1"/>
  <c r="G886" i="14" s="1"/>
  <c r="K886" i="14" s="1"/>
  <c r="G200" i="14" a="1"/>
  <c r="G200" i="14" s="1"/>
  <c r="K200" i="14" s="1"/>
  <c r="G672" i="14" a="1"/>
  <c r="G672" i="14" s="1"/>
  <c r="K672" i="14" s="1"/>
  <c r="G664" i="14" a="1"/>
  <c r="G664" i="14" s="1"/>
  <c r="K664" i="14" s="1"/>
  <c r="G755" i="14" a="1"/>
  <c r="G755" i="14" s="1"/>
  <c r="K755" i="14" s="1"/>
  <c r="G526" i="14" a="1"/>
  <c r="G526" i="14" s="1"/>
  <c r="K526" i="14" s="1"/>
  <c r="G737" i="14" a="1"/>
  <c r="G737" i="14" s="1"/>
  <c r="K737" i="14" s="1"/>
  <c r="G610" i="14" a="1"/>
  <c r="G610" i="14" s="1"/>
  <c r="K610" i="14" s="1"/>
  <c r="G655" i="14" a="1"/>
  <c r="G655" i="14" s="1"/>
  <c r="K655" i="14" s="1"/>
  <c r="G1029" i="14" a="1"/>
  <c r="G1029" i="14" s="1"/>
  <c r="K1029" i="14" s="1"/>
  <c r="G396" i="14" a="1"/>
  <c r="G396" i="14" s="1"/>
  <c r="K396" i="14" s="1"/>
  <c r="G579" i="14" a="1"/>
  <c r="G579" i="14" s="1"/>
  <c r="K579" i="14" s="1"/>
  <c r="G557" i="14" a="1"/>
  <c r="G557" i="14" s="1"/>
  <c r="K557" i="14" s="1"/>
  <c r="G556" i="14" a="1"/>
  <c r="G556" i="14" s="1"/>
  <c r="K556" i="14" s="1"/>
  <c r="G1145" i="14" a="1"/>
  <c r="G1145" i="14" s="1"/>
  <c r="K1145" i="14" s="1"/>
  <c r="G90" i="14" a="1"/>
  <c r="G90" i="14" s="1"/>
  <c r="K90" i="14" s="1"/>
  <c r="G587" i="14" a="1"/>
  <c r="G587" i="14" s="1"/>
  <c r="K587" i="14" s="1"/>
  <c r="G567" i="14" a="1"/>
  <c r="G567" i="14" s="1"/>
  <c r="K567" i="14" s="1"/>
  <c r="G573" i="14" a="1"/>
  <c r="G573" i="14" s="1"/>
  <c r="K573" i="14" s="1"/>
  <c r="G1140" i="14" a="1"/>
  <c r="G1140" i="14" s="1"/>
  <c r="K1140" i="14" s="1"/>
  <c r="G115" i="14" a="1"/>
  <c r="G115" i="14" s="1"/>
  <c r="K115" i="14" s="1"/>
  <c r="G631" i="14" a="1"/>
  <c r="G631" i="14" s="1"/>
  <c r="K631" i="14" s="1"/>
  <c r="G1414" i="14" a="1"/>
  <c r="G1414" i="14" s="1"/>
  <c r="K1414" i="14" s="1"/>
  <c r="G1420" i="14" a="1"/>
  <c r="G1420" i="14" s="1"/>
  <c r="K1420" i="14" s="1"/>
  <c r="G492" i="14" a="1"/>
  <c r="G492" i="14" s="1"/>
  <c r="K492" i="14" s="1"/>
  <c r="G1348" i="14" a="1"/>
  <c r="G1348" i="14" s="1"/>
  <c r="K1348" i="14" s="1"/>
  <c r="G1436" i="14" a="1"/>
  <c r="G1436" i="14" s="1"/>
  <c r="K1436" i="14" s="1"/>
  <c r="G1388" i="14" a="1"/>
  <c r="G1388" i="14" s="1"/>
  <c r="K1388" i="14" s="1"/>
  <c r="G1377" i="14" a="1"/>
  <c r="G1377" i="14" s="1"/>
  <c r="K1377" i="14" s="1"/>
  <c r="G428" i="14" a="1"/>
  <c r="G428" i="14" s="1"/>
  <c r="K428" i="14" s="1"/>
  <c r="G1324" i="14" a="1"/>
  <c r="G1324" i="14" s="1"/>
  <c r="K1324" i="14" s="1"/>
  <c r="G1392" i="14" a="1"/>
  <c r="G1392" i="14" s="1"/>
  <c r="K1392" i="14" s="1"/>
  <c r="G1228" i="14" a="1"/>
  <c r="G1228" i="14" s="1"/>
  <c r="K1228" i="14" s="1"/>
  <c r="G1241" i="14" a="1"/>
  <c r="G1241" i="14" s="1"/>
  <c r="K1241" i="14" s="1"/>
  <c r="G1192" i="14" a="1"/>
  <c r="G1192" i="14" s="1"/>
  <c r="K1192" i="14" s="1"/>
  <c r="G1231" i="14" a="1"/>
  <c r="G1231" i="14" s="1"/>
  <c r="K1231" i="14" s="1"/>
  <c r="G1363" i="14" a="1"/>
  <c r="G1363" i="14" s="1"/>
  <c r="K1363" i="14" s="1"/>
  <c r="G1366" i="14" a="1"/>
  <c r="G1366" i="14" s="1"/>
  <c r="K1366" i="14" s="1"/>
  <c r="G498" i="14" a="1"/>
  <c r="G498" i="14" s="1"/>
  <c r="K498" i="14" s="1"/>
  <c r="G1320" i="14" a="1"/>
  <c r="G1320" i="14" s="1"/>
  <c r="K1320" i="14" s="1"/>
  <c r="G1384" i="14" a="1"/>
  <c r="G1384" i="14" s="1"/>
  <c r="K1384" i="14" s="1"/>
  <c r="G106" i="14" a="1"/>
  <c r="G106" i="14" s="1"/>
  <c r="K106" i="14" s="1"/>
  <c r="G128" i="14" a="1"/>
  <c r="G128" i="14" s="1"/>
  <c r="K128" i="14" s="1"/>
  <c r="G454" i="14" a="1"/>
  <c r="G454" i="14" s="1"/>
  <c r="K454" i="14" s="1"/>
  <c r="G547" i="14" a="1"/>
  <c r="G547" i="14" s="1"/>
  <c r="K547" i="14" s="1"/>
  <c r="G140" i="14" a="1"/>
  <c r="G140" i="14" s="1"/>
  <c r="K140" i="14" s="1"/>
  <c r="G132" i="14" a="1"/>
  <c r="G132" i="14" s="1"/>
  <c r="K132" i="14" s="1"/>
  <c r="G150" i="14" a="1"/>
  <c r="G150" i="14" s="1"/>
  <c r="K150" i="14" s="1"/>
  <c r="G1210" i="14" a="1"/>
  <c r="G1210" i="14" s="1"/>
  <c r="K1210" i="14" s="1"/>
  <c r="G571" i="14" a="1"/>
  <c r="G571" i="14" s="1"/>
  <c r="K571" i="14" s="1"/>
  <c r="G168" i="14" a="1"/>
  <c r="G168" i="14" s="1"/>
  <c r="K168" i="14" s="1"/>
  <c r="G62" i="14" a="1"/>
  <c r="G62" i="14" s="1"/>
  <c r="K62" i="14" s="1"/>
  <c r="G64" i="14" a="1"/>
  <c r="G64" i="14" s="1"/>
  <c r="K64" i="14" s="1"/>
  <c r="G1243" i="14" a="1"/>
  <c r="G1243" i="14" s="1"/>
  <c r="K1243" i="14" s="1"/>
  <c r="G471" i="14" a="1"/>
  <c r="G471" i="14" s="1"/>
  <c r="K471" i="14" s="1"/>
  <c r="G66" i="14" a="1"/>
  <c r="G66" i="14" s="1"/>
  <c r="K66" i="14" s="1"/>
  <c r="G594" i="14" a="1"/>
  <c r="G594" i="14" s="1"/>
  <c r="K594" i="14" s="1"/>
  <c r="G603" i="14" a="1"/>
  <c r="G603" i="14" s="1"/>
  <c r="K603" i="14" s="1"/>
  <c r="G1107" i="14" a="1"/>
  <c r="G1107" i="14" s="1"/>
  <c r="K1107" i="14" s="1"/>
  <c r="G178" i="14" a="1"/>
  <c r="G178" i="14" s="1"/>
  <c r="K178" i="14" s="1"/>
  <c r="G782" i="14" a="1"/>
  <c r="G782" i="14" s="1"/>
  <c r="K782" i="14" s="1"/>
  <c r="G767" i="14" a="1"/>
  <c r="G767" i="14" s="1"/>
  <c r="K767" i="14" s="1"/>
  <c r="G779" i="14" a="1"/>
  <c r="G779" i="14" s="1"/>
  <c r="K779" i="14" s="1"/>
  <c r="G1184" i="14" a="1"/>
  <c r="G1184" i="14" s="1"/>
  <c r="K1184" i="14" s="1"/>
  <c r="G952" i="14" a="1"/>
  <c r="G952" i="14" s="1"/>
  <c r="K952" i="14" s="1"/>
  <c r="G679" i="14" a="1"/>
  <c r="G679" i="14" s="1"/>
  <c r="K679" i="14" s="1"/>
  <c r="G696" i="14" a="1"/>
  <c r="G696" i="14" s="1"/>
  <c r="K696" i="14" s="1"/>
  <c r="G1213" i="14" a="1"/>
  <c r="G1213" i="14" s="1"/>
  <c r="K1213" i="14" s="1"/>
  <c r="G834" i="14" a="1"/>
  <c r="G834" i="14" s="1"/>
  <c r="K834" i="14" s="1"/>
  <c r="G683" i="14" a="1"/>
  <c r="G683" i="14" s="1"/>
  <c r="K683" i="14" s="1"/>
  <c r="G693" i="14" a="1"/>
  <c r="G693" i="14" s="1"/>
  <c r="K693" i="14" s="1"/>
  <c r="G1191" i="14" a="1"/>
  <c r="G1191" i="14" s="1"/>
  <c r="K1191" i="14" s="1"/>
  <c r="G839" i="14" a="1"/>
  <c r="G839" i="14" s="1"/>
  <c r="K839" i="14" s="1"/>
  <c r="G1440" i="14" a="1"/>
  <c r="G1440" i="14" s="1"/>
  <c r="K1440" i="14" s="1"/>
  <c r="G1449" i="14" a="1"/>
  <c r="G1449" i="14" s="1"/>
  <c r="K1449" i="14" s="1"/>
  <c r="G506" i="14" a="1"/>
  <c r="G506" i="14" s="1"/>
  <c r="K506" i="14" s="1"/>
  <c r="G1285" i="14" a="1"/>
  <c r="G1285" i="14" s="1"/>
  <c r="K1285" i="14" s="1"/>
  <c r="G1461" i="14" a="1"/>
  <c r="G1461" i="14" s="1"/>
  <c r="K1461" i="14" s="1"/>
  <c r="G191" i="14" a="1"/>
  <c r="G191" i="14" s="1"/>
  <c r="K191" i="14" s="1"/>
  <c r="G221" i="14" a="1"/>
  <c r="G221" i="14" s="1"/>
  <c r="K221" i="14" s="1"/>
  <c r="G1230" i="14" a="1"/>
  <c r="G1230" i="14" s="1"/>
  <c r="K1230" i="14" s="1"/>
  <c r="G634" i="14" a="1"/>
  <c r="G634" i="14" s="1"/>
  <c r="K634" i="14" s="1"/>
  <c r="G241" i="14" a="1"/>
  <c r="G241" i="14" s="1"/>
  <c r="K241" i="14" s="1"/>
  <c r="G620" i="14" a="1"/>
  <c r="G620" i="14" s="1"/>
  <c r="K620" i="14" s="1"/>
  <c r="G643" i="14" a="1"/>
  <c r="G643" i="14" s="1"/>
  <c r="K643" i="14" s="1"/>
  <c r="G1105" i="14" a="1"/>
  <c r="G1105" i="14" s="1"/>
  <c r="K1105" i="14" s="1"/>
  <c r="G187" i="14" a="1"/>
  <c r="G187" i="14" s="1"/>
  <c r="K187" i="14" s="1"/>
  <c r="G799" i="14" a="1"/>
  <c r="G799" i="14" s="1"/>
  <c r="K799" i="14" s="1"/>
  <c r="G685" i="14" a="1"/>
  <c r="G685" i="14" s="1"/>
  <c r="K685" i="14" s="1"/>
  <c r="G698" i="14" a="1"/>
  <c r="G698" i="14" s="1"/>
  <c r="K698" i="14" s="1"/>
  <c r="G1202" i="14" a="1"/>
  <c r="G1202" i="14" s="1"/>
  <c r="K1202" i="14" s="1"/>
  <c r="G229" i="14" a="1"/>
  <c r="G229" i="14" s="1"/>
  <c r="K229" i="14" s="1"/>
  <c r="G714" i="14" a="1"/>
  <c r="G714" i="14" s="1"/>
  <c r="K714" i="14" s="1"/>
  <c r="G380" i="14" a="1"/>
  <c r="G380" i="14" s="1"/>
  <c r="K380" i="14" s="1"/>
  <c r="G451" i="14" a="1"/>
  <c r="G451" i="14" s="1"/>
  <c r="K451" i="14" s="1"/>
  <c r="G1317" i="14" a="1"/>
  <c r="G1317" i="14" s="1"/>
  <c r="K1317" i="14" s="1"/>
  <c r="G1060" i="14" a="1"/>
  <c r="G1060" i="14" s="1"/>
  <c r="K1060" i="14" s="1"/>
  <c r="G326" i="14" a="1"/>
  <c r="G326" i="14" s="1"/>
  <c r="K326" i="14" s="1"/>
  <c r="G209" i="14" a="1"/>
  <c r="G209" i="14" s="1"/>
  <c r="K209" i="14" s="1"/>
  <c r="G297" i="14" a="1"/>
  <c r="G297" i="14" s="1"/>
  <c r="K297" i="14" s="1"/>
  <c r="G1269" i="14" a="1"/>
  <c r="G1269" i="14" s="1"/>
  <c r="K1269" i="14" s="1"/>
  <c r="G563" i="14" a="1"/>
  <c r="G563" i="14" s="1"/>
  <c r="K563" i="14" s="1"/>
  <c r="G147" i="14" a="1"/>
  <c r="G147" i="14" s="1"/>
  <c r="K147" i="14" s="1"/>
  <c r="G195" i="14" a="1"/>
  <c r="G195" i="14" s="1"/>
  <c r="K195" i="14" s="1"/>
  <c r="G255" i="14" a="1"/>
  <c r="G255" i="14" s="1"/>
  <c r="K255" i="14" s="1"/>
  <c r="G1263" i="14" a="1"/>
  <c r="G1263" i="14" s="1"/>
  <c r="K1263" i="14" s="1"/>
  <c r="G582" i="14" a="1"/>
  <c r="G582" i="14" s="1"/>
  <c r="K582" i="14" s="1"/>
  <c r="G142" i="14" a="1"/>
  <c r="G142" i="14" s="1"/>
  <c r="K142" i="14" s="1"/>
  <c r="G50" i="14" a="1"/>
  <c r="G50" i="14" s="1"/>
  <c r="K50" i="14" s="1"/>
  <c r="G74" i="14" a="1"/>
  <c r="G74" i="14" s="1"/>
  <c r="K74" i="14" s="1"/>
  <c r="G1232" i="14" a="1"/>
  <c r="G1232" i="14" s="1"/>
  <c r="K1232" i="14" s="1"/>
  <c r="G840" i="14" a="1"/>
  <c r="G840" i="14" s="1"/>
  <c r="K840" i="14" s="1"/>
  <c r="G77" i="14" a="1"/>
  <c r="G77" i="14" s="1"/>
  <c r="K77" i="14" s="1"/>
  <c r="G111" i="14" a="1"/>
  <c r="G111" i="14" s="1"/>
  <c r="K111" i="14" s="1"/>
  <c r="G1248" i="14" a="1"/>
  <c r="G1248" i="14" s="1"/>
  <c r="K1248" i="14" s="1"/>
  <c r="G882" i="14" a="1"/>
  <c r="G882" i="14" s="1"/>
  <c r="K882" i="14" s="1"/>
  <c r="G1244" i="14" a="1"/>
  <c r="G1244" i="14" s="1"/>
  <c r="K1244" i="14" s="1"/>
  <c r="G690" i="14" a="1"/>
  <c r="G690" i="14" s="1"/>
  <c r="K690" i="14" s="1"/>
  <c r="G68" i="14" a="1"/>
  <c r="G68" i="14" s="1"/>
  <c r="K68" i="14" s="1"/>
  <c r="G980" i="14" a="1"/>
  <c r="G980" i="14" s="1"/>
  <c r="K980" i="14" s="1"/>
  <c r="G1025" i="14" a="1"/>
  <c r="G1025" i="14" s="1"/>
  <c r="K1025" i="14" s="1"/>
  <c r="G644" i="14" a="1"/>
  <c r="G644" i="14" s="1"/>
  <c r="K644" i="14" s="1"/>
  <c r="G868" i="14" a="1"/>
  <c r="G868" i="14" s="1"/>
  <c r="K868" i="14" s="1"/>
  <c r="G941" i="14" a="1"/>
  <c r="G941" i="14" s="1"/>
  <c r="K941" i="14" s="1"/>
  <c r="G1110" i="14" a="1"/>
  <c r="G1110" i="14" s="1"/>
  <c r="K1110" i="14" s="1"/>
  <c r="G1153" i="14" a="1"/>
  <c r="G1153" i="14" s="1"/>
  <c r="K1153" i="14" s="1"/>
  <c r="G435" i="14" a="1"/>
  <c r="G435" i="14" s="1"/>
  <c r="K435" i="14" s="1"/>
  <c r="G769" i="14" a="1"/>
  <c r="G769" i="14" s="1"/>
  <c r="K769" i="14" s="1"/>
  <c r="G1108" i="14" a="1"/>
  <c r="G1108" i="14" s="1"/>
  <c r="K1108" i="14" s="1"/>
  <c r="G947" i="14" a="1"/>
  <c r="G947" i="14" s="1"/>
  <c r="K947" i="14" s="1"/>
  <c r="G945" i="14" a="1"/>
  <c r="G945" i="14" s="1"/>
  <c r="K945" i="14" s="1"/>
  <c r="G656" i="14" a="1"/>
  <c r="G656" i="14" s="1"/>
  <c r="K656" i="14" s="1"/>
  <c r="G652" i="14" a="1"/>
  <c r="G652" i="14" s="1"/>
  <c r="K652" i="14" s="1"/>
  <c r="G925" i="14" a="1"/>
  <c r="G925" i="14" s="1"/>
  <c r="K925" i="14" s="1"/>
  <c r="G1065" i="14" a="1"/>
  <c r="G1065" i="14" s="1"/>
  <c r="K1065" i="14" s="1"/>
  <c r="G1086" i="14" a="1"/>
  <c r="G1086" i="14" s="1"/>
  <c r="K1086" i="14" s="1"/>
  <c r="G418" i="14" a="1"/>
  <c r="G418" i="14" s="1"/>
  <c r="K418" i="14" s="1"/>
  <c r="G647" i="14" a="1"/>
  <c r="G647" i="14" s="1"/>
  <c r="K647" i="14" s="1"/>
  <c r="G1054" i="14" a="1"/>
  <c r="G1054" i="14" s="1"/>
  <c r="K1054" i="14" s="1"/>
  <c r="G1134" i="14" a="1"/>
  <c r="G1134" i="14" s="1"/>
  <c r="K1134" i="14" s="1"/>
  <c r="G1169" i="14" a="1"/>
  <c r="G1169" i="14" s="1"/>
  <c r="K1169" i="14" s="1"/>
  <c r="G405" i="14" a="1"/>
  <c r="G405" i="14" s="1"/>
  <c r="K405" i="14" s="1"/>
  <c r="G796" i="14" a="1"/>
  <c r="G796" i="14" s="1"/>
  <c r="K796" i="14" s="1"/>
  <c r="G1127" i="14" a="1"/>
  <c r="G1127" i="14" s="1"/>
  <c r="K1127" i="14" s="1"/>
  <c r="H310" i="14" a="1"/>
  <c r="H310" i="14" s="1"/>
  <c r="L310" i="14" s="1"/>
  <c r="H593" i="14" a="1"/>
  <c r="H593" i="14" s="1"/>
  <c r="L593" i="14" s="1"/>
  <c r="H381" i="14" a="1"/>
  <c r="H381" i="14" s="1"/>
  <c r="L381" i="14" s="1"/>
  <c r="H948" i="14" a="1"/>
  <c r="H948" i="14" s="1"/>
  <c r="H308" i="14" a="1"/>
  <c r="H308" i="14" s="1"/>
  <c r="L308" i="14" s="1"/>
  <c r="H624" i="14" a="1"/>
  <c r="H624" i="14" s="1"/>
  <c r="L624" i="14" s="1"/>
  <c r="H659" i="14" a="1"/>
  <c r="H659" i="14" s="1"/>
  <c r="L659" i="14" s="1"/>
  <c r="H383" i="14" a="1"/>
  <c r="H383" i="14" s="1"/>
  <c r="H1017" i="14" a="1"/>
  <c r="H1017" i="14" s="1"/>
  <c r="L1017" i="14" s="1"/>
  <c r="H328" i="14" a="1"/>
  <c r="H328" i="14" s="1"/>
  <c r="L328" i="14" s="1"/>
  <c r="H606" i="14" a="1"/>
  <c r="H606" i="14" s="1"/>
  <c r="L606" i="14" s="1"/>
  <c r="H601" i="14" a="1"/>
  <c r="H601" i="14" s="1"/>
  <c r="H403" i="14" a="1"/>
  <c r="H403" i="14" s="1"/>
  <c r="L403" i="14" s="1"/>
  <c r="H843" i="14" a="1"/>
  <c r="H843" i="14" s="1"/>
  <c r="L843" i="14" s="1"/>
  <c r="H1316" i="14" a="1"/>
  <c r="H1316" i="14" s="1"/>
  <c r="L1316" i="14" s="1"/>
  <c r="H836" i="14" a="1"/>
  <c r="H836" i="14" s="1"/>
  <c r="H897" i="14" a="1"/>
  <c r="H897" i="14" s="1"/>
  <c r="L897" i="14" s="1"/>
  <c r="H1075" i="14" a="1"/>
  <c r="H1075" i="14" s="1"/>
  <c r="L1075" i="14" s="1"/>
  <c r="H842" i="14" a="1"/>
  <c r="H842" i="14" s="1"/>
  <c r="L842" i="14" s="1"/>
  <c r="H825" i="14" a="1"/>
  <c r="H825" i="14" s="1"/>
  <c r="H16" i="14" a="1"/>
  <c r="H16" i="14" s="1"/>
  <c r="H996" i="14" a="1"/>
  <c r="H996" i="14" s="1"/>
  <c r="L996" i="14" s="1"/>
  <c r="H877" i="14" a="1"/>
  <c r="H877" i="14" s="1"/>
  <c r="L877" i="14" s="1"/>
  <c r="H852" i="14" a="1"/>
  <c r="H852" i="14" s="1"/>
  <c r="H27" i="14" a="1"/>
  <c r="H27" i="14" s="1"/>
  <c r="H1013" i="14" a="1"/>
  <c r="H1013" i="14" s="1"/>
  <c r="H918" i="14" a="1"/>
  <c r="H918" i="14" s="1"/>
  <c r="L918" i="14" s="1"/>
  <c r="H850" i="14" a="1"/>
  <c r="H850" i="14" s="1"/>
  <c r="H26" i="14" a="1"/>
  <c r="H26" i="14" s="1"/>
  <c r="H1021" i="14" a="1"/>
  <c r="H1021" i="14" s="1"/>
  <c r="H99" i="14" a="1"/>
  <c r="H99" i="14" s="1"/>
  <c r="L99" i="14" s="1"/>
  <c r="H829" i="14" a="1"/>
  <c r="H829" i="14" s="1"/>
  <c r="L829" i="14" s="1"/>
  <c r="H914" i="14" a="1"/>
  <c r="H914" i="14" s="1"/>
  <c r="L914" i="14" s="1"/>
  <c r="H1081" i="14" a="1"/>
  <c r="H1081" i="14" s="1"/>
  <c r="H502" i="14" a="1"/>
  <c r="H502" i="14" s="1"/>
  <c r="L502" i="14" s="1"/>
  <c r="H572" i="14" a="1"/>
  <c r="H572" i="14" s="1"/>
  <c r="H602" i="14" a="1"/>
  <c r="H602" i="14" s="1"/>
  <c r="L602" i="14" s="1"/>
  <c r="H450" i="14" a="1"/>
  <c r="H450" i="14" s="1"/>
  <c r="L450" i="14" s="1"/>
  <c r="H944" i="14" a="1"/>
  <c r="H944" i="14" s="1"/>
  <c r="L944" i="14" s="1"/>
  <c r="H60" i="14" a="1"/>
  <c r="H60" i="14" s="1"/>
  <c r="L60" i="14" s="1"/>
  <c r="H906" i="14" a="1"/>
  <c r="H906" i="14" s="1"/>
  <c r="L906" i="14" s="1"/>
  <c r="H832" i="14" a="1"/>
  <c r="H832" i="14" s="1"/>
  <c r="L832" i="14" s="1"/>
  <c r="H21" i="14" a="1"/>
  <c r="H21" i="14" s="1"/>
  <c r="H987" i="14" a="1"/>
  <c r="H987" i="14" s="1"/>
  <c r="L987" i="14" s="1"/>
  <c r="H1271" i="14" a="1"/>
  <c r="H1271" i="14" s="1"/>
  <c r="L1271" i="14" s="1"/>
  <c r="H425" i="14" a="1"/>
  <c r="H425" i="14" s="1"/>
  <c r="L425" i="14" s="1"/>
  <c r="H488" i="14" a="1"/>
  <c r="H488" i="14" s="1"/>
  <c r="L488" i="14" s="1"/>
  <c r="H1047" i="14" a="1"/>
  <c r="H1047" i="14" s="1"/>
  <c r="L1047" i="14" s="1"/>
  <c r="H57" i="14" a="1"/>
  <c r="H57" i="14" s="1"/>
  <c r="L57" i="14" s="1"/>
  <c r="H922" i="14" a="1"/>
  <c r="H922" i="14" s="1"/>
  <c r="H354" i="14" a="1"/>
  <c r="H354" i="14" s="1"/>
  <c r="H370" i="14" a="1"/>
  <c r="H370" i="14" s="1"/>
  <c r="L370" i="14" s="1"/>
  <c r="H1001" i="14" a="1"/>
  <c r="H1001" i="14" s="1"/>
  <c r="L1001" i="14" s="1"/>
  <c r="H203" i="14" a="1"/>
  <c r="H203" i="14" s="1"/>
  <c r="L203" i="14" s="1"/>
  <c r="H847" i="14" a="1"/>
  <c r="H847" i="14" s="1"/>
  <c r="L847" i="14" s="1"/>
  <c r="H125" i="14" a="1"/>
  <c r="H125" i="14" s="1"/>
  <c r="L125" i="14" s="1"/>
  <c r="H912" i="14" a="1"/>
  <c r="H912" i="14" s="1"/>
  <c r="L912" i="14" s="1"/>
  <c r="H511" i="14" a="1"/>
  <c r="H511" i="14" s="1"/>
  <c r="H889" i="14" a="1"/>
  <c r="H889" i="14" s="1"/>
  <c r="L889" i="14" s="1"/>
  <c r="H161" i="14" a="1"/>
  <c r="H161" i="14" s="1"/>
  <c r="L161" i="14" s="1"/>
  <c r="H931" i="14" a="1"/>
  <c r="H931" i="14" s="1"/>
  <c r="H486" i="14" a="1"/>
  <c r="H486" i="14" s="1"/>
  <c r="L486" i="14" s="1"/>
  <c r="H1467" i="14" a="1"/>
  <c r="H1467" i="14" s="1"/>
  <c r="L1467" i="14" s="1"/>
  <c r="H1281" i="14" a="1"/>
  <c r="H1281" i="14" s="1"/>
  <c r="L1281" i="14" s="1"/>
  <c r="H1266" i="14" a="1"/>
  <c r="H1266" i="14" s="1"/>
  <c r="L1266" i="14" s="1"/>
  <c r="H1476" i="14" a="1"/>
  <c r="H1476" i="14" s="1"/>
  <c r="L1476" i="14" s="1"/>
  <c r="H1113" i="14" a="1"/>
  <c r="H1113" i="14" s="1"/>
  <c r="L1113" i="14" s="1"/>
  <c r="H1432" i="14" a="1"/>
  <c r="H1432" i="14" s="1"/>
  <c r="L1432" i="14" s="1"/>
  <c r="H1223" i="14" a="1"/>
  <c r="H1223" i="14" s="1"/>
  <c r="H1308" i="14" a="1"/>
  <c r="H1308" i="14" s="1"/>
  <c r="L1308" i="14" s="1"/>
  <c r="H1439" i="14" a="1"/>
  <c r="H1439" i="14" s="1"/>
  <c r="L1439" i="14" s="1"/>
  <c r="H1095" i="14" a="1"/>
  <c r="H1095" i="14" s="1"/>
  <c r="L1095" i="14" s="1"/>
  <c r="H1346" i="14" a="1"/>
  <c r="H1346" i="14" s="1"/>
  <c r="L1346" i="14" s="1"/>
  <c r="H1139" i="14" a="1"/>
  <c r="H1139" i="14" s="1"/>
  <c r="L1139" i="14" s="1"/>
  <c r="H1106" i="14" a="1"/>
  <c r="H1106" i="14" s="1"/>
  <c r="L1106" i="14" s="1"/>
  <c r="H1318" i="14" a="1"/>
  <c r="H1318" i="14" s="1"/>
  <c r="L1318" i="14" s="1"/>
  <c r="H657" i="14" a="1"/>
  <c r="H657" i="14" s="1"/>
  <c r="H1389" i="14" a="1"/>
  <c r="H1389" i="14" s="1"/>
  <c r="L1389" i="14" s="1"/>
  <c r="H1220" i="14" a="1"/>
  <c r="H1220" i="14" s="1"/>
  <c r="L1220" i="14" s="1"/>
  <c r="H1307" i="14" a="1"/>
  <c r="H1307" i="14" s="1"/>
  <c r="L1307" i="14" s="1"/>
  <c r="H1435" i="14" a="1"/>
  <c r="H1435" i="14" s="1"/>
  <c r="L1435" i="14" s="1"/>
  <c r="H1130" i="14" a="1"/>
  <c r="H1130" i="14" s="1"/>
  <c r="L1130" i="14" s="1"/>
  <c r="H100" i="14" a="1"/>
  <c r="H100" i="14" s="1"/>
  <c r="L100" i="14" s="1"/>
  <c r="H458" i="14" a="1"/>
  <c r="H458" i="14" s="1"/>
  <c r="L458" i="14" s="1"/>
  <c r="H448" i="14" a="1"/>
  <c r="H448" i="14" s="1"/>
  <c r="H444" i="14" a="1"/>
  <c r="H444" i="14" s="1"/>
  <c r="L444" i="14" s="1"/>
  <c r="H667" i="14" a="1"/>
  <c r="H667" i="14" s="1"/>
  <c r="L667" i="14" s="1"/>
  <c r="H420" i="14" a="1"/>
  <c r="H420" i="14" s="1"/>
  <c r="L420" i="14" s="1"/>
  <c r="H496" i="14" a="1"/>
  <c r="H496" i="14" s="1"/>
  <c r="L496" i="14" s="1"/>
  <c r="H586" i="14" a="1"/>
  <c r="H586" i="14" s="1"/>
  <c r="H478" i="14" a="1"/>
  <c r="H478" i="14" s="1"/>
  <c r="L478" i="14" s="1"/>
  <c r="H820" i="14" a="1"/>
  <c r="H820" i="14" s="1"/>
  <c r="H312" i="14" a="1"/>
  <c r="H312" i="14" s="1"/>
  <c r="L312" i="14" s="1"/>
  <c r="H560" i="14" a="1"/>
  <c r="H560" i="14" s="1"/>
  <c r="L560" i="14" s="1"/>
  <c r="H622" i="14" a="1"/>
  <c r="H622" i="14" s="1"/>
  <c r="L622" i="14" s="1"/>
  <c r="H385" i="14" a="1"/>
  <c r="H385" i="14" s="1"/>
  <c r="L385" i="14" s="1"/>
  <c r="H827" i="14" a="1"/>
  <c r="H827" i="14" s="1"/>
  <c r="L827" i="14" s="1"/>
  <c r="H1022" i="14" a="1"/>
  <c r="H1022" i="14" s="1"/>
  <c r="L1022" i="14" s="1"/>
  <c r="H162" i="14" a="1"/>
  <c r="H162" i="14" s="1"/>
  <c r="L162" i="14" s="1"/>
  <c r="H961" i="14" a="1"/>
  <c r="H961" i="14" s="1"/>
  <c r="L961" i="14" s="1"/>
  <c r="H482" i="14" a="1"/>
  <c r="H482" i="14" s="1"/>
  <c r="H1048" i="14" a="1"/>
  <c r="H1048" i="14" s="1"/>
  <c r="L1048" i="14" s="1"/>
  <c r="H108" i="14" a="1"/>
  <c r="H108" i="14" s="1"/>
  <c r="L108" i="14" s="1"/>
  <c r="H272" i="14" a="1"/>
  <c r="H272" i="14" s="1"/>
  <c r="L272" i="14" s="1"/>
  <c r="H1117" i="14" a="1"/>
  <c r="H1117" i="14" s="1"/>
  <c r="L1117" i="14" s="1"/>
  <c r="H651" i="14" a="1"/>
  <c r="H651" i="14" s="1"/>
  <c r="L651" i="14" s="1"/>
  <c r="H1031" i="14" a="1"/>
  <c r="H1031" i="14" s="1"/>
  <c r="L1031" i="14" s="1"/>
  <c r="H215" i="14" a="1"/>
  <c r="H215" i="14" s="1"/>
  <c r="L215" i="14" s="1"/>
  <c r="H175" i="14" a="1"/>
  <c r="H175" i="14" s="1"/>
  <c r="H1059" i="14" a="1"/>
  <c r="H1059" i="14" s="1"/>
  <c r="L1059" i="14" s="1"/>
  <c r="H732" i="14" a="1"/>
  <c r="H732" i="14" s="1"/>
  <c r="L732" i="14" s="1"/>
  <c r="H910" i="14" a="1"/>
  <c r="H910" i="14" s="1"/>
  <c r="L910" i="14" s="1"/>
  <c r="H114" i="14" a="1"/>
  <c r="H114" i="14" s="1"/>
  <c r="L114" i="14" s="1"/>
  <c r="H177" i="14" a="1"/>
  <c r="H177" i="14" s="1"/>
  <c r="L177" i="14" s="1"/>
  <c r="H1061" i="14" a="1"/>
  <c r="H1061" i="14" s="1"/>
  <c r="L1061" i="14" s="1"/>
  <c r="H653" i="14" a="1"/>
  <c r="H653" i="14" s="1"/>
  <c r="L653" i="14" s="1"/>
  <c r="H1494" i="14" a="1"/>
  <c r="H1494" i="14" s="1"/>
  <c r="H1291" i="14" a="1"/>
  <c r="H1291" i="14" s="1"/>
  <c r="L1291" i="14" s="1"/>
  <c r="H1286" i="14" a="1"/>
  <c r="H1286" i="14" s="1"/>
  <c r="L1286" i="14" s="1"/>
  <c r="H1496" i="14" a="1"/>
  <c r="H1496" i="14" s="1"/>
  <c r="L1496" i="14" s="1"/>
  <c r="H1122" i="14" a="1"/>
  <c r="H1122" i="14" s="1"/>
  <c r="L1122" i="14" s="1"/>
  <c r="H374" i="14" a="1"/>
  <c r="H374" i="14" s="1"/>
  <c r="H528" i="14" a="1"/>
  <c r="H528" i="14" s="1"/>
  <c r="L528" i="14" s="1"/>
  <c r="H630" i="14" a="1"/>
  <c r="H630" i="14" s="1"/>
  <c r="H515" i="14" a="1"/>
  <c r="H515" i="14" s="1"/>
  <c r="L515" i="14" s="1"/>
  <c r="H909" i="14" a="1"/>
  <c r="H909" i="14" s="1"/>
  <c r="L909" i="14" s="1"/>
  <c r="H979" i="14" a="1"/>
  <c r="H979" i="14" s="1"/>
  <c r="L979" i="14" s="1"/>
  <c r="H167" i="14" a="1"/>
  <c r="H167" i="14" s="1"/>
  <c r="L167" i="14" s="1"/>
  <c r="H978" i="14" a="1"/>
  <c r="H978" i="14" s="1"/>
  <c r="L978" i="14" s="1"/>
  <c r="H505" i="14" a="1"/>
  <c r="H505" i="14" s="1"/>
  <c r="H1030" i="14" a="1"/>
  <c r="H1030" i="14" s="1"/>
  <c r="L1030" i="14" s="1"/>
  <c r="H159" i="14" a="1"/>
  <c r="H159" i="14" s="1"/>
  <c r="H179" i="14" a="1"/>
  <c r="H179" i="14" s="1"/>
  <c r="L179" i="14" s="1"/>
  <c r="H894" i="14" a="1"/>
  <c r="H894" i="14" s="1"/>
  <c r="L894" i="14" s="1"/>
  <c r="H532" i="14" a="1"/>
  <c r="H532" i="14" s="1"/>
  <c r="L532" i="14" s="1"/>
  <c r="H9" i="14" a="1"/>
  <c r="H9" i="14" s="1"/>
  <c r="L9" i="14" s="1"/>
  <c r="H930" i="14" a="1"/>
  <c r="H930" i="14" s="1"/>
  <c r="L930" i="14" s="1"/>
  <c r="H960" i="14" a="1"/>
  <c r="H960" i="14" s="1"/>
  <c r="H1093" i="14" a="1"/>
  <c r="H1093" i="14" s="1"/>
  <c r="H333" i="14" a="1"/>
  <c r="H333" i="14" s="1"/>
  <c r="L333" i="14" s="1"/>
  <c r="H823" i="14" a="1"/>
  <c r="H823" i="14" s="1"/>
  <c r="L823" i="14" s="1"/>
  <c r="H845" i="14" a="1"/>
  <c r="H845" i="14" s="1"/>
  <c r="L845" i="14" s="1"/>
  <c r="H318" i="14" a="1"/>
  <c r="H318" i="14" s="1"/>
  <c r="L318" i="14" s="1"/>
  <c r="H814" i="14" a="1"/>
  <c r="H814" i="14" s="1"/>
  <c r="L814" i="14" s="1"/>
  <c r="H831" i="14" a="1"/>
  <c r="H831" i="14" s="1"/>
  <c r="L831" i="14" s="1"/>
  <c r="H233" i="14" a="1"/>
  <c r="H233" i="14" s="1"/>
  <c r="L233" i="14" s="1"/>
  <c r="H1074" i="14" a="1"/>
  <c r="H1074" i="14" s="1"/>
  <c r="H295" i="14" a="1"/>
  <c r="H295" i="14" s="1"/>
  <c r="L295" i="14" s="1"/>
  <c r="H632" i="14" a="1"/>
  <c r="H632" i="14" s="1"/>
  <c r="L632" i="14" s="1"/>
  <c r="H783" i="14" a="1"/>
  <c r="H783" i="14" s="1"/>
  <c r="L783" i="14" s="1"/>
  <c r="H327" i="14" a="1"/>
  <c r="H327" i="14" s="1"/>
  <c r="L327" i="14" s="1"/>
  <c r="H926" i="14" a="1"/>
  <c r="H926" i="14" s="1"/>
  <c r="L926" i="14" s="1"/>
  <c r="H319" i="14" a="1"/>
  <c r="H319" i="14" s="1"/>
  <c r="L319" i="14" s="1"/>
  <c r="H678" i="14" a="1"/>
  <c r="H678" i="14" s="1"/>
  <c r="L678" i="14" s="1"/>
  <c r="H804" i="14" a="1"/>
  <c r="H804" i="14" s="1"/>
  <c r="H358" i="14" a="1"/>
  <c r="H358" i="14" s="1"/>
  <c r="L358" i="14" s="1"/>
  <c r="H939" i="14" a="1"/>
  <c r="H939" i="14" s="1"/>
  <c r="L939" i="14" s="1"/>
  <c r="H400" i="14" a="1"/>
  <c r="H400" i="14" s="1"/>
  <c r="L400" i="14" s="1"/>
  <c r="H583" i="14" a="1"/>
  <c r="H583" i="14" s="1"/>
  <c r="L583" i="14" s="1"/>
  <c r="H604" i="14" a="1"/>
  <c r="H604" i="14" s="1"/>
  <c r="L604" i="14" s="1"/>
  <c r="H410" i="14" a="1"/>
  <c r="H410" i="14" s="1"/>
  <c r="L410" i="14" s="1"/>
  <c r="H966" i="14" a="1"/>
  <c r="H966" i="14" s="1"/>
  <c r="L966" i="14" s="1"/>
  <c r="H1254" i="14" a="1"/>
  <c r="H1254" i="14" s="1"/>
  <c r="H508" i="14" a="1"/>
  <c r="H508" i="14" s="1"/>
  <c r="L508" i="14" s="1"/>
  <c r="H512" i="14" a="1"/>
  <c r="H512" i="14" s="1"/>
  <c r="L512" i="14" s="1"/>
  <c r="H1101" i="14" a="1"/>
  <c r="H1101" i="14" s="1"/>
  <c r="L1101" i="14" s="1"/>
  <c r="H1199" i="14" a="1"/>
  <c r="H1199" i="14" s="1"/>
  <c r="L1199" i="14" s="1"/>
  <c r="H627" i="14" a="1"/>
  <c r="H627" i="14" s="1"/>
  <c r="L627" i="14" s="1"/>
  <c r="H519" i="14" a="1"/>
  <c r="H519" i="14" s="1"/>
  <c r="L519" i="14" s="1"/>
  <c r="H1211" i="14" a="1"/>
  <c r="H1211" i="14" s="1"/>
  <c r="L1211" i="14" s="1"/>
  <c r="H183" i="14" a="1"/>
  <c r="H183" i="14" s="1"/>
  <c r="H975" i="14" a="1"/>
  <c r="H975" i="14" s="1"/>
  <c r="L975" i="14" s="1"/>
  <c r="H485" i="14" a="1"/>
  <c r="H485" i="14" s="1"/>
  <c r="L485" i="14" s="1"/>
  <c r="H481" i="14" a="1"/>
  <c r="H481" i="14" s="1"/>
  <c r="L481" i="14" s="1"/>
  <c r="H1092" i="14" a="1"/>
  <c r="H1092" i="14" s="1"/>
  <c r="L1092" i="14" s="1"/>
  <c r="H1180" i="14" a="1"/>
  <c r="H1180" i="14" s="1"/>
  <c r="L1180" i="14" s="1"/>
  <c r="H636" i="14" a="1"/>
  <c r="H636" i="14" s="1"/>
  <c r="L636" i="14" s="1"/>
  <c r="H744" i="14" a="1"/>
  <c r="H744" i="14" s="1"/>
  <c r="L744" i="14" s="1"/>
  <c r="H11" i="14" a="1"/>
  <c r="H11" i="14" s="1"/>
  <c r="H1181" i="14" a="1"/>
  <c r="H1181" i="14" s="1"/>
  <c r="L1181" i="14" s="1"/>
  <c r="H669" i="14" a="1"/>
  <c r="H669" i="14" s="1"/>
  <c r="L669" i="14" s="1"/>
  <c r="H533" i="14" a="1"/>
  <c r="H533" i="14" s="1"/>
  <c r="L533" i="14" s="1"/>
  <c r="H1205" i="14" a="1"/>
  <c r="H1205" i="14" s="1"/>
  <c r="L1205" i="14" s="1"/>
  <c r="H185" i="14" a="1"/>
  <c r="H185" i="14" s="1"/>
  <c r="L185" i="14" s="1"/>
  <c r="O310" i="14"/>
  <c r="O593" i="14"/>
  <c r="O381" i="14"/>
  <c r="O948" i="14"/>
  <c r="O308" i="14"/>
  <c r="O624" i="14"/>
  <c r="O659" i="14"/>
  <c r="O383" i="14"/>
  <c r="O1017" i="14"/>
  <c r="O328" i="14"/>
  <c r="O606" i="14"/>
  <c r="O601" i="14"/>
  <c r="O403" i="14"/>
  <c r="O843" i="14"/>
  <c r="O1316" i="14"/>
  <c r="O836" i="14"/>
  <c r="O897" i="14"/>
  <c r="O1075" i="14"/>
  <c r="O842" i="14"/>
  <c r="O825" i="14"/>
  <c r="O16" i="14"/>
  <c r="O996" i="14"/>
  <c r="O877" i="14"/>
  <c r="O852" i="14"/>
  <c r="O27" i="14"/>
  <c r="O1013" i="14"/>
  <c r="O918" i="14"/>
  <c r="O850" i="14"/>
  <c r="O26" i="14"/>
  <c r="O1021" i="14"/>
  <c r="O99" i="14"/>
  <c r="O829" i="14"/>
  <c r="O914" i="14"/>
  <c r="O1081" i="14"/>
  <c r="O502" i="14"/>
  <c r="O572" i="14"/>
  <c r="O602" i="14"/>
  <c r="O450" i="14"/>
  <c r="O944" i="14"/>
  <c r="O60" i="14"/>
  <c r="O906" i="14"/>
  <c r="O832" i="14"/>
  <c r="O21" i="14"/>
  <c r="O987" i="14"/>
  <c r="O1271" i="14"/>
  <c r="O425" i="14"/>
  <c r="O488" i="14"/>
  <c r="O1047" i="14"/>
  <c r="O57" i="14"/>
  <c r="O922" i="14"/>
  <c r="O354" i="14"/>
  <c r="O370" i="14"/>
  <c r="O1001" i="14"/>
  <c r="O203" i="14"/>
  <c r="O847" i="14"/>
  <c r="O125" i="14"/>
  <c r="O912" i="14"/>
  <c r="O511" i="14"/>
  <c r="O889" i="14"/>
  <c r="O161" i="14"/>
  <c r="O931" i="14"/>
  <c r="O486" i="14"/>
  <c r="O1467" i="14"/>
  <c r="O1281" i="14"/>
  <c r="O1266" i="14"/>
  <c r="O1476" i="14"/>
  <c r="O1113" i="14"/>
  <c r="O1432" i="14"/>
  <c r="O1223" i="14"/>
  <c r="O1308" i="14"/>
  <c r="O1439" i="14"/>
  <c r="O1095" i="14"/>
  <c r="O1346" i="14"/>
  <c r="O1139" i="14"/>
  <c r="O1106" i="14"/>
  <c r="O1318" i="14"/>
  <c r="O657" i="14"/>
  <c r="O1389" i="14"/>
  <c r="O1220" i="14"/>
  <c r="O1307" i="14"/>
  <c r="O1435" i="14"/>
  <c r="O1130" i="14"/>
  <c r="O100" i="14"/>
  <c r="O458" i="14"/>
  <c r="O448" i="14"/>
  <c r="O444" i="14"/>
  <c r="O667" i="14"/>
  <c r="O420" i="14"/>
  <c r="O496" i="14"/>
  <c r="O586" i="14"/>
  <c r="O478" i="14"/>
  <c r="O820" i="14"/>
  <c r="O312" i="14"/>
  <c r="O560" i="14"/>
  <c r="O622" i="14"/>
  <c r="O385" i="14"/>
  <c r="O827" i="14"/>
  <c r="O1022" i="14"/>
  <c r="O162" i="14"/>
  <c r="O961" i="14"/>
  <c r="O482" i="14"/>
  <c r="O1048" i="14"/>
  <c r="O108" i="14"/>
  <c r="O272" i="14"/>
  <c r="O1117" i="14"/>
  <c r="O651" i="14"/>
  <c r="O1031" i="14"/>
  <c r="O215" i="14"/>
  <c r="O175" i="14"/>
  <c r="O1059" i="14"/>
  <c r="O732" i="14"/>
  <c r="O910" i="14"/>
  <c r="O114" i="14"/>
  <c r="O177" i="14"/>
  <c r="O1061" i="14"/>
  <c r="O653" i="14"/>
  <c r="O1494" i="14"/>
  <c r="O1291" i="14"/>
  <c r="O1286" i="14"/>
  <c r="O1496" i="14"/>
  <c r="O1122" i="14"/>
  <c r="O374" i="14"/>
  <c r="O528" i="14"/>
  <c r="O630" i="14"/>
  <c r="O515" i="14"/>
  <c r="O909" i="14"/>
  <c r="O979" i="14"/>
  <c r="O167" i="14"/>
  <c r="O978" i="14"/>
  <c r="O505" i="14"/>
  <c r="O1030" i="14"/>
  <c r="O159" i="14"/>
  <c r="O179" i="14"/>
  <c r="O894" i="14"/>
  <c r="O532" i="14"/>
  <c r="O9" i="14"/>
  <c r="O930" i="14"/>
  <c r="O960" i="14"/>
  <c r="O1093" i="14"/>
  <c r="O333" i="14"/>
  <c r="O823" i="14"/>
  <c r="O845" i="14"/>
  <c r="O318" i="14"/>
  <c r="O814" i="14"/>
  <c r="O831" i="14"/>
  <c r="O233" i="14"/>
  <c r="O1074" i="14"/>
  <c r="O295" i="14"/>
  <c r="O632" i="14"/>
  <c r="O783" i="14"/>
  <c r="O327" i="14"/>
  <c r="O926" i="14"/>
  <c r="O319" i="14"/>
  <c r="O678" i="14"/>
  <c r="O804" i="14"/>
  <c r="O358" i="14"/>
  <c r="O939" i="14"/>
  <c r="O400" i="14"/>
  <c r="O583" i="14"/>
  <c r="O604" i="14"/>
  <c r="O410" i="14"/>
  <c r="O966" i="14"/>
  <c r="O1254" i="14"/>
  <c r="O508" i="14"/>
  <c r="O512" i="14"/>
  <c r="O1101" i="14"/>
  <c r="O1199" i="14"/>
  <c r="O627" i="14"/>
  <c r="O519" i="14"/>
  <c r="O1211" i="14"/>
  <c r="O183" i="14"/>
  <c r="O975" i="14"/>
  <c r="O485" i="14"/>
  <c r="O481" i="14"/>
  <c r="O1092" i="14"/>
  <c r="O1180" i="14"/>
  <c r="O636" i="14"/>
  <c r="O744" i="14"/>
  <c r="O11" i="14"/>
  <c r="O1181" i="14"/>
  <c r="O669" i="14"/>
  <c r="O533" i="14"/>
  <c r="O1205" i="14"/>
  <c r="O185" i="14"/>
  <c r="E1147" i="14" a="1"/>
  <c r="E1147" i="14" s="1"/>
  <c r="M1147" i="14" s="1"/>
  <c r="P1147" i="14" s="1"/>
  <c r="E815" i="14" a="1"/>
  <c r="E815" i="14" s="1"/>
  <c r="M815" i="14" s="1"/>
  <c r="P815" i="14" s="1"/>
  <c r="E1158" i="14" a="1"/>
  <c r="E1158" i="14" s="1"/>
  <c r="M1158" i="14" s="1"/>
  <c r="P1158" i="14" s="1"/>
  <c r="E1063" i="14" a="1"/>
  <c r="E1063" i="14" s="1"/>
  <c r="M1063" i="14" s="1"/>
  <c r="P1063" i="14" s="1"/>
  <c r="E789" i="14" a="1"/>
  <c r="E789" i="14" s="1"/>
  <c r="M789" i="14" s="1"/>
  <c r="P789" i="14" s="1"/>
  <c r="E1090" i="14" a="1"/>
  <c r="E1090" i="14" s="1"/>
  <c r="M1090" i="14" s="1"/>
  <c r="P1090" i="14" s="1"/>
  <c r="E1121" i="14" a="1"/>
  <c r="E1121" i="14" s="1"/>
  <c r="M1121" i="14" s="1"/>
  <c r="P1121" i="14" s="1"/>
  <c r="E986" i="14" a="1"/>
  <c r="E986" i="14" s="1"/>
  <c r="M986" i="14" s="1"/>
  <c r="P986" i="14" s="1"/>
  <c r="E1125" i="14" a="1"/>
  <c r="E1125" i="14" s="1"/>
  <c r="M1125" i="14" s="1"/>
  <c r="P1125" i="14" s="1"/>
  <c r="E859" i="14" a="1"/>
  <c r="E859" i="14" s="1"/>
  <c r="M859" i="14" s="1"/>
  <c r="P859" i="14" s="1"/>
  <c r="E1166" i="14" a="1"/>
  <c r="E1166" i="14" s="1"/>
  <c r="M1166" i="14" s="1"/>
  <c r="P1166" i="14" s="1"/>
  <c r="E1138" i="14" a="1"/>
  <c r="E1138" i="14" s="1"/>
  <c r="M1138" i="14" s="1"/>
  <c r="P1138" i="14" s="1"/>
  <c r="E1032" i="14" a="1"/>
  <c r="E1032" i="14" s="1"/>
  <c r="M1032" i="14" s="1"/>
  <c r="P1032" i="14" s="1"/>
  <c r="E101" i="14" a="1"/>
  <c r="E101" i="14" s="1"/>
  <c r="M101" i="14" s="1"/>
  <c r="P101" i="14" s="1"/>
  <c r="E1276" i="14" a="1"/>
  <c r="E1276" i="14" s="1"/>
  <c r="M1276" i="14" s="1"/>
  <c r="P1276" i="14" s="1"/>
  <c r="E1466" i="14" a="1"/>
  <c r="E1466" i="14" s="1"/>
  <c r="M1466" i="14" s="1"/>
  <c r="P1466" i="14" s="1"/>
  <c r="E252" i="14" a="1"/>
  <c r="E252" i="14" s="1"/>
  <c r="M252" i="14" s="1"/>
  <c r="P252" i="14" s="1"/>
  <c r="E1462" i="14" a="1"/>
  <c r="E1462" i="14" s="1"/>
  <c r="M1462" i="14" s="1"/>
  <c r="P1462" i="14" s="1"/>
  <c r="E201" i="14" a="1"/>
  <c r="E201" i="14" s="1"/>
  <c r="M201" i="14" s="1"/>
  <c r="P201" i="14" s="1"/>
  <c r="E154" i="14" a="1"/>
  <c r="E154" i="14" s="1"/>
  <c r="M154" i="14" s="1"/>
  <c r="P154" i="14" s="1"/>
  <c r="E1387" i="14" a="1"/>
  <c r="E1387" i="14" s="1"/>
  <c r="M1387" i="14" s="1"/>
  <c r="P1387" i="14" s="1"/>
  <c r="E199" i="14" a="1"/>
  <c r="E199" i="14" s="1"/>
  <c r="M199" i="14" s="1"/>
  <c r="P199" i="14" s="1"/>
  <c r="E1492" i="14" a="1"/>
  <c r="E1492" i="14" s="1"/>
  <c r="M1492" i="14" s="1"/>
  <c r="P1492" i="14" s="1"/>
  <c r="E274" i="14" a="1"/>
  <c r="E274" i="14" s="1"/>
  <c r="M274" i="14" s="1"/>
  <c r="P274" i="14" s="1"/>
  <c r="E211" i="14" a="1"/>
  <c r="E211" i="14" s="1"/>
  <c r="M211" i="14" s="1"/>
  <c r="P211" i="14" s="1"/>
  <c r="E1495" i="14" a="1"/>
  <c r="E1495" i="14" s="1"/>
  <c r="M1495" i="14" s="1"/>
  <c r="P1495" i="14" s="1"/>
  <c r="E382" i="14" a="1"/>
  <c r="E382" i="14" s="1"/>
  <c r="M382" i="14" s="1"/>
  <c r="P382" i="14" s="1"/>
  <c r="E1383" i="14" a="1"/>
  <c r="E1383" i="14" s="1"/>
  <c r="M1383" i="14" s="1"/>
  <c r="P1383" i="14" s="1"/>
  <c r="E883" i="14" a="1"/>
  <c r="E883" i="14" s="1"/>
  <c r="M883" i="14" s="1"/>
  <c r="P883" i="14" s="1"/>
  <c r="E818" i="14" a="1"/>
  <c r="E818" i="14" s="1"/>
  <c r="M818" i="14" s="1"/>
  <c r="P818" i="14" s="1"/>
  <c r="E1305" i="14" a="1"/>
  <c r="E1305" i="14" s="1"/>
  <c r="M1305" i="14" s="1"/>
  <c r="P1305" i="14" s="1"/>
  <c r="E866" i="14" a="1"/>
  <c r="E866" i="14" s="1"/>
  <c r="M866" i="14" s="1"/>
  <c r="P866" i="14" s="1"/>
  <c r="E271" i="14" a="1"/>
  <c r="E271" i="14" s="1"/>
  <c r="M271" i="14" s="1"/>
  <c r="P271" i="14" s="1"/>
  <c r="E7" i="14" a="1"/>
  <c r="E7" i="14" s="1"/>
  <c r="M7" i="14" s="1"/>
  <c r="P7" i="14" s="1"/>
  <c r="E1465" i="14" a="1"/>
  <c r="E1465" i="14" s="1"/>
  <c r="M1465" i="14" s="1"/>
  <c r="P1465" i="14" s="1"/>
  <c r="E1450" i="14" a="1"/>
  <c r="E1450" i="14" s="1"/>
  <c r="M1450" i="14" s="1"/>
  <c r="P1450" i="14" s="1"/>
  <c r="E1284" i="14" a="1"/>
  <c r="E1284" i="14" s="1"/>
  <c r="M1284" i="14" s="1"/>
  <c r="P1284" i="14" s="1"/>
  <c r="E885" i="14" a="1"/>
  <c r="E885" i="14" s="1"/>
  <c r="M885" i="14" s="1"/>
  <c r="P885" i="14" s="1"/>
  <c r="E869" i="14" a="1"/>
  <c r="E869" i="14" s="1"/>
  <c r="M869" i="14" s="1"/>
  <c r="P869" i="14" s="1"/>
  <c r="E875" i="14" a="1"/>
  <c r="E875" i="14" s="1"/>
  <c r="M875" i="14" s="1"/>
  <c r="P875" i="14" s="1"/>
  <c r="E988" i="14" a="1"/>
  <c r="E988" i="14" s="1"/>
  <c r="M988" i="14" s="1"/>
  <c r="P988" i="14" s="1"/>
  <c r="E1325" i="14" a="1"/>
  <c r="E1325" i="14" s="1"/>
  <c r="M1325" i="14" s="1"/>
  <c r="P1325" i="14" s="1"/>
  <c r="E807" i="14" a="1"/>
  <c r="E807" i="14" s="1"/>
  <c r="M807" i="14" s="1"/>
  <c r="P807" i="14" s="1"/>
  <c r="E1287" i="14" a="1"/>
  <c r="E1287" i="14" s="1"/>
  <c r="M1287" i="14" s="1"/>
  <c r="P1287" i="14" s="1"/>
  <c r="E833" i="14" a="1"/>
  <c r="E833" i="14" s="1"/>
  <c r="M833" i="14" s="1"/>
  <c r="P833" i="14" s="1"/>
  <c r="E87" i="14" a="1"/>
  <c r="E87" i="14" s="1"/>
  <c r="M87" i="14" s="1"/>
  <c r="P87" i="14" s="1"/>
  <c r="E1334" i="14" a="1"/>
  <c r="E1334" i="14" s="1"/>
  <c r="M1334" i="14" s="1"/>
  <c r="P1334" i="14" s="1"/>
  <c r="E95" i="14" a="1"/>
  <c r="E95" i="14" s="1"/>
  <c r="M95" i="14" s="1"/>
  <c r="P95" i="14" s="1"/>
  <c r="E52" i="14" a="1"/>
  <c r="E52" i="14" s="1"/>
  <c r="M52" i="14" s="1"/>
  <c r="P52" i="14" s="1"/>
  <c r="E1127" i="14" a="1"/>
  <c r="E1127" i="14" s="1"/>
  <c r="M1127" i="14" s="1"/>
  <c r="P1127" i="14" s="1"/>
  <c r="E796" i="14" a="1"/>
  <c r="E796" i="14" s="1"/>
  <c r="M796" i="14" s="1"/>
  <c r="P796" i="14" s="1"/>
  <c r="E405" i="14" a="1"/>
  <c r="E405" i="14" s="1"/>
  <c r="M405" i="14" s="1"/>
  <c r="P405" i="14" s="1"/>
  <c r="E1169" i="14" a="1"/>
  <c r="E1169" i="14" s="1"/>
  <c r="M1169" i="14" s="1"/>
  <c r="P1169" i="14" s="1"/>
  <c r="E1134" i="14" a="1"/>
  <c r="E1134" i="14" s="1"/>
  <c r="M1134" i="14" s="1"/>
  <c r="P1134" i="14" s="1"/>
  <c r="E1054" i="14" a="1"/>
  <c r="E1054" i="14" s="1"/>
  <c r="M1054" i="14" s="1"/>
  <c r="P1054" i="14" s="1"/>
  <c r="E647" i="14" a="1"/>
  <c r="E647" i="14" s="1"/>
  <c r="M647" i="14" s="1"/>
  <c r="P647" i="14" s="1"/>
  <c r="E418" i="14" a="1"/>
  <c r="E418" i="14" s="1"/>
  <c r="M418" i="14" s="1"/>
  <c r="P418" i="14" s="1"/>
  <c r="E1086" i="14" a="1"/>
  <c r="E1086" i="14" s="1"/>
  <c r="M1086" i="14" s="1"/>
  <c r="P1086" i="14" s="1"/>
  <c r="E1065" i="14" a="1"/>
  <c r="E1065" i="14" s="1"/>
  <c r="M1065" i="14" s="1"/>
  <c r="P1065" i="14" s="1"/>
  <c r="E925" i="14" a="1"/>
  <c r="E925" i="14" s="1"/>
  <c r="M925" i="14" s="1"/>
  <c r="P925" i="14" s="1"/>
  <c r="E652" i="14" a="1"/>
  <c r="E652" i="14" s="1"/>
  <c r="M652" i="14" s="1"/>
  <c r="P652" i="14" s="1"/>
  <c r="E656" i="14" a="1"/>
  <c r="E656" i="14" s="1"/>
  <c r="M656" i="14" s="1"/>
  <c r="P656" i="14" s="1"/>
  <c r="E945" i="14" a="1"/>
  <c r="E945" i="14" s="1"/>
  <c r="M945" i="14" s="1"/>
  <c r="P945" i="14" s="1"/>
  <c r="E947" i="14" a="1"/>
  <c r="E947" i="14" s="1"/>
  <c r="M947" i="14" s="1"/>
  <c r="P947" i="14" s="1"/>
  <c r="E1108" i="14" a="1"/>
  <c r="E1108" i="14" s="1"/>
  <c r="M1108" i="14" s="1"/>
  <c r="P1108" i="14" s="1"/>
  <c r="E769" i="14" a="1"/>
  <c r="E769" i="14" s="1"/>
  <c r="M769" i="14" s="1"/>
  <c r="P769" i="14" s="1"/>
  <c r="E435" i="14" a="1"/>
  <c r="E435" i="14" s="1"/>
  <c r="M435" i="14" s="1"/>
  <c r="P435" i="14" s="1"/>
  <c r="E1153" i="14" a="1"/>
  <c r="E1153" i="14" s="1"/>
  <c r="M1153" i="14" s="1"/>
  <c r="P1153" i="14" s="1"/>
  <c r="E1110" i="14" a="1"/>
  <c r="E1110" i="14" s="1"/>
  <c r="M1110" i="14" s="1"/>
  <c r="P1110" i="14" s="1"/>
  <c r="E941" i="14" a="1"/>
  <c r="E941" i="14" s="1"/>
  <c r="M941" i="14" s="1"/>
  <c r="P941" i="14" s="1"/>
  <c r="E868" i="14" a="1"/>
  <c r="E868" i="14" s="1"/>
  <c r="M868" i="14" s="1"/>
  <c r="P868" i="14" s="1"/>
  <c r="E644" i="14" a="1"/>
  <c r="E644" i="14" s="1"/>
  <c r="M644" i="14" s="1"/>
  <c r="P644" i="14" s="1"/>
  <c r="E1025" i="14" a="1"/>
  <c r="E1025" i="14" s="1"/>
  <c r="M1025" i="14" s="1"/>
  <c r="P1025" i="14" s="1"/>
  <c r="E980" i="14" a="1"/>
  <c r="E980" i="14" s="1"/>
  <c r="M980" i="14" s="1"/>
  <c r="P980" i="14" s="1"/>
  <c r="E68" i="14" a="1"/>
  <c r="E68" i="14" s="1"/>
  <c r="M68" i="14" s="1"/>
  <c r="P68" i="14" s="1"/>
  <c r="E690" i="14" a="1"/>
  <c r="E690" i="14" s="1"/>
  <c r="M690" i="14" s="1"/>
  <c r="P690" i="14" s="1"/>
  <c r="E1244" i="14" a="1"/>
  <c r="E1244" i="14" s="1"/>
  <c r="M1244" i="14" s="1"/>
  <c r="P1244" i="14" s="1"/>
  <c r="E882" i="14" a="1"/>
  <c r="E882" i="14" s="1"/>
  <c r="M882" i="14" s="1"/>
  <c r="P882" i="14" s="1"/>
  <c r="E1248" i="14" a="1"/>
  <c r="E1248" i="14" s="1"/>
  <c r="M1248" i="14" s="1"/>
  <c r="P1248" i="14" s="1"/>
  <c r="E111" i="14" a="1"/>
  <c r="E111" i="14" s="1"/>
  <c r="M111" i="14" s="1"/>
  <c r="P111" i="14" s="1"/>
  <c r="E77" i="14" a="1"/>
  <c r="E77" i="14" s="1"/>
  <c r="M77" i="14" s="1"/>
  <c r="P77" i="14" s="1"/>
  <c r="E840" i="14" a="1"/>
  <c r="E840" i="14" s="1"/>
  <c r="M840" i="14" s="1"/>
  <c r="P840" i="14" s="1"/>
  <c r="E1232" i="14" a="1"/>
  <c r="E1232" i="14" s="1"/>
  <c r="M1232" i="14" s="1"/>
  <c r="P1232" i="14" s="1"/>
  <c r="E74" i="14" a="1"/>
  <c r="E74" i="14" s="1"/>
  <c r="M74" i="14" s="1"/>
  <c r="P74" i="14" s="1"/>
  <c r="E50" i="14" a="1"/>
  <c r="E50" i="14" s="1"/>
  <c r="M50" i="14" s="1"/>
  <c r="P50" i="14" s="1"/>
  <c r="E142" i="14" a="1"/>
  <c r="E142" i="14" s="1"/>
  <c r="M142" i="14" s="1"/>
  <c r="P142" i="14" s="1"/>
  <c r="E582" i="14" a="1"/>
  <c r="E582" i="14" s="1"/>
  <c r="M582" i="14" s="1"/>
  <c r="P582" i="14" s="1"/>
  <c r="E1263" i="14" a="1"/>
  <c r="E1263" i="14" s="1"/>
  <c r="M1263" i="14" s="1"/>
  <c r="P1263" i="14" s="1"/>
  <c r="E255" i="14" a="1"/>
  <c r="E255" i="14" s="1"/>
  <c r="M255" i="14" s="1"/>
  <c r="P255" i="14" s="1"/>
  <c r="E195" i="14" a="1"/>
  <c r="E195" i="14" s="1"/>
  <c r="M195" i="14" s="1"/>
  <c r="P195" i="14" s="1"/>
  <c r="E147" i="14" a="1"/>
  <c r="E147" i="14" s="1"/>
  <c r="M147" i="14" s="1"/>
  <c r="P147" i="14" s="1"/>
  <c r="E563" i="14" a="1"/>
  <c r="E563" i="14" s="1"/>
  <c r="M563" i="14" s="1"/>
  <c r="P563" i="14" s="1"/>
  <c r="E1269" i="14" a="1"/>
  <c r="E1269" i="14" s="1"/>
  <c r="M1269" i="14" s="1"/>
  <c r="P1269" i="14" s="1"/>
  <c r="E297" i="14" a="1"/>
  <c r="E297" i="14" s="1"/>
  <c r="M297" i="14" s="1"/>
  <c r="P297" i="14" s="1"/>
  <c r="E209" i="14" a="1"/>
  <c r="E209" i="14" s="1"/>
  <c r="M209" i="14" s="1"/>
  <c r="P209" i="14" s="1"/>
  <c r="E326" i="14" a="1"/>
  <c r="E326" i="14" s="1"/>
  <c r="M326" i="14" s="1"/>
  <c r="P326" i="14" s="1"/>
  <c r="E1060" i="14" a="1"/>
  <c r="E1060" i="14" s="1"/>
  <c r="M1060" i="14" s="1"/>
  <c r="P1060" i="14" s="1"/>
  <c r="E1317" i="14" a="1"/>
  <c r="E1317" i="14" s="1"/>
  <c r="M1317" i="14" s="1"/>
  <c r="P1317" i="14" s="1"/>
  <c r="E451" i="14" a="1"/>
  <c r="E451" i="14" s="1"/>
  <c r="M451" i="14" s="1"/>
  <c r="P451" i="14" s="1"/>
  <c r="E380" i="14" a="1"/>
  <c r="E380" i="14" s="1"/>
  <c r="M380" i="14" s="1"/>
  <c r="P380" i="14" s="1"/>
  <c r="E714" i="14" a="1"/>
  <c r="E714" i="14" s="1"/>
  <c r="M714" i="14" s="1"/>
  <c r="P714" i="14" s="1"/>
  <c r="E229" i="14" a="1"/>
  <c r="E229" i="14" s="1"/>
  <c r="M229" i="14" s="1"/>
  <c r="P229" i="14" s="1"/>
  <c r="E1202" i="14" a="1"/>
  <c r="E1202" i="14" s="1"/>
  <c r="M1202" i="14" s="1"/>
  <c r="P1202" i="14" s="1"/>
  <c r="E698" i="14" a="1"/>
  <c r="E698" i="14" s="1"/>
  <c r="M698" i="14" s="1"/>
  <c r="P698" i="14" s="1"/>
  <c r="E685" i="14" a="1"/>
  <c r="E685" i="14" s="1"/>
  <c r="M685" i="14" s="1"/>
  <c r="P685" i="14" s="1"/>
  <c r="E799" i="14" a="1"/>
  <c r="E799" i="14" s="1"/>
  <c r="M799" i="14" s="1"/>
  <c r="P799" i="14" s="1"/>
  <c r="E187" i="14" a="1"/>
  <c r="E187" i="14" s="1"/>
  <c r="M187" i="14" s="1"/>
  <c r="P187" i="14" s="1"/>
  <c r="E1105" i="14" a="1"/>
  <c r="E1105" i="14" s="1"/>
  <c r="M1105" i="14" s="1"/>
  <c r="P1105" i="14" s="1"/>
  <c r="E643" i="14" a="1"/>
  <c r="E643" i="14" s="1"/>
  <c r="M643" i="14" s="1"/>
  <c r="P643" i="14" s="1"/>
  <c r="E620" i="14" a="1"/>
  <c r="E620" i="14" s="1"/>
  <c r="M620" i="14" s="1"/>
  <c r="P620" i="14" s="1"/>
  <c r="E241" i="14" a="1"/>
  <c r="E241" i="14" s="1"/>
  <c r="M241" i="14" s="1"/>
  <c r="P241" i="14" s="1"/>
  <c r="E634" i="14" a="1"/>
  <c r="E634" i="14" s="1"/>
  <c r="M634" i="14" s="1"/>
  <c r="P634" i="14" s="1"/>
  <c r="E1230" i="14" a="1"/>
  <c r="E1230" i="14" s="1"/>
  <c r="M1230" i="14" s="1"/>
  <c r="P1230" i="14" s="1"/>
  <c r="E221" i="14" a="1"/>
  <c r="E221" i="14" s="1"/>
  <c r="M221" i="14" s="1"/>
  <c r="P221" i="14" s="1"/>
  <c r="E191" i="14" a="1"/>
  <c r="E191" i="14" s="1"/>
  <c r="M191" i="14" s="1"/>
  <c r="P191" i="14" s="1"/>
  <c r="E1461" i="14" a="1"/>
  <c r="E1461" i="14" s="1"/>
  <c r="M1461" i="14" s="1"/>
  <c r="P1461" i="14" s="1"/>
  <c r="E1285" i="14" a="1"/>
  <c r="E1285" i="14" s="1"/>
  <c r="M1285" i="14" s="1"/>
  <c r="P1285" i="14" s="1"/>
  <c r="E506" i="14" a="1"/>
  <c r="E506" i="14" s="1"/>
  <c r="M506" i="14" s="1"/>
  <c r="P506" i="14" s="1"/>
  <c r="E1449" i="14" a="1"/>
  <c r="E1449" i="14" s="1"/>
  <c r="M1449" i="14" s="1"/>
  <c r="P1449" i="14" s="1"/>
  <c r="E1440" i="14" a="1"/>
  <c r="E1440" i="14" s="1"/>
  <c r="M1440" i="14" s="1"/>
  <c r="P1440" i="14" s="1"/>
  <c r="E839" i="14" a="1"/>
  <c r="E839" i="14" s="1"/>
  <c r="M839" i="14" s="1"/>
  <c r="P839" i="14" s="1"/>
  <c r="E1191" i="14" a="1"/>
  <c r="E1191" i="14" s="1"/>
  <c r="M1191" i="14" s="1"/>
  <c r="P1191" i="14" s="1"/>
  <c r="E693" i="14" a="1"/>
  <c r="E693" i="14" s="1"/>
  <c r="M693" i="14" s="1"/>
  <c r="P693" i="14" s="1"/>
  <c r="E683" i="14" a="1"/>
  <c r="E683" i="14" s="1"/>
  <c r="M683" i="14" s="1"/>
  <c r="P683" i="14" s="1"/>
  <c r="E834" i="14" a="1"/>
  <c r="E834" i="14" s="1"/>
  <c r="M834" i="14" s="1"/>
  <c r="P834" i="14" s="1"/>
  <c r="E1213" i="14" a="1"/>
  <c r="E1213" i="14" s="1"/>
  <c r="M1213" i="14" s="1"/>
  <c r="P1213" i="14" s="1"/>
  <c r="E696" i="14" a="1"/>
  <c r="E696" i="14" s="1"/>
  <c r="M696" i="14" s="1"/>
  <c r="P696" i="14" s="1"/>
  <c r="E679" i="14" a="1"/>
  <c r="E679" i="14" s="1"/>
  <c r="M679" i="14" s="1"/>
  <c r="P679" i="14" s="1"/>
  <c r="E952" i="14" a="1"/>
  <c r="E952" i="14" s="1"/>
  <c r="M952" i="14" s="1"/>
  <c r="P952" i="14" s="1"/>
  <c r="E1184" i="14" a="1"/>
  <c r="E1184" i="14" s="1"/>
  <c r="M1184" i="14" s="1"/>
  <c r="P1184" i="14" s="1"/>
  <c r="E779" i="14" a="1"/>
  <c r="E779" i="14" s="1"/>
  <c r="M779" i="14" s="1"/>
  <c r="P779" i="14" s="1"/>
  <c r="E767" i="14" a="1"/>
  <c r="E767" i="14" s="1"/>
  <c r="M767" i="14" s="1"/>
  <c r="P767" i="14" s="1"/>
  <c r="E782" i="14" a="1"/>
  <c r="E782" i="14" s="1"/>
  <c r="M782" i="14" s="1"/>
  <c r="P782" i="14" s="1"/>
  <c r="E178" i="14" a="1"/>
  <c r="E178" i="14" s="1"/>
  <c r="M178" i="14" s="1"/>
  <c r="P178" i="14" s="1"/>
  <c r="E1107" i="14" a="1"/>
  <c r="E1107" i="14" s="1"/>
  <c r="M1107" i="14" s="1"/>
  <c r="P1107" i="14" s="1"/>
  <c r="E603" i="14" a="1"/>
  <c r="E603" i="14" s="1"/>
  <c r="M603" i="14" s="1"/>
  <c r="P603" i="14" s="1"/>
  <c r="E594" i="14" a="1"/>
  <c r="E594" i="14" s="1"/>
  <c r="M594" i="14" s="1"/>
  <c r="P594" i="14" s="1"/>
  <c r="E66" i="14" a="1"/>
  <c r="E66" i="14" s="1"/>
  <c r="M66" i="14" s="1"/>
  <c r="P66" i="14" s="1"/>
  <c r="E471" i="14" a="1"/>
  <c r="E471" i="14" s="1"/>
  <c r="M471" i="14" s="1"/>
  <c r="P471" i="14" s="1"/>
  <c r="E1243" i="14" a="1"/>
  <c r="E1243" i="14" s="1"/>
  <c r="M1243" i="14" s="1"/>
  <c r="P1243" i="14" s="1"/>
  <c r="E64" i="14" a="1"/>
  <c r="E64" i="14" s="1"/>
  <c r="M64" i="14" s="1"/>
  <c r="P64" i="14" s="1"/>
  <c r="E62" i="14" a="1"/>
  <c r="E62" i="14" s="1"/>
  <c r="M62" i="14" s="1"/>
  <c r="P62" i="14" s="1"/>
  <c r="E168" i="14" a="1"/>
  <c r="E168" i="14" s="1"/>
  <c r="M168" i="14" s="1"/>
  <c r="P168" i="14" s="1"/>
  <c r="E571" i="14" a="1"/>
  <c r="E571" i="14" s="1"/>
  <c r="M571" i="14" s="1"/>
  <c r="P571" i="14" s="1"/>
  <c r="E1210" i="14" a="1"/>
  <c r="E1210" i="14" s="1"/>
  <c r="M1210" i="14" s="1"/>
  <c r="P1210" i="14" s="1"/>
  <c r="E150" i="14" a="1"/>
  <c r="E150" i="14" s="1"/>
  <c r="M150" i="14" s="1"/>
  <c r="P150" i="14" s="1"/>
  <c r="E132" i="14" a="1"/>
  <c r="E132" i="14" s="1"/>
  <c r="M132" i="14" s="1"/>
  <c r="P132" i="14" s="1"/>
  <c r="E140" i="14" a="1"/>
  <c r="E140" i="14" s="1"/>
  <c r="M140" i="14" s="1"/>
  <c r="P140" i="14" s="1"/>
  <c r="E547" i="14" a="1"/>
  <c r="E547" i="14" s="1"/>
  <c r="M547" i="14" s="1"/>
  <c r="P547" i="14" s="1"/>
  <c r="E454" i="14" a="1"/>
  <c r="E454" i="14" s="1"/>
  <c r="M454" i="14" s="1"/>
  <c r="P454" i="14" s="1"/>
  <c r="E128" i="14" a="1"/>
  <c r="E128" i="14" s="1"/>
  <c r="M128" i="14" s="1"/>
  <c r="P128" i="14" s="1"/>
  <c r="E106" i="14" a="1"/>
  <c r="E106" i="14" s="1"/>
  <c r="M106" i="14" s="1"/>
  <c r="P106" i="14" s="1"/>
  <c r="E1384" i="14" a="1"/>
  <c r="E1384" i="14" s="1"/>
  <c r="M1384" i="14" s="1"/>
  <c r="P1384" i="14" s="1"/>
  <c r="E1320" i="14" a="1"/>
  <c r="E1320" i="14" s="1"/>
  <c r="M1320" i="14" s="1"/>
  <c r="P1320" i="14" s="1"/>
  <c r="E498" i="14" a="1"/>
  <c r="E498" i="14" s="1"/>
  <c r="M498" i="14" s="1"/>
  <c r="P498" i="14" s="1"/>
  <c r="E1366" i="14" a="1"/>
  <c r="E1366" i="14" s="1"/>
  <c r="M1366" i="14" s="1"/>
  <c r="P1366" i="14" s="1"/>
  <c r="E1363" i="14" a="1"/>
  <c r="E1363" i="14" s="1"/>
  <c r="M1363" i="14" s="1"/>
  <c r="P1363" i="14" s="1"/>
  <c r="E1231" i="14" a="1"/>
  <c r="E1231" i="14" s="1"/>
  <c r="M1231" i="14" s="1"/>
  <c r="P1231" i="14" s="1"/>
  <c r="E1192" i="14" a="1"/>
  <c r="E1192" i="14" s="1"/>
  <c r="M1192" i="14" s="1"/>
  <c r="P1192" i="14" s="1"/>
  <c r="E1241" i="14" a="1"/>
  <c r="E1241" i="14" s="1"/>
  <c r="M1241" i="14" s="1"/>
  <c r="P1241" i="14" s="1"/>
  <c r="E1228" i="14" a="1"/>
  <c r="E1228" i="14" s="1"/>
  <c r="M1228" i="14" s="1"/>
  <c r="P1228" i="14" s="1"/>
  <c r="E1392" i="14" a="1"/>
  <c r="E1392" i="14" s="1"/>
  <c r="M1392" i="14" s="1"/>
  <c r="P1392" i="14" s="1"/>
  <c r="E1324" i="14" a="1"/>
  <c r="E1324" i="14" s="1"/>
  <c r="M1324" i="14" s="1"/>
  <c r="P1324" i="14" s="1"/>
  <c r="E428" i="14" a="1"/>
  <c r="E428" i="14" s="1"/>
  <c r="M428" i="14" s="1"/>
  <c r="P428" i="14" s="1"/>
  <c r="E1377" i="14" a="1"/>
  <c r="E1377" i="14" s="1"/>
  <c r="M1377" i="14" s="1"/>
  <c r="P1377" i="14" s="1"/>
  <c r="E1388" i="14" a="1"/>
  <c r="E1388" i="14" s="1"/>
  <c r="M1388" i="14" s="1"/>
  <c r="P1388" i="14" s="1"/>
  <c r="E1436" i="14" a="1"/>
  <c r="E1436" i="14" s="1"/>
  <c r="M1436" i="14" s="1"/>
  <c r="P1436" i="14" s="1"/>
  <c r="E1348" i="14" a="1"/>
  <c r="E1348" i="14" s="1"/>
  <c r="M1348" i="14" s="1"/>
  <c r="P1348" i="14" s="1"/>
  <c r="E492" i="14" a="1"/>
  <c r="E492" i="14" s="1"/>
  <c r="M492" i="14" s="1"/>
  <c r="P492" i="14" s="1"/>
  <c r="E1420" i="14" a="1"/>
  <c r="E1420" i="14" s="1"/>
  <c r="M1420" i="14" s="1"/>
  <c r="P1420" i="14" s="1"/>
  <c r="E1414" i="14" a="1"/>
  <c r="E1414" i="14" s="1"/>
  <c r="M1414" i="14" s="1"/>
  <c r="P1414" i="14" s="1"/>
  <c r="E631" i="14" a="1"/>
  <c r="E631" i="14" s="1"/>
  <c r="M631" i="14" s="1"/>
  <c r="P631" i="14" s="1"/>
  <c r="E115" i="14" a="1"/>
  <c r="E115" i="14" s="1"/>
  <c r="M115" i="14" s="1"/>
  <c r="P115" i="14" s="1"/>
  <c r="E1140" i="14" a="1"/>
  <c r="E1140" i="14" s="1"/>
  <c r="M1140" i="14" s="1"/>
  <c r="P1140" i="14" s="1"/>
  <c r="E573" i="14" a="1"/>
  <c r="E573" i="14" s="1"/>
  <c r="M573" i="14" s="1"/>
  <c r="P573" i="14" s="1"/>
  <c r="E567" i="14" a="1"/>
  <c r="E567" i="14" s="1"/>
  <c r="M567" i="14" s="1"/>
  <c r="P567" i="14" s="1"/>
  <c r="E587" i="14" a="1"/>
  <c r="E587" i="14" s="1"/>
  <c r="M587" i="14" s="1"/>
  <c r="P587" i="14" s="1"/>
  <c r="E90" i="14" a="1"/>
  <c r="E90" i="14" s="1"/>
  <c r="M90" i="14" s="1"/>
  <c r="P90" i="14" s="1"/>
  <c r="E1145" i="14" a="1"/>
  <c r="E1145" i="14" s="1"/>
  <c r="M1145" i="14" s="1"/>
  <c r="P1145" i="14" s="1"/>
  <c r="E556" i="14" a="1"/>
  <c r="E556" i="14" s="1"/>
  <c r="M556" i="14" s="1"/>
  <c r="P556" i="14" s="1"/>
  <c r="E557" i="14" a="1"/>
  <c r="E557" i="14" s="1"/>
  <c r="M557" i="14" s="1"/>
  <c r="P557" i="14" s="1"/>
  <c r="E579" i="14" a="1"/>
  <c r="E579" i="14" s="1"/>
  <c r="M579" i="14" s="1"/>
  <c r="P579" i="14" s="1"/>
  <c r="E396" i="14" a="1"/>
  <c r="E396" i="14" s="1"/>
  <c r="M396" i="14" s="1"/>
  <c r="P396" i="14" s="1"/>
  <c r="E1029" i="14" a="1"/>
  <c r="E1029" i="14" s="1"/>
  <c r="M1029" i="14" s="1"/>
  <c r="P1029" i="14" s="1"/>
  <c r="E655" i="14" a="1"/>
  <c r="E655" i="14" s="1"/>
  <c r="M655" i="14" s="1"/>
  <c r="P655" i="14" s="1"/>
  <c r="E610" i="14" a="1"/>
  <c r="E610" i="14" s="1"/>
  <c r="M610" i="14" s="1"/>
  <c r="P610" i="14" s="1"/>
  <c r="E737" i="14" a="1"/>
  <c r="E737" i="14" s="1"/>
  <c r="M737" i="14" s="1"/>
  <c r="P737" i="14" s="1"/>
  <c r="E526" i="14" a="1"/>
  <c r="E526" i="14" s="1"/>
  <c r="M526" i="14" s="1"/>
  <c r="P526" i="14" s="1"/>
  <c r="E755" i="14" a="1"/>
  <c r="E755" i="14" s="1"/>
  <c r="M755" i="14" s="1"/>
  <c r="P755" i="14" s="1"/>
  <c r="E664" i="14" a="1"/>
  <c r="E664" i="14" s="1"/>
  <c r="M664" i="14" s="1"/>
  <c r="P664" i="14" s="1"/>
  <c r="E672" i="14" a="1"/>
  <c r="E672" i="14" s="1"/>
  <c r="M672" i="14" s="1"/>
  <c r="P672" i="14" s="1"/>
  <c r="E200" i="14" a="1"/>
  <c r="E200" i="14" s="1"/>
  <c r="M200" i="14" s="1"/>
  <c r="P200" i="14" s="1"/>
  <c r="E886" i="14" a="1"/>
  <c r="E886" i="14" s="1"/>
  <c r="M886" i="14" s="1"/>
  <c r="P886" i="14" s="1"/>
  <c r="E1298" i="14" a="1"/>
  <c r="E1298" i="14" s="1"/>
  <c r="M1298" i="14" s="1"/>
  <c r="P1298" i="14" s="1"/>
  <c r="E414" i="14" a="1"/>
  <c r="E414" i="14" s="1"/>
  <c r="M414" i="14" s="1"/>
  <c r="P414" i="14" s="1"/>
  <c r="E299" i="14" a="1"/>
  <c r="E299" i="14" s="1"/>
  <c r="M299" i="14" s="1"/>
  <c r="P299" i="14" s="1"/>
  <c r="E73" i="14" a="1"/>
  <c r="E73" i="14" s="1"/>
  <c r="M73" i="14" s="1"/>
  <c r="P73" i="14" s="1"/>
  <c r="E694" i="14" a="1"/>
  <c r="E694" i="14" s="1"/>
  <c r="M694" i="14" s="1"/>
  <c r="P694" i="14" s="1"/>
  <c r="E1240" i="14" a="1"/>
  <c r="E1240" i="14" s="1"/>
  <c r="M1240" i="14" s="1"/>
  <c r="P1240" i="14" s="1"/>
  <c r="E238" i="14" a="1"/>
  <c r="E238" i="14" s="1"/>
  <c r="M238" i="14" s="1"/>
  <c r="P238" i="14" s="1"/>
  <c r="E1009" i="14" a="1"/>
  <c r="E1009" i="14" s="1"/>
  <c r="M1009" i="14" s="1"/>
  <c r="P1009" i="14" s="1"/>
  <c r="E1290" i="14" a="1"/>
  <c r="E1290" i="14" s="1"/>
  <c r="M1290" i="14" s="1"/>
  <c r="P1290" i="14" s="1"/>
  <c r="E442" i="14" a="1"/>
  <c r="E442" i="14" s="1"/>
  <c r="M442" i="14" s="1"/>
  <c r="P442" i="14" s="1"/>
  <c r="E339" i="14" a="1"/>
  <c r="E339" i="14" s="1"/>
  <c r="M339" i="14" s="1"/>
  <c r="P339" i="14" s="1"/>
  <c r="E204" i="14" a="1"/>
  <c r="E204" i="14" s="1"/>
  <c r="M204" i="14" s="1"/>
  <c r="P204" i="14" s="1"/>
  <c r="E904" i="14" a="1"/>
  <c r="E904" i="14" s="1"/>
  <c r="M904" i="14" s="1"/>
  <c r="P904" i="14" s="1"/>
  <c r="E1302" i="14" a="1"/>
  <c r="E1302" i="14" s="1"/>
  <c r="M1302" i="14" s="1"/>
  <c r="P1302" i="14" s="1"/>
  <c r="E422" i="14" a="1"/>
  <c r="E422" i="14" s="1"/>
  <c r="M422" i="14" s="1"/>
  <c r="P422" i="14" s="1"/>
  <c r="E304" i="14" a="1"/>
  <c r="E304" i="14" s="1"/>
  <c r="M304" i="14" s="1"/>
  <c r="P304" i="14" s="1"/>
  <c r="E208" i="14" a="1"/>
  <c r="E208" i="14" s="1"/>
  <c r="M208" i="14" s="1"/>
  <c r="P208" i="14" s="1"/>
  <c r="E900" i="14" a="1"/>
  <c r="E900" i="14" s="1"/>
  <c r="M900" i="14" s="1"/>
  <c r="P900" i="14" s="1"/>
  <c r="E1293" i="14" a="1"/>
  <c r="E1293" i="14" s="1"/>
  <c r="M1293" i="14" s="1"/>
  <c r="P1293" i="14" s="1"/>
  <c r="E416" i="14" a="1"/>
  <c r="E416" i="14" s="1"/>
  <c r="M416" i="14" s="1"/>
  <c r="P416" i="14" s="1"/>
  <c r="E309" i="14" a="1"/>
  <c r="E309" i="14" s="1"/>
  <c r="M309" i="14" s="1"/>
  <c r="P309" i="14" s="1"/>
  <c r="E197" i="14" a="1"/>
  <c r="E197" i="14" s="1"/>
  <c r="M197" i="14" s="1"/>
  <c r="P197" i="14" s="1"/>
  <c r="E880" i="14" a="1"/>
  <c r="E880" i="14" s="1"/>
  <c r="M880" i="14" s="1"/>
  <c r="P880" i="14" s="1"/>
  <c r="E1288" i="14" a="1"/>
  <c r="E1288" i="14" s="1"/>
  <c r="M1288" i="14" s="1"/>
  <c r="P1288" i="14" s="1"/>
  <c r="E437" i="14" a="1"/>
  <c r="E437" i="14" s="1"/>
  <c r="M437" i="14" s="1"/>
  <c r="P437" i="14" s="1"/>
  <c r="E286" i="14" a="1"/>
  <c r="E286" i="14" s="1"/>
  <c r="M286" i="14" s="1"/>
  <c r="P286" i="14" s="1"/>
  <c r="E230" i="14" a="1"/>
  <c r="E230" i="14" s="1"/>
  <c r="M230" i="14" s="1"/>
  <c r="P230" i="14" s="1"/>
  <c r="E991" i="14" a="1"/>
  <c r="E991" i="14" s="1"/>
  <c r="M991" i="14" s="1"/>
  <c r="P991" i="14" s="1"/>
  <c r="E1279" i="14" a="1"/>
  <c r="E1279" i="14" s="1"/>
  <c r="M1279" i="14" s="1"/>
  <c r="P1279" i="14" s="1"/>
  <c r="E434" i="14" a="1"/>
  <c r="E434" i="14" s="1"/>
  <c r="M434" i="14" s="1"/>
  <c r="P434" i="14" s="1"/>
  <c r="E324" i="14" a="1"/>
  <c r="E324" i="14" s="1"/>
  <c r="M324" i="14" s="1"/>
  <c r="P324" i="14" s="1"/>
  <c r="E730" i="14" a="1"/>
  <c r="E730" i="14" s="1"/>
  <c r="M730" i="14" s="1"/>
  <c r="P730" i="14" s="1"/>
  <c r="E33" i="14" a="1"/>
  <c r="E33" i="14" s="1"/>
  <c r="M33" i="14" s="1"/>
  <c r="P33" i="14" s="1"/>
  <c r="E1246" i="14" a="1"/>
  <c r="E1246" i="14" s="1"/>
  <c r="M1246" i="14" s="1"/>
  <c r="P1246" i="14" s="1"/>
  <c r="E63" i="14" a="1"/>
  <c r="E63" i="14" s="1"/>
  <c r="M63" i="14" s="1"/>
  <c r="P63" i="14" s="1"/>
  <c r="E54" i="14" a="1"/>
  <c r="E54" i="14" s="1"/>
  <c r="M54" i="14" s="1"/>
  <c r="P54" i="14" s="1"/>
  <c r="E47" i="14" a="1"/>
  <c r="E47" i="14" s="1"/>
  <c r="M47" i="14" s="1"/>
  <c r="P47" i="14" s="1"/>
  <c r="E721" i="14" a="1"/>
  <c r="E721" i="14" s="1"/>
  <c r="M721" i="14" s="1"/>
  <c r="P721" i="14" s="1"/>
  <c r="E1250" i="14" a="1"/>
  <c r="E1250" i="14" s="1"/>
  <c r="M1250" i="14" s="1"/>
  <c r="P1250" i="14" s="1"/>
  <c r="E49" i="14" a="1"/>
  <c r="E49" i="14" s="1"/>
  <c r="M49" i="14" s="1"/>
  <c r="P49" i="14" s="1"/>
  <c r="E684" i="14" a="1"/>
  <c r="E684" i="14" s="1"/>
  <c r="M684" i="14" s="1"/>
  <c r="P684" i="14" s="1"/>
  <c r="E1227" i="14" a="1"/>
  <c r="E1227" i="14" s="1"/>
  <c r="M1227" i="14" s="1"/>
  <c r="P1227" i="14" s="1"/>
  <c r="G298" i="14" a="1"/>
  <c r="G298" i="14" s="1"/>
  <c r="K298" i="14" s="1"/>
  <c r="G1362" i="14" a="1"/>
  <c r="G1362" i="14" s="1"/>
  <c r="K1362" i="14" s="1"/>
  <c r="G1441" i="14" a="1"/>
  <c r="G1441" i="14" s="1"/>
  <c r="K1441" i="14" s="1"/>
  <c r="G76" i="14" a="1"/>
  <c r="G76" i="14" s="1"/>
  <c r="K76" i="14" s="1"/>
  <c r="G294" i="14" a="1"/>
  <c r="G294" i="14" s="1"/>
  <c r="K294" i="14" s="1"/>
  <c r="G1369" i="14" a="1"/>
  <c r="G1369" i="14" s="1"/>
  <c r="K1369" i="14" s="1"/>
  <c r="G1451" i="14" a="1"/>
  <c r="G1451" i="14" s="1"/>
  <c r="K1451" i="14" s="1"/>
  <c r="G72" i="14" a="1"/>
  <c r="G72" i="14" s="1"/>
  <c r="K72" i="14" s="1"/>
  <c r="G92" i="14" a="1"/>
  <c r="G92" i="14" s="1"/>
  <c r="K92" i="14" s="1"/>
  <c r="G316" i="14" a="1"/>
  <c r="G316" i="14" s="1"/>
  <c r="K316" i="14" s="1"/>
  <c r="G1351" i="14" a="1"/>
  <c r="G1351" i="14" s="1"/>
  <c r="K1351" i="14" s="1"/>
  <c r="G1452" i="14" a="1"/>
  <c r="G1452" i="14" s="1"/>
  <c r="K1452" i="14" s="1"/>
  <c r="G743" i="14" a="1"/>
  <c r="G743" i="14" s="1"/>
  <c r="K743" i="14" s="1"/>
  <c r="G320" i="14" a="1"/>
  <c r="G320" i="14" s="1"/>
  <c r="K320" i="14" s="1"/>
  <c r="G36" i="14" a="1"/>
  <c r="G36" i="14" s="1"/>
  <c r="K36" i="14" s="1"/>
  <c r="G1424" i="14" a="1"/>
  <c r="G1424" i="14" s="1"/>
  <c r="K1424" i="14" s="1"/>
  <c r="G1489" i="14" a="1"/>
  <c r="G1489" i="14" s="1"/>
  <c r="K1489" i="14" s="1"/>
  <c r="G279" i="14" a="1"/>
  <c r="G279" i="14" s="1"/>
  <c r="K279" i="14" s="1"/>
  <c r="G281" i="14" a="1"/>
  <c r="G281" i="14" s="1"/>
  <c r="K281" i="14" s="1"/>
  <c r="G1394" i="14" a="1"/>
  <c r="G1394" i="14" s="1"/>
  <c r="K1394" i="14" s="1"/>
  <c r="G1480" i="14" a="1"/>
  <c r="G1480" i="14" s="1"/>
  <c r="K1480" i="14" s="1"/>
  <c r="G249" i="14" a="1"/>
  <c r="G249" i="14" s="1"/>
  <c r="K249" i="14" s="1"/>
  <c r="G307" i="14" a="1"/>
  <c r="G307" i="14" s="1"/>
  <c r="K307" i="14" s="1"/>
  <c r="G51" i="14" a="1"/>
  <c r="G51" i="14" s="1"/>
  <c r="K51" i="14" s="1"/>
  <c r="G1403" i="14" a="1"/>
  <c r="G1403" i="14" s="1"/>
  <c r="K1403" i="14" s="1"/>
  <c r="G1483" i="14" a="1"/>
  <c r="G1483" i="14" s="1"/>
  <c r="K1483" i="14" s="1"/>
  <c r="G256" i="14" a="1"/>
  <c r="G256" i="14" s="1"/>
  <c r="K256" i="14" s="1"/>
  <c r="G302" i="14" a="1"/>
  <c r="G302" i="14" s="1"/>
  <c r="K302" i="14" s="1"/>
  <c r="G37" i="14" a="1"/>
  <c r="G37" i="14" s="1"/>
  <c r="K37" i="14" s="1"/>
  <c r="G1397" i="14" a="1"/>
  <c r="G1397" i="14" s="1"/>
  <c r="K1397" i="14" s="1"/>
  <c r="G1481" i="14" a="1"/>
  <c r="G1481" i="14" s="1"/>
  <c r="K1481" i="14" s="1"/>
  <c r="G257" i="14" a="1"/>
  <c r="G257" i="14" s="1"/>
  <c r="K257" i="14" s="1"/>
  <c r="G332" i="14" a="1"/>
  <c r="G332" i="14" s="1"/>
  <c r="K332" i="14" s="1"/>
  <c r="G41" i="14" a="1"/>
  <c r="G41" i="14" s="1"/>
  <c r="K41" i="14" s="1"/>
  <c r="G1427" i="14" a="1"/>
  <c r="G1427" i="14" s="1"/>
  <c r="K1427" i="14" s="1"/>
  <c r="G1488" i="14" a="1"/>
  <c r="G1488" i="14" s="1"/>
  <c r="K1488" i="14" s="1"/>
  <c r="G292" i="14" a="1"/>
  <c r="G292" i="14" s="1"/>
  <c r="K292" i="14" s="1"/>
  <c r="G413" i="14" a="1"/>
  <c r="G413" i="14" s="1"/>
  <c r="K413" i="14" s="1"/>
  <c r="G1365" i="14" a="1"/>
  <c r="G1365" i="14" s="1"/>
  <c r="K1365" i="14" s="1"/>
  <c r="G1448" i="14" a="1"/>
  <c r="G1448" i="14" s="1"/>
  <c r="K1448" i="14" s="1"/>
  <c r="G110" i="14" a="1"/>
  <c r="G110" i="14" s="1"/>
  <c r="K110" i="14" s="1"/>
  <c r="G293" i="14" a="1"/>
  <c r="G293" i="14" s="1"/>
  <c r="K293" i="14" s="1"/>
  <c r="G1380" i="14" a="1"/>
  <c r="G1380" i="14" s="1"/>
  <c r="K1380" i="14" s="1"/>
  <c r="G1479" i="14" a="1"/>
  <c r="G1479" i="14" s="1"/>
  <c r="K1479" i="14" s="1"/>
  <c r="G251" i="14" a="1"/>
  <c r="G251" i="14" s="1"/>
  <c r="K251" i="14" s="1"/>
  <c r="G718" i="14" a="1"/>
  <c r="G718" i="14" s="1"/>
  <c r="K718" i="14" s="1"/>
  <c r="G1052" i="14" a="1"/>
  <c r="G1052" i="14" s="1"/>
  <c r="K1052" i="14" s="1"/>
  <c r="G1155" i="14" a="1"/>
  <c r="G1155" i="14" s="1"/>
  <c r="K1155" i="14" s="1"/>
  <c r="G1190" i="14" a="1"/>
  <c r="G1190" i="14" s="1"/>
  <c r="K1190" i="14" s="1"/>
  <c r="G739" i="14" a="1"/>
  <c r="G739" i="14" s="1"/>
  <c r="K739" i="14" s="1"/>
  <c r="G687" i="14" a="1"/>
  <c r="G687" i="14" s="1"/>
  <c r="K687" i="14" s="1"/>
  <c r="G955" i="14" a="1"/>
  <c r="G955" i="14" s="1"/>
  <c r="K955" i="14" s="1"/>
  <c r="G1237" i="14" a="1"/>
  <c r="G1237" i="14" s="1"/>
  <c r="K1237" i="14" s="1"/>
  <c r="G1259" i="14" a="1"/>
  <c r="G1259" i="14" s="1"/>
  <c r="K1259" i="14" s="1"/>
  <c r="G599" i="14" a="1"/>
  <c r="G599" i="14" s="1"/>
  <c r="K599" i="14" s="1"/>
  <c r="G589" i="14" a="1"/>
  <c r="G589" i="14" s="1"/>
  <c r="K589" i="14" s="1"/>
  <c r="G855" i="14" a="1"/>
  <c r="G855" i="14" s="1"/>
  <c r="K855" i="14" s="1"/>
  <c r="G1221" i="14" a="1"/>
  <c r="G1221" i="14" s="1"/>
  <c r="K1221" i="14" s="1"/>
  <c r="G1282" i="14" a="1"/>
  <c r="G1282" i="14" s="1"/>
  <c r="K1282" i="14" s="1"/>
  <c r="G615" i="14" a="1"/>
  <c r="G615" i="14" s="1"/>
  <c r="K615" i="14" s="1"/>
  <c r="G623" i="14" a="1"/>
  <c r="G623" i="14" s="1"/>
  <c r="K623" i="14" s="1"/>
  <c r="G907" i="14" a="1"/>
  <c r="G907" i="14" s="1"/>
  <c r="K907" i="14" s="1"/>
  <c r="G1219" i="14" a="1"/>
  <c r="G1219" i="14" s="1"/>
  <c r="K1219" i="14" s="1"/>
  <c r="G1292" i="14" a="1"/>
  <c r="G1292" i="14" s="1"/>
  <c r="K1292" i="14" s="1"/>
  <c r="G677" i="14" a="1"/>
  <c r="G677" i="14" s="1"/>
  <c r="K677" i="14" s="1"/>
  <c r="G1423" i="14" a="1"/>
  <c r="G1423" i="14" s="1"/>
  <c r="K1423" i="14" s="1"/>
  <c r="G1456" i="14" a="1"/>
  <c r="G1456" i="14" s="1"/>
  <c r="K1456" i="14" s="1"/>
  <c r="G79" i="14" a="1"/>
  <c r="G79" i="14" s="1"/>
  <c r="K79" i="14" s="1"/>
  <c r="G1447" i="14" a="1"/>
  <c r="G1447" i="14" s="1"/>
  <c r="K1447" i="14" s="1"/>
  <c r="G1399" i="14" a="1"/>
  <c r="G1399" i="14" s="1"/>
  <c r="K1399" i="14" s="1"/>
  <c r="G1411" i="14" a="1"/>
  <c r="G1411" i="14" s="1"/>
  <c r="K1411" i="14" s="1"/>
  <c r="G97" i="14" a="1"/>
  <c r="G97" i="14" s="1"/>
  <c r="K97" i="14" s="1"/>
  <c r="G1406" i="14" a="1"/>
  <c r="G1406" i="14" s="1"/>
  <c r="K1406" i="14" s="1"/>
  <c r="G1249" i="14" a="1"/>
  <c r="G1249" i="14" s="1"/>
  <c r="K1249" i="14" s="1"/>
  <c r="G1299" i="14" a="1"/>
  <c r="G1299" i="14" s="1"/>
  <c r="K1299" i="14" s="1"/>
  <c r="G497" i="14" a="1"/>
  <c r="G497" i="14" s="1"/>
  <c r="K497" i="14" s="1"/>
  <c r="G507" i="14" a="1"/>
  <c r="G507" i="14" s="1"/>
  <c r="K507" i="14" s="1"/>
  <c r="G1247" i="14" a="1"/>
  <c r="G1247" i="14" s="1"/>
  <c r="K1247" i="14" s="1"/>
  <c r="G1370" i="14" a="1"/>
  <c r="G1370" i="14" s="1"/>
  <c r="K1370" i="14" s="1"/>
  <c r="G1381" i="14" a="1"/>
  <c r="G1381" i="14" s="1"/>
  <c r="K1381" i="14" s="1"/>
  <c r="G89" i="14" a="1"/>
  <c r="G89" i="14" s="1"/>
  <c r="K89" i="14" s="1"/>
  <c r="G1396" i="14" a="1"/>
  <c r="G1396" i="14" s="1"/>
  <c r="K1396" i="14" s="1"/>
  <c r="G163" i="14" a="1"/>
  <c r="G163" i="14" s="1"/>
  <c r="K163" i="14" s="1"/>
  <c r="G52" i="14" a="1"/>
  <c r="G52" i="14" s="1"/>
  <c r="K52" i="14" s="1"/>
  <c r="G1371" i="14" a="1"/>
  <c r="G1371" i="14" s="1"/>
  <c r="K1371" i="14" s="1"/>
  <c r="G1338" i="14" a="1"/>
  <c r="G1338" i="14" s="1"/>
  <c r="K1338" i="14" s="1"/>
  <c r="G172" i="14" a="1"/>
  <c r="G172" i="14" s="1"/>
  <c r="K172" i="14" s="1"/>
  <c r="G193" i="14" a="1"/>
  <c r="G193" i="14" s="1"/>
  <c r="K193" i="14" s="1"/>
  <c r="G369" i="14" a="1"/>
  <c r="G369" i="14" s="1"/>
  <c r="K369" i="14" s="1"/>
  <c r="G1353" i="14" a="1"/>
  <c r="G1353" i="14" s="1"/>
  <c r="K1353" i="14" s="1"/>
  <c r="G1341" i="14" a="1"/>
  <c r="G1341" i="14" s="1"/>
  <c r="K1341" i="14" s="1"/>
  <c r="G207" i="14" a="1"/>
  <c r="G207" i="14" s="1"/>
  <c r="K207" i="14" s="1"/>
  <c r="G95" i="14" a="1"/>
  <c r="G95" i="14" s="1"/>
  <c r="K95" i="14" s="1"/>
  <c r="G1234" i="14" a="1"/>
  <c r="G1234" i="14" s="1"/>
  <c r="K1234" i="14" s="1"/>
  <c r="G1334" i="14" a="1"/>
  <c r="G1334" i="14" s="1"/>
  <c r="K1334" i="14" s="1"/>
  <c r="G1430" i="14" a="1"/>
  <c r="G1430" i="14" s="1"/>
  <c r="K1430" i="14" s="1"/>
  <c r="G87" i="14" a="1"/>
  <c r="G87" i="14" s="1"/>
  <c r="K87" i="14" s="1"/>
  <c r="G658" i="14" a="1"/>
  <c r="G658" i="14" s="1"/>
  <c r="K658" i="14" s="1"/>
  <c r="G833" i="14" a="1"/>
  <c r="G833" i="14" s="1"/>
  <c r="K833" i="14" s="1"/>
  <c r="G1306" i="14" a="1"/>
  <c r="G1306" i="14" s="1"/>
  <c r="K1306" i="14" s="1"/>
  <c r="G1287" i="14" a="1"/>
  <c r="G1287" i="14" s="1"/>
  <c r="K1287" i="14" s="1"/>
  <c r="G803" i="14" a="1"/>
  <c r="G803" i="14" s="1"/>
  <c r="K803" i="14" s="1"/>
  <c r="G807" i="14" a="1"/>
  <c r="G807" i="14" s="1"/>
  <c r="K807" i="14" s="1"/>
  <c r="G984" i="14" a="1"/>
  <c r="G984" i="14" s="1"/>
  <c r="K984" i="14" s="1"/>
  <c r="G1325" i="14" a="1"/>
  <c r="G1325" i="14" s="1"/>
  <c r="K1325" i="14" s="1"/>
  <c r="G1313" i="14" a="1"/>
  <c r="G1313" i="14" s="1"/>
  <c r="K1313" i="14" s="1"/>
  <c r="G988" i="14" a="1"/>
  <c r="G988" i="14" s="1"/>
  <c r="K988" i="14" s="1"/>
  <c r="G716" i="14" a="1"/>
  <c r="G716" i="14" s="1"/>
  <c r="K716" i="14" s="1"/>
  <c r="G875" i="14" a="1"/>
  <c r="G875" i="14" s="1"/>
  <c r="K875" i="14" s="1"/>
  <c r="G1336" i="14" a="1"/>
  <c r="G1336" i="14" s="1"/>
  <c r="K1336" i="14" s="1"/>
  <c r="G1315" i="14" a="1"/>
  <c r="G1315" i="14" s="1"/>
  <c r="K1315" i="14" s="1"/>
  <c r="G869" i="14" a="1"/>
  <c r="G869" i="14" s="1"/>
  <c r="K869" i="14" s="1"/>
  <c r="G720" i="14" a="1"/>
  <c r="G720" i="14" s="1"/>
  <c r="K720" i="14" s="1"/>
  <c r="G885" i="14" a="1"/>
  <c r="G885" i="14" s="1"/>
  <c r="K885" i="14" s="1"/>
  <c r="G1319" i="14" a="1"/>
  <c r="G1319" i="14" s="1"/>
  <c r="K1319" i="14" s="1"/>
  <c r="G1284" i="14" a="1"/>
  <c r="G1284" i="14" s="1"/>
  <c r="K1284" i="14" s="1"/>
  <c r="G881" i="14" a="1"/>
  <c r="G881" i="14" s="1"/>
  <c r="K881" i="14" s="1"/>
  <c r="G1450" i="14" a="1"/>
  <c r="G1450" i="14" s="1"/>
  <c r="K1450" i="14" s="1"/>
  <c r="G1478" i="14" a="1"/>
  <c r="G1478" i="14" s="1"/>
  <c r="K1478" i="14" s="1"/>
  <c r="G88" i="14" a="1"/>
  <c r="G88" i="14" s="1"/>
  <c r="K88" i="14" s="1"/>
  <c r="G1465" i="14" a="1"/>
  <c r="G1465" i="14" s="1"/>
  <c r="K1465" i="14" s="1"/>
  <c r="G260" i="14" a="1"/>
  <c r="G260" i="14" s="1"/>
  <c r="K260" i="14" s="1"/>
  <c r="G447" i="14" a="1"/>
  <c r="G447" i="14" s="1"/>
  <c r="K447" i="14" s="1"/>
  <c r="G7" i="14" a="1"/>
  <c r="G7" i="14" s="1"/>
  <c r="K7" i="14" s="1"/>
  <c r="G1359" i="14" a="1"/>
  <c r="G1359" i="14" s="1"/>
  <c r="K1359" i="14" s="1"/>
  <c r="G271" i="14" a="1"/>
  <c r="G271" i="14" s="1"/>
  <c r="K271" i="14" s="1"/>
  <c r="G700" i="14" a="1"/>
  <c r="G700" i="14" s="1"/>
  <c r="K700" i="14" s="1"/>
  <c r="G866" i="14" a="1"/>
  <c r="G866" i="14" s="1"/>
  <c r="K866" i="14" s="1"/>
  <c r="G1305" i="14" a="1"/>
  <c r="G1305" i="14" s="1"/>
  <c r="K1305" i="14" s="1"/>
  <c r="G1295" i="14" a="1"/>
  <c r="G1295" i="14" s="1"/>
  <c r="K1295" i="14" s="1"/>
  <c r="G818" i="14" a="1"/>
  <c r="G818" i="14" s="1"/>
  <c r="K818" i="14" s="1"/>
  <c r="G724" i="14" a="1"/>
  <c r="G724" i="14" s="1"/>
  <c r="K724" i="14" s="1"/>
  <c r="G883" i="14" a="1"/>
  <c r="G883" i="14" s="1"/>
  <c r="K883" i="14" s="1"/>
  <c r="G1329" i="14" a="1"/>
  <c r="G1329" i="14" s="1"/>
  <c r="K1329" i="14" s="1"/>
  <c r="G1383" i="14" a="1"/>
  <c r="G1383" i="14" s="1"/>
  <c r="K1383" i="14" s="1"/>
  <c r="G733" i="14" a="1"/>
  <c r="G733" i="14" s="1"/>
  <c r="K733" i="14" s="1"/>
  <c r="G382" i="14" a="1"/>
  <c r="G382" i="14" s="1"/>
  <c r="K382" i="14" s="1"/>
  <c r="G20" i="14" a="1"/>
  <c r="G20" i="14" s="1"/>
  <c r="K20" i="14" s="1"/>
  <c r="G1434" i="14" a="1"/>
  <c r="G1434" i="14" s="1"/>
  <c r="K1434" i="14" s="1"/>
  <c r="G1495" i="14" a="1"/>
  <c r="G1495" i="14" s="1"/>
  <c r="K1495" i="14" s="1"/>
  <c r="G357" i="14" a="1"/>
  <c r="G357" i="14" s="1"/>
  <c r="K357" i="14" s="1"/>
  <c r="G211" i="14" a="1"/>
  <c r="G211" i="14" s="1"/>
  <c r="K211" i="14" s="1"/>
  <c r="G274" i="14" a="1"/>
  <c r="G274" i="14" s="1"/>
  <c r="K274" i="14" s="1"/>
  <c r="G1408" i="14" a="1"/>
  <c r="G1408" i="14" s="1"/>
  <c r="K1408" i="14" s="1"/>
  <c r="G1492" i="14" a="1"/>
  <c r="G1492" i="14" s="1"/>
  <c r="K1492" i="14" s="1"/>
  <c r="G174" i="14" a="1"/>
  <c r="G174" i="14" s="1"/>
  <c r="K174" i="14" s="1"/>
  <c r="G199" i="14" a="1"/>
  <c r="G199" i="14" s="1"/>
  <c r="K199" i="14" s="1"/>
  <c r="G123" i="14" a="1"/>
  <c r="G123" i="14" s="1"/>
  <c r="K123" i="14" s="1"/>
  <c r="G1387" i="14" a="1"/>
  <c r="G1387" i="14" s="1"/>
  <c r="K1387" i="14" s="1"/>
  <c r="G1491" i="14" a="1"/>
  <c r="G1491" i="14" s="1"/>
  <c r="K1491" i="14" s="1"/>
  <c r="G154" i="14" a="1"/>
  <c r="G154" i="14" s="1"/>
  <c r="K154" i="14" s="1"/>
  <c r="G48" i="14" a="1"/>
  <c r="G48" i="14" s="1"/>
  <c r="K48" i="14" s="1"/>
  <c r="G201" i="14" a="1"/>
  <c r="G201" i="14" s="1"/>
  <c r="K201" i="14" s="1"/>
  <c r="G1385" i="14" a="1"/>
  <c r="G1385" i="14" s="1"/>
  <c r="K1385" i="14" s="1"/>
  <c r="G1462" i="14" a="1"/>
  <c r="G1462" i="14" s="1"/>
  <c r="K1462" i="14" s="1"/>
  <c r="G71" i="14" a="1"/>
  <c r="G71" i="14" s="1"/>
  <c r="K71" i="14" s="1"/>
  <c r="G252" i="14" a="1"/>
  <c r="G252" i="14" s="1"/>
  <c r="K252" i="14" s="1"/>
  <c r="G1395" i="14" a="1"/>
  <c r="G1395" i="14" s="1"/>
  <c r="K1395" i="14" s="1"/>
  <c r="G1466" i="14" a="1"/>
  <c r="G1466" i="14" s="1"/>
  <c r="K1466" i="14" s="1"/>
  <c r="G334" i="14" a="1"/>
  <c r="G334" i="14" s="1"/>
  <c r="K334" i="14" s="1"/>
  <c r="G1276" i="14" a="1"/>
  <c r="G1276" i="14" s="1"/>
  <c r="K1276" i="14" s="1"/>
  <c r="G1444" i="14" a="1"/>
  <c r="G1444" i="14" s="1"/>
  <c r="K1444" i="14" s="1"/>
  <c r="G101" i="14" a="1"/>
  <c r="G101" i="14" s="1"/>
  <c r="K101" i="14" s="1"/>
  <c r="G1038" i="14" a="1"/>
  <c r="G1038" i="14" s="1"/>
  <c r="K1038" i="14" s="1"/>
  <c r="G1032" i="14" a="1"/>
  <c r="G1032" i="14" s="1"/>
  <c r="K1032" i="14" s="1"/>
  <c r="G1135" i="14" a="1"/>
  <c r="G1135" i="14" s="1"/>
  <c r="K1135" i="14" s="1"/>
  <c r="G1138" i="14" a="1"/>
  <c r="G1138" i="14" s="1"/>
  <c r="K1138" i="14" s="1"/>
  <c r="G958" i="14" a="1"/>
  <c r="G958" i="14" s="1"/>
  <c r="K958" i="14" s="1"/>
  <c r="G1166" i="14" a="1"/>
  <c r="G1166" i="14" s="1"/>
  <c r="K1166" i="14" s="1"/>
  <c r="G1149" i="14" a="1"/>
  <c r="G1149" i="14" s="1"/>
  <c r="K1149" i="14" s="1"/>
  <c r="G859" i="14" a="1"/>
  <c r="G859" i="14" s="1"/>
  <c r="K859" i="14" s="1"/>
  <c r="G774" i="14" a="1"/>
  <c r="G774" i="14" s="1"/>
  <c r="K774" i="14" s="1"/>
  <c r="G1125" i="14" a="1"/>
  <c r="G1125" i="14" s="1"/>
  <c r="K1125" i="14" s="1"/>
  <c r="G1016" i="14" a="1"/>
  <c r="G1016" i="14" s="1"/>
  <c r="K1016" i="14" s="1"/>
  <c r="G986" i="14" a="1"/>
  <c r="G986" i="14" s="1"/>
  <c r="K986" i="14" s="1"/>
  <c r="G1129" i="14" a="1"/>
  <c r="G1129" i="14" s="1"/>
  <c r="K1129" i="14" s="1"/>
  <c r="G1121" i="14" a="1"/>
  <c r="G1121" i="14" s="1"/>
  <c r="K1121" i="14" s="1"/>
  <c r="G938" i="14" a="1"/>
  <c r="G938" i="14" s="1"/>
  <c r="K938" i="14" s="1"/>
  <c r="G1090" i="14" a="1"/>
  <c r="G1090" i="14" s="1"/>
  <c r="K1090" i="14" s="1"/>
  <c r="G1123" i="14" a="1"/>
  <c r="G1123" i="14" s="1"/>
  <c r="K1123" i="14" s="1"/>
  <c r="G789" i="14" a="1"/>
  <c r="G789" i="14" s="1"/>
  <c r="K789" i="14" s="1"/>
  <c r="G756" i="14" a="1"/>
  <c r="G756" i="14" s="1"/>
  <c r="K756" i="14" s="1"/>
  <c r="G1063" i="14" a="1"/>
  <c r="G1063" i="14" s="1"/>
  <c r="K1063" i="14" s="1"/>
  <c r="G1173" i="14" a="1"/>
  <c r="G1173" i="14" s="1"/>
  <c r="K1173" i="14" s="1"/>
  <c r="G1158" i="14" a="1"/>
  <c r="G1158" i="14" s="1"/>
  <c r="K1158" i="14" s="1"/>
  <c r="G815" i="14" a="1"/>
  <c r="G815" i="14" s="1"/>
  <c r="K815" i="14" s="1"/>
  <c r="G781" i="14" a="1"/>
  <c r="G781" i="14" s="1"/>
  <c r="K781" i="14" s="1"/>
  <c r="G1147" i="14" a="1"/>
  <c r="G1147" i="14" s="1"/>
  <c r="K1147" i="14" s="1"/>
  <c r="H305" i="14" a="1"/>
  <c r="H305" i="14" s="1"/>
  <c r="H1413" i="14" a="1"/>
  <c r="H1413" i="14" s="1"/>
  <c r="H768" i="14" a="1"/>
  <c r="H768" i="14" s="1"/>
  <c r="H210" i="14" a="1"/>
  <c r="H210" i="14" s="1"/>
  <c r="H1066" i="14" a="1"/>
  <c r="H1066" i="14" s="1"/>
  <c r="H303" i="14" a="1"/>
  <c r="H303" i="14" s="1"/>
  <c r="H1422" i="14" a="1"/>
  <c r="H1422" i="14" s="1"/>
  <c r="H808" i="14" a="1"/>
  <c r="H808" i="14" s="1"/>
  <c r="H212" i="14" a="1"/>
  <c r="H212" i="14" s="1"/>
  <c r="H1091" i="14" a="1"/>
  <c r="H1091" i="14" s="1"/>
  <c r="H323" i="14" a="1"/>
  <c r="H323" i="14" s="1"/>
  <c r="H1425" i="14" a="1"/>
  <c r="H1425" i="14" s="1"/>
  <c r="H105" i="14" a="1"/>
  <c r="H105" i="14" s="1"/>
  <c r="H261" i="14" a="1"/>
  <c r="H261" i="14" s="1"/>
  <c r="H995" i="14" a="1"/>
  <c r="H995" i="14" s="1"/>
  <c r="H39" i="14" a="1"/>
  <c r="H39" i="14" s="1"/>
  <c r="H1472" i="14" a="1"/>
  <c r="H1472" i="14" s="1"/>
  <c r="H1076" i="14" a="1"/>
  <c r="H1076" i="14" s="1"/>
  <c r="H220" i="14" a="1"/>
  <c r="H220" i="14" s="1"/>
  <c r="H3" i="14" a="1"/>
  <c r="H3" i="14" s="1"/>
  <c r="H1457" i="14" a="1"/>
  <c r="H1457" i="14" s="1"/>
  <c r="H973" i="14" a="1"/>
  <c r="H973" i="14" s="1"/>
  <c r="H269" i="14" a="1"/>
  <c r="H269" i="14" s="1"/>
  <c r="H1102" i="14" a="1"/>
  <c r="H1102" i="14" s="1"/>
  <c r="H1464" i="14" a="1"/>
  <c r="H1464" i="14" s="1"/>
  <c r="H1012" i="14" a="1"/>
  <c r="H1012" i="14" s="1"/>
  <c r="H289" i="14" a="1"/>
  <c r="H289" i="14" s="1"/>
  <c r="H1120" i="14" a="1"/>
  <c r="H1120" i="14" s="1"/>
  <c r="H1459" i="14" a="1"/>
  <c r="H1459" i="14" s="1"/>
  <c r="H1004" i="14" a="1"/>
  <c r="H1004" i="14" s="1"/>
  <c r="H288" i="14" a="1"/>
  <c r="H288" i="14" s="1"/>
  <c r="H1115" i="14" a="1"/>
  <c r="H1115" i="14" s="1"/>
  <c r="H43" i="14" a="1"/>
  <c r="H43" i="14" s="1"/>
  <c r="H1469" i="14" a="1"/>
  <c r="H1469" i="14" s="1"/>
  <c r="H1084" i="14" a="1"/>
  <c r="H1084" i="14" s="1"/>
  <c r="H278" i="14" a="1"/>
  <c r="H278" i="14" s="1"/>
  <c r="H5" i="14" a="1"/>
  <c r="H5" i="14" s="1"/>
  <c r="H421" i="14" a="1"/>
  <c r="H421" i="14" s="1"/>
  <c r="H1421" i="14" a="1"/>
  <c r="H1421" i="14" s="1"/>
  <c r="H778" i="14" a="1"/>
  <c r="H778" i="14" s="1"/>
  <c r="H296" i="14" a="1"/>
  <c r="H296" i="14" s="1"/>
  <c r="H1085" i="14" a="1"/>
  <c r="H1085" i="14" s="1"/>
  <c r="H38" i="14" a="1"/>
  <c r="H38" i="14" s="1"/>
  <c r="H1455" i="14" a="1"/>
  <c r="H1455" i="14" s="1"/>
  <c r="H985" i="14" a="1"/>
  <c r="H985" i="14" s="1"/>
  <c r="H275" i="14" a="1"/>
  <c r="H275" i="14" s="1"/>
  <c r="H1124" i="14" a="1"/>
  <c r="H1124" i="14" s="1"/>
  <c r="H1050" i="14" a="1"/>
  <c r="H1050" i="14" s="1"/>
  <c r="H1182" i="14" a="1"/>
  <c r="H1182" i="14" s="1"/>
  <c r="H522" i="14" a="1"/>
  <c r="H522" i="14" s="1"/>
  <c r="H1019" i="14" a="1"/>
  <c r="H1019" i="14" s="1"/>
  <c r="H247" i="14" a="1"/>
  <c r="H247" i="14" s="1"/>
  <c r="H972" i="14" a="1"/>
  <c r="H972" i="14" s="1"/>
  <c r="H1255" i="14" a="1"/>
  <c r="H1255" i="14" s="1"/>
  <c r="H391" i="14" a="1"/>
  <c r="H391" i="14" s="1"/>
  <c r="H970" i="14" a="1"/>
  <c r="H970" i="14" s="1"/>
  <c r="H360" i="14" a="1"/>
  <c r="H360" i="14" s="1"/>
  <c r="H871" i="14" a="1"/>
  <c r="H871" i="14" s="1"/>
  <c r="H1274" i="14" a="1"/>
  <c r="H1274" i="14" s="1"/>
  <c r="H82" i="14" a="1"/>
  <c r="H82" i="14" s="1"/>
  <c r="H794" i="14" a="1"/>
  <c r="H794" i="14" s="1"/>
  <c r="H675" i="14" a="1"/>
  <c r="H675" i="14" s="1"/>
  <c r="H919" i="14" a="1"/>
  <c r="H919" i="14" s="1"/>
  <c r="H1280" i="14" a="1"/>
  <c r="H1280" i="14" s="1"/>
  <c r="H109" i="14" a="1"/>
  <c r="H109" i="14" s="1"/>
  <c r="H824" i="14" a="1"/>
  <c r="H824" i="14" s="1"/>
  <c r="H637" i="14" a="1"/>
  <c r="H637" i="14" s="1"/>
  <c r="H1460" i="14" a="1"/>
  <c r="H1460" i="14" s="1"/>
  <c r="H1357" i="14" a="1"/>
  <c r="H1357" i="14" s="1"/>
  <c r="H1474" i="14" a="1"/>
  <c r="H1474" i="14" s="1"/>
  <c r="H760" i="14" a="1"/>
  <c r="H760" i="14" s="1"/>
  <c r="H1415" i="14" a="1"/>
  <c r="H1415" i="14" s="1"/>
  <c r="H112" i="14" a="1"/>
  <c r="H112" i="14" s="1"/>
  <c r="H1327" i="14" a="1"/>
  <c r="H1327" i="14" s="1"/>
  <c r="H1402" i="14" a="1"/>
  <c r="H1402" i="14" s="1"/>
  <c r="H742" i="14" a="1"/>
  <c r="H742" i="14" s="1"/>
  <c r="H1303" i="14" a="1"/>
  <c r="H1303" i="14" s="1"/>
  <c r="H491" i="14" a="1"/>
  <c r="H491" i="14" s="1"/>
  <c r="H1185" i="14" a="1"/>
  <c r="H1185" i="14" s="1"/>
  <c r="H1270" i="14" a="1"/>
  <c r="H1270" i="14" s="1"/>
  <c r="H419" i="14" a="1"/>
  <c r="H419" i="14" s="1"/>
  <c r="H1398" i="14" a="1"/>
  <c r="H1398" i="14" s="1"/>
  <c r="H78" i="14" a="1"/>
  <c r="H78" i="14" s="1"/>
  <c r="H1326" i="14" a="1"/>
  <c r="H1326" i="14" s="1"/>
  <c r="H1409" i="14" a="1"/>
  <c r="H1409" i="14" s="1"/>
  <c r="H790" i="14" a="1"/>
  <c r="H790" i="14" s="1"/>
  <c r="H386" i="14" a="1"/>
  <c r="H386" i="14" s="1"/>
  <c r="H1296" i="14" a="1"/>
  <c r="H1296" i="14" s="1"/>
  <c r="H607" i="14" a="1"/>
  <c r="H607" i="14" s="1"/>
  <c r="H234" i="14" a="1"/>
  <c r="H234" i="14" s="1"/>
  <c r="H58" i="14" a="1"/>
  <c r="H58" i="14" s="1"/>
  <c r="H412" i="14" a="1"/>
  <c r="H412" i="14" s="1"/>
  <c r="H1301" i="14" a="1"/>
  <c r="H1301" i="14" s="1"/>
  <c r="H702" i="14" a="1"/>
  <c r="H702" i="14" s="1"/>
  <c r="H366" i="14" a="1"/>
  <c r="H366" i="14" s="1"/>
  <c r="H963" i="14" a="1"/>
  <c r="H963" i="14" s="1"/>
  <c r="H314" i="14" a="1"/>
  <c r="H314" i="14" s="1"/>
  <c r="H1390" i="14" a="1"/>
  <c r="H1390" i="14" s="1"/>
  <c r="H536" i="14" a="1"/>
  <c r="H536" i="14" s="1"/>
  <c r="H283" i="14" a="1"/>
  <c r="H283" i="14" s="1"/>
  <c r="H957" i="14" a="1"/>
  <c r="H957" i="14" s="1"/>
  <c r="H851" i="14" a="1"/>
  <c r="H851" i="14" s="1"/>
  <c r="H1265" i="14" a="1"/>
  <c r="H1265" i="14" s="1"/>
  <c r="H273" i="14" a="1"/>
  <c r="H273" i="14" s="1"/>
  <c r="H846" i="14" a="1"/>
  <c r="H846" i="14" s="1"/>
  <c r="H745" i="14" a="1"/>
  <c r="H745" i="14" s="1"/>
  <c r="H1005" i="14" a="1"/>
  <c r="H1005" i="14" s="1"/>
  <c r="H1356" i="14" a="1"/>
  <c r="H1356" i="14" s="1"/>
  <c r="H736" i="14" a="1"/>
  <c r="H736" i="14" s="1"/>
  <c r="H612" i="14" a="1"/>
  <c r="H612" i="14" s="1"/>
  <c r="H899" i="14" a="1"/>
  <c r="H899" i="14" s="1"/>
  <c r="H1367" i="14" a="1"/>
  <c r="H1367" i="14" s="1"/>
  <c r="H598" i="14" a="1"/>
  <c r="H598" i="14" s="1"/>
  <c r="H727" i="14" a="1"/>
  <c r="H727" i="14" s="1"/>
  <c r="H903" i="14" a="1"/>
  <c r="H903" i="14" s="1"/>
  <c r="H1347" i="14" a="1"/>
  <c r="H1347" i="14" s="1"/>
  <c r="H564" i="14" a="1"/>
  <c r="H564" i="14" s="1"/>
  <c r="H646" i="14" a="1"/>
  <c r="H646" i="14" s="1"/>
  <c r="H1482" i="14" a="1"/>
  <c r="H1482" i="14" s="1"/>
  <c r="H1312" i="14" a="1"/>
  <c r="H1312" i="14" s="1"/>
  <c r="H1493" i="14" a="1"/>
  <c r="H1493" i="14" s="1"/>
  <c r="H757" i="14" a="1"/>
  <c r="H757" i="14" s="1"/>
  <c r="H457" i="14" a="1"/>
  <c r="H457" i="14" s="1"/>
  <c r="H1322" i="14" a="1"/>
  <c r="H1322" i="14" s="1"/>
  <c r="H747" i="14" a="1"/>
  <c r="H747" i="14" s="1"/>
  <c r="H408" i="14" a="1"/>
  <c r="H408" i="14" s="1"/>
  <c r="H1035" i="14" a="1"/>
  <c r="H1035" i="14" s="1"/>
  <c r="H892" i="14" a="1"/>
  <c r="H892" i="14" s="1"/>
  <c r="H1267" i="14" a="1"/>
  <c r="H1267" i="14" s="1"/>
  <c r="H301" i="14" a="1"/>
  <c r="H301" i="14" s="1"/>
  <c r="H864" i="14" a="1"/>
  <c r="H864" i="14" s="1"/>
  <c r="H764" i="14" a="1"/>
  <c r="H764" i="14" s="1"/>
  <c r="H902" i="14" a="1"/>
  <c r="H902" i="14" s="1"/>
  <c r="H1354" i="14" a="1"/>
  <c r="H1354" i="14" s="1"/>
  <c r="H224" i="14" a="1"/>
  <c r="H224" i="14" s="1"/>
  <c r="H762" i="14" a="1"/>
  <c r="H762" i="14" s="1"/>
  <c r="H822" i="14" a="1"/>
  <c r="H822" i="14" s="1"/>
  <c r="H25" i="14" a="1"/>
  <c r="H25" i="14" s="1"/>
  <c r="L25" i="14" s="1"/>
  <c r="H1475" i="14" a="1"/>
  <c r="H1475" i="14" s="1"/>
  <c r="H1116" i="14" a="1"/>
  <c r="H1116" i="14" s="1"/>
  <c r="H10" i="14" a="1"/>
  <c r="H10" i="14" s="1"/>
  <c r="H287" i="14" a="1"/>
  <c r="H287" i="14" s="1"/>
  <c r="H1473" i="14" a="1"/>
  <c r="H1473" i="14" s="1"/>
  <c r="H735" i="14" a="1"/>
  <c r="H735" i="14" s="1"/>
  <c r="H1178" i="14" a="1"/>
  <c r="H1178" i="14" s="1"/>
  <c r="H136" i="14" a="1"/>
  <c r="H136" i="14" s="1"/>
  <c r="H1471" i="14" a="1"/>
  <c r="H1471" i="14" s="1"/>
  <c r="H723" i="14" a="1"/>
  <c r="H723" i="14" s="1"/>
  <c r="H1177" i="14" a="1"/>
  <c r="H1177" i="14" s="1"/>
  <c r="H205" i="14" a="1"/>
  <c r="H205" i="14" s="1"/>
  <c r="H1437" i="14" a="1"/>
  <c r="H1437" i="14" s="1"/>
  <c r="H953" i="14" a="1"/>
  <c r="H953" i="14" s="1"/>
  <c r="H148" i="14" a="1"/>
  <c r="H148" i="14" s="1"/>
  <c r="H1055" i="14" a="1"/>
  <c r="H1055" i="14" s="1"/>
  <c r="H258" i="14" a="1"/>
  <c r="H258" i="14" s="1"/>
  <c r="H1446" i="14" a="1"/>
  <c r="H1446" i="14" s="1"/>
  <c r="H989" i="14" a="1"/>
  <c r="H989" i="14" s="1"/>
  <c r="H1064" i="14" a="1"/>
  <c r="H1064" i="14" s="1"/>
  <c r="H342" i="14" a="1"/>
  <c r="H342" i="14" s="1"/>
  <c r="H1417" i="14" a="1"/>
  <c r="H1417" i="14" s="1"/>
  <c r="H776" i="14" a="1"/>
  <c r="H776" i="14" s="1"/>
  <c r="H1118" i="14" a="1"/>
  <c r="H1118" i="14" s="1"/>
  <c r="H1043" i="14" a="1"/>
  <c r="H1043" i="14" s="1"/>
  <c r="H1131" i="14" a="1"/>
  <c r="H1131" i="14" s="1"/>
  <c r="H691" i="14" a="1"/>
  <c r="H691" i="14" s="1"/>
  <c r="H219" i="14" a="1"/>
  <c r="H219" i="14" s="1"/>
  <c r="H1161" i="14" a="1"/>
  <c r="H1161" i="14" s="1"/>
  <c r="H784" i="14" a="1"/>
  <c r="H784" i="14" s="1"/>
  <c r="H765" i="14" a="1"/>
  <c r="H765" i="14" s="1"/>
  <c r="H347" i="14" a="1"/>
  <c r="H347" i="14" s="1"/>
  <c r="H1020" i="14" a="1"/>
  <c r="H1020" i="14" s="1"/>
  <c r="H1112" i="14" a="1"/>
  <c r="H1112" i="14" s="1"/>
  <c r="H650" i="14" a="1"/>
  <c r="H650" i="14" s="1"/>
  <c r="H245" i="14" a="1"/>
  <c r="H245" i="14" s="1"/>
  <c r="H1114" i="14" a="1"/>
  <c r="H1114" i="14" s="1"/>
  <c r="H759" i="14" a="1"/>
  <c r="H759" i="14" s="1"/>
  <c r="H611" i="14" a="1"/>
  <c r="H611" i="14" s="1"/>
  <c r="H1179" i="14" a="1"/>
  <c r="H1179" i="14" s="1"/>
  <c r="H1165" i="14" a="1"/>
  <c r="H1165" i="14" s="1"/>
  <c r="H797" i="14" a="1"/>
  <c r="H797" i="14" s="1"/>
  <c r="H792" i="14" a="1"/>
  <c r="H792" i="14" s="1"/>
  <c r="H1216" i="14" a="1"/>
  <c r="H1216" i="14" s="1"/>
  <c r="O305" i="14"/>
  <c r="O1413" i="14"/>
  <c r="O768" i="14"/>
  <c r="O210" i="14"/>
  <c r="O1066" i="14"/>
  <c r="O303" i="14"/>
  <c r="O1422" i="14"/>
  <c r="O808" i="14"/>
  <c r="O212" i="14"/>
  <c r="O1091" i="14"/>
  <c r="O323" i="14"/>
  <c r="O1425" i="14"/>
  <c r="O105" i="14"/>
  <c r="O261" i="14"/>
  <c r="O995" i="14"/>
  <c r="O39" i="14"/>
  <c r="O1472" i="14"/>
  <c r="O1076" i="14"/>
  <c r="O220" i="14"/>
  <c r="O3" i="14"/>
  <c r="O1457" i="14"/>
  <c r="O973" i="14"/>
  <c r="O269" i="14"/>
  <c r="O1102" i="14"/>
  <c r="O1464" i="14"/>
  <c r="O1012" i="14"/>
  <c r="O289" i="14"/>
  <c r="O1120" i="14"/>
  <c r="O1459" i="14"/>
  <c r="O1004" i="14"/>
  <c r="O288" i="14"/>
  <c r="O1115" i="14"/>
  <c r="O43" i="14"/>
  <c r="O1469" i="14"/>
  <c r="O1084" i="14"/>
  <c r="O278" i="14"/>
  <c r="O5" i="14"/>
  <c r="O421" i="14"/>
  <c r="O1421" i="14"/>
  <c r="O778" i="14"/>
  <c r="O296" i="14"/>
  <c r="O1085" i="14"/>
  <c r="O38" i="14"/>
  <c r="O1455" i="14"/>
  <c r="O985" i="14"/>
  <c r="O275" i="14"/>
  <c r="O1124" i="14"/>
  <c r="O1050" i="14"/>
  <c r="O1182" i="14"/>
  <c r="O522" i="14"/>
  <c r="O1019" i="14"/>
  <c r="O247" i="14"/>
  <c r="O972" i="14"/>
  <c r="O1255" i="14"/>
  <c r="O391" i="14"/>
  <c r="O970" i="14"/>
  <c r="O360" i="14"/>
  <c r="O871" i="14"/>
  <c r="O1274" i="14"/>
  <c r="O82" i="14"/>
  <c r="O794" i="14"/>
  <c r="O675" i="14"/>
  <c r="O919" i="14"/>
  <c r="O1280" i="14"/>
  <c r="O109" i="14"/>
  <c r="O824" i="14"/>
  <c r="O637" i="14"/>
  <c r="O1460" i="14"/>
  <c r="O1357" i="14"/>
  <c r="O1474" i="14"/>
  <c r="O760" i="14"/>
  <c r="O1415" i="14"/>
  <c r="O112" i="14"/>
  <c r="O1327" i="14"/>
  <c r="O1402" i="14"/>
  <c r="O742" i="14"/>
  <c r="O1303" i="14"/>
  <c r="O491" i="14"/>
  <c r="O1185" i="14"/>
  <c r="O1270" i="14"/>
  <c r="O419" i="14"/>
  <c r="O1398" i="14"/>
  <c r="O78" i="14"/>
  <c r="O1326" i="14"/>
  <c r="O1409" i="14"/>
  <c r="O790" i="14"/>
  <c r="O386" i="14"/>
  <c r="O1296" i="14"/>
  <c r="O607" i="14"/>
  <c r="O234" i="14"/>
  <c r="O58" i="14"/>
  <c r="O412" i="14"/>
  <c r="O1301" i="14"/>
  <c r="O702" i="14"/>
  <c r="O366" i="14"/>
  <c r="O963" i="14"/>
  <c r="O314" i="14"/>
  <c r="O1390" i="14"/>
  <c r="O536" i="14"/>
  <c r="O283" i="14"/>
  <c r="O957" i="14"/>
  <c r="O851" i="14"/>
  <c r="O1265" i="14"/>
  <c r="O273" i="14"/>
  <c r="O846" i="14"/>
  <c r="O745" i="14"/>
  <c r="O1005" i="14"/>
  <c r="O1356" i="14"/>
  <c r="O736" i="14"/>
  <c r="O612" i="14"/>
  <c r="O899" i="14"/>
  <c r="O1367" i="14"/>
  <c r="O598" i="14"/>
  <c r="O727" i="14"/>
  <c r="O903" i="14"/>
  <c r="O1347" i="14"/>
  <c r="O564" i="14"/>
  <c r="O646" i="14"/>
  <c r="O1482" i="14"/>
  <c r="O1312" i="14"/>
  <c r="O1493" i="14"/>
  <c r="O757" i="14"/>
  <c r="O457" i="14"/>
  <c r="O1322" i="14"/>
  <c r="O747" i="14"/>
  <c r="O408" i="14"/>
  <c r="O1035" i="14"/>
  <c r="O892" i="14"/>
  <c r="O1267" i="14"/>
  <c r="O301" i="14"/>
  <c r="O864" i="14"/>
  <c r="O764" i="14"/>
  <c r="O902" i="14"/>
  <c r="O1354" i="14"/>
  <c r="O224" i="14"/>
  <c r="O762" i="14"/>
  <c r="O822" i="14"/>
  <c r="O25" i="14"/>
  <c r="O1475" i="14"/>
  <c r="O1116" i="14"/>
  <c r="O10" i="14"/>
  <c r="O287" i="14"/>
  <c r="O1473" i="14"/>
  <c r="O735" i="14"/>
  <c r="O1178" i="14"/>
  <c r="O136" i="14"/>
  <c r="O1471" i="14"/>
  <c r="O723" i="14"/>
  <c r="O1177" i="14"/>
  <c r="O205" i="14"/>
  <c r="O1437" i="14"/>
  <c r="O953" i="14"/>
  <c r="O148" i="14"/>
  <c r="O1055" i="14"/>
  <c r="O258" i="14"/>
  <c r="O1446" i="14"/>
  <c r="O989" i="14"/>
  <c r="O1064" i="14"/>
  <c r="O342" i="14"/>
  <c r="O1417" i="14"/>
  <c r="O776" i="14"/>
  <c r="O1118" i="14"/>
  <c r="O1043" i="14"/>
  <c r="O1131" i="14"/>
  <c r="O691" i="14"/>
  <c r="O219" i="14"/>
  <c r="O1161" i="14"/>
  <c r="O784" i="14"/>
  <c r="O765" i="14"/>
  <c r="O347" i="14"/>
  <c r="O1020" i="14"/>
  <c r="O1112" i="14"/>
  <c r="O650" i="14"/>
  <c r="O245" i="14"/>
  <c r="O1114" i="14"/>
  <c r="O759" i="14"/>
  <c r="O611" i="14"/>
  <c r="O1179" i="14"/>
  <c r="O1165" i="14"/>
  <c r="O797" i="14"/>
  <c r="O792" i="14"/>
  <c r="O1216" i="14"/>
  <c r="L55" i="14"/>
  <c r="E781" i="14" a="1"/>
  <c r="E781" i="14" s="1"/>
  <c r="M781" i="14" s="1"/>
  <c r="P781" i="14" s="1"/>
  <c r="E1173" i="14" a="1"/>
  <c r="E1173" i="14" s="1"/>
  <c r="M1173" i="14" s="1"/>
  <c r="P1173" i="14" s="1"/>
  <c r="E756" i="14" a="1"/>
  <c r="E756" i="14" s="1"/>
  <c r="M756" i="14" s="1"/>
  <c r="P756" i="14" s="1"/>
  <c r="E1123" i="14" a="1"/>
  <c r="E1123" i="14" s="1"/>
  <c r="M1123" i="14" s="1"/>
  <c r="P1123" i="14" s="1"/>
  <c r="E938" i="14" a="1"/>
  <c r="E938" i="14" s="1"/>
  <c r="M938" i="14" s="1"/>
  <c r="P938" i="14" s="1"/>
  <c r="E1129" i="14" a="1"/>
  <c r="E1129" i="14" s="1"/>
  <c r="M1129" i="14" s="1"/>
  <c r="P1129" i="14" s="1"/>
  <c r="E1016" i="14" a="1"/>
  <c r="E1016" i="14" s="1"/>
  <c r="M1016" i="14" s="1"/>
  <c r="P1016" i="14" s="1"/>
  <c r="E774" i="14" a="1"/>
  <c r="E774" i="14" s="1"/>
  <c r="M774" i="14" s="1"/>
  <c r="P774" i="14" s="1"/>
  <c r="E1149" i="14" a="1"/>
  <c r="E1149" i="14" s="1"/>
  <c r="M1149" i="14" s="1"/>
  <c r="P1149" i="14" s="1"/>
  <c r="E958" i="14" a="1"/>
  <c r="E958" i="14" s="1"/>
  <c r="M958" i="14" s="1"/>
  <c r="P958" i="14" s="1"/>
  <c r="E1135" i="14" a="1"/>
  <c r="E1135" i="14" s="1"/>
  <c r="M1135" i="14" s="1"/>
  <c r="P1135" i="14" s="1"/>
  <c r="E1038" i="14" a="1"/>
  <c r="E1038" i="14" s="1"/>
  <c r="M1038" i="14" s="1"/>
  <c r="P1038" i="14" s="1"/>
  <c r="E1444" i="14" a="1"/>
  <c r="E1444" i="14" s="1"/>
  <c r="M1444" i="14" s="1"/>
  <c r="P1444" i="14" s="1"/>
  <c r="E334" i="14" a="1"/>
  <c r="E334" i="14" s="1"/>
  <c r="M334" i="14" s="1"/>
  <c r="P334" i="14" s="1"/>
  <c r="E1395" i="14" a="1"/>
  <c r="E1395" i="14" s="1"/>
  <c r="M1395" i="14" s="1"/>
  <c r="P1395" i="14" s="1"/>
  <c r="E71" i="14" a="1"/>
  <c r="E71" i="14" s="1"/>
  <c r="M71" i="14" s="1"/>
  <c r="P71" i="14" s="1"/>
  <c r="E1385" i="14" a="1"/>
  <c r="E1385" i="14" s="1"/>
  <c r="M1385" i="14" s="1"/>
  <c r="P1385" i="14" s="1"/>
  <c r="E48" i="14" a="1"/>
  <c r="E48" i="14" s="1"/>
  <c r="M48" i="14" s="1"/>
  <c r="P48" i="14" s="1"/>
  <c r="E1491" i="14" a="1"/>
  <c r="E1491" i="14" s="1"/>
  <c r="M1491" i="14" s="1"/>
  <c r="P1491" i="14" s="1"/>
  <c r="E123" i="14" a="1"/>
  <c r="E123" i="14" s="1"/>
  <c r="M123" i="14" s="1"/>
  <c r="P123" i="14" s="1"/>
  <c r="E174" i="14" a="1"/>
  <c r="E174" i="14" s="1"/>
  <c r="M174" i="14" s="1"/>
  <c r="P174" i="14" s="1"/>
  <c r="E1408" i="14" a="1"/>
  <c r="E1408" i="14" s="1"/>
  <c r="M1408" i="14" s="1"/>
  <c r="P1408" i="14" s="1"/>
  <c r="E357" i="14" a="1"/>
  <c r="E357" i="14" s="1"/>
  <c r="M357" i="14" s="1"/>
  <c r="P357" i="14" s="1"/>
  <c r="E1434" i="14" a="1"/>
  <c r="E1434" i="14" s="1"/>
  <c r="M1434" i="14" s="1"/>
  <c r="P1434" i="14" s="1"/>
  <c r="E20" i="14" a="1"/>
  <c r="E20" i="14" s="1"/>
  <c r="M20" i="14" s="1"/>
  <c r="P20" i="14" s="1"/>
  <c r="E733" i="14" a="1"/>
  <c r="E733" i="14" s="1"/>
  <c r="M733" i="14" s="1"/>
  <c r="P733" i="14" s="1"/>
  <c r="E1329" i="14" a="1"/>
  <c r="E1329" i="14" s="1"/>
  <c r="M1329" i="14" s="1"/>
  <c r="P1329" i="14" s="1"/>
  <c r="E724" i="14" a="1"/>
  <c r="E724" i="14" s="1"/>
  <c r="M724" i="14" s="1"/>
  <c r="P724" i="14" s="1"/>
  <c r="E1295" i="14" a="1"/>
  <c r="E1295" i="14" s="1"/>
  <c r="M1295" i="14" s="1"/>
  <c r="P1295" i="14" s="1"/>
  <c r="E700" i="14" a="1"/>
  <c r="E700" i="14" s="1"/>
  <c r="M700" i="14" s="1"/>
  <c r="P700" i="14" s="1"/>
  <c r="E1359" i="14" a="1"/>
  <c r="E1359" i="14" s="1"/>
  <c r="M1359" i="14" s="1"/>
  <c r="P1359" i="14" s="1"/>
  <c r="E447" i="14" a="1"/>
  <c r="E447" i="14" s="1"/>
  <c r="M447" i="14" s="1"/>
  <c r="P447" i="14" s="1"/>
  <c r="E260" i="14" a="1"/>
  <c r="E260" i="14" s="1"/>
  <c r="M260" i="14" s="1"/>
  <c r="P260" i="14" s="1"/>
  <c r="E88" i="14" a="1"/>
  <c r="E88" i="14" s="1"/>
  <c r="M88" i="14" s="1"/>
  <c r="P88" i="14" s="1"/>
  <c r="E1478" i="14" a="1"/>
  <c r="E1478" i="14" s="1"/>
  <c r="M1478" i="14" s="1"/>
  <c r="P1478" i="14" s="1"/>
  <c r="E881" i="14" a="1"/>
  <c r="E881" i="14" s="1"/>
  <c r="M881" i="14" s="1"/>
  <c r="P881" i="14" s="1"/>
  <c r="E1319" i="14" a="1"/>
  <c r="E1319" i="14" s="1"/>
  <c r="M1319" i="14" s="1"/>
  <c r="P1319" i="14" s="1"/>
  <c r="E720" i="14" a="1"/>
  <c r="E720" i="14" s="1"/>
  <c r="M720" i="14" s="1"/>
  <c r="P720" i="14" s="1"/>
  <c r="E1315" i="14" a="1"/>
  <c r="E1315" i="14" s="1"/>
  <c r="M1315" i="14" s="1"/>
  <c r="P1315" i="14" s="1"/>
  <c r="E1336" i="14" a="1"/>
  <c r="E1336" i="14" s="1"/>
  <c r="M1336" i="14" s="1"/>
  <c r="P1336" i="14" s="1"/>
  <c r="E716" i="14" a="1"/>
  <c r="E716" i="14" s="1"/>
  <c r="M716" i="14" s="1"/>
  <c r="P716" i="14" s="1"/>
  <c r="E1313" i="14" a="1"/>
  <c r="E1313" i="14" s="1"/>
  <c r="M1313" i="14" s="1"/>
  <c r="P1313" i="14" s="1"/>
  <c r="E984" i="14" a="1"/>
  <c r="E984" i="14" s="1"/>
  <c r="M984" i="14" s="1"/>
  <c r="P984" i="14" s="1"/>
  <c r="E803" i="14" a="1"/>
  <c r="E803" i="14" s="1"/>
  <c r="M803" i="14" s="1"/>
  <c r="P803" i="14" s="1"/>
  <c r="E1306" i="14" a="1"/>
  <c r="E1306" i="14" s="1"/>
  <c r="M1306" i="14" s="1"/>
  <c r="P1306" i="14" s="1"/>
  <c r="E658" i="14" a="1"/>
  <c r="E658" i="14" s="1"/>
  <c r="M658" i="14" s="1"/>
  <c r="P658" i="14" s="1"/>
  <c r="E1430" i="14" a="1"/>
  <c r="E1430" i="14" s="1"/>
  <c r="M1430" i="14" s="1"/>
  <c r="P1430" i="14" s="1"/>
  <c r="E1234" i="14" a="1"/>
  <c r="E1234" i="14" s="1"/>
  <c r="M1234" i="14" s="1"/>
  <c r="P1234" i="14" s="1"/>
  <c r="E207" i="14" a="1"/>
  <c r="E207" i="14" s="1"/>
  <c r="M207" i="14" s="1"/>
  <c r="P207" i="14" s="1"/>
  <c r="E1341" i="14" a="1"/>
  <c r="E1341" i="14" s="1"/>
  <c r="M1341" i="14" s="1"/>
  <c r="P1341" i="14" s="1"/>
  <c r="E1353" i="14" a="1"/>
  <c r="E1353" i="14" s="1"/>
  <c r="M1353" i="14" s="1"/>
  <c r="P1353" i="14" s="1"/>
  <c r="E369" i="14" a="1"/>
  <c r="E369" i="14" s="1"/>
  <c r="M369" i="14" s="1"/>
  <c r="P369" i="14" s="1"/>
  <c r="E193" i="14" a="1"/>
  <c r="E193" i="14" s="1"/>
  <c r="M193" i="14" s="1"/>
  <c r="P193" i="14" s="1"/>
  <c r="E172" i="14" a="1"/>
  <c r="E172" i="14" s="1"/>
  <c r="M172" i="14" s="1"/>
  <c r="P172" i="14" s="1"/>
  <c r="E1338" i="14" a="1"/>
  <c r="E1338" i="14" s="1"/>
  <c r="M1338" i="14" s="1"/>
  <c r="P1338" i="14" s="1"/>
  <c r="E1371" i="14" a="1"/>
  <c r="E1371" i="14" s="1"/>
  <c r="M1371" i="14" s="1"/>
  <c r="P1371" i="14" s="1"/>
  <c r="E163" i="14" a="1"/>
  <c r="E163" i="14" s="1"/>
  <c r="M163" i="14" s="1"/>
  <c r="P163" i="14" s="1"/>
  <c r="E1396" i="14" a="1"/>
  <c r="E1396" i="14" s="1"/>
  <c r="M1396" i="14" s="1"/>
  <c r="P1396" i="14" s="1"/>
  <c r="E89" i="14" a="1"/>
  <c r="E89" i="14" s="1"/>
  <c r="M89" i="14" s="1"/>
  <c r="P89" i="14" s="1"/>
  <c r="E1381" i="14" a="1"/>
  <c r="E1381" i="14" s="1"/>
  <c r="M1381" i="14" s="1"/>
  <c r="P1381" i="14" s="1"/>
  <c r="E1370" i="14" a="1"/>
  <c r="E1370" i="14" s="1"/>
  <c r="M1370" i="14" s="1"/>
  <c r="P1370" i="14" s="1"/>
  <c r="E1247" i="14" a="1"/>
  <c r="E1247" i="14" s="1"/>
  <c r="M1247" i="14" s="1"/>
  <c r="P1247" i="14" s="1"/>
  <c r="E507" i="14" a="1"/>
  <c r="E507" i="14" s="1"/>
  <c r="M507" i="14" s="1"/>
  <c r="P507" i="14" s="1"/>
  <c r="E497" i="14" a="1"/>
  <c r="E497" i="14" s="1"/>
  <c r="M497" i="14" s="1"/>
  <c r="P497" i="14" s="1"/>
  <c r="E1299" i="14" a="1"/>
  <c r="E1299" i="14" s="1"/>
  <c r="M1299" i="14" s="1"/>
  <c r="P1299" i="14" s="1"/>
  <c r="E1249" i="14" a="1"/>
  <c r="E1249" i="14" s="1"/>
  <c r="M1249" i="14" s="1"/>
  <c r="P1249" i="14" s="1"/>
  <c r="E1406" i="14" a="1"/>
  <c r="E1406" i="14" s="1"/>
  <c r="M1406" i="14" s="1"/>
  <c r="P1406" i="14" s="1"/>
  <c r="E97" i="14" a="1"/>
  <c r="E97" i="14" s="1"/>
  <c r="M97" i="14" s="1"/>
  <c r="P97" i="14" s="1"/>
  <c r="E1411" i="14" a="1"/>
  <c r="E1411" i="14" s="1"/>
  <c r="M1411" i="14" s="1"/>
  <c r="P1411" i="14" s="1"/>
  <c r="E1399" i="14" a="1"/>
  <c r="E1399" i="14" s="1"/>
  <c r="M1399" i="14" s="1"/>
  <c r="P1399" i="14" s="1"/>
  <c r="E1447" i="14" a="1"/>
  <c r="E1447" i="14" s="1"/>
  <c r="M1447" i="14" s="1"/>
  <c r="P1447" i="14" s="1"/>
  <c r="E79" i="14" a="1"/>
  <c r="E79" i="14" s="1"/>
  <c r="M79" i="14" s="1"/>
  <c r="P79" i="14" s="1"/>
  <c r="E1456" i="14" a="1"/>
  <c r="E1456" i="14" s="1"/>
  <c r="M1456" i="14" s="1"/>
  <c r="P1456" i="14" s="1"/>
  <c r="E1423" i="14" a="1"/>
  <c r="E1423" i="14" s="1"/>
  <c r="M1423" i="14" s="1"/>
  <c r="P1423" i="14" s="1"/>
  <c r="E677" i="14" a="1"/>
  <c r="E677" i="14" s="1"/>
  <c r="M677" i="14" s="1"/>
  <c r="P677" i="14" s="1"/>
  <c r="E1292" i="14" a="1"/>
  <c r="E1292" i="14" s="1"/>
  <c r="M1292" i="14" s="1"/>
  <c r="P1292" i="14" s="1"/>
  <c r="E1219" i="14" a="1"/>
  <c r="E1219" i="14" s="1"/>
  <c r="M1219" i="14" s="1"/>
  <c r="P1219" i="14" s="1"/>
  <c r="E907" i="14" a="1"/>
  <c r="E907" i="14" s="1"/>
  <c r="M907" i="14" s="1"/>
  <c r="P907" i="14" s="1"/>
  <c r="E623" i="14" a="1"/>
  <c r="E623" i="14" s="1"/>
  <c r="M623" i="14" s="1"/>
  <c r="P623" i="14" s="1"/>
  <c r="E615" i="14" a="1"/>
  <c r="E615" i="14" s="1"/>
  <c r="M615" i="14" s="1"/>
  <c r="P615" i="14" s="1"/>
  <c r="E1282" i="14" a="1"/>
  <c r="E1282" i="14" s="1"/>
  <c r="M1282" i="14" s="1"/>
  <c r="P1282" i="14" s="1"/>
  <c r="E1221" i="14" a="1"/>
  <c r="E1221" i="14" s="1"/>
  <c r="M1221" i="14" s="1"/>
  <c r="P1221" i="14" s="1"/>
  <c r="E855" i="14" a="1"/>
  <c r="E855" i="14" s="1"/>
  <c r="M855" i="14" s="1"/>
  <c r="P855" i="14" s="1"/>
  <c r="E589" i="14" a="1"/>
  <c r="E589" i="14" s="1"/>
  <c r="M589" i="14" s="1"/>
  <c r="P589" i="14" s="1"/>
  <c r="E599" i="14" a="1"/>
  <c r="E599" i="14" s="1"/>
  <c r="M599" i="14" s="1"/>
  <c r="P599" i="14" s="1"/>
  <c r="E1259" i="14" a="1"/>
  <c r="E1259" i="14" s="1"/>
  <c r="M1259" i="14" s="1"/>
  <c r="P1259" i="14" s="1"/>
  <c r="E1237" i="14" a="1"/>
  <c r="E1237" i="14" s="1"/>
  <c r="M1237" i="14" s="1"/>
  <c r="P1237" i="14" s="1"/>
  <c r="E955" i="14" a="1"/>
  <c r="E955" i="14" s="1"/>
  <c r="M955" i="14" s="1"/>
  <c r="P955" i="14" s="1"/>
  <c r="E687" i="14" a="1"/>
  <c r="E687" i="14" s="1"/>
  <c r="M687" i="14" s="1"/>
  <c r="P687" i="14" s="1"/>
  <c r="E739" i="14" a="1"/>
  <c r="E739" i="14" s="1"/>
  <c r="M739" i="14" s="1"/>
  <c r="P739" i="14" s="1"/>
  <c r="E1190" i="14" a="1"/>
  <c r="E1190" i="14" s="1"/>
  <c r="M1190" i="14" s="1"/>
  <c r="P1190" i="14" s="1"/>
  <c r="E1155" i="14" a="1"/>
  <c r="E1155" i="14" s="1"/>
  <c r="M1155" i="14" s="1"/>
  <c r="P1155" i="14" s="1"/>
  <c r="E1052" i="14" a="1"/>
  <c r="E1052" i="14" s="1"/>
  <c r="M1052" i="14" s="1"/>
  <c r="P1052" i="14" s="1"/>
  <c r="E718" i="14" a="1"/>
  <c r="E718" i="14" s="1"/>
  <c r="M718" i="14" s="1"/>
  <c r="P718" i="14" s="1"/>
  <c r="E251" i="14" a="1"/>
  <c r="E251" i="14" s="1"/>
  <c r="M251" i="14" s="1"/>
  <c r="P251" i="14" s="1"/>
  <c r="E1479" i="14" a="1"/>
  <c r="E1479" i="14" s="1"/>
  <c r="M1479" i="14" s="1"/>
  <c r="P1479" i="14" s="1"/>
  <c r="E1380" i="14" a="1"/>
  <c r="E1380" i="14" s="1"/>
  <c r="M1380" i="14" s="1"/>
  <c r="P1380" i="14" s="1"/>
  <c r="E293" i="14" a="1"/>
  <c r="E293" i="14" s="1"/>
  <c r="M293" i="14" s="1"/>
  <c r="P293" i="14" s="1"/>
  <c r="E110" i="14" a="1"/>
  <c r="E110" i="14" s="1"/>
  <c r="M110" i="14" s="1"/>
  <c r="P110" i="14" s="1"/>
  <c r="E1448" i="14" a="1"/>
  <c r="E1448" i="14" s="1"/>
  <c r="M1448" i="14" s="1"/>
  <c r="P1448" i="14" s="1"/>
  <c r="E1365" i="14" a="1"/>
  <c r="E1365" i="14" s="1"/>
  <c r="M1365" i="14" s="1"/>
  <c r="P1365" i="14" s="1"/>
  <c r="E413" i="14" a="1"/>
  <c r="E413" i="14" s="1"/>
  <c r="M413" i="14" s="1"/>
  <c r="P413" i="14" s="1"/>
  <c r="E292" i="14" a="1"/>
  <c r="E292" i="14" s="1"/>
  <c r="M292" i="14" s="1"/>
  <c r="P292" i="14" s="1"/>
  <c r="E1488" i="14" a="1"/>
  <c r="E1488" i="14" s="1"/>
  <c r="M1488" i="14" s="1"/>
  <c r="P1488" i="14" s="1"/>
  <c r="E1427" i="14" a="1"/>
  <c r="E1427" i="14" s="1"/>
  <c r="M1427" i="14" s="1"/>
  <c r="P1427" i="14" s="1"/>
  <c r="E41" i="14" a="1"/>
  <c r="E41" i="14" s="1"/>
  <c r="M41" i="14" s="1"/>
  <c r="P41" i="14" s="1"/>
  <c r="E332" i="14" a="1"/>
  <c r="E332" i="14" s="1"/>
  <c r="M332" i="14" s="1"/>
  <c r="P332" i="14" s="1"/>
  <c r="E257" i="14" a="1"/>
  <c r="E257" i="14" s="1"/>
  <c r="M257" i="14" s="1"/>
  <c r="P257" i="14" s="1"/>
  <c r="E1481" i="14" a="1"/>
  <c r="E1481" i="14" s="1"/>
  <c r="M1481" i="14" s="1"/>
  <c r="P1481" i="14" s="1"/>
  <c r="E1397" i="14" a="1"/>
  <c r="E1397" i="14" s="1"/>
  <c r="M1397" i="14" s="1"/>
  <c r="P1397" i="14" s="1"/>
  <c r="E37" i="14" a="1"/>
  <c r="E37" i="14" s="1"/>
  <c r="M37" i="14" s="1"/>
  <c r="P37" i="14" s="1"/>
  <c r="E302" i="14" a="1"/>
  <c r="E302" i="14" s="1"/>
  <c r="M302" i="14" s="1"/>
  <c r="P302" i="14" s="1"/>
  <c r="E256" i="14" a="1"/>
  <c r="E256" i="14" s="1"/>
  <c r="M256" i="14" s="1"/>
  <c r="P256" i="14" s="1"/>
  <c r="E1483" i="14" a="1"/>
  <c r="E1483" i="14" s="1"/>
  <c r="M1483" i="14" s="1"/>
  <c r="P1483" i="14" s="1"/>
  <c r="E1403" i="14" a="1"/>
  <c r="E1403" i="14" s="1"/>
  <c r="M1403" i="14" s="1"/>
  <c r="P1403" i="14" s="1"/>
  <c r="E51" i="14" a="1"/>
  <c r="E51" i="14" s="1"/>
  <c r="M51" i="14" s="1"/>
  <c r="P51" i="14" s="1"/>
  <c r="E307" i="14" a="1"/>
  <c r="E307" i="14" s="1"/>
  <c r="M307" i="14" s="1"/>
  <c r="P307" i="14" s="1"/>
  <c r="E249" i="14" a="1"/>
  <c r="E249" i="14" s="1"/>
  <c r="M249" i="14" s="1"/>
  <c r="P249" i="14" s="1"/>
  <c r="E1480" i="14" a="1"/>
  <c r="E1480" i="14" s="1"/>
  <c r="M1480" i="14" s="1"/>
  <c r="P1480" i="14" s="1"/>
  <c r="E1394" i="14" a="1"/>
  <c r="E1394" i="14" s="1"/>
  <c r="M1394" i="14" s="1"/>
  <c r="P1394" i="14" s="1"/>
  <c r="E281" i="14" a="1"/>
  <c r="E281" i="14" s="1"/>
  <c r="M281" i="14" s="1"/>
  <c r="P281" i="14" s="1"/>
  <c r="E279" i="14" a="1"/>
  <c r="E279" i="14" s="1"/>
  <c r="M279" i="14" s="1"/>
  <c r="P279" i="14" s="1"/>
  <c r="E1489" i="14" a="1"/>
  <c r="E1489" i="14" s="1"/>
  <c r="M1489" i="14" s="1"/>
  <c r="P1489" i="14" s="1"/>
  <c r="E1424" i="14" a="1"/>
  <c r="E1424" i="14" s="1"/>
  <c r="M1424" i="14" s="1"/>
  <c r="P1424" i="14" s="1"/>
  <c r="E36" i="14" a="1"/>
  <c r="E36" i="14" s="1"/>
  <c r="M36" i="14" s="1"/>
  <c r="P36" i="14" s="1"/>
  <c r="E320" i="14" a="1"/>
  <c r="E320" i="14" s="1"/>
  <c r="M320" i="14" s="1"/>
  <c r="P320" i="14" s="1"/>
  <c r="E743" i="14" a="1"/>
  <c r="E743" i="14" s="1"/>
  <c r="M743" i="14" s="1"/>
  <c r="P743" i="14" s="1"/>
  <c r="E1452" i="14" a="1"/>
  <c r="E1452" i="14" s="1"/>
  <c r="M1452" i="14" s="1"/>
  <c r="P1452" i="14" s="1"/>
  <c r="E1351" i="14" a="1"/>
  <c r="E1351" i="14" s="1"/>
  <c r="M1351" i="14" s="1"/>
  <c r="P1351" i="14" s="1"/>
  <c r="E316" i="14" a="1"/>
  <c r="E316" i="14" s="1"/>
  <c r="M316" i="14" s="1"/>
  <c r="P316" i="14" s="1"/>
  <c r="E92" i="14" a="1"/>
  <c r="E92" i="14" s="1"/>
  <c r="M92" i="14" s="1"/>
  <c r="P92" i="14" s="1"/>
  <c r="E72" i="14" a="1"/>
  <c r="E72" i="14" s="1"/>
  <c r="M72" i="14" s="1"/>
  <c r="P72" i="14" s="1"/>
  <c r="E1451" i="14" a="1"/>
  <c r="E1451" i="14" s="1"/>
  <c r="M1451" i="14" s="1"/>
  <c r="P1451" i="14" s="1"/>
  <c r="E1369" i="14" a="1"/>
  <c r="E1369" i="14" s="1"/>
  <c r="M1369" i="14" s="1"/>
  <c r="P1369" i="14" s="1"/>
  <c r="E294" i="14" a="1"/>
  <c r="E294" i="14" s="1"/>
  <c r="M294" i="14" s="1"/>
  <c r="P294" i="14" s="1"/>
  <c r="E76" i="14" a="1"/>
  <c r="E76" i="14" s="1"/>
  <c r="M76" i="14" s="1"/>
  <c r="P76" i="14" s="1"/>
  <c r="E1441" i="14" a="1"/>
  <c r="E1441" i="14" s="1"/>
  <c r="M1441" i="14" s="1"/>
  <c r="P1441" i="14" s="1"/>
  <c r="E1362" i="14" a="1"/>
  <c r="E1362" i="14" s="1"/>
  <c r="M1362" i="14" s="1"/>
  <c r="P1362" i="14" s="1"/>
  <c r="E298" i="14" a="1"/>
  <c r="E298" i="14" s="1"/>
  <c r="M298" i="14" s="1"/>
  <c r="P298" i="14" s="1"/>
  <c r="E874" i="14" a="1"/>
  <c r="E874" i="14" s="1"/>
  <c r="M874" i="14" s="1"/>
  <c r="P874" i="14" s="1"/>
  <c r="E1186" i="14" a="1"/>
  <c r="E1186" i="14" s="1"/>
  <c r="M1186" i="14" s="1"/>
  <c r="P1186" i="14" s="1"/>
  <c r="E1176" i="14" a="1"/>
  <c r="E1176" i="14" s="1"/>
  <c r="M1176" i="14" s="1"/>
  <c r="P1176" i="14" s="1"/>
  <c r="E741" i="14" a="1"/>
  <c r="E741" i="14" s="1"/>
  <c r="M741" i="14" s="1"/>
  <c r="P741" i="14" s="1"/>
  <c r="E184" i="14" a="1"/>
  <c r="E184" i="14" s="1"/>
  <c r="M184" i="14" s="1"/>
  <c r="P184" i="14" s="1"/>
  <c r="E731" i="14" a="1"/>
  <c r="E731" i="14" s="1"/>
  <c r="M731" i="14" s="1"/>
  <c r="P731" i="14" s="1"/>
  <c r="E1206" i="14" a="1"/>
  <c r="E1206" i="14" s="1"/>
  <c r="M1206" i="14" s="1"/>
  <c r="P1206" i="14" s="1"/>
  <c r="E1407" i="14" a="1"/>
  <c r="E1407" i="14" s="1"/>
  <c r="M1407" i="14" s="1"/>
  <c r="P1407" i="14" s="1"/>
  <c r="G55" i="14" a="1"/>
  <c r="G55" i="14" s="1"/>
  <c r="K55" i="14" s="1"/>
  <c r="N55" i="14" s="1"/>
  <c r="G671" i="14" a="1"/>
  <c r="G671" i="14" s="1"/>
  <c r="K671" i="14" s="1"/>
  <c r="G107" i="14" a="1"/>
  <c r="G107" i="14" s="1"/>
  <c r="K107" i="14" s="1"/>
  <c r="G190" i="14" a="1"/>
  <c r="G190" i="14" s="1"/>
  <c r="K190" i="14" s="1"/>
  <c r="G93" i="14" a="1"/>
  <c r="G93" i="14" s="1"/>
  <c r="K93" i="14" s="1"/>
  <c r="G719" i="14" a="1"/>
  <c r="G719" i="14" s="1"/>
  <c r="K719" i="14" s="1"/>
  <c r="G164" i="14" a="1"/>
  <c r="G164" i="14" s="1"/>
  <c r="K164" i="14" s="1"/>
  <c r="G259" i="14" a="1"/>
  <c r="G259" i="14" s="1"/>
  <c r="K259" i="14" s="1"/>
  <c r="G703" i="14" a="1"/>
  <c r="G703" i="14" s="1"/>
  <c r="K703" i="14" s="1"/>
  <c r="G75" i="14" a="1"/>
  <c r="G75" i="14" s="1"/>
  <c r="K75" i="14" s="1"/>
  <c r="G138" i="14" a="1"/>
  <c r="G138" i="14" s="1"/>
  <c r="K138" i="14" s="1"/>
  <c r="G443" i="14" a="1"/>
  <c r="G443" i="14" s="1"/>
  <c r="K443" i="14" s="1"/>
  <c r="G475" i="14" a="1"/>
  <c r="G475" i="14" s="1"/>
  <c r="K475" i="14" s="1"/>
  <c r="G990" i="14" a="1"/>
  <c r="G990" i="14" s="1"/>
  <c r="K990" i="14" s="1"/>
  <c r="G376" i="14" a="1"/>
  <c r="G376" i="14" s="1"/>
  <c r="K376" i="14" s="1"/>
  <c r="G463" i="14" a="1"/>
  <c r="G463" i="14" s="1"/>
  <c r="K463" i="14" s="1"/>
  <c r="G361" i="14" a="1"/>
  <c r="G361" i="14" s="1"/>
  <c r="K361" i="14" s="1"/>
  <c r="G472" i="14" a="1"/>
  <c r="G472" i="14" s="1"/>
  <c r="K472" i="14" s="1"/>
  <c r="G997" i="14" a="1"/>
  <c r="G997" i="14" s="1"/>
  <c r="K997" i="14" s="1"/>
  <c r="G375" i="14" a="1"/>
  <c r="G375" i="14" s="1"/>
  <c r="K375" i="14" s="1"/>
  <c r="G440" i="14" a="1"/>
  <c r="G440" i="14" s="1"/>
  <c r="K440" i="14" s="1"/>
  <c r="G336" i="14" a="1"/>
  <c r="G336" i="14" s="1"/>
  <c r="K336" i="14" s="1"/>
  <c r="G518" i="14" a="1"/>
  <c r="G518" i="14" s="1"/>
  <c r="K518" i="14" s="1"/>
  <c r="G1044" i="14" a="1"/>
  <c r="G1044" i="14" s="1"/>
  <c r="K1044" i="14" s="1"/>
  <c r="G388" i="14" a="1"/>
  <c r="G388" i="14" s="1"/>
  <c r="K388" i="14" s="1"/>
  <c r="G460" i="14" a="1"/>
  <c r="G460" i="14" s="1"/>
  <c r="K460" i="14" s="1"/>
  <c r="G344" i="14" a="1"/>
  <c r="G344" i="14" s="1"/>
  <c r="K344" i="14" s="1"/>
  <c r="G480" i="14" a="1"/>
  <c r="G480" i="14" s="1"/>
  <c r="K480" i="14" s="1"/>
  <c r="G1049" i="14" a="1"/>
  <c r="G1049" i="14" s="1"/>
  <c r="K1049" i="14" s="1"/>
  <c r="G387" i="14" a="1"/>
  <c r="G387" i="14" s="1"/>
  <c r="K387" i="14" s="1"/>
  <c r="G456" i="14" a="1"/>
  <c r="G456" i="14" s="1"/>
  <c r="K456" i="14" s="1"/>
  <c r="G343" i="14" a="1"/>
  <c r="G343" i="14" s="1"/>
  <c r="K343" i="14" s="1"/>
  <c r="G476" i="14" a="1"/>
  <c r="G476" i="14" s="1"/>
  <c r="K476" i="14" s="1"/>
  <c r="G1011" i="14" a="1"/>
  <c r="G1011" i="14" s="1"/>
  <c r="K1011" i="14" s="1"/>
  <c r="G379" i="14" a="1"/>
  <c r="G379" i="14" s="1"/>
  <c r="K379" i="14" s="1"/>
  <c r="G467" i="14" a="1"/>
  <c r="G467" i="14" s="1"/>
  <c r="K467" i="14" s="1"/>
  <c r="G364" i="14" a="1"/>
  <c r="G364" i="14" s="1"/>
  <c r="K364" i="14" s="1"/>
  <c r="G165" i="14" a="1"/>
  <c r="G165" i="14" s="1"/>
  <c r="K165" i="14" s="1"/>
  <c r="G663" i="14" a="1"/>
  <c r="G663" i="14" s="1"/>
  <c r="K663" i="14" s="1"/>
  <c r="G127" i="14" a="1"/>
  <c r="G127" i="14" s="1"/>
  <c r="K127" i="14" s="1"/>
  <c r="G222" i="14" a="1"/>
  <c r="G222" i="14" s="1"/>
  <c r="K222" i="14" s="1"/>
  <c r="G490" i="14" a="1"/>
  <c r="G490" i="14" s="1"/>
  <c r="K490" i="14" s="1"/>
  <c r="G1051" i="14" a="1"/>
  <c r="G1051" i="14" s="1"/>
  <c r="K1051" i="14" s="1"/>
  <c r="G53" i="14" a="1"/>
  <c r="G53" i="14" s="1"/>
  <c r="K53" i="14" s="1"/>
  <c r="G446" i="14" a="1"/>
  <c r="G446" i="14" s="1"/>
  <c r="K446" i="14" s="1"/>
  <c r="G335" i="14" a="1"/>
  <c r="G335" i="14" s="1"/>
  <c r="K335" i="14" s="1"/>
  <c r="G1103" i="14" a="1"/>
  <c r="G1103" i="14" s="1"/>
  <c r="K1103" i="14" s="1"/>
  <c r="G649" i="14" a="1"/>
  <c r="G649" i="14" s="1"/>
  <c r="K649" i="14" s="1"/>
  <c r="G748" i="14" a="1"/>
  <c r="G748" i="14" s="1"/>
  <c r="K748" i="14" s="1"/>
  <c r="G709" i="14" a="1"/>
  <c r="G709" i="14" s="1"/>
  <c r="K709" i="14" s="1"/>
  <c r="G1053" i="14" a="1"/>
  <c r="G1053" i="14" s="1"/>
  <c r="K1053" i="14" s="1"/>
  <c r="G1236" i="14" a="1"/>
  <c r="G1236" i="14" s="1"/>
  <c r="K1236" i="14" s="1"/>
  <c r="G538" i="14" a="1"/>
  <c r="G538" i="14" s="1"/>
  <c r="K538" i="14" s="1"/>
  <c r="G591" i="14" a="1"/>
  <c r="G591" i="14" s="1"/>
  <c r="K591" i="14" s="1"/>
  <c r="G618" i="14" a="1"/>
  <c r="G618" i="14" s="1"/>
  <c r="K618" i="14" s="1"/>
  <c r="G949" i="14" a="1"/>
  <c r="G949" i="14" s="1"/>
  <c r="K949" i="14" s="1"/>
  <c r="G452" i="14" a="1"/>
  <c r="G452" i="14" s="1"/>
  <c r="K452" i="14" s="1"/>
  <c r="G433" i="14" a="1"/>
  <c r="G433" i="14" s="1"/>
  <c r="K433" i="14" s="1"/>
  <c r="G516" i="14" a="1"/>
  <c r="G516" i="14" s="1"/>
  <c r="K516" i="14" s="1"/>
  <c r="G561" i="14" a="1"/>
  <c r="G561" i="14" s="1"/>
  <c r="K561" i="14" s="1"/>
  <c r="G940" i="14" a="1"/>
  <c r="G940" i="14" s="1"/>
  <c r="K940" i="14" s="1"/>
  <c r="G426" i="14" a="1"/>
  <c r="G426" i="14" s="1"/>
  <c r="K426" i="14" s="1"/>
  <c r="G459" i="14" a="1"/>
  <c r="G459" i="14" s="1"/>
  <c r="K459" i="14" s="1"/>
  <c r="G527" i="14" a="1"/>
  <c r="G527" i="14" s="1"/>
  <c r="K527" i="14" s="1"/>
  <c r="G584" i="14" a="1"/>
  <c r="G584" i="14" s="1"/>
  <c r="K584" i="14" s="1"/>
  <c r="G1477" i="14" a="1"/>
  <c r="G1477" i="14" s="1"/>
  <c r="K1477" i="14" s="1"/>
  <c r="G1183" i="14" a="1"/>
  <c r="G1183" i="14" s="1"/>
  <c r="K1183" i="14" s="1"/>
  <c r="G1297" i="14" a="1"/>
  <c r="G1297" i="14" s="1"/>
  <c r="K1297" i="14" s="1"/>
  <c r="G1321" i="14" a="1"/>
  <c r="G1321" i="14" s="1"/>
  <c r="K1321" i="14" s="1"/>
  <c r="G1418" i="14" a="1"/>
  <c r="G1418" i="14" s="1"/>
  <c r="K1418" i="14" s="1"/>
  <c r="G1453" i="14" a="1"/>
  <c r="G1453" i="14" s="1"/>
  <c r="K1453" i="14" s="1"/>
  <c r="G1143" i="14" a="1"/>
  <c r="G1143" i="14" s="1"/>
  <c r="K1143" i="14" s="1"/>
  <c r="G1374" i="14" a="1"/>
  <c r="G1374" i="14" s="1"/>
  <c r="K1374" i="14" s="1"/>
  <c r="G1375" i="14" a="1"/>
  <c r="G1375" i="14" s="1"/>
  <c r="K1375" i="14" s="1"/>
  <c r="G1273" i="14" a="1"/>
  <c r="G1273" i="14" s="1"/>
  <c r="K1273" i="14" s="1"/>
  <c r="G1350" i="14" a="1"/>
  <c r="G1350" i="14" s="1"/>
  <c r="K1350" i="14" s="1"/>
  <c r="G754" i="14" a="1"/>
  <c r="G754" i="14" s="1"/>
  <c r="K754" i="14" s="1"/>
  <c r="G455" i="14" a="1"/>
  <c r="G455" i="14" s="1"/>
  <c r="K455" i="14" s="1"/>
  <c r="G1229" i="14" a="1"/>
  <c r="G1229" i="14" s="1"/>
  <c r="K1229" i="14" s="1"/>
  <c r="G1245" i="14" a="1"/>
  <c r="G1245" i="14" s="1"/>
  <c r="K1245" i="14" s="1"/>
  <c r="G1454" i="14" a="1"/>
  <c r="G1454" i="14" s="1"/>
  <c r="K1454" i="14" s="1"/>
  <c r="G1156" i="14" a="1"/>
  <c r="G1156" i="14" s="1"/>
  <c r="K1156" i="14" s="1"/>
  <c r="G1372" i="14" a="1"/>
  <c r="G1372" i="14" s="1"/>
  <c r="K1372" i="14" s="1"/>
  <c r="G6" i="14" a="1"/>
  <c r="G6" i="14" s="1"/>
  <c r="K6" i="14" s="1"/>
  <c r="G1277" i="14" a="1"/>
  <c r="G1277" i="14" s="1"/>
  <c r="K1277" i="14" s="1"/>
  <c r="G227" i="14" a="1"/>
  <c r="G227" i="14" s="1"/>
  <c r="K227" i="14" s="1"/>
  <c r="G648" i="14" a="1"/>
  <c r="G648" i="14" s="1"/>
  <c r="K648" i="14" s="1"/>
  <c r="G18" i="14" a="1"/>
  <c r="G18" i="14" s="1"/>
  <c r="K18" i="14" s="1"/>
  <c r="G118" i="14" a="1"/>
  <c r="G118" i="14" s="1"/>
  <c r="K118" i="14" s="1"/>
  <c r="G196" i="14" a="1"/>
  <c r="G196" i="14" s="1"/>
  <c r="K196" i="14" s="1"/>
  <c r="G713" i="14" a="1"/>
  <c r="G713" i="14" s="1"/>
  <c r="K713" i="14" s="1"/>
  <c r="G23" i="14" a="1"/>
  <c r="G23" i="14" s="1"/>
  <c r="K23" i="14" s="1"/>
  <c r="G145" i="14" a="1"/>
  <c r="G145" i="14" s="1"/>
  <c r="K145" i="14" s="1"/>
  <c r="G44" i="14" a="1"/>
  <c r="G44" i="14" s="1"/>
  <c r="K44" i="14" s="1"/>
  <c r="G729" i="14" a="1"/>
  <c r="G729" i="14" s="1"/>
  <c r="K729" i="14" s="1"/>
  <c r="G85" i="14" a="1"/>
  <c r="G85" i="14" s="1"/>
  <c r="K85" i="14" s="1"/>
  <c r="G157" i="14" a="1"/>
  <c r="G157" i="14" s="1"/>
  <c r="K157" i="14" s="1"/>
  <c r="G46" i="14" a="1"/>
  <c r="G46" i="14" s="1"/>
  <c r="K46" i="14" s="1"/>
  <c r="G758" i="14" a="1"/>
  <c r="G758" i="14" s="1"/>
  <c r="K758" i="14" s="1"/>
  <c r="G489" i="14" a="1"/>
  <c r="G489" i="14" s="1"/>
  <c r="K489" i="14" s="1"/>
  <c r="G449" i="14" a="1"/>
  <c r="G449" i="14" s="1"/>
  <c r="K449" i="14" s="1"/>
  <c r="G629" i="14" a="1"/>
  <c r="G629" i="14" s="1"/>
  <c r="K629" i="14" s="1"/>
  <c r="G605" i="14" a="1"/>
  <c r="G605" i="14" s="1"/>
  <c r="K605" i="14" s="1"/>
  <c r="G306" i="14" a="1"/>
  <c r="G306" i="14" s="1"/>
  <c r="K306" i="14" s="1"/>
  <c r="G521" i="14" a="1"/>
  <c r="G521" i="14" s="1"/>
  <c r="K521" i="14" s="1"/>
  <c r="G608" i="14" a="1"/>
  <c r="G608" i="14" s="1"/>
  <c r="K608" i="14" s="1"/>
  <c r="G746" i="14" a="1"/>
  <c r="G746" i="14" s="1"/>
  <c r="K746" i="14" s="1"/>
  <c r="G777" i="14" a="1"/>
  <c r="G777" i="14" s="1"/>
  <c r="K777" i="14" s="1"/>
  <c r="G276" i="14" a="1"/>
  <c r="G276" i="14" s="1"/>
  <c r="K276" i="14" s="1"/>
  <c r="G483" i="14" a="1"/>
  <c r="G483" i="14" s="1"/>
  <c r="K483" i="14" s="1"/>
  <c r="G546" i="14" a="1"/>
  <c r="G546" i="14" s="1"/>
  <c r="K546" i="14" s="1"/>
  <c r="G625" i="14" a="1"/>
  <c r="G625" i="14" s="1"/>
  <c r="K625" i="14" s="1"/>
  <c r="G682" i="14" a="1"/>
  <c r="G682" i="14" s="1"/>
  <c r="K682" i="14" s="1"/>
  <c r="G231" i="14" a="1"/>
  <c r="G231" i="14" s="1"/>
  <c r="K231" i="14" s="1"/>
  <c r="G525" i="14" a="1"/>
  <c r="G525" i="14" s="1"/>
  <c r="K525" i="14" s="1"/>
  <c r="G548" i="14" a="1"/>
  <c r="G548" i="14" s="1"/>
  <c r="K548" i="14" s="1"/>
  <c r="G633" i="14" a="1"/>
  <c r="G633" i="14" s="1"/>
  <c r="K633" i="14" s="1"/>
  <c r="G689" i="14" a="1"/>
  <c r="G689" i="14" s="1"/>
  <c r="K689" i="14" s="1"/>
  <c r="G1484" i="14" a="1"/>
  <c r="G1484" i="14" s="1"/>
  <c r="K1484" i="14" s="1"/>
  <c r="G1189" i="14" a="1"/>
  <c r="G1189" i="14" s="1"/>
  <c r="K1189" i="14" s="1"/>
  <c r="G1339" i="14" a="1"/>
  <c r="G1339" i="14" s="1"/>
  <c r="K1339" i="14" s="1"/>
  <c r="G1358" i="14" a="1"/>
  <c r="G1358" i="14" s="1"/>
  <c r="K1358" i="14" s="1"/>
  <c r="G1445" i="14" a="1"/>
  <c r="G1445" i="14" s="1"/>
  <c r="K1445" i="14" s="1"/>
  <c r="G250" i="14" a="1"/>
  <c r="G250" i="14" s="1"/>
  <c r="K250" i="14" s="1"/>
  <c r="G749" i="14" a="1"/>
  <c r="G749" i="14" s="1"/>
  <c r="K749" i="14" s="1"/>
  <c r="G19" i="14" a="1"/>
  <c r="G19" i="14" s="1"/>
  <c r="K19" i="14" s="1"/>
  <c r="G214" i="14" a="1"/>
  <c r="G214" i="14" s="1"/>
  <c r="K214" i="14" s="1"/>
  <c r="G771" i="14" a="1"/>
  <c r="G771" i="14" s="1"/>
  <c r="K771" i="14" s="1"/>
  <c r="G494" i="14" a="1"/>
  <c r="G494" i="14" s="1"/>
  <c r="K494" i="14" s="1"/>
  <c r="G402" i="14" a="1"/>
  <c r="G402" i="14" s="1"/>
  <c r="K402" i="14" s="1"/>
  <c r="G673" i="14" a="1"/>
  <c r="G673" i="14" s="1"/>
  <c r="K673" i="14" s="1"/>
  <c r="G639" i="14" a="1"/>
  <c r="G639" i="14" s="1"/>
  <c r="K639" i="14" s="1"/>
  <c r="G253" i="14" a="1"/>
  <c r="G253" i="14" s="1"/>
  <c r="K253" i="14" s="1"/>
  <c r="G543" i="14" a="1"/>
  <c r="G543" i="14" s="1"/>
  <c r="K543" i="14" s="1"/>
  <c r="G29" i="14" a="1"/>
  <c r="G29" i="14" s="1"/>
  <c r="K29" i="14" s="1"/>
  <c r="G640" i="14" a="1"/>
  <c r="G640" i="14" s="1"/>
  <c r="K640" i="14" s="1"/>
  <c r="G542" i="14" a="1"/>
  <c r="G542" i="14" s="1"/>
  <c r="K542" i="14" s="1"/>
  <c r="G499" i="14" a="1"/>
  <c r="G499" i="14" s="1"/>
  <c r="K499" i="14" s="1"/>
  <c r="G1046" i="14" a="1"/>
  <c r="G1046" i="14" s="1"/>
  <c r="K1046" i="14" s="1"/>
  <c r="G445" i="14" a="1"/>
  <c r="G445" i="14" s="1"/>
  <c r="K445" i="14" s="1"/>
  <c r="G514" i="14" a="1"/>
  <c r="G514" i="14" s="1"/>
  <c r="K514" i="14" s="1"/>
  <c r="G409" i="14" a="1"/>
  <c r="G409" i="14" s="1"/>
  <c r="K409" i="14" s="1"/>
  <c r="G377" i="14" a="1"/>
  <c r="G377" i="14" s="1"/>
  <c r="K377" i="14" s="1"/>
  <c r="G1018" i="14" a="1"/>
  <c r="G1018" i="14" s="1"/>
  <c r="K1018" i="14" s="1"/>
  <c r="G235" i="14" a="1"/>
  <c r="G235" i="14" s="1"/>
  <c r="K235" i="14" s="1"/>
  <c r="G407" i="14" a="1"/>
  <c r="G407" i="14" s="1"/>
  <c r="K407" i="14" s="1"/>
  <c r="G352" i="14" a="1"/>
  <c r="G352" i="14" s="1"/>
  <c r="K352" i="14" s="1"/>
  <c r="G1027" i="14" a="1"/>
  <c r="G1027" i="14" s="1"/>
  <c r="K1027" i="14" s="1"/>
  <c r="G226" i="14" a="1"/>
  <c r="G226" i="14" s="1"/>
  <c r="K226" i="14" s="1"/>
  <c r="G394" i="14" a="1"/>
  <c r="G394" i="14" s="1"/>
  <c r="K394" i="14" s="1"/>
  <c r="G237" i="14" a="1"/>
  <c r="G237" i="14" s="1"/>
  <c r="K237" i="14" s="1"/>
  <c r="G786" i="14" a="1"/>
  <c r="G786" i="14" s="1"/>
  <c r="K786" i="14" s="1"/>
  <c r="G738" i="14" a="1"/>
  <c r="G738" i="14" s="1"/>
  <c r="K738" i="14" s="1"/>
  <c r="G141" i="14" a="1"/>
  <c r="G141" i="14" s="1"/>
  <c r="K141" i="14" s="1"/>
  <c r="G242" i="14" a="1"/>
  <c r="G242" i="14" s="1"/>
  <c r="K242" i="14" s="1"/>
  <c r="G69" i="14" a="1"/>
  <c r="G69" i="14" s="1"/>
  <c r="K69" i="14" s="1"/>
  <c r="G806" i="14" a="1"/>
  <c r="G806" i="14" s="1"/>
  <c r="K806" i="14" s="1"/>
  <c r="G740" i="14" a="1"/>
  <c r="G740" i="14" s="1"/>
  <c r="K740" i="14" s="1"/>
  <c r="G173" i="14" a="1"/>
  <c r="G173" i="14" s="1"/>
  <c r="K173" i="14" s="1"/>
  <c r="G270" i="14" a="1"/>
  <c r="G270" i="14" s="1"/>
  <c r="K270" i="14" s="1"/>
  <c r="G102" i="14" a="1"/>
  <c r="G102" i="14" s="1"/>
  <c r="K102" i="14" s="1"/>
  <c r="G487" i="14" a="1"/>
  <c r="G487" i="14" s="1"/>
  <c r="K487" i="14" s="1"/>
  <c r="N487" i="14" s="1"/>
  <c r="G708" i="14" a="1"/>
  <c r="G708" i="14" s="1"/>
  <c r="K708" i="14" s="1"/>
  <c r="G119" i="14" a="1"/>
  <c r="G119" i="14" s="1"/>
  <c r="K119" i="14" s="1"/>
  <c r="G213" i="14" a="1"/>
  <c r="G213" i="14" s="1"/>
  <c r="K213" i="14" s="1"/>
  <c r="G1197" i="14" a="1"/>
  <c r="G1197" i="14" s="1"/>
  <c r="K1197" i="14" s="1"/>
  <c r="G80" i="14" a="1"/>
  <c r="G80" i="14" s="1"/>
  <c r="K80" i="14" s="1"/>
  <c r="G711" i="14" a="1"/>
  <c r="G711" i="14" s="1"/>
  <c r="K711" i="14" s="1"/>
  <c r="G927" i="14" a="1"/>
  <c r="G927" i="14" s="1"/>
  <c r="K927" i="14" s="1"/>
  <c r="N927" i="14" s="1"/>
  <c r="G1003" i="14" a="1"/>
  <c r="G1003" i="14" s="1"/>
  <c r="K1003" i="14" s="1"/>
  <c r="G1261" i="14" a="1"/>
  <c r="G1261" i="14" s="1"/>
  <c r="K1261" i="14" s="1"/>
  <c r="G340" i="14" a="1"/>
  <c r="G340" i="14" s="1"/>
  <c r="K340" i="14" s="1"/>
  <c r="G888" i="14" a="1"/>
  <c r="G888" i="14" s="1"/>
  <c r="K888" i="14" s="1"/>
  <c r="G1014" i="14" a="1"/>
  <c r="G1014" i="14" s="1"/>
  <c r="K1014" i="14" s="1"/>
  <c r="G1077" i="14" a="1"/>
  <c r="G1077" i="14" s="1"/>
  <c r="K1077" i="14" s="1"/>
  <c r="G1194" i="14" a="1"/>
  <c r="G1194" i="14" s="1"/>
  <c r="K1194" i="14" s="1"/>
  <c r="G56" i="14" a="1"/>
  <c r="G56" i="14" s="1"/>
  <c r="K56" i="14" s="1"/>
  <c r="N56" i="14" s="1"/>
  <c r="G668" i="14" a="1"/>
  <c r="G668" i="14" s="1"/>
  <c r="K668" i="14" s="1"/>
  <c r="G908" i="14" a="1"/>
  <c r="G908" i="14" s="1"/>
  <c r="K908" i="14" s="1"/>
  <c r="N908" i="14" s="1"/>
  <c r="G965" i="14" a="1"/>
  <c r="G965" i="14" s="1"/>
  <c r="K965" i="14" s="1"/>
  <c r="G1252" i="14" a="1"/>
  <c r="G1252" i="14" s="1"/>
  <c r="K1252" i="14" s="1"/>
  <c r="N1252" i="14" s="1"/>
  <c r="G246" i="14" a="1"/>
  <c r="G246" i="14" s="1"/>
  <c r="K246" i="14" s="1"/>
  <c r="G59" i="14" a="1"/>
  <c r="G59" i="14" s="1"/>
  <c r="K59" i="14" s="1"/>
  <c r="G1034" i="14" a="1"/>
  <c r="G1034" i="14" s="1"/>
  <c r="K1034" i="14" s="1"/>
  <c r="N1034" i="14" s="1"/>
  <c r="G1119" i="14" a="1"/>
  <c r="G1119" i="14" s="1"/>
  <c r="K1119" i="14" s="1"/>
  <c r="G1260" i="14" a="1"/>
  <c r="G1260" i="14" s="1"/>
  <c r="K1260" i="14" s="1"/>
  <c r="G349" i="14" a="1"/>
  <c r="G349" i="14" s="1"/>
  <c r="K349" i="14" s="1"/>
  <c r="G916" i="14" a="1"/>
  <c r="G916" i="14" s="1"/>
  <c r="K916" i="14" s="1"/>
  <c r="G1040" i="14" a="1"/>
  <c r="G1040" i="14" s="1"/>
  <c r="K1040" i="14" s="1"/>
  <c r="G1142" i="14" a="1"/>
  <c r="G1142" i="14" s="1"/>
  <c r="K1142" i="14" s="1"/>
  <c r="H338" i="14" a="1"/>
  <c r="H338" i="14" s="1"/>
  <c r="H680" i="14" a="1"/>
  <c r="H680" i="14" s="1"/>
  <c r="H194" i="14" a="1"/>
  <c r="H194" i="14" s="1"/>
  <c r="H1133" i="14" a="1"/>
  <c r="H1133" i="14" s="1"/>
  <c r="H331" i="14" a="1"/>
  <c r="H331" i="14" s="1"/>
  <c r="H1400" i="14" a="1"/>
  <c r="H1400" i="14" s="1"/>
  <c r="H717" i="14" a="1"/>
  <c r="H717" i="14" s="1"/>
  <c r="H198" i="14" a="1"/>
  <c r="H198" i="14" s="1"/>
  <c r="H1174" i="14" a="1"/>
  <c r="H1174" i="14" s="1"/>
  <c r="H351" i="14" a="1"/>
  <c r="H351" i="14" s="1"/>
  <c r="H1364" i="14" a="1"/>
  <c r="H1364" i="14" s="1"/>
  <c r="H31" i="14" a="1"/>
  <c r="H31" i="14" s="1"/>
  <c r="H248" i="14" a="1"/>
  <c r="H248" i="14" s="1"/>
  <c r="H1069" i="14" a="1"/>
  <c r="H1069" i="14" s="1"/>
  <c r="H1431" i="14" a="1"/>
  <c r="H1431" i="14" s="1"/>
  <c r="H992" i="14" a="1"/>
  <c r="H992" i="14" s="1"/>
  <c r="H117" i="14" a="1"/>
  <c r="H117" i="14" s="1"/>
  <c r="H1198" i="14" a="1"/>
  <c r="H1198" i="14" s="1"/>
  <c r="H24" i="14" a="1"/>
  <c r="H24" i="14" s="1"/>
  <c r="H1410" i="14" a="1"/>
  <c r="H1410" i="14" s="1"/>
  <c r="H854" i="14" a="1"/>
  <c r="H854" i="14" s="1"/>
  <c r="H124" i="14" a="1"/>
  <c r="H124" i="14" s="1"/>
  <c r="H1159" i="14" a="1"/>
  <c r="H1159" i="14" s="1"/>
  <c r="H32" i="14" a="1"/>
  <c r="H32" i="14" s="1"/>
  <c r="H1419" i="14" a="1"/>
  <c r="H1419" i="14" s="1"/>
  <c r="H895" i="14" a="1"/>
  <c r="H895" i="14" s="1"/>
  <c r="H137" i="14" a="1"/>
  <c r="H137" i="14" s="1"/>
  <c r="H1170" i="14" a="1"/>
  <c r="H1170" i="14" s="1"/>
  <c r="H42" i="14" a="1"/>
  <c r="H42" i="14" s="1"/>
  <c r="H1416" i="14" a="1"/>
  <c r="H1416" i="14" s="1"/>
  <c r="H898" i="14" a="1"/>
  <c r="H898" i="14" s="1"/>
  <c r="H135" i="14" a="1"/>
  <c r="H135" i="14" s="1"/>
  <c r="H1164" i="14" a="1"/>
  <c r="H1164" i="14" s="1"/>
  <c r="H1443" i="14" a="1"/>
  <c r="H1443" i="14" s="1"/>
  <c r="H999" i="14" a="1"/>
  <c r="H999" i="14" s="1"/>
  <c r="H129" i="14" a="1"/>
  <c r="H129" i="14" s="1"/>
  <c r="H1187" i="14" a="1"/>
  <c r="H1187" i="14" s="1"/>
  <c r="H441" i="14" a="1"/>
  <c r="H441" i="14" s="1"/>
  <c r="H1378" i="14" a="1"/>
  <c r="H1378" i="14" s="1"/>
  <c r="H695" i="14" a="1"/>
  <c r="H695" i="14" s="1"/>
  <c r="H254" i="14" a="1"/>
  <c r="H254" i="14" s="1"/>
  <c r="H1168" i="14" a="1"/>
  <c r="H1168" i="14" s="1"/>
  <c r="H40" i="14" a="1"/>
  <c r="H40" i="14" s="1"/>
  <c r="H1412" i="14" a="1"/>
  <c r="H1412" i="14" s="1"/>
  <c r="H876" i="14" a="1"/>
  <c r="H876" i="14" s="1"/>
  <c r="H122" i="14" a="1"/>
  <c r="H122" i="14" s="1"/>
  <c r="H1157" i="14" a="1"/>
  <c r="H1157" i="14" s="1"/>
  <c r="H1010" i="14" a="1"/>
  <c r="H1010" i="14" s="1"/>
  <c r="H1144" i="14" a="1"/>
  <c r="H1144" i="14" s="1"/>
  <c r="H484" i="14" a="1"/>
  <c r="H484" i="14" s="1"/>
  <c r="H1026" i="14" a="1"/>
  <c r="H1026" i="14" s="1"/>
  <c r="H350" i="14" a="1"/>
  <c r="H350" i="14" s="1"/>
  <c r="H933" i="14" a="1"/>
  <c r="H933" i="14" s="1"/>
  <c r="H1226" i="14" a="1"/>
  <c r="H1226" i="14" s="1"/>
  <c r="H465" i="14" a="1"/>
  <c r="H465" i="14" s="1"/>
  <c r="H950" i="14" a="1"/>
  <c r="H950" i="14" s="1"/>
  <c r="H462" i="14" a="1"/>
  <c r="H462" i="14" s="1"/>
  <c r="H801" i="14" a="1"/>
  <c r="H801" i="14" s="1"/>
  <c r="H1217" i="14" a="1"/>
  <c r="H1217" i="14" s="1"/>
  <c r="H170" i="14" a="1"/>
  <c r="H170" i="14" s="1"/>
  <c r="H787" i="14" a="1"/>
  <c r="H787" i="14" s="1"/>
  <c r="H706" i="14" a="1"/>
  <c r="H706" i="14" s="1"/>
  <c r="H828" i="14" a="1"/>
  <c r="H828" i="14" s="1"/>
  <c r="H1224" i="14" a="1"/>
  <c r="H1224" i="14" s="1"/>
  <c r="H216" i="14" a="1"/>
  <c r="H216" i="14" s="1"/>
  <c r="H813" i="14" a="1"/>
  <c r="H813" i="14" s="1"/>
  <c r="H670" i="14" a="1"/>
  <c r="H670" i="14" s="1"/>
  <c r="H1468" i="14" a="1"/>
  <c r="H1468" i="14" s="1"/>
  <c r="H113" i="14" a="1"/>
  <c r="H113" i="14" s="1"/>
  <c r="H1368" i="14" a="1"/>
  <c r="H1368" i="14" s="1"/>
  <c r="H1470" i="14" a="1"/>
  <c r="H1470" i="14" s="1"/>
  <c r="H798" i="14" a="1"/>
  <c r="H798" i="14" s="1"/>
  <c r="H1442" i="14" a="1"/>
  <c r="H1442" i="14" s="1"/>
  <c r="H1342" i="14" a="1"/>
  <c r="H1342" i="14" s="1"/>
  <c r="H1404" i="14" a="1"/>
  <c r="H1404" i="14" s="1"/>
  <c r="H752" i="14" a="1"/>
  <c r="H752" i="14" s="1"/>
  <c r="H1289" i="14" a="1"/>
  <c r="H1289" i="14" s="1"/>
  <c r="H429" i="14" a="1"/>
  <c r="H429" i="14" s="1"/>
  <c r="H1214" i="14" a="1"/>
  <c r="H1214" i="14" s="1"/>
  <c r="H1262" i="14" a="1"/>
  <c r="H1262" i="14" s="1"/>
  <c r="H404" i="14" a="1"/>
  <c r="H404" i="14" s="1"/>
  <c r="H1426" i="14" a="1"/>
  <c r="H1426" i="14" s="1"/>
  <c r="H1337" i="14" a="1"/>
  <c r="H1337" i="14" s="1"/>
  <c r="L1337" i="14" s="1"/>
  <c r="H1386" i="14" a="1"/>
  <c r="H1386" i="14" s="1"/>
  <c r="H816" i="14" a="1"/>
  <c r="H816" i="14" s="1"/>
  <c r="H378" i="14" a="1"/>
  <c r="H378" i="14" s="1"/>
  <c r="H1373" i="14" a="1"/>
  <c r="H1373" i="14" s="1"/>
  <c r="H545" i="14" a="1"/>
  <c r="H545" i="14" s="1"/>
  <c r="H225" i="14" a="1"/>
  <c r="H225" i="14" s="1"/>
  <c r="H915" i="14" a="1"/>
  <c r="H915" i="14" s="1"/>
  <c r="H423" i="14" a="1"/>
  <c r="H423" i="14" s="1"/>
  <c r="H1361" i="14" a="1"/>
  <c r="H1361" i="14" s="1"/>
  <c r="H569" i="14" a="1"/>
  <c r="H569" i="14" s="1"/>
  <c r="H355" i="14" a="1"/>
  <c r="H355" i="14" s="1"/>
  <c r="H968" i="14" a="1"/>
  <c r="H968" i="14" s="1"/>
  <c r="H329" i="14" a="1"/>
  <c r="H329" i="14" s="1"/>
  <c r="H1345" i="14" a="1"/>
  <c r="H1345" i="14" s="1"/>
  <c r="H469" i="14" a="1"/>
  <c r="H469" i="14" s="1"/>
  <c r="H263" i="14" a="1"/>
  <c r="H263" i="14" s="1"/>
  <c r="H1057" i="14" a="1"/>
  <c r="H1057" i="14" s="1"/>
  <c r="H913" i="14" a="1"/>
  <c r="H913" i="14" s="1"/>
  <c r="H1309" i="14" a="1"/>
  <c r="H1309" i="14" s="1"/>
  <c r="H176" i="14" a="1"/>
  <c r="H176" i="14" s="1"/>
  <c r="H830" i="14" a="1"/>
  <c r="H830" i="14" s="1"/>
  <c r="H534" i="14" a="1"/>
  <c r="H534" i="14" s="1"/>
  <c r="H1083" i="14" a="1"/>
  <c r="H1083" i="14" s="1"/>
  <c r="H1328" i="14" a="1"/>
  <c r="H1328" i="14" s="1"/>
  <c r="H722" i="14" a="1"/>
  <c r="H722" i="14" s="1"/>
  <c r="H791" i="14" a="1"/>
  <c r="H791" i="14" s="1"/>
  <c r="H998" i="14" a="1"/>
  <c r="H998" i="14" s="1"/>
  <c r="H1343" i="14" a="1"/>
  <c r="H1343" i="14" s="1"/>
  <c r="H577" i="14" a="1"/>
  <c r="H577" i="14" s="1"/>
  <c r="H873" i="14" a="1"/>
  <c r="H873" i="14" s="1"/>
  <c r="H1008" i="14" a="1"/>
  <c r="H1008" i="14" s="1"/>
  <c r="H1323" i="14" a="1"/>
  <c r="H1323" i="14" s="1"/>
  <c r="H581" i="14" a="1"/>
  <c r="H581" i="14" s="1"/>
  <c r="H795" i="14" a="1"/>
  <c r="H795" i="14" s="1"/>
  <c r="H1487" i="14" a="1"/>
  <c r="H1487" i="14" s="1"/>
  <c r="H98" i="14" a="1"/>
  <c r="H98" i="14" s="1"/>
  <c r="H1314" i="14" a="1"/>
  <c r="H1314" i="14" s="1"/>
  <c r="H1490" i="14" a="1"/>
  <c r="H1490" i="14" s="1"/>
  <c r="H780" i="14" a="1"/>
  <c r="H780" i="14" s="1"/>
  <c r="H466" i="14" a="1"/>
  <c r="H466" i="14" s="1"/>
  <c r="H1376" i="14" a="1"/>
  <c r="H1376" i="14" s="1"/>
  <c r="H626" i="14" a="1"/>
  <c r="H626" i="14" s="1"/>
  <c r="H393" i="14" a="1"/>
  <c r="H393" i="14" s="1"/>
  <c r="H1041" i="14" a="1"/>
  <c r="H1041" i="14" s="1"/>
  <c r="H923" i="14" a="1"/>
  <c r="H923" i="14" s="1"/>
  <c r="H1311" i="14" a="1"/>
  <c r="H1311" i="14" s="1"/>
  <c r="H182" i="14" a="1"/>
  <c r="H182" i="14" s="1"/>
  <c r="H848" i="14" a="1"/>
  <c r="H848" i="14" s="1"/>
  <c r="H1068" i="14" a="1"/>
  <c r="H1068" i="14" s="1"/>
  <c r="H1006" i="14" a="1"/>
  <c r="H1006" i="14" s="1"/>
  <c r="H1333" i="14" a="1"/>
  <c r="H1333" i="14" s="1"/>
  <c r="H268" i="14" a="1"/>
  <c r="H268" i="14" s="1"/>
  <c r="H750" i="14" a="1"/>
  <c r="H750" i="14" s="1"/>
  <c r="H595" i="14" a="1"/>
  <c r="H595" i="14" s="1"/>
  <c r="H1438" i="14" a="1"/>
  <c r="H1438" i="14" s="1"/>
  <c r="H1058" i="14" a="1"/>
  <c r="H1058" i="14" s="1"/>
  <c r="H232" i="14" a="1"/>
  <c r="H232" i="14" s="1"/>
  <c r="H1204" i="14" a="1"/>
  <c r="H1204" i="14" s="1"/>
  <c r="H277" i="14" a="1"/>
  <c r="H277" i="14" s="1"/>
  <c r="H1401" i="14" a="1"/>
  <c r="H1401" i="14" s="1"/>
  <c r="H597" i="14" a="1"/>
  <c r="H597" i="14" s="1"/>
  <c r="H1215" i="14" a="1"/>
  <c r="H1215" i="14" s="1"/>
  <c r="H130" i="14" a="1"/>
  <c r="H130" i="14" s="1"/>
  <c r="H1405" i="14" a="1"/>
  <c r="H1405" i="14" s="1"/>
  <c r="H578" i="14" a="1"/>
  <c r="H578" i="14" s="1"/>
  <c r="H1201" i="14" a="1"/>
  <c r="H1201" i="14" s="1"/>
  <c r="H239" i="14" a="1"/>
  <c r="H239" i="14" s="1"/>
  <c r="H1393" i="14" a="1"/>
  <c r="H1393" i="14" s="1"/>
  <c r="H835" i="14" a="1"/>
  <c r="H835" i="14" s="1"/>
  <c r="H143" i="14" a="1"/>
  <c r="H143" i="14" s="1"/>
  <c r="H1128" i="14" a="1"/>
  <c r="H1128" i="14" s="1"/>
  <c r="H291" i="14" a="1"/>
  <c r="H291" i="14" s="1"/>
  <c r="H1407" i="14" a="1"/>
  <c r="H1407" i="14" s="1"/>
  <c r="H870" i="14" a="1"/>
  <c r="H870" i="14" s="1"/>
  <c r="H153" i="14" a="1"/>
  <c r="H153" i="14" s="1"/>
  <c r="H1148" i="14" a="1"/>
  <c r="H1148" i="14" s="1"/>
  <c r="H363" i="14" a="1"/>
  <c r="H363" i="14" s="1"/>
  <c r="H1272" i="14" a="1"/>
  <c r="H1272" i="14" s="1"/>
  <c r="H681" i="14" a="1"/>
  <c r="H681" i="14" s="1"/>
  <c r="H236" i="14" a="1"/>
  <c r="H236" i="14" s="1"/>
  <c r="H1141" i="14" a="1"/>
  <c r="H1141" i="14" s="1"/>
  <c r="H1071" i="14" a="1"/>
  <c r="H1071" i="14" s="1"/>
  <c r="H1099" i="14" a="1"/>
  <c r="H1099" i="14" s="1"/>
  <c r="H810" i="14" a="1"/>
  <c r="H810" i="14" s="1"/>
  <c r="H1087" i="14" a="1"/>
  <c r="H1087" i="14" s="1"/>
  <c r="H155" i="14" a="1"/>
  <c r="H155" i="14" s="1"/>
  <c r="H1195" i="14" a="1"/>
  <c r="H1195" i="14" s="1"/>
  <c r="H772" i="14" a="1"/>
  <c r="H772" i="14" s="1"/>
  <c r="H837" i="14" a="1"/>
  <c r="H837" i="14" s="1"/>
  <c r="H1206" i="14" a="1"/>
  <c r="H1206" i="14" s="1"/>
  <c r="H1080" i="14" a="1"/>
  <c r="H1080" i="14" s="1"/>
  <c r="H1094" i="14" a="1"/>
  <c r="H1094" i="14" s="1"/>
  <c r="H731" i="14" a="1"/>
  <c r="H731" i="14" s="1"/>
  <c r="L731" i="14" s="1"/>
  <c r="H1073" i="14" a="1"/>
  <c r="H1073" i="14" s="1"/>
  <c r="H184" i="14" a="1"/>
  <c r="H184" i="14" s="1"/>
  <c r="H4" i="14" a="1"/>
  <c r="H4" i="14" s="1"/>
  <c r="H741" i="14" a="1"/>
  <c r="H741" i="14" s="1"/>
  <c r="H726" i="14" a="1"/>
  <c r="H726" i="14" s="1"/>
  <c r="H1176" i="14" a="1"/>
  <c r="H1176" i="14" s="1"/>
  <c r="H345" i="14" a="1"/>
  <c r="H345" i="14" s="1"/>
  <c r="H1186" i="14" a="1"/>
  <c r="H1186" i="14" s="1"/>
  <c r="L1186" i="14" s="1"/>
  <c r="H753" i="14" a="1"/>
  <c r="H753" i="14" s="1"/>
  <c r="H874" i="14" a="1"/>
  <c r="H874" i="14" s="1"/>
  <c r="H1200" i="14" a="1"/>
  <c r="H1200" i="14" s="1"/>
  <c r="O338" i="14"/>
  <c r="O680" i="14"/>
  <c r="O194" i="14"/>
  <c r="O1133" i="14"/>
  <c r="O331" i="14"/>
  <c r="O1400" i="14"/>
  <c r="O717" i="14"/>
  <c r="O198" i="14"/>
  <c r="O1174" i="14"/>
  <c r="O351" i="14"/>
  <c r="O1364" i="14"/>
  <c r="O31" i="14"/>
  <c r="O248" i="14"/>
  <c r="O1069" i="14"/>
  <c r="O1431" i="14"/>
  <c r="O992" i="14"/>
  <c r="O117" i="14"/>
  <c r="O1198" i="14"/>
  <c r="O24" i="14"/>
  <c r="O1410" i="14"/>
  <c r="O854" i="14"/>
  <c r="O124" i="14"/>
  <c r="O1159" i="14"/>
  <c r="O32" i="14"/>
  <c r="O1419" i="14"/>
  <c r="O895" i="14"/>
  <c r="O137" i="14"/>
  <c r="O1170" i="14"/>
  <c r="O42" i="14"/>
  <c r="O1416" i="14"/>
  <c r="O898" i="14"/>
  <c r="O135" i="14"/>
  <c r="O1164" i="14"/>
  <c r="O1443" i="14"/>
  <c r="O999" i="14"/>
  <c r="O129" i="14"/>
  <c r="O1187" i="14"/>
  <c r="O441" i="14"/>
  <c r="O1378" i="14"/>
  <c r="O695" i="14"/>
  <c r="O254" i="14"/>
  <c r="O1168" i="14"/>
  <c r="O40" i="14"/>
  <c r="O1412" i="14"/>
  <c r="O876" i="14"/>
  <c r="O122" i="14"/>
  <c r="O1157" i="14"/>
  <c r="O1010" i="14"/>
  <c r="O1144" i="14"/>
  <c r="O484" i="14"/>
  <c r="O1026" i="14"/>
  <c r="O350" i="14"/>
  <c r="O933" i="14"/>
  <c r="O1226" i="14"/>
  <c r="O465" i="14"/>
  <c r="O950" i="14"/>
  <c r="O462" i="14"/>
  <c r="O801" i="14"/>
  <c r="O1217" i="14"/>
  <c r="O170" i="14"/>
  <c r="O787" i="14"/>
  <c r="O706" i="14"/>
  <c r="O828" i="14"/>
  <c r="O1224" i="14"/>
  <c r="O216" i="14"/>
  <c r="O813" i="14"/>
  <c r="O670" i="14"/>
  <c r="O1468" i="14"/>
  <c r="O113" i="14"/>
  <c r="O1368" i="14"/>
  <c r="O1470" i="14"/>
  <c r="O798" i="14"/>
  <c r="O1442" i="14"/>
  <c r="O1342" i="14"/>
  <c r="O1404" i="14"/>
  <c r="O752" i="14"/>
  <c r="O1289" i="14"/>
  <c r="O429" i="14"/>
  <c r="O1214" i="14"/>
  <c r="O1262" i="14"/>
  <c r="O404" i="14"/>
  <c r="O1426" i="14"/>
  <c r="O1337" i="14"/>
  <c r="O1386" i="14"/>
  <c r="O816" i="14"/>
  <c r="O378" i="14"/>
  <c r="O1373" i="14"/>
  <c r="O545" i="14"/>
  <c r="O225" i="14"/>
  <c r="O915" i="14"/>
  <c r="O423" i="14"/>
  <c r="O1361" i="14"/>
  <c r="O569" i="14"/>
  <c r="O355" i="14"/>
  <c r="O968" i="14"/>
  <c r="O329" i="14"/>
  <c r="O1345" i="14"/>
  <c r="O469" i="14"/>
  <c r="O263" i="14"/>
  <c r="O1057" i="14"/>
  <c r="O913" i="14"/>
  <c r="O1309" i="14"/>
  <c r="O176" i="14"/>
  <c r="O830" i="14"/>
  <c r="O534" i="14"/>
  <c r="O1083" i="14"/>
  <c r="O1328" i="14"/>
  <c r="O722" i="14"/>
  <c r="O791" i="14"/>
  <c r="O998" i="14"/>
  <c r="O1343" i="14"/>
  <c r="O577" i="14"/>
  <c r="O873" i="14"/>
  <c r="O1008" i="14"/>
  <c r="O1323" i="14"/>
  <c r="O581" i="14"/>
  <c r="O795" i="14"/>
  <c r="O1487" i="14"/>
  <c r="O98" i="14"/>
  <c r="O1314" i="14"/>
  <c r="O1490" i="14"/>
  <c r="O780" i="14"/>
  <c r="O466" i="14"/>
  <c r="O1376" i="14"/>
  <c r="O626" i="14"/>
  <c r="O393" i="14"/>
  <c r="O1041" i="14"/>
  <c r="O923" i="14"/>
  <c r="O1311" i="14"/>
  <c r="O182" i="14"/>
  <c r="O848" i="14"/>
  <c r="O1068" i="14"/>
  <c r="O1006" i="14"/>
  <c r="O1333" i="14"/>
  <c r="O268" i="14"/>
  <c r="O750" i="14"/>
  <c r="O595" i="14"/>
  <c r="O1438" i="14"/>
  <c r="O1058" i="14"/>
  <c r="O232" i="14"/>
  <c r="O1204" i="14"/>
  <c r="O277" i="14"/>
  <c r="O1401" i="14"/>
  <c r="O597" i="14"/>
  <c r="O1215" i="14"/>
  <c r="O130" i="14"/>
  <c r="O1405" i="14"/>
  <c r="O578" i="14"/>
  <c r="O1201" i="14"/>
  <c r="O239" i="14"/>
  <c r="O1393" i="14"/>
  <c r="O835" i="14"/>
  <c r="O143" i="14"/>
  <c r="O1128" i="14"/>
  <c r="O291" i="14"/>
  <c r="O1407" i="14"/>
  <c r="O870" i="14"/>
  <c r="O153" i="14"/>
  <c r="O1148" i="14"/>
  <c r="O363" i="14"/>
  <c r="O1272" i="14"/>
  <c r="O681" i="14"/>
  <c r="O236" i="14"/>
  <c r="O1141" i="14"/>
  <c r="O1071" i="14"/>
  <c r="O1099" i="14"/>
  <c r="O810" i="14"/>
  <c r="O1087" i="14"/>
  <c r="O155" i="14"/>
  <c r="O1195" i="14"/>
  <c r="O772" i="14"/>
  <c r="O837" i="14"/>
  <c r="O1206" i="14"/>
  <c r="O1080" i="14"/>
  <c r="O1094" i="14"/>
  <c r="O731" i="14"/>
  <c r="O1073" i="14"/>
  <c r="O184" i="14"/>
  <c r="O4" i="14"/>
  <c r="O741" i="14"/>
  <c r="O726" i="14"/>
  <c r="O1176" i="14"/>
  <c r="O345" i="14"/>
  <c r="O1186" i="14"/>
  <c r="O753" i="14"/>
  <c r="O874" i="14"/>
  <c r="O1200" i="14"/>
  <c r="E141" i="14" a="1"/>
  <c r="E141" i="14" s="1"/>
  <c r="M141" i="14" s="1"/>
  <c r="P141" i="14" s="1"/>
  <c r="E786" i="14" a="1"/>
  <c r="E786" i="14" s="1"/>
  <c r="M786" i="14" s="1"/>
  <c r="P786" i="14" s="1"/>
  <c r="E394" i="14" a="1"/>
  <c r="E394" i="14" s="1"/>
  <c r="M394" i="14" s="1"/>
  <c r="P394" i="14" s="1"/>
  <c r="E1027" i="14" a="1"/>
  <c r="E1027" i="14" s="1"/>
  <c r="M1027" i="14" s="1"/>
  <c r="P1027" i="14" s="1"/>
  <c r="E235" i="14" a="1"/>
  <c r="E235" i="14" s="1"/>
  <c r="M235" i="14" s="1"/>
  <c r="P235" i="14" s="1"/>
  <c r="E377" i="14" a="1"/>
  <c r="E377" i="14" s="1"/>
  <c r="M377" i="14" s="1"/>
  <c r="P377" i="14" s="1"/>
  <c r="E514" i="14" a="1"/>
  <c r="E514" i="14" s="1"/>
  <c r="M514" i="14" s="1"/>
  <c r="P514" i="14" s="1"/>
  <c r="E1046" i="14" a="1"/>
  <c r="E1046" i="14" s="1"/>
  <c r="M1046" i="14" s="1"/>
  <c r="P1046" i="14" s="1"/>
  <c r="E542" i="14" a="1"/>
  <c r="E542" i="14" s="1"/>
  <c r="M542" i="14" s="1"/>
  <c r="P542" i="14" s="1"/>
  <c r="E543" i="14" a="1"/>
  <c r="E543" i="14" s="1"/>
  <c r="M543" i="14" s="1"/>
  <c r="P543" i="14" s="1"/>
  <c r="E639" i="14" a="1"/>
  <c r="E639" i="14" s="1"/>
  <c r="M639" i="14" s="1"/>
  <c r="P639" i="14" s="1"/>
  <c r="E402" i="14" a="1"/>
  <c r="E402" i="14" s="1"/>
  <c r="M402" i="14" s="1"/>
  <c r="P402" i="14" s="1"/>
  <c r="E771" i="14" a="1"/>
  <c r="E771" i="14" s="1"/>
  <c r="M771" i="14" s="1"/>
  <c r="P771" i="14" s="1"/>
  <c r="E250" i="14" a="1"/>
  <c r="E250" i="14" s="1"/>
  <c r="M250" i="14" s="1"/>
  <c r="P250" i="14" s="1"/>
  <c r="E1358" i="14" a="1"/>
  <c r="E1358" i="14" s="1"/>
  <c r="M1358" i="14" s="1"/>
  <c r="P1358" i="14" s="1"/>
  <c r="E1189" i="14" a="1"/>
  <c r="E1189" i="14" s="1"/>
  <c r="M1189" i="14" s="1"/>
  <c r="P1189" i="14" s="1"/>
  <c r="E689" i="14" a="1"/>
  <c r="E689" i="14" s="1"/>
  <c r="M689" i="14" s="1"/>
  <c r="P689" i="14" s="1"/>
  <c r="E548" i="14" a="1"/>
  <c r="E548" i="14" s="1"/>
  <c r="M548" i="14" s="1"/>
  <c r="P548" i="14" s="1"/>
  <c r="E231" i="14" a="1"/>
  <c r="E231" i="14" s="1"/>
  <c r="M231" i="14" s="1"/>
  <c r="P231" i="14" s="1"/>
  <c r="E682" i="14" a="1"/>
  <c r="E682" i="14" s="1"/>
  <c r="M682" i="14" s="1"/>
  <c r="P682" i="14" s="1"/>
  <c r="E546" i="14" a="1"/>
  <c r="E546" i="14" s="1"/>
  <c r="M546" i="14" s="1"/>
  <c r="P546" i="14" s="1"/>
  <c r="E276" i="14" a="1"/>
  <c r="E276" i="14" s="1"/>
  <c r="M276" i="14" s="1"/>
  <c r="P276" i="14" s="1"/>
  <c r="E746" i="14" a="1"/>
  <c r="E746" i="14" s="1"/>
  <c r="M746" i="14" s="1"/>
  <c r="P746" i="14" s="1"/>
  <c r="E521" i="14" a="1"/>
  <c r="E521" i="14" s="1"/>
  <c r="M521" i="14" s="1"/>
  <c r="P521" i="14" s="1"/>
  <c r="E605" i="14" a="1"/>
  <c r="E605" i="14" s="1"/>
  <c r="M605" i="14" s="1"/>
  <c r="P605" i="14" s="1"/>
  <c r="E449" i="14" a="1"/>
  <c r="E449" i="14" s="1"/>
  <c r="M449" i="14" s="1"/>
  <c r="P449" i="14" s="1"/>
  <c r="E758" i="14" a="1"/>
  <c r="E758" i="14" s="1"/>
  <c r="M758" i="14" s="1"/>
  <c r="P758" i="14" s="1"/>
  <c r="E157" i="14" a="1"/>
  <c r="E157" i="14" s="1"/>
  <c r="M157" i="14" s="1"/>
  <c r="P157" i="14" s="1"/>
  <c r="E729" i="14" a="1"/>
  <c r="E729" i="14" s="1"/>
  <c r="M729" i="14" s="1"/>
  <c r="P729" i="14" s="1"/>
  <c r="E44" i="14" a="1"/>
  <c r="E44" i="14" s="1"/>
  <c r="M44" i="14" s="1"/>
  <c r="P44" i="14" s="1"/>
  <c r="E23" i="14" a="1"/>
  <c r="E23" i="14" s="1"/>
  <c r="M23" i="14" s="1"/>
  <c r="P23" i="14" s="1"/>
  <c r="E196" i="14" a="1"/>
  <c r="E196" i="14" s="1"/>
  <c r="M196" i="14" s="1"/>
  <c r="P196" i="14" s="1"/>
  <c r="E18" i="14" a="1"/>
  <c r="E18" i="14" s="1"/>
  <c r="M18" i="14" s="1"/>
  <c r="P18" i="14" s="1"/>
  <c r="E648" i="14" a="1"/>
  <c r="E648" i="14" s="1"/>
  <c r="M648" i="14" s="1"/>
  <c r="P648" i="14" s="1"/>
  <c r="E1277" i="14" a="1"/>
  <c r="E1277" i="14" s="1"/>
  <c r="M1277" i="14" s="1"/>
  <c r="P1277" i="14" s="1"/>
  <c r="E1372" i="14" a="1"/>
  <c r="E1372" i="14" s="1"/>
  <c r="M1372" i="14" s="1"/>
  <c r="P1372" i="14" s="1"/>
  <c r="E1454" i="14" a="1"/>
  <c r="E1454" i="14" s="1"/>
  <c r="M1454" i="14" s="1"/>
  <c r="P1454" i="14" s="1"/>
  <c r="E1229" i="14" a="1"/>
  <c r="E1229" i="14" s="1"/>
  <c r="M1229" i="14" s="1"/>
  <c r="P1229" i="14" s="1"/>
  <c r="E754" i="14" a="1"/>
  <c r="E754" i="14" s="1"/>
  <c r="M754" i="14" s="1"/>
  <c r="P754" i="14" s="1"/>
  <c r="E1273" i="14" a="1"/>
  <c r="E1273" i="14" s="1"/>
  <c r="M1273" i="14" s="1"/>
  <c r="P1273" i="14" s="1"/>
  <c r="E1374" i="14" a="1"/>
  <c r="E1374" i="14" s="1"/>
  <c r="M1374" i="14" s="1"/>
  <c r="P1374" i="14" s="1"/>
  <c r="E1143" i="14" a="1"/>
  <c r="E1143" i="14" s="1"/>
  <c r="M1143" i="14" s="1"/>
  <c r="P1143" i="14" s="1"/>
  <c r="E1418" i="14" a="1"/>
  <c r="E1418" i="14" s="1"/>
  <c r="M1418" i="14" s="1"/>
  <c r="P1418" i="14" s="1"/>
  <c r="E1297" i="14" a="1"/>
  <c r="E1297" i="14" s="1"/>
  <c r="M1297" i="14" s="1"/>
  <c r="P1297" i="14" s="1"/>
  <c r="E1477" i="14" a="1"/>
  <c r="E1477" i="14" s="1"/>
  <c r="M1477" i="14" s="1"/>
  <c r="P1477" i="14" s="1"/>
  <c r="E584" i="14" a="1"/>
  <c r="E584" i="14" s="1"/>
  <c r="M584" i="14" s="1"/>
  <c r="P584" i="14" s="1"/>
  <c r="E426" i="14" a="1"/>
  <c r="E426" i="14" s="1"/>
  <c r="M426" i="14" s="1"/>
  <c r="P426" i="14" s="1"/>
  <c r="E561" i="14" a="1"/>
  <c r="E561" i="14" s="1"/>
  <c r="M561" i="14" s="1"/>
  <c r="P561" i="14" s="1"/>
  <c r="E433" i="14" a="1"/>
  <c r="E433" i="14" s="1"/>
  <c r="M433" i="14" s="1"/>
  <c r="P433" i="14" s="1"/>
  <c r="E949" i="14" a="1"/>
  <c r="E949" i="14" s="1"/>
  <c r="M949" i="14" s="1"/>
  <c r="P949" i="14" s="1"/>
  <c r="E591" i="14" a="1"/>
  <c r="E591" i="14" s="1"/>
  <c r="M591" i="14" s="1"/>
  <c r="P591" i="14" s="1"/>
  <c r="E1236" i="14" a="1"/>
  <c r="E1236" i="14" s="1"/>
  <c r="M1236" i="14" s="1"/>
  <c r="P1236" i="14" s="1"/>
  <c r="E709" i="14" a="1"/>
  <c r="E709" i="14" s="1"/>
  <c r="M709" i="14" s="1"/>
  <c r="P709" i="14" s="1"/>
  <c r="E649" i="14" a="1"/>
  <c r="E649" i="14" s="1"/>
  <c r="M649" i="14" s="1"/>
  <c r="P649" i="14" s="1"/>
  <c r="E1103" i="14" a="1"/>
  <c r="E1103" i="14" s="1"/>
  <c r="M1103" i="14" s="1"/>
  <c r="P1103" i="14" s="1"/>
  <c r="E446" i="14" a="1"/>
  <c r="E446" i="14" s="1"/>
  <c r="M446" i="14" s="1"/>
  <c r="P446" i="14" s="1"/>
  <c r="E1051" i="14" a="1"/>
  <c r="E1051" i="14" s="1"/>
  <c r="M1051" i="14" s="1"/>
  <c r="P1051" i="14" s="1"/>
  <c r="E127" i="14" a="1"/>
  <c r="E127" i="14" s="1"/>
  <c r="M127" i="14" s="1"/>
  <c r="P127" i="14" s="1"/>
  <c r="E165" i="14" a="1"/>
  <c r="E165" i="14" s="1"/>
  <c r="M165" i="14" s="1"/>
  <c r="P165" i="14" s="1"/>
  <c r="E467" i="14" a="1"/>
  <c r="E467" i="14" s="1"/>
  <c r="M467" i="14" s="1"/>
  <c r="P467" i="14" s="1"/>
  <c r="E1011" i="14" a="1"/>
  <c r="E1011" i="14" s="1"/>
  <c r="M1011" i="14" s="1"/>
  <c r="P1011" i="14" s="1"/>
  <c r="E343" i="14" a="1"/>
  <c r="E343" i="14" s="1"/>
  <c r="M343" i="14" s="1"/>
  <c r="P343" i="14" s="1"/>
  <c r="E387" i="14" a="1"/>
  <c r="E387" i="14" s="1"/>
  <c r="M387" i="14" s="1"/>
  <c r="P387" i="14" s="1"/>
  <c r="E480" i="14" a="1"/>
  <c r="E480" i="14" s="1"/>
  <c r="M480" i="14" s="1"/>
  <c r="P480" i="14" s="1"/>
  <c r="E460" i="14" a="1"/>
  <c r="E460" i="14" s="1"/>
  <c r="M460" i="14" s="1"/>
  <c r="P460" i="14" s="1"/>
  <c r="E1044" i="14" a="1"/>
  <c r="E1044" i="14" s="1"/>
  <c r="M1044" i="14" s="1"/>
  <c r="P1044" i="14" s="1"/>
  <c r="E336" i="14" a="1"/>
  <c r="E336" i="14" s="1"/>
  <c r="M336" i="14" s="1"/>
  <c r="P336" i="14" s="1"/>
  <c r="E375" i="14" a="1"/>
  <c r="E375" i="14" s="1"/>
  <c r="M375" i="14" s="1"/>
  <c r="P375" i="14" s="1"/>
  <c r="E472" i="14" a="1"/>
  <c r="E472" i="14" s="1"/>
  <c r="M472" i="14" s="1"/>
  <c r="P472" i="14" s="1"/>
  <c r="E463" i="14" a="1"/>
  <c r="E463" i="14" s="1"/>
  <c r="M463" i="14" s="1"/>
  <c r="P463" i="14" s="1"/>
  <c r="E990" i="14" a="1"/>
  <c r="E990" i="14" s="1"/>
  <c r="M990" i="14" s="1"/>
  <c r="P990" i="14" s="1"/>
  <c r="E443" i="14" a="1"/>
  <c r="E443" i="14" s="1"/>
  <c r="M443" i="14" s="1"/>
  <c r="P443" i="14" s="1"/>
  <c r="E75" i="14" a="1"/>
  <c r="E75" i="14" s="1"/>
  <c r="M75" i="14" s="1"/>
  <c r="P75" i="14" s="1"/>
  <c r="E259" i="14" a="1"/>
  <c r="E259" i="14" s="1"/>
  <c r="M259" i="14" s="1"/>
  <c r="P259" i="14" s="1"/>
  <c r="E719" i="14" a="1"/>
  <c r="E719" i="14" s="1"/>
  <c r="M719" i="14" s="1"/>
  <c r="P719" i="14" s="1"/>
  <c r="E1200" i="14" a="1"/>
  <c r="E1200" i="14" s="1"/>
  <c r="M1200" i="14" s="1"/>
  <c r="P1200" i="14" s="1"/>
  <c r="E753" i="14" a="1"/>
  <c r="E753" i="14" s="1"/>
  <c r="M753" i="14" s="1"/>
  <c r="P753" i="14" s="1"/>
  <c r="E345" i="14" a="1"/>
  <c r="E345" i="14" s="1"/>
  <c r="M345" i="14" s="1"/>
  <c r="P345" i="14" s="1"/>
  <c r="E726" i="14" a="1"/>
  <c r="E726" i="14" s="1"/>
  <c r="M726" i="14" s="1"/>
  <c r="P726" i="14" s="1"/>
  <c r="E4" i="14" a="1"/>
  <c r="E4" i="14" s="1"/>
  <c r="M4" i="14" s="1"/>
  <c r="P4" i="14" s="1"/>
  <c r="E1073" i="14" a="1"/>
  <c r="E1073" i="14" s="1"/>
  <c r="M1073" i="14" s="1"/>
  <c r="P1073" i="14" s="1"/>
  <c r="E1094" i="14" a="1"/>
  <c r="E1094" i="14" s="1"/>
  <c r="M1094" i="14" s="1"/>
  <c r="P1094" i="14" s="1"/>
  <c r="E1080" i="14" a="1"/>
  <c r="E1080" i="14" s="1"/>
  <c r="M1080" i="14" s="1"/>
  <c r="P1080" i="14" s="1"/>
  <c r="E837" i="14" a="1"/>
  <c r="E837" i="14" s="1"/>
  <c r="M837" i="14" s="1"/>
  <c r="P837" i="14" s="1"/>
  <c r="E772" i="14" a="1"/>
  <c r="E772" i="14" s="1"/>
  <c r="M772" i="14" s="1"/>
  <c r="P772" i="14" s="1"/>
  <c r="E1195" i="14" a="1"/>
  <c r="E1195" i="14" s="1"/>
  <c r="M1195" i="14" s="1"/>
  <c r="P1195" i="14" s="1"/>
  <c r="E155" i="14" a="1"/>
  <c r="E155" i="14" s="1"/>
  <c r="M155" i="14" s="1"/>
  <c r="P155" i="14" s="1"/>
  <c r="E1087" i="14" a="1"/>
  <c r="E1087" i="14" s="1"/>
  <c r="M1087" i="14" s="1"/>
  <c r="P1087" i="14" s="1"/>
  <c r="E810" i="14" a="1"/>
  <c r="E810" i="14" s="1"/>
  <c r="M810" i="14" s="1"/>
  <c r="P810" i="14" s="1"/>
  <c r="E1099" i="14" a="1"/>
  <c r="E1099" i="14" s="1"/>
  <c r="M1099" i="14" s="1"/>
  <c r="P1099" i="14" s="1"/>
  <c r="E1071" i="14" a="1"/>
  <c r="E1071" i="14" s="1"/>
  <c r="M1071" i="14" s="1"/>
  <c r="P1071" i="14" s="1"/>
  <c r="E1141" i="14" a="1"/>
  <c r="E1141" i="14" s="1"/>
  <c r="M1141" i="14" s="1"/>
  <c r="P1141" i="14" s="1"/>
  <c r="E236" i="14" a="1"/>
  <c r="E236" i="14" s="1"/>
  <c r="M236" i="14" s="1"/>
  <c r="P236" i="14" s="1"/>
  <c r="E681" i="14" a="1"/>
  <c r="E681" i="14" s="1"/>
  <c r="M681" i="14" s="1"/>
  <c r="P681" i="14" s="1"/>
  <c r="E1272" i="14" a="1"/>
  <c r="E1272" i="14" s="1"/>
  <c r="M1272" i="14" s="1"/>
  <c r="P1272" i="14" s="1"/>
  <c r="E363" i="14" a="1"/>
  <c r="E363" i="14" s="1"/>
  <c r="M363" i="14" s="1"/>
  <c r="P363" i="14" s="1"/>
  <c r="E1148" i="14" a="1"/>
  <c r="E1148" i="14" s="1"/>
  <c r="M1148" i="14" s="1"/>
  <c r="P1148" i="14" s="1"/>
  <c r="E153" i="14" a="1"/>
  <c r="E153" i="14" s="1"/>
  <c r="M153" i="14" s="1"/>
  <c r="P153" i="14" s="1"/>
  <c r="E870" i="14" a="1"/>
  <c r="E870" i="14" s="1"/>
  <c r="M870" i="14" s="1"/>
  <c r="P870" i="14" s="1"/>
  <c r="E291" i="14" a="1"/>
  <c r="E291" i="14" s="1"/>
  <c r="M291" i="14" s="1"/>
  <c r="P291" i="14" s="1"/>
  <c r="E1128" i="14" a="1"/>
  <c r="E1128" i="14" s="1"/>
  <c r="M1128" i="14" s="1"/>
  <c r="P1128" i="14" s="1"/>
  <c r="E143" i="14" a="1"/>
  <c r="E143" i="14" s="1"/>
  <c r="M143" i="14" s="1"/>
  <c r="P143" i="14" s="1"/>
  <c r="E835" i="14" a="1"/>
  <c r="E835" i="14" s="1"/>
  <c r="M835" i="14" s="1"/>
  <c r="P835" i="14" s="1"/>
  <c r="E1393" i="14" a="1"/>
  <c r="E1393" i="14" s="1"/>
  <c r="M1393" i="14" s="1"/>
  <c r="P1393" i="14" s="1"/>
  <c r="E239" i="14" a="1"/>
  <c r="E239" i="14" s="1"/>
  <c r="M239" i="14" s="1"/>
  <c r="P239" i="14" s="1"/>
  <c r="E1201" i="14" a="1"/>
  <c r="E1201" i="14" s="1"/>
  <c r="M1201" i="14" s="1"/>
  <c r="P1201" i="14" s="1"/>
  <c r="E578" i="14" a="1"/>
  <c r="E578" i="14" s="1"/>
  <c r="M578" i="14" s="1"/>
  <c r="P578" i="14" s="1"/>
  <c r="E1405" i="14" a="1"/>
  <c r="E1405" i="14" s="1"/>
  <c r="M1405" i="14" s="1"/>
  <c r="P1405" i="14" s="1"/>
  <c r="E130" i="14" a="1"/>
  <c r="E130" i="14" s="1"/>
  <c r="M130" i="14" s="1"/>
  <c r="P130" i="14" s="1"/>
  <c r="E1215" i="14" a="1"/>
  <c r="E1215" i="14" s="1"/>
  <c r="M1215" i="14" s="1"/>
  <c r="P1215" i="14" s="1"/>
  <c r="E597" i="14" a="1"/>
  <c r="E597" i="14" s="1"/>
  <c r="M597" i="14" s="1"/>
  <c r="P597" i="14" s="1"/>
  <c r="E1401" i="14" a="1"/>
  <c r="E1401" i="14" s="1"/>
  <c r="M1401" i="14" s="1"/>
  <c r="P1401" i="14" s="1"/>
  <c r="E277" i="14" a="1"/>
  <c r="E277" i="14" s="1"/>
  <c r="M277" i="14" s="1"/>
  <c r="P277" i="14" s="1"/>
  <c r="E1204" i="14" a="1"/>
  <c r="E1204" i="14" s="1"/>
  <c r="M1204" i="14" s="1"/>
  <c r="P1204" i="14" s="1"/>
  <c r="E232" i="14" a="1"/>
  <c r="E232" i="14" s="1"/>
  <c r="M232" i="14" s="1"/>
  <c r="P232" i="14" s="1"/>
  <c r="E1058" i="14" a="1"/>
  <c r="E1058" i="14" s="1"/>
  <c r="M1058" i="14" s="1"/>
  <c r="P1058" i="14" s="1"/>
  <c r="E1438" i="14" a="1"/>
  <c r="E1438" i="14" s="1"/>
  <c r="M1438" i="14" s="1"/>
  <c r="P1438" i="14" s="1"/>
  <c r="E595" i="14" a="1"/>
  <c r="E595" i="14" s="1"/>
  <c r="M595" i="14" s="1"/>
  <c r="P595" i="14" s="1"/>
  <c r="E750" i="14" a="1"/>
  <c r="E750" i="14" s="1"/>
  <c r="M750" i="14" s="1"/>
  <c r="P750" i="14" s="1"/>
  <c r="E268" i="14" a="1"/>
  <c r="E268" i="14" s="1"/>
  <c r="M268" i="14" s="1"/>
  <c r="P268" i="14" s="1"/>
  <c r="E1333" i="14" a="1"/>
  <c r="E1333" i="14" s="1"/>
  <c r="M1333" i="14" s="1"/>
  <c r="P1333" i="14" s="1"/>
  <c r="E1006" i="14" a="1"/>
  <c r="E1006" i="14" s="1"/>
  <c r="M1006" i="14" s="1"/>
  <c r="P1006" i="14" s="1"/>
  <c r="E1068" i="14" a="1"/>
  <c r="E1068" i="14" s="1"/>
  <c r="M1068" i="14" s="1"/>
  <c r="P1068" i="14" s="1"/>
  <c r="E848" i="14" a="1"/>
  <c r="E848" i="14" s="1"/>
  <c r="M848" i="14" s="1"/>
  <c r="P848" i="14" s="1"/>
  <c r="E182" i="14" a="1"/>
  <c r="E182" i="14" s="1"/>
  <c r="M182" i="14" s="1"/>
  <c r="P182" i="14" s="1"/>
  <c r="E1311" i="14" a="1"/>
  <c r="E1311" i="14" s="1"/>
  <c r="M1311" i="14" s="1"/>
  <c r="P1311" i="14" s="1"/>
  <c r="E923" i="14" a="1"/>
  <c r="E923" i="14" s="1"/>
  <c r="M923" i="14" s="1"/>
  <c r="P923" i="14" s="1"/>
  <c r="E1041" i="14" a="1"/>
  <c r="E1041" i="14" s="1"/>
  <c r="M1041" i="14" s="1"/>
  <c r="P1041" i="14" s="1"/>
  <c r="E393" i="14" a="1"/>
  <c r="E393" i="14" s="1"/>
  <c r="M393" i="14" s="1"/>
  <c r="P393" i="14" s="1"/>
  <c r="E626" i="14" a="1"/>
  <c r="E626" i="14" s="1"/>
  <c r="M626" i="14" s="1"/>
  <c r="P626" i="14" s="1"/>
  <c r="E1376" i="14" a="1"/>
  <c r="E1376" i="14" s="1"/>
  <c r="M1376" i="14" s="1"/>
  <c r="P1376" i="14" s="1"/>
  <c r="E466" i="14" a="1"/>
  <c r="E466" i="14" s="1"/>
  <c r="M466" i="14" s="1"/>
  <c r="P466" i="14" s="1"/>
  <c r="E780" i="14" a="1"/>
  <c r="E780" i="14" s="1"/>
  <c r="M780" i="14" s="1"/>
  <c r="P780" i="14" s="1"/>
  <c r="E1490" i="14" a="1"/>
  <c r="E1490" i="14" s="1"/>
  <c r="M1490" i="14" s="1"/>
  <c r="P1490" i="14" s="1"/>
  <c r="E1314" i="14" a="1"/>
  <c r="E1314" i="14" s="1"/>
  <c r="M1314" i="14" s="1"/>
  <c r="P1314" i="14" s="1"/>
  <c r="E98" i="14" a="1"/>
  <c r="E98" i="14" s="1"/>
  <c r="M98" i="14" s="1"/>
  <c r="P98" i="14" s="1"/>
  <c r="E1487" i="14" a="1"/>
  <c r="E1487" i="14" s="1"/>
  <c r="M1487" i="14" s="1"/>
  <c r="P1487" i="14" s="1"/>
  <c r="E795" i="14" a="1"/>
  <c r="E795" i="14" s="1"/>
  <c r="M795" i="14" s="1"/>
  <c r="P795" i="14" s="1"/>
  <c r="E581" i="14" a="1"/>
  <c r="E581" i="14" s="1"/>
  <c r="M581" i="14" s="1"/>
  <c r="P581" i="14" s="1"/>
  <c r="E1323" i="14" a="1"/>
  <c r="E1323" i="14" s="1"/>
  <c r="M1323" i="14" s="1"/>
  <c r="P1323" i="14" s="1"/>
  <c r="E1008" i="14" a="1"/>
  <c r="E1008" i="14" s="1"/>
  <c r="M1008" i="14" s="1"/>
  <c r="P1008" i="14" s="1"/>
  <c r="E873" i="14" a="1"/>
  <c r="E873" i="14" s="1"/>
  <c r="M873" i="14" s="1"/>
  <c r="P873" i="14" s="1"/>
  <c r="E577" i="14" a="1"/>
  <c r="E577" i="14" s="1"/>
  <c r="M577" i="14" s="1"/>
  <c r="P577" i="14" s="1"/>
  <c r="E1343" i="14" a="1"/>
  <c r="E1343" i="14" s="1"/>
  <c r="M1343" i="14" s="1"/>
  <c r="P1343" i="14" s="1"/>
  <c r="E998" i="14" a="1"/>
  <c r="E998" i="14" s="1"/>
  <c r="M998" i="14" s="1"/>
  <c r="P998" i="14" s="1"/>
  <c r="E791" i="14" a="1"/>
  <c r="E791" i="14" s="1"/>
  <c r="M791" i="14" s="1"/>
  <c r="P791" i="14" s="1"/>
  <c r="E722" i="14" a="1"/>
  <c r="E722" i="14" s="1"/>
  <c r="M722" i="14" s="1"/>
  <c r="P722" i="14" s="1"/>
  <c r="E1328" i="14" a="1"/>
  <c r="E1328" i="14" s="1"/>
  <c r="M1328" i="14" s="1"/>
  <c r="P1328" i="14" s="1"/>
  <c r="E1083" i="14" a="1"/>
  <c r="E1083" i="14" s="1"/>
  <c r="M1083" i="14" s="1"/>
  <c r="P1083" i="14" s="1"/>
  <c r="E534" i="14" a="1"/>
  <c r="E534" i="14" s="1"/>
  <c r="M534" i="14" s="1"/>
  <c r="P534" i="14" s="1"/>
  <c r="E830" i="14" a="1"/>
  <c r="E830" i="14" s="1"/>
  <c r="M830" i="14" s="1"/>
  <c r="P830" i="14" s="1"/>
  <c r="E176" i="14" a="1"/>
  <c r="E176" i="14" s="1"/>
  <c r="M176" i="14" s="1"/>
  <c r="P176" i="14" s="1"/>
  <c r="E1309" i="14" a="1"/>
  <c r="E1309" i="14" s="1"/>
  <c r="M1309" i="14" s="1"/>
  <c r="P1309" i="14" s="1"/>
  <c r="E913" i="14" a="1"/>
  <c r="E913" i="14" s="1"/>
  <c r="M913" i="14" s="1"/>
  <c r="P913" i="14" s="1"/>
  <c r="E1057" i="14" a="1"/>
  <c r="E1057" i="14" s="1"/>
  <c r="M1057" i="14" s="1"/>
  <c r="P1057" i="14" s="1"/>
  <c r="E263" i="14" a="1"/>
  <c r="E263" i="14" s="1"/>
  <c r="M263" i="14" s="1"/>
  <c r="P263" i="14" s="1"/>
  <c r="E469" i="14" a="1"/>
  <c r="E469" i="14" s="1"/>
  <c r="M469" i="14" s="1"/>
  <c r="P469" i="14" s="1"/>
  <c r="E1345" i="14" a="1"/>
  <c r="E1345" i="14" s="1"/>
  <c r="M1345" i="14" s="1"/>
  <c r="P1345" i="14" s="1"/>
  <c r="E329" i="14" a="1"/>
  <c r="E329" i="14" s="1"/>
  <c r="M329" i="14" s="1"/>
  <c r="P329" i="14" s="1"/>
  <c r="E968" i="14" a="1"/>
  <c r="E968" i="14" s="1"/>
  <c r="M968" i="14" s="1"/>
  <c r="P968" i="14" s="1"/>
  <c r="E355" i="14" a="1"/>
  <c r="E355" i="14" s="1"/>
  <c r="M355" i="14" s="1"/>
  <c r="P355" i="14" s="1"/>
  <c r="E569" i="14" a="1"/>
  <c r="E569" i="14" s="1"/>
  <c r="M569" i="14" s="1"/>
  <c r="P569" i="14" s="1"/>
  <c r="E1361" i="14" a="1"/>
  <c r="E1361" i="14" s="1"/>
  <c r="M1361" i="14" s="1"/>
  <c r="P1361" i="14" s="1"/>
  <c r="E423" i="14" a="1"/>
  <c r="E423" i="14" s="1"/>
  <c r="M423" i="14" s="1"/>
  <c r="P423" i="14" s="1"/>
  <c r="E915" i="14" a="1"/>
  <c r="E915" i="14" s="1"/>
  <c r="M915" i="14" s="1"/>
  <c r="P915" i="14" s="1"/>
  <c r="E225" i="14" a="1"/>
  <c r="E225" i="14" s="1"/>
  <c r="M225" i="14" s="1"/>
  <c r="P225" i="14" s="1"/>
  <c r="E545" i="14" a="1"/>
  <c r="E545" i="14" s="1"/>
  <c r="M545" i="14" s="1"/>
  <c r="P545" i="14" s="1"/>
  <c r="E1373" i="14" a="1"/>
  <c r="E1373" i="14" s="1"/>
  <c r="M1373" i="14" s="1"/>
  <c r="P1373" i="14" s="1"/>
  <c r="E378" i="14" a="1"/>
  <c r="E378" i="14" s="1"/>
  <c r="M378" i="14" s="1"/>
  <c r="P378" i="14" s="1"/>
  <c r="E816" i="14" a="1"/>
  <c r="E816" i="14" s="1"/>
  <c r="M816" i="14" s="1"/>
  <c r="P816" i="14" s="1"/>
  <c r="E1386" i="14" a="1"/>
  <c r="E1386" i="14" s="1"/>
  <c r="M1386" i="14" s="1"/>
  <c r="P1386" i="14" s="1"/>
  <c r="E1337" i="14" a="1"/>
  <c r="E1337" i="14" s="1"/>
  <c r="M1337" i="14" s="1"/>
  <c r="P1337" i="14" s="1"/>
  <c r="E1426" i="14" a="1"/>
  <c r="E1426" i="14" s="1"/>
  <c r="M1426" i="14" s="1"/>
  <c r="P1426" i="14" s="1"/>
  <c r="E404" i="14" a="1"/>
  <c r="E404" i="14" s="1"/>
  <c r="M404" i="14" s="1"/>
  <c r="P404" i="14" s="1"/>
  <c r="E1262" i="14" a="1"/>
  <c r="E1262" i="14" s="1"/>
  <c r="M1262" i="14" s="1"/>
  <c r="P1262" i="14" s="1"/>
  <c r="E1214" i="14" a="1"/>
  <c r="E1214" i="14" s="1"/>
  <c r="M1214" i="14" s="1"/>
  <c r="P1214" i="14" s="1"/>
  <c r="E429" i="14" a="1"/>
  <c r="E429" i="14" s="1"/>
  <c r="M429" i="14" s="1"/>
  <c r="P429" i="14" s="1"/>
  <c r="E1289" i="14" a="1"/>
  <c r="E1289" i="14" s="1"/>
  <c r="M1289" i="14" s="1"/>
  <c r="P1289" i="14" s="1"/>
  <c r="E752" i="14" a="1"/>
  <c r="E752" i="14" s="1"/>
  <c r="M752" i="14" s="1"/>
  <c r="P752" i="14" s="1"/>
  <c r="E1404" i="14" a="1"/>
  <c r="E1404" i="14" s="1"/>
  <c r="M1404" i="14" s="1"/>
  <c r="P1404" i="14" s="1"/>
  <c r="E1342" i="14" a="1"/>
  <c r="E1342" i="14" s="1"/>
  <c r="M1342" i="14" s="1"/>
  <c r="P1342" i="14" s="1"/>
  <c r="E1442" i="14" a="1"/>
  <c r="E1442" i="14" s="1"/>
  <c r="M1442" i="14" s="1"/>
  <c r="P1442" i="14" s="1"/>
  <c r="E798" i="14" a="1"/>
  <c r="E798" i="14" s="1"/>
  <c r="M798" i="14" s="1"/>
  <c r="P798" i="14" s="1"/>
  <c r="E1470" i="14" a="1"/>
  <c r="E1470" i="14" s="1"/>
  <c r="M1470" i="14" s="1"/>
  <c r="P1470" i="14" s="1"/>
  <c r="E1368" i="14" a="1"/>
  <c r="E1368" i="14" s="1"/>
  <c r="M1368" i="14" s="1"/>
  <c r="P1368" i="14" s="1"/>
  <c r="E113" i="14" a="1"/>
  <c r="E113" i="14" s="1"/>
  <c r="M113" i="14" s="1"/>
  <c r="P113" i="14" s="1"/>
  <c r="E1468" i="14" a="1"/>
  <c r="E1468" i="14" s="1"/>
  <c r="M1468" i="14" s="1"/>
  <c r="P1468" i="14" s="1"/>
  <c r="E670" i="14" a="1"/>
  <c r="E670" i="14" s="1"/>
  <c r="M670" i="14" s="1"/>
  <c r="P670" i="14" s="1"/>
  <c r="E813" i="14" a="1"/>
  <c r="E813" i="14" s="1"/>
  <c r="M813" i="14" s="1"/>
  <c r="P813" i="14" s="1"/>
  <c r="E216" i="14" a="1"/>
  <c r="E216" i="14" s="1"/>
  <c r="M216" i="14" s="1"/>
  <c r="P216" i="14" s="1"/>
  <c r="E1224" i="14" a="1"/>
  <c r="E1224" i="14" s="1"/>
  <c r="M1224" i="14" s="1"/>
  <c r="P1224" i="14" s="1"/>
  <c r="E828" i="14" a="1"/>
  <c r="E828" i="14" s="1"/>
  <c r="M828" i="14" s="1"/>
  <c r="P828" i="14" s="1"/>
  <c r="E706" i="14" a="1"/>
  <c r="E706" i="14" s="1"/>
  <c r="M706" i="14" s="1"/>
  <c r="P706" i="14" s="1"/>
  <c r="E787" i="14" a="1"/>
  <c r="E787" i="14" s="1"/>
  <c r="M787" i="14" s="1"/>
  <c r="P787" i="14" s="1"/>
  <c r="E170" i="14" a="1"/>
  <c r="E170" i="14" s="1"/>
  <c r="M170" i="14" s="1"/>
  <c r="P170" i="14" s="1"/>
  <c r="E1217" i="14" a="1"/>
  <c r="E1217" i="14" s="1"/>
  <c r="M1217" i="14" s="1"/>
  <c r="P1217" i="14" s="1"/>
  <c r="E801" i="14" a="1"/>
  <c r="E801" i="14" s="1"/>
  <c r="M801" i="14" s="1"/>
  <c r="P801" i="14" s="1"/>
  <c r="E462" i="14" a="1"/>
  <c r="E462" i="14" s="1"/>
  <c r="M462" i="14" s="1"/>
  <c r="P462" i="14" s="1"/>
  <c r="E950" i="14" a="1"/>
  <c r="E950" i="14" s="1"/>
  <c r="M950" i="14" s="1"/>
  <c r="P950" i="14" s="1"/>
  <c r="E465" i="14" a="1"/>
  <c r="E465" i="14" s="1"/>
  <c r="M465" i="14" s="1"/>
  <c r="P465" i="14" s="1"/>
  <c r="E1226" i="14" a="1"/>
  <c r="E1226" i="14" s="1"/>
  <c r="M1226" i="14" s="1"/>
  <c r="P1226" i="14" s="1"/>
  <c r="E933" i="14" a="1"/>
  <c r="E933" i="14" s="1"/>
  <c r="M933" i="14" s="1"/>
  <c r="P933" i="14" s="1"/>
  <c r="E350" i="14" a="1"/>
  <c r="E350" i="14" s="1"/>
  <c r="M350" i="14" s="1"/>
  <c r="P350" i="14" s="1"/>
  <c r="E1026" i="14" a="1"/>
  <c r="E1026" i="14" s="1"/>
  <c r="M1026" i="14" s="1"/>
  <c r="P1026" i="14" s="1"/>
  <c r="E484" i="14" a="1"/>
  <c r="E484" i="14" s="1"/>
  <c r="M484" i="14" s="1"/>
  <c r="P484" i="14" s="1"/>
  <c r="E1144" i="14" a="1"/>
  <c r="E1144" i="14" s="1"/>
  <c r="M1144" i="14" s="1"/>
  <c r="P1144" i="14" s="1"/>
  <c r="E1010" i="14" a="1"/>
  <c r="E1010" i="14" s="1"/>
  <c r="M1010" i="14" s="1"/>
  <c r="P1010" i="14" s="1"/>
  <c r="E1157" i="14" a="1"/>
  <c r="E1157" i="14" s="1"/>
  <c r="M1157" i="14" s="1"/>
  <c r="P1157" i="14" s="1"/>
  <c r="E122" i="14" a="1"/>
  <c r="E122" i="14" s="1"/>
  <c r="M122" i="14" s="1"/>
  <c r="P122" i="14" s="1"/>
  <c r="E876" i="14" a="1"/>
  <c r="E876" i="14" s="1"/>
  <c r="M876" i="14" s="1"/>
  <c r="P876" i="14" s="1"/>
  <c r="E1412" i="14" a="1"/>
  <c r="E1412" i="14" s="1"/>
  <c r="M1412" i="14" s="1"/>
  <c r="P1412" i="14" s="1"/>
  <c r="E40" i="14" a="1"/>
  <c r="E40" i="14" s="1"/>
  <c r="M40" i="14" s="1"/>
  <c r="P40" i="14" s="1"/>
  <c r="E1168" i="14" a="1"/>
  <c r="E1168" i="14" s="1"/>
  <c r="M1168" i="14" s="1"/>
  <c r="P1168" i="14" s="1"/>
  <c r="E254" i="14" a="1"/>
  <c r="E254" i="14" s="1"/>
  <c r="M254" i="14" s="1"/>
  <c r="P254" i="14" s="1"/>
  <c r="E695" i="14" a="1"/>
  <c r="E695" i="14" s="1"/>
  <c r="M695" i="14" s="1"/>
  <c r="P695" i="14" s="1"/>
  <c r="E1378" i="14" a="1"/>
  <c r="E1378" i="14" s="1"/>
  <c r="M1378" i="14" s="1"/>
  <c r="P1378" i="14" s="1"/>
  <c r="E441" i="14" a="1"/>
  <c r="E441" i="14" s="1"/>
  <c r="M441" i="14" s="1"/>
  <c r="P441" i="14" s="1"/>
  <c r="E1187" i="14" a="1"/>
  <c r="E1187" i="14" s="1"/>
  <c r="M1187" i="14" s="1"/>
  <c r="P1187" i="14" s="1"/>
  <c r="E129" i="14" a="1"/>
  <c r="E129" i="14" s="1"/>
  <c r="M129" i="14" s="1"/>
  <c r="P129" i="14" s="1"/>
  <c r="E999" i="14" a="1"/>
  <c r="E999" i="14" s="1"/>
  <c r="M999" i="14" s="1"/>
  <c r="P999" i="14" s="1"/>
  <c r="E1443" i="14" a="1"/>
  <c r="E1443" i="14" s="1"/>
  <c r="M1443" i="14" s="1"/>
  <c r="P1443" i="14" s="1"/>
  <c r="E1164" i="14" a="1"/>
  <c r="E1164" i="14" s="1"/>
  <c r="M1164" i="14" s="1"/>
  <c r="P1164" i="14" s="1"/>
  <c r="E135" i="14" a="1"/>
  <c r="E135" i="14" s="1"/>
  <c r="M135" i="14" s="1"/>
  <c r="P135" i="14" s="1"/>
  <c r="E898" i="14" a="1"/>
  <c r="E898" i="14" s="1"/>
  <c r="M898" i="14" s="1"/>
  <c r="P898" i="14" s="1"/>
  <c r="E1416" i="14" a="1"/>
  <c r="E1416" i="14" s="1"/>
  <c r="M1416" i="14" s="1"/>
  <c r="P1416" i="14" s="1"/>
  <c r="E42" i="14" a="1"/>
  <c r="E42" i="14" s="1"/>
  <c r="M42" i="14" s="1"/>
  <c r="P42" i="14" s="1"/>
  <c r="E1170" i="14" a="1"/>
  <c r="E1170" i="14" s="1"/>
  <c r="M1170" i="14" s="1"/>
  <c r="P1170" i="14" s="1"/>
  <c r="E137" i="14" a="1"/>
  <c r="E137" i="14" s="1"/>
  <c r="M137" i="14" s="1"/>
  <c r="P137" i="14" s="1"/>
  <c r="E895" i="14" a="1"/>
  <c r="E895" i="14" s="1"/>
  <c r="M895" i="14" s="1"/>
  <c r="P895" i="14" s="1"/>
  <c r="E1419" i="14" a="1"/>
  <c r="E1419" i="14" s="1"/>
  <c r="M1419" i="14" s="1"/>
  <c r="P1419" i="14" s="1"/>
  <c r="E32" i="14" a="1"/>
  <c r="E32" i="14" s="1"/>
  <c r="M32" i="14" s="1"/>
  <c r="P32" i="14" s="1"/>
  <c r="E1159" i="14" a="1"/>
  <c r="E1159" i="14" s="1"/>
  <c r="M1159" i="14" s="1"/>
  <c r="P1159" i="14" s="1"/>
  <c r="E124" i="14" a="1"/>
  <c r="E124" i="14" s="1"/>
  <c r="M124" i="14" s="1"/>
  <c r="P124" i="14" s="1"/>
  <c r="E854" i="14" a="1"/>
  <c r="E854" i="14" s="1"/>
  <c r="M854" i="14" s="1"/>
  <c r="P854" i="14" s="1"/>
  <c r="E1410" i="14" a="1"/>
  <c r="E1410" i="14" s="1"/>
  <c r="M1410" i="14" s="1"/>
  <c r="P1410" i="14" s="1"/>
  <c r="E24" i="14" a="1"/>
  <c r="E24" i="14" s="1"/>
  <c r="M24" i="14" s="1"/>
  <c r="P24" i="14" s="1"/>
  <c r="E1198" i="14" a="1"/>
  <c r="E1198" i="14" s="1"/>
  <c r="M1198" i="14" s="1"/>
  <c r="P1198" i="14" s="1"/>
  <c r="E117" i="14" a="1"/>
  <c r="E117" i="14" s="1"/>
  <c r="M117" i="14" s="1"/>
  <c r="P117" i="14" s="1"/>
  <c r="E992" i="14" a="1"/>
  <c r="E992" i="14" s="1"/>
  <c r="M992" i="14" s="1"/>
  <c r="P992" i="14" s="1"/>
  <c r="E1431" i="14" a="1"/>
  <c r="E1431" i="14" s="1"/>
  <c r="M1431" i="14" s="1"/>
  <c r="P1431" i="14" s="1"/>
  <c r="E1069" i="14" a="1"/>
  <c r="E1069" i="14" s="1"/>
  <c r="M1069" i="14" s="1"/>
  <c r="P1069" i="14" s="1"/>
  <c r="E248" i="14" a="1"/>
  <c r="E248" i="14" s="1"/>
  <c r="M248" i="14" s="1"/>
  <c r="P248" i="14" s="1"/>
  <c r="E31" i="14" a="1"/>
  <c r="E31" i="14" s="1"/>
  <c r="M31" i="14" s="1"/>
  <c r="P31" i="14" s="1"/>
  <c r="E1364" i="14" a="1"/>
  <c r="E1364" i="14" s="1"/>
  <c r="M1364" i="14" s="1"/>
  <c r="P1364" i="14" s="1"/>
  <c r="E351" i="14" a="1"/>
  <c r="E351" i="14" s="1"/>
  <c r="M351" i="14" s="1"/>
  <c r="P351" i="14" s="1"/>
  <c r="E1174" i="14" a="1"/>
  <c r="E1174" i="14" s="1"/>
  <c r="M1174" i="14" s="1"/>
  <c r="P1174" i="14" s="1"/>
  <c r="E198" i="14" a="1"/>
  <c r="E198" i="14" s="1"/>
  <c r="M198" i="14" s="1"/>
  <c r="P198" i="14" s="1"/>
  <c r="E717" i="14" a="1"/>
  <c r="E717" i="14" s="1"/>
  <c r="M717" i="14" s="1"/>
  <c r="P717" i="14" s="1"/>
  <c r="E1400" i="14" a="1"/>
  <c r="E1400" i="14" s="1"/>
  <c r="M1400" i="14" s="1"/>
  <c r="P1400" i="14" s="1"/>
  <c r="E331" i="14" a="1"/>
  <c r="E331" i="14" s="1"/>
  <c r="M331" i="14" s="1"/>
  <c r="P331" i="14" s="1"/>
  <c r="E1133" i="14" a="1"/>
  <c r="E1133" i="14" s="1"/>
  <c r="M1133" i="14" s="1"/>
  <c r="P1133" i="14" s="1"/>
  <c r="E194" i="14" a="1"/>
  <c r="E194" i="14" s="1"/>
  <c r="M194" i="14" s="1"/>
  <c r="P194" i="14" s="1"/>
  <c r="E680" i="14" a="1"/>
  <c r="E680" i="14" s="1"/>
  <c r="M680" i="14" s="1"/>
  <c r="P680" i="14" s="1"/>
  <c r="E338" i="14" a="1"/>
  <c r="E338" i="14" s="1"/>
  <c r="M338" i="14" s="1"/>
  <c r="P338" i="14" s="1"/>
  <c r="E1216" i="14" a="1"/>
  <c r="E1216" i="14" s="1"/>
  <c r="M1216" i="14" s="1"/>
  <c r="P1216" i="14" s="1"/>
  <c r="E792" i="14" a="1"/>
  <c r="E792" i="14" s="1"/>
  <c r="M792" i="14" s="1"/>
  <c r="P792" i="14" s="1"/>
  <c r="E797" i="14" a="1"/>
  <c r="E797" i="14" s="1"/>
  <c r="M797" i="14" s="1"/>
  <c r="P797" i="14" s="1"/>
  <c r="E1165" i="14" a="1"/>
  <c r="E1165" i="14" s="1"/>
  <c r="M1165" i="14" s="1"/>
  <c r="P1165" i="14" s="1"/>
  <c r="E1179" i="14" a="1"/>
  <c r="E1179" i="14" s="1"/>
  <c r="M1179" i="14" s="1"/>
  <c r="P1179" i="14" s="1"/>
  <c r="E611" i="14" a="1"/>
  <c r="E611" i="14" s="1"/>
  <c r="M611" i="14" s="1"/>
  <c r="P611" i="14" s="1"/>
  <c r="E759" i="14" a="1"/>
  <c r="E759" i="14" s="1"/>
  <c r="M759" i="14" s="1"/>
  <c r="P759" i="14" s="1"/>
  <c r="E1114" i="14" a="1"/>
  <c r="E1114" i="14" s="1"/>
  <c r="M1114" i="14" s="1"/>
  <c r="P1114" i="14" s="1"/>
  <c r="E245" i="14" a="1"/>
  <c r="E245" i="14" s="1"/>
  <c r="M245" i="14" s="1"/>
  <c r="P245" i="14" s="1"/>
  <c r="E650" i="14" a="1"/>
  <c r="E650" i="14" s="1"/>
  <c r="M650" i="14" s="1"/>
  <c r="P650" i="14" s="1"/>
  <c r="E1112" i="14" a="1"/>
  <c r="E1112" i="14" s="1"/>
  <c r="M1112" i="14" s="1"/>
  <c r="P1112" i="14" s="1"/>
  <c r="E1020" i="14" a="1"/>
  <c r="E1020" i="14" s="1"/>
  <c r="M1020" i="14" s="1"/>
  <c r="P1020" i="14" s="1"/>
  <c r="E347" i="14" a="1"/>
  <c r="E347" i="14" s="1"/>
  <c r="M347" i="14" s="1"/>
  <c r="P347" i="14" s="1"/>
  <c r="E765" i="14" a="1"/>
  <c r="E765" i="14" s="1"/>
  <c r="M765" i="14" s="1"/>
  <c r="P765" i="14" s="1"/>
  <c r="E784" i="14" a="1"/>
  <c r="E784" i="14" s="1"/>
  <c r="M784" i="14" s="1"/>
  <c r="P784" i="14" s="1"/>
  <c r="E1161" i="14" a="1"/>
  <c r="E1161" i="14" s="1"/>
  <c r="M1161" i="14" s="1"/>
  <c r="P1161" i="14" s="1"/>
  <c r="E219" i="14" a="1"/>
  <c r="E219" i="14" s="1"/>
  <c r="M219" i="14" s="1"/>
  <c r="P219" i="14" s="1"/>
  <c r="E691" i="14" a="1"/>
  <c r="E691" i="14" s="1"/>
  <c r="M691" i="14" s="1"/>
  <c r="P691" i="14" s="1"/>
  <c r="E1131" i="14" a="1"/>
  <c r="E1131" i="14" s="1"/>
  <c r="M1131" i="14" s="1"/>
  <c r="P1131" i="14" s="1"/>
  <c r="E1043" i="14" a="1"/>
  <c r="E1043" i="14" s="1"/>
  <c r="M1043" i="14" s="1"/>
  <c r="P1043" i="14" s="1"/>
  <c r="E1118" i="14" a="1"/>
  <c r="E1118" i="14" s="1"/>
  <c r="M1118" i="14" s="1"/>
  <c r="P1118" i="14" s="1"/>
  <c r="E776" i="14" a="1"/>
  <c r="E776" i="14" s="1"/>
  <c r="M776" i="14" s="1"/>
  <c r="P776" i="14" s="1"/>
  <c r="E1417" i="14" a="1"/>
  <c r="E1417" i="14" s="1"/>
  <c r="M1417" i="14" s="1"/>
  <c r="P1417" i="14" s="1"/>
  <c r="E342" i="14" a="1"/>
  <c r="E342" i="14" s="1"/>
  <c r="M342" i="14" s="1"/>
  <c r="P342" i="14" s="1"/>
  <c r="E1064" i="14" a="1"/>
  <c r="E1064" i="14" s="1"/>
  <c r="M1064" i="14" s="1"/>
  <c r="P1064" i="14" s="1"/>
  <c r="E989" i="14" a="1"/>
  <c r="E989" i="14" s="1"/>
  <c r="M989" i="14" s="1"/>
  <c r="P989" i="14" s="1"/>
  <c r="E1446" i="14" a="1"/>
  <c r="E1446" i="14" s="1"/>
  <c r="M1446" i="14" s="1"/>
  <c r="P1446" i="14" s="1"/>
  <c r="E258" i="14" a="1"/>
  <c r="E258" i="14" s="1"/>
  <c r="M258" i="14" s="1"/>
  <c r="P258" i="14" s="1"/>
  <c r="E1055" i="14" a="1"/>
  <c r="E1055" i="14" s="1"/>
  <c r="M1055" i="14" s="1"/>
  <c r="P1055" i="14" s="1"/>
  <c r="E148" i="14" a="1"/>
  <c r="E148" i="14" s="1"/>
  <c r="M148" i="14" s="1"/>
  <c r="P148" i="14" s="1"/>
  <c r="E953" i="14" a="1"/>
  <c r="E953" i="14" s="1"/>
  <c r="M953" i="14" s="1"/>
  <c r="P953" i="14" s="1"/>
  <c r="E1437" i="14" a="1"/>
  <c r="E1437" i="14" s="1"/>
  <c r="M1437" i="14" s="1"/>
  <c r="P1437" i="14" s="1"/>
  <c r="E205" i="14" a="1"/>
  <c r="E205" i="14" s="1"/>
  <c r="M205" i="14" s="1"/>
  <c r="P205" i="14" s="1"/>
  <c r="E1177" i="14" a="1"/>
  <c r="E1177" i="14" s="1"/>
  <c r="M1177" i="14" s="1"/>
  <c r="P1177" i="14" s="1"/>
  <c r="E723" i="14" a="1"/>
  <c r="E723" i="14" s="1"/>
  <c r="M723" i="14" s="1"/>
  <c r="P723" i="14" s="1"/>
  <c r="E1471" i="14" a="1"/>
  <c r="E1471" i="14" s="1"/>
  <c r="M1471" i="14" s="1"/>
  <c r="P1471" i="14" s="1"/>
  <c r="E136" i="14" a="1"/>
  <c r="E136" i="14" s="1"/>
  <c r="M136" i="14" s="1"/>
  <c r="P136" i="14" s="1"/>
  <c r="E1178" i="14" a="1"/>
  <c r="E1178" i="14" s="1"/>
  <c r="M1178" i="14" s="1"/>
  <c r="P1178" i="14" s="1"/>
  <c r="E735" i="14" a="1"/>
  <c r="E735" i="14" s="1"/>
  <c r="M735" i="14" s="1"/>
  <c r="P735" i="14" s="1"/>
  <c r="E1473" i="14" a="1"/>
  <c r="E1473" i="14" s="1"/>
  <c r="M1473" i="14" s="1"/>
  <c r="P1473" i="14" s="1"/>
  <c r="E287" i="14" a="1"/>
  <c r="E287" i="14" s="1"/>
  <c r="M287" i="14" s="1"/>
  <c r="P287" i="14" s="1"/>
  <c r="E10" i="14" a="1"/>
  <c r="E10" i="14" s="1"/>
  <c r="M10" i="14" s="1"/>
  <c r="P10" i="14" s="1"/>
  <c r="E1116" i="14" a="1"/>
  <c r="E1116" i="14" s="1"/>
  <c r="M1116" i="14" s="1"/>
  <c r="P1116" i="14" s="1"/>
  <c r="E1475" i="14" a="1"/>
  <c r="E1475" i="14" s="1"/>
  <c r="M1475" i="14" s="1"/>
  <c r="P1475" i="14" s="1"/>
  <c r="E25" i="14" a="1"/>
  <c r="E25" i="14" s="1"/>
  <c r="M25" i="14" s="1"/>
  <c r="P25" i="14" s="1"/>
  <c r="E822" i="14" a="1"/>
  <c r="E822" i="14" s="1"/>
  <c r="M822" i="14" s="1"/>
  <c r="P822" i="14" s="1"/>
  <c r="E762" i="14" a="1"/>
  <c r="E762" i="14" s="1"/>
  <c r="M762" i="14" s="1"/>
  <c r="P762" i="14" s="1"/>
  <c r="E224" i="14" a="1"/>
  <c r="E224" i="14" s="1"/>
  <c r="M224" i="14" s="1"/>
  <c r="P224" i="14" s="1"/>
  <c r="E1354" i="14" a="1"/>
  <c r="E1354" i="14" s="1"/>
  <c r="M1354" i="14" s="1"/>
  <c r="P1354" i="14" s="1"/>
  <c r="E902" i="14" a="1"/>
  <c r="E902" i="14" s="1"/>
  <c r="M902" i="14" s="1"/>
  <c r="P902" i="14" s="1"/>
  <c r="E764" i="14" a="1"/>
  <c r="E764" i="14" s="1"/>
  <c r="M764" i="14" s="1"/>
  <c r="P764" i="14" s="1"/>
  <c r="E864" i="14" a="1"/>
  <c r="E864" i="14" s="1"/>
  <c r="M864" i="14" s="1"/>
  <c r="P864" i="14" s="1"/>
  <c r="E301" i="14" a="1"/>
  <c r="E301" i="14" s="1"/>
  <c r="M301" i="14" s="1"/>
  <c r="P301" i="14" s="1"/>
  <c r="E1267" i="14" a="1"/>
  <c r="E1267" i="14" s="1"/>
  <c r="M1267" i="14" s="1"/>
  <c r="P1267" i="14" s="1"/>
  <c r="E892" i="14" a="1"/>
  <c r="E892" i="14" s="1"/>
  <c r="M892" i="14" s="1"/>
  <c r="P892" i="14" s="1"/>
  <c r="E1035" i="14" a="1"/>
  <c r="E1035" i="14" s="1"/>
  <c r="M1035" i="14" s="1"/>
  <c r="P1035" i="14" s="1"/>
  <c r="E408" i="14" a="1"/>
  <c r="E408" i="14" s="1"/>
  <c r="M408" i="14" s="1"/>
  <c r="P408" i="14" s="1"/>
  <c r="E747" i="14" a="1"/>
  <c r="E747" i="14" s="1"/>
  <c r="M747" i="14" s="1"/>
  <c r="P747" i="14" s="1"/>
  <c r="E1322" i="14" a="1"/>
  <c r="E1322" i="14" s="1"/>
  <c r="M1322" i="14" s="1"/>
  <c r="P1322" i="14" s="1"/>
  <c r="E457" i="14" a="1"/>
  <c r="E457" i="14" s="1"/>
  <c r="M457" i="14" s="1"/>
  <c r="P457" i="14" s="1"/>
  <c r="E757" i="14" a="1"/>
  <c r="E757" i="14" s="1"/>
  <c r="M757" i="14" s="1"/>
  <c r="P757" i="14" s="1"/>
  <c r="E1493" i="14" a="1"/>
  <c r="E1493" i="14" s="1"/>
  <c r="M1493" i="14" s="1"/>
  <c r="P1493" i="14" s="1"/>
  <c r="E1312" i="14" a="1"/>
  <c r="E1312" i="14" s="1"/>
  <c r="M1312" i="14" s="1"/>
  <c r="P1312" i="14" s="1"/>
  <c r="E1482" i="14" a="1"/>
  <c r="E1482" i="14" s="1"/>
  <c r="M1482" i="14" s="1"/>
  <c r="P1482" i="14" s="1"/>
  <c r="E646" i="14" a="1"/>
  <c r="E646" i="14" s="1"/>
  <c r="M646" i="14" s="1"/>
  <c r="P646" i="14" s="1"/>
  <c r="E564" i="14" a="1"/>
  <c r="E564" i="14" s="1"/>
  <c r="M564" i="14" s="1"/>
  <c r="P564" i="14" s="1"/>
  <c r="E1347" i="14" a="1"/>
  <c r="E1347" i="14" s="1"/>
  <c r="M1347" i="14" s="1"/>
  <c r="P1347" i="14" s="1"/>
  <c r="E903" i="14" a="1"/>
  <c r="E903" i="14" s="1"/>
  <c r="M903" i="14" s="1"/>
  <c r="P903" i="14" s="1"/>
  <c r="E727" i="14" a="1"/>
  <c r="E727" i="14" s="1"/>
  <c r="M727" i="14" s="1"/>
  <c r="P727" i="14" s="1"/>
  <c r="E598" i="14" a="1"/>
  <c r="E598" i="14" s="1"/>
  <c r="M598" i="14" s="1"/>
  <c r="P598" i="14" s="1"/>
  <c r="E1367" i="14" a="1"/>
  <c r="E1367" i="14" s="1"/>
  <c r="M1367" i="14" s="1"/>
  <c r="P1367" i="14" s="1"/>
  <c r="E899" i="14" a="1"/>
  <c r="E899" i="14" s="1"/>
  <c r="M899" i="14" s="1"/>
  <c r="P899" i="14" s="1"/>
  <c r="E612" i="14" a="1"/>
  <c r="E612" i="14" s="1"/>
  <c r="M612" i="14" s="1"/>
  <c r="P612" i="14" s="1"/>
  <c r="E736" i="14" a="1"/>
  <c r="E736" i="14" s="1"/>
  <c r="M736" i="14" s="1"/>
  <c r="P736" i="14" s="1"/>
  <c r="E1356" i="14" a="1"/>
  <c r="E1356" i="14" s="1"/>
  <c r="M1356" i="14" s="1"/>
  <c r="P1356" i="14" s="1"/>
  <c r="E1005" i="14" a="1"/>
  <c r="E1005" i="14" s="1"/>
  <c r="M1005" i="14" s="1"/>
  <c r="P1005" i="14" s="1"/>
  <c r="E745" i="14" a="1"/>
  <c r="E745" i="14" s="1"/>
  <c r="M745" i="14" s="1"/>
  <c r="P745" i="14" s="1"/>
  <c r="E846" i="14" a="1"/>
  <c r="E846" i="14" s="1"/>
  <c r="M846" i="14" s="1"/>
  <c r="P846" i="14" s="1"/>
  <c r="E273" i="14" a="1"/>
  <c r="E273" i="14" s="1"/>
  <c r="M273" i="14" s="1"/>
  <c r="P273" i="14" s="1"/>
  <c r="E1265" i="14" a="1"/>
  <c r="E1265" i="14" s="1"/>
  <c r="M1265" i="14" s="1"/>
  <c r="P1265" i="14" s="1"/>
  <c r="E851" i="14" a="1"/>
  <c r="E851" i="14" s="1"/>
  <c r="M851" i="14" s="1"/>
  <c r="P851" i="14" s="1"/>
  <c r="E957" i="14" a="1"/>
  <c r="E957" i="14" s="1"/>
  <c r="M957" i="14" s="1"/>
  <c r="P957" i="14" s="1"/>
  <c r="E283" i="14" a="1"/>
  <c r="E283" i="14" s="1"/>
  <c r="M283" i="14" s="1"/>
  <c r="P283" i="14" s="1"/>
  <c r="E536" i="14" a="1"/>
  <c r="E536" i="14" s="1"/>
  <c r="M536" i="14" s="1"/>
  <c r="P536" i="14" s="1"/>
  <c r="E1390" i="14" a="1"/>
  <c r="E1390" i="14" s="1"/>
  <c r="M1390" i="14" s="1"/>
  <c r="P1390" i="14" s="1"/>
  <c r="E314" i="14" a="1"/>
  <c r="E314" i="14" s="1"/>
  <c r="M314" i="14" s="1"/>
  <c r="P314" i="14" s="1"/>
  <c r="E963" i="14" a="1"/>
  <c r="E963" i="14" s="1"/>
  <c r="M963" i="14" s="1"/>
  <c r="P963" i="14" s="1"/>
  <c r="E366" i="14" a="1"/>
  <c r="E366" i="14" s="1"/>
  <c r="M366" i="14" s="1"/>
  <c r="P366" i="14" s="1"/>
  <c r="E702" i="14" a="1"/>
  <c r="E702" i="14" s="1"/>
  <c r="M702" i="14" s="1"/>
  <c r="P702" i="14" s="1"/>
  <c r="E1301" i="14" a="1"/>
  <c r="E1301" i="14" s="1"/>
  <c r="M1301" i="14" s="1"/>
  <c r="P1301" i="14" s="1"/>
  <c r="E412" i="14" a="1"/>
  <c r="E412" i="14" s="1"/>
  <c r="M412" i="14" s="1"/>
  <c r="P412" i="14" s="1"/>
  <c r="E58" i="14" a="1"/>
  <c r="E58" i="14" s="1"/>
  <c r="M58" i="14" s="1"/>
  <c r="P58" i="14" s="1"/>
  <c r="E234" i="14" a="1"/>
  <c r="E234" i="14" s="1"/>
  <c r="M234" i="14" s="1"/>
  <c r="P234" i="14" s="1"/>
  <c r="E607" i="14" a="1"/>
  <c r="E607" i="14" s="1"/>
  <c r="M607" i="14" s="1"/>
  <c r="P607" i="14" s="1"/>
  <c r="E1296" i="14" a="1"/>
  <c r="E1296" i="14" s="1"/>
  <c r="M1296" i="14" s="1"/>
  <c r="P1296" i="14" s="1"/>
  <c r="E386" i="14" a="1"/>
  <c r="E386" i="14" s="1"/>
  <c r="M386" i="14" s="1"/>
  <c r="P386" i="14" s="1"/>
  <c r="E790" i="14" a="1"/>
  <c r="E790" i="14" s="1"/>
  <c r="M790" i="14" s="1"/>
  <c r="P790" i="14" s="1"/>
  <c r="E1409" i="14" a="1"/>
  <c r="E1409" i="14" s="1"/>
  <c r="M1409" i="14" s="1"/>
  <c r="P1409" i="14" s="1"/>
  <c r="E1326" i="14" a="1"/>
  <c r="E1326" i="14" s="1"/>
  <c r="M1326" i="14" s="1"/>
  <c r="P1326" i="14" s="1"/>
  <c r="E78" i="14" a="1"/>
  <c r="E78" i="14" s="1"/>
  <c r="M78" i="14" s="1"/>
  <c r="P78" i="14" s="1"/>
  <c r="E1398" i="14" a="1"/>
  <c r="E1398" i="14" s="1"/>
  <c r="M1398" i="14" s="1"/>
  <c r="P1398" i="14" s="1"/>
  <c r="E419" i="14" a="1"/>
  <c r="E419" i="14" s="1"/>
  <c r="M419" i="14" s="1"/>
  <c r="P419" i="14" s="1"/>
  <c r="E1270" i="14" a="1"/>
  <c r="E1270" i="14" s="1"/>
  <c r="M1270" i="14" s="1"/>
  <c r="P1270" i="14" s="1"/>
  <c r="E1185" i="14" a="1"/>
  <c r="E1185" i="14" s="1"/>
  <c r="M1185" i="14" s="1"/>
  <c r="P1185" i="14" s="1"/>
  <c r="E491" i="14" a="1"/>
  <c r="E491" i="14" s="1"/>
  <c r="M491" i="14" s="1"/>
  <c r="P491" i="14" s="1"/>
  <c r="E1303" i="14" a="1"/>
  <c r="E1303" i="14" s="1"/>
  <c r="M1303" i="14" s="1"/>
  <c r="P1303" i="14" s="1"/>
  <c r="E742" i="14" a="1"/>
  <c r="E742" i="14" s="1"/>
  <c r="M742" i="14" s="1"/>
  <c r="P742" i="14" s="1"/>
  <c r="E1402" i="14" a="1"/>
  <c r="E1402" i="14" s="1"/>
  <c r="M1402" i="14" s="1"/>
  <c r="P1402" i="14" s="1"/>
  <c r="E1327" i="14" a="1"/>
  <c r="E1327" i="14" s="1"/>
  <c r="M1327" i="14" s="1"/>
  <c r="P1327" i="14" s="1"/>
  <c r="E112" i="14" a="1"/>
  <c r="E112" i="14" s="1"/>
  <c r="M112" i="14" s="1"/>
  <c r="P112" i="14" s="1"/>
  <c r="E1415" i="14" a="1"/>
  <c r="E1415" i="14" s="1"/>
  <c r="M1415" i="14" s="1"/>
  <c r="P1415" i="14" s="1"/>
  <c r="E760" i="14" a="1"/>
  <c r="E760" i="14" s="1"/>
  <c r="M760" i="14" s="1"/>
  <c r="P760" i="14" s="1"/>
  <c r="E1474" i="14" a="1"/>
  <c r="E1474" i="14" s="1"/>
  <c r="M1474" i="14" s="1"/>
  <c r="P1474" i="14" s="1"/>
  <c r="E1357" i="14" a="1"/>
  <c r="E1357" i="14" s="1"/>
  <c r="M1357" i="14" s="1"/>
  <c r="P1357" i="14" s="1"/>
  <c r="E1460" i="14" a="1"/>
  <c r="E1460" i="14" s="1"/>
  <c r="M1460" i="14" s="1"/>
  <c r="P1460" i="14" s="1"/>
  <c r="E637" i="14" a="1"/>
  <c r="E637" i="14" s="1"/>
  <c r="M637" i="14" s="1"/>
  <c r="P637" i="14" s="1"/>
  <c r="E824" i="14" a="1"/>
  <c r="E824" i="14" s="1"/>
  <c r="M824" i="14" s="1"/>
  <c r="P824" i="14" s="1"/>
  <c r="E109" i="14" a="1"/>
  <c r="E109" i="14" s="1"/>
  <c r="M109" i="14" s="1"/>
  <c r="P109" i="14" s="1"/>
  <c r="E1280" i="14" a="1"/>
  <c r="E1280" i="14" s="1"/>
  <c r="M1280" i="14" s="1"/>
  <c r="P1280" i="14" s="1"/>
  <c r="E919" i="14" a="1"/>
  <c r="E919" i="14" s="1"/>
  <c r="M919" i="14" s="1"/>
  <c r="P919" i="14" s="1"/>
  <c r="E675" i="14" a="1"/>
  <c r="E675" i="14" s="1"/>
  <c r="M675" i="14" s="1"/>
  <c r="P675" i="14" s="1"/>
  <c r="E794" i="14" a="1"/>
  <c r="E794" i="14" s="1"/>
  <c r="M794" i="14" s="1"/>
  <c r="P794" i="14" s="1"/>
  <c r="E82" i="14" a="1"/>
  <c r="E82" i="14" s="1"/>
  <c r="M82" i="14" s="1"/>
  <c r="P82" i="14" s="1"/>
  <c r="E1274" i="14" a="1"/>
  <c r="E1274" i="14" s="1"/>
  <c r="M1274" i="14" s="1"/>
  <c r="P1274" i="14" s="1"/>
  <c r="E871" i="14" a="1"/>
  <c r="E871" i="14" s="1"/>
  <c r="M871" i="14" s="1"/>
  <c r="P871" i="14" s="1"/>
  <c r="E360" i="14" a="1"/>
  <c r="E360" i="14" s="1"/>
  <c r="M360" i="14" s="1"/>
  <c r="P360" i="14" s="1"/>
  <c r="E970" i="14" a="1"/>
  <c r="E970" i="14" s="1"/>
  <c r="M970" i="14" s="1"/>
  <c r="P970" i="14" s="1"/>
  <c r="E391" i="14" a="1"/>
  <c r="E391" i="14" s="1"/>
  <c r="M391" i="14" s="1"/>
  <c r="P391" i="14" s="1"/>
  <c r="E1255" i="14" a="1"/>
  <c r="E1255" i="14" s="1"/>
  <c r="M1255" i="14" s="1"/>
  <c r="P1255" i="14" s="1"/>
  <c r="E972" i="14" a="1"/>
  <c r="E972" i="14" s="1"/>
  <c r="M972" i="14" s="1"/>
  <c r="P972" i="14" s="1"/>
  <c r="E247" i="14" a="1"/>
  <c r="E247" i="14" s="1"/>
  <c r="M247" i="14" s="1"/>
  <c r="P247" i="14" s="1"/>
  <c r="E1019" i="14" a="1"/>
  <c r="E1019" i="14" s="1"/>
  <c r="M1019" i="14" s="1"/>
  <c r="P1019" i="14" s="1"/>
  <c r="E522" i="14" a="1"/>
  <c r="E522" i="14" s="1"/>
  <c r="M522" i="14" s="1"/>
  <c r="P522" i="14" s="1"/>
  <c r="E1182" i="14" a="1"/>
  <c r="E1182" i="14" s="1"/>
  <c r="M1182" i="14" s="1"/>
  <c r="P1182" i="14" s="1"/>
  <c r="E1050" i="14" a="1"/>
  <c r="E1050" i="14" s="1"/>
  <c r="M1050" i="14" s="1"/>
  <c r="P1050" i="14" s="1"/>
  <c r="E1124" i="14" a="1"/>
  <c r="E1124" i="14" s="1"/>
  <c r="M1124" i="14" s="1"/>
  <c r="P1124" i="14" s="1"/>
  <c r="E275" i="14" a="1"/>
  <c r="E275" i="14" s="1"/>
  <c r="M275" i="14" s="1"/>
  <c r="P275" i="14" s="1"/>
  <c r="E985" i="14" a="1"/>
  <c r="E985" i="14" s="1"/>
  <c r="M985" i="14" s="1"/>
  <c r="P985" i="14" s="1"/>
  <c r="E1455" i="14" a="1"/>
  <c r="E1455" i="14" s="1"/>
  <c r="M1455" i="14" s="1"/>
  <c r="P1455" i="14" s="1"/>
  <c r="E38" i="14" a="1"/>
  <c r="E38" i="14" s="1"/>
  <c r="M38" i="14" s="1"/>
  <c r="P38" i="14" s="1"/>
  <c r="E1085" i="14" a="1"/>
  <c r="E1085" i="14" s="1"/>
  <c r="M1085" i="14" s="1"/>
  <c r="P1085" i="14" s="1"/>
  <c r="E296" i="14" a="1"/>
  <c r="E296" i="14" s="1"/>
  <c r="M296" i="14" s="1"/>
  <c r="P296" i="14" s="1"/>
  <c r="E778" i="14" a="1"/>
  <c r="E778" i="14" s="1"/>
  <c r="M778" i="14" s="1"/>
  <c r="P778" i="14" s="1"/>
  <c r="E1421" i="14" a="1"/>
  <c r="E1421" i="14" s="1"/>
  <c r="M1421" i="14" s="1"/>
  <c r="P1421" i="14" s="1"/>
  <c r="E421" i="14" a="1"/>
  <c r="E421" i="14" s="1"/>
  <c r="M421" i="14" s="1"/>
  <c r="P421" i="14" s="1"/>
  <c r="E5" i="14" a="1"/>
  <c r="E5" i="14" s="1"/>
  <c r="M5" i="14" s="1"/>
  <c r="P5" i="14" s="1"/>
  <c r="E278" i="14" a="1"/>
  <c r="E278" i="14" s="1"/>
  <c r="M278" i="14" s="1"/>
  <c r="P278" i="14" s="1"/>
  <c r="E1084" i="14" a="1"/>
  <c r="E1084" i="14" s="1"/>
  <c r="M1084" i="14" s="1"/>
  <c r="P1084" i="14" s="1"/>
  <c r="E1469" i="14" a="1"/>
  <c r="E1469" i="14" s="1"/>
  <c r="M1469" i="14" s="1"/>
  <c r="P1469" i="14" s="1"/>
  <c r="E43" i="14" a="1"/>
  <c r="E43" i="14" s="1"/>
  <c r="M43" i="14" s="1"/>
  <c r="P43" i="14" s="1"/>
  <c r="E1115" i="14" a="1"/>
  <c r="E1115" i="14" s="1"/>
  <c r="M1115" i="14" s="1"/>
  <c r="P1115" i="14" s="1"/>
  <c r="E288" i="14" a="1"/>
  <c r="E288" i="14" s="1"/>
  <c r="M288" i="14" s="1"/>
  <c r="P288" i="14" s="1"/>
  <c r="E1004" i="14" a="1"/>
  <c r="E1004" i="14" s="1"/>
  <c r="M1004" i="14" s="1"/>
  <c r="P1004" i="14" s="1"/>
  <c r="E1459" i="14" a="1"/>
  <c r="E1459" i="14" s="1"/>
  <c r="M1459" i="14" s="1"/>
  <c r="P1459" i="14" s="1"/>
  <c r="E1120" i="14" a="1"/>
  <c r="E1120" i="14" s="1"/>
  <c r="M1120" i="14" s="1"/>
  <c r="P1120" i="14" s="1"/>
  <c r="E289" i="14" a="1"/>
  <c r="E289" i="14" s="1"/>
  <c r="M289" i="14" s="1"/>
  <c r="P289" i="14" s="1"/>
  <c r="E1012" i="14" a="1"/>
  <c r="E1012" i="14" s="1"/>
  <c r="M1012" i="14" s="1"/>
  <c r="P1012" i="14" s="1"/>
  <c r="E1464" i="14" a="1"/>
  <c r="E1464" i="14" s="1"/>
  <c r="M1464" i="14" s="1"/>
  <c r="P1464" i="14" s="1"/>
  <c r="E1102" i="14" a="1"/>
  <c r="E1102" i="14" s="1"/>
  <c r="M1102" i="14" s="1"/>
  <c r="P1102" i="14" s="1"/>
  <c r="E269" i="14" a="1"/>
  <c r="E269" i="14" s="1"/>
  <c r="M269" i="14" s="1"/>
  <c r="P269" i="14" s="1"/>
  <c r="E973" i="14" a="1"/>
  <c r="E973" i="14" s="1"/>
  <c r="M973" i="14" s="1"/>
  <c r="P973" i="14" s="1"/>
  <c r="E1457" i="14" a="1"/>
  <c r="E1457" i="14" s="1"/>
  <c r="M1457" i="14" s="1"/>
  <c r="P1457" i="14" s="1"/>
  <c r="E3" i="14" a="1"/>
  <c r="E3" i="14" s="1"/>
  <c r="M3" i="14" s="1"/>
  <c r="P3" i="14" s="1"/>
  <c r="E220" i="14" a="1"/>
  <c r="E220" i="14" s="1"/>
  <c r="M220" i="14" s="1"/>
  <c r="P220" i="14" s="1"/>
  <c r="E1076" i="14" a="1"/>
  <c r="E1076" i="14" s="1"/>
  <c r="M1076" i="14" s="1"/>
  <c r="P1076" i="14" s="1"/>
  <c r="E1472" i="14" a="1"/>
  <c r="E1472" i="14" s="1"/>
  <c r="M1472" i="14" s="1"/>
  <c r="P1472" i="14" s="1"/>
  <c r="E39" i="14" a="1"/>
  <c r="E39" i="14" s="1"/>
  <c r="M39" i="14" s="1"/>
  <c r="P39" i="14" s="1"/>
  <c r="E995" i="14" a="1"/>
  <c r="E995" i="14" s="1"/>
  <c r="M995" i="14" s="1"/>
  <c r="P995" i="14" s="1"/>
  <c r="E261" i="14" a="1"/>
  <c r="E261" i="14" s="1"/>
  <c r="M261" i="14" s="1"/>
  <c r="P261" i="14" s="1"/>
  <c r="E105" i="14" a="1"/>
  <c r="E105" i="14" s="1"/>
  <c r="M105" i="14" s="1"/>
  <c r="P105" i="14" s="1"/>
  <c r="E1425" i="14" a="1"/>
  <c r="E1425" i="14" s="1"/>
  <c r="M1425" i="14" s="1"/>
  <c r="P1425" i="14" s="1"/>
  <c r="E323" i="14" a="1"/>
  <c r="E323" i="14" s="1"/>
  <c r="M323" i="14" s="1"/>
  <c r="P323" i="14" s="1"/>
  <c r="E1091" i="14" a="1"/>
  <c r="E1091" i="14" s="1"/>
  <c r="M1091" i="14" s="1"/>
  <c r="P1091" i="14" s="1"/>
  <c r="E212" i="14" a="1"/>
  <c r="E212" i="14" s="1"/>
  <c r="M212" i="14" s="1"/>
  <c r="P212" i="14" s="1"/>
  <c r="E808" i="14" a="1"/>
  <c r="E808" i="14" s="1"/>
  <c r="M808" i="14" s="1"/>
  <c r="P808" i="14" s="1"/>
  <c r="E1422" i="14" a="1"/>
  <c r="E1422" i="14" s="1"/>
  <c r="M1422" i="14" s="1"/>
  <c r="P1422" i="14" s="1"/>
  <c r="E303" i="14" a="1"/>
  <c r="E303" i="14" s="1"/>
  <c r="M303" i="14" s="1"/>
  <c r="P303" i="14" s="1"/>
  <c r="E1066" i="14" a="1"/>
  <c r="E1066" i="14" s="1"/>
  <c r="M1066" i="14" s="1"/>
  <c r="P1066" i="14" s="1"/>
  <c r="E210" i="14" a="1"/>
  <c r="E210" i="14" s="1"/>
  <c r="M210" i="14" s="1"/>
  <c r="P210" i="14" s="1"/>
  <c r="E768" i="14" a="1"/>
  <c r="E768" i="14" s="1"/>
  <c r="M768" i="14" s="1"/>
  <c r="P768" i="14" s="1"/>
  <c r="E1413" i="14" a="1"/>
  <c r="E1413" i="14" s="1"/>
  <c r="M1413" i="14" s="1"/>
  <c r="P1413" i="14" s="1"/>
  <c r="E305" i="14" a="1"/>
  <c r="E305" i="14" s="1"/>
  <c r="M305" i="14" s="1"/>
  <c r="P305" i="14" s="1"/>
  <c r="G325" i="14" a="1"/>
  <c r="G325" i="14" s="1"/>
  <c r="K325" i="14" s="1"/>
  <c r="G609" i="14" a="1"/>
  <c r="G609" i="14" s="1"/>
  <c r="K609" i="14" s="1"/>
  <c r="G131" i="14" a="1"/>
  <c r="G131" i="14" s="1"/>
  <c r="K131" i="14" s="1"/>
  <c r="G619" i="14" a="1"/>
  <c r="G619" i="14" s="1"/>
  <c r="K619" i="14" s="1"/>
  <c r="G981" i="14" a="1"/>
  <c r="G981" i="14" s="1"/>
  <c r="K981" i="14" s="1"/>
  <c r="G321" i="14" a="1"/>
  <c r="G321" i="14" s="1"/>
  <c r="K321" i="14" s="1"/>
  <c r="G688" i="14" a="1"/>
  <c r="G688" i="14" s="1"/>
  <c r="K688" i="14" s="1"/>
  <c r="G192" i="14" a="1"/>
  <c r="G192" i="14" s="1"/>
  <c r="K192" i="14" s="1"/>
  <c r="G699" i="14" a="1"/>
  <c r="G699" i="14" s="1"/>
  <c r="K699" i="14" s="1"/>
  <c r="G1039" i="14" a="1"/>
  <c r="G1039" i="14" s="1"/>
  <c r="K1039" i="14" s="1"/>
  <c r="G346" i="14" a="1"/>
  <c r="G346" i="14" s="1"/>
  <c r="K346" i="14" s="1"/>
  <c r="G660" i="14" a="1"/>
  <c r="G660" i="14" s="1"/>
  <c r="K660" i="14" s="1"/>
  <c r="G94" i="14" a="1"/>
  <c r="G94" i="14" s="1"/>
  <c r="K94" i="14" s="1"/>
  <c r="G635" i="14" a="1"/>
  <c r="G635" i="14" s="1"/>
  <c r="K635" i="14" s="1"/>
  <c r="G890" i="14" a="1"/>
  <c r="G890" i="14" s="1"/>
  <c r="K890" i="14" s="1"/>
  <c r="G917" i="14" a="1"/>
  <c r="G917" i="14" s="1"/>
  <c r="K917" i="14" s="1"/>
  <c r="G417" i="14" a="1"/>
  <c r="G417" i="14" s="1"/>
  <c r="K417" i="14" s="1"/>
  <c r="G920" i="14" a="1"/>
  <c r="G920" i="14" s="1"/>
  <c r="K920" i="14" s="1"/>
  <c r="G1070" i="14" a="1"/>
  <c r="G1070" i="14" s="1"/>
  <c r="K1070" i="14" s="1"/>
  <c r="G14" i="14" a="1"/>
  <c r="G14" i="14" s="1"/>
  <c r="K14" i="14" s="1"/>
  <c r="G929" i="14" a="1"/>
  <c r="G929" i="14" s="1"/>
  <c r="K929" i="14" s="1"/>
  <c r="G399" i="14" a="1"/>
  <c r="G399" i="14" s="1"/>
  <c r="K399" i="14" s="1"/>
  <c r="G853" i="14" a="1"/>
  <c r="G853" i="14" s="1"/>
  <c r="K853" i="14" s="1"/>
  <c r="G964" i="14" a="1"/>
  <c r="G964" i="14" s="1"/>
  <c r="K964" i="14" s="1"/>
  <c r="G1278" i="14" a="1"/>
  <c r="G1278" i="14" s="1"/>
  <c r="K1278" i="14" s="1"/>
  <c r="G974" i="14" a="1"/>
  <c r="G974" i="14" s="1"/>
  <c r="K974" i="14" s="1"/>
  <c r="G415" i="14" a="1"/>
  <c r="G415" i="14" s="1"/>
  <c r="K415" i="14" s="1"/>
  <c r="G896" i="14" a="1"/>
  <c r="G896" i="14" s="1"/>
  <c r="K896" i="14" s="1"/>
  <c r="G1045" i="14" a="1"/>
  <c r="G1045" i="14" s="1"/>
  <c r="K1045" i="14" s="1"/>
  <c r="G12" i="14" a="1"/>
  <c r="G12" i="14" s="1"/>
  <c r="K12" i="14" s="1"/>
  <c r="G971" i="14" a="1"/>
  <c r="G971" i="14" s="1"/>
  <c r="K971" i="14" s="1"/>
  <c r="G411" i="14" a="1"/>
  <c r="G411" i="14" s="1"/>
  <c r="K411" i="14" s="1"/>
  <c r="G891" i="14" a="1"/>
  <c r="G891" i="14" s="1"/>
  <c r="K891" i="14" s="1"/>
  <c r="G1042" i="14" a="1"/>
  <c r="G1042" i="14" s="1"/>
  <c r="K1042" i="14" s="1"/>
  <c r="G934" i="14" a="1"/>
  <c r="G934" i="14" s="1"/>
  <c r="K934" i="14" s="1"/>
  <c r="G424" i="14" a="1"/>
  <c r="G424" i="14" s="1"/>
  <c r="K424" i="14" s="1"/>
  <c r="G924" i="14" a="1"/>
  <c r="G924" i="14" s="1"/>
  <c r="K924" i="14" s="1"/>
  <c r="G1072" i="14" a="1"/>
  <c r="G1072" i="14" s="1"/>
  <c r="K1072" i="14" s="1"/>
  <c r="G362" i="14" a="1"/>
  <c r="G362" i="14" s="1"/>
  <c r="K362" i="14" s="1"/>
  <c r="G654" i="14" a="1"/>
  <c r="G654" i="14" s="1"/>
  <c r="K654" i="14" s="1"/>
  <c r="G149" i="14" a="1"/>
  <c r="G149" i="14" s="1"/>
  <c r="K149" i="14" s="1"/>
  <c r="G642" i="14" a="1"/>
  <c r="G642" i="14" s="1"/>
  <c r="K642" i="14" s="1"/>
  <c r="G1024" i="14" a="1"/>
  <c r="G1024" i="14" s="1"/>
  <c r="K1024" i="14" s="1"/>
  <c r="G15" i="14" a="1"/>
  <c r="G15" i="14" s="1"/>
  <c r="K15" i="14" s="1"/>
  <c r="G954" i="14" a="1"/>
  <c r="G954" i="14" s="1"/>
  <c r="K954" i="14" s="1"/>
  <c r="G368" i="14" a="1"/>
  <c r="G368" i="14" s="1"/>
  <c r="K368" i="14" s="1"/>
  <c r="G865" i="14" a="1"/>
  <c r="G865" i="14" s="1"/>
  <c r="K865" i="14" s="1"/>
  <c r="G1033" i="14" a="1"/>
  <c r="G1033" i="14" s="1"/>
  <c r="K1033" i="14" s="1"/>
  <c r="G1208" i="14" a="1"/>
  <c r="G1208" i="14" s="1"/>
  <c r="K1208" i="14" s="1"/>
  <c r="G1235" i="14" a="1"/>
  <c r="G1235" i="14" s="1"/>
  <c r="K1235" i="14" s="1"/>
  <c r="N1235" i="14" s="1"/>
  <c r="G712" i="14" a="1"/>
  <c r="G712" i="14" s="1"/>
  <c r="K712" i="14" s="1"/>
  <c r="N712" i="14" s="1"/>
  <c r="G493" i="14" a="1"/>
  <c r="G493" i="14" s="1"/>
  <c r="K493" i="14" s="1"/>
  <c r="N493" i="14" s="1"/>
  <c r="G81" i="14" a="1"/>
  <c r="G81" i="14" s="1"/>
  <c r="K81" i="14" s="1"/>
  <c r="G976" i="14" a="1"/>
  <c r="G976" i="14" s="1"/>
  <c r="K976" i="14" s="1"/>
  <c r="N976" i="14" s="1"/>
  <c r="G551" i="14" a="1"/>
  <c r="G551" i="14" s="1"/>
  <c r="K551" i="14" s="1"/>
  <c r="N551" i="14" s="1"/>
  <c r="G372" i="14" a="1"/>
  <c r="G372" i="14" s="1"/>
  <c r="K372" i="14" s="1"/>
  <c r="N372" i="14" s="1"/>
  <c r="G244" i="14" a="1"/>
  <c r="G244" i="14" s="1"/>
  <c r="K244" i="14" s="1"/>
  <c r="G935" i="14" a="1"/>
  <c r="G935" i="14" s="1"/>
  <c r="K935" i="14" s="1"/>
  <c r="N935" i="14" s="1"/>
  <c r="G397" i="14" a="1"/>
  <c r="G397" i="14" s="1"/>
  <c r="K397" i="14" s="1"/>
  <c r="N397" i="14" s="1"/>
  <c r="G473" i="14" a="1"/>
  <c r="G473" i="14" s="1"/>
  <c r="K473" i="14" s="1"/>
  <c r="N473" i="14" s="1"/>
  <c r="G133" i="14" a="1"/>
  <c r="G133" i="14" s="1"/>
  <c r="K133" i="14" s="1"/>
  <c r="G523" i="14" a="1"/>
  <c r="G523" i="14" s="1"/>
  <c r="K523" i="14" s="1"/>
  <c r="N523" i="14" s="1"/>
  <c r="G946" i="14" a="1"/>
  <c r="G946" i="14" s="1"/>
  <c r="K946" i="14" s="1"/>
  <c r="N946" i="14" s="1"/>
  <c r="G353" i="14" a="1"/>
  <c r="G353" i="14" s="1"/>
  <c r="K353" i="14" s="1"/>
  <c r="N353" i="14" s="1"/>
  <c r="G495" i="14" a="1"/>
  <c r="G495" i="14" s="1"/>
  <c r="K495" i="14" s="1"/>
  <c r="G166" i="14" a="1"/>
  <c r="G166" i="14" s="1"/>
  <c r="K166" i="14" s="1"/>
  <c r="N166" i="14" s="1"/>
  <c r="G509" i="14" a="1"/>
  <c r="G509" i="14" s="1"/>
  <c r="K509" i="14" s="1"/>
  <c r="N509" i="14" s="1"/>
  <c r="G1486" i="14" a="1"/>
  <c r="G1486" i="14" s="1"/>
  <c r="K1486" i="14" s="1"/>
  <c r="N1486" i="14" s="1"/>
  <c r="G1256" i="14" a="1"/>
  <c r="G1256" i="14" s="1"/>
  <c r="K1256" i="14" s="1"/>
  <c r="G1300" i="14" a="1"/>
  <c r="G1300" i="14" s="1"/>
  <c r="K1300" i="14" s="1"/>
  <c r="N1300" i="14" s="1"/>
  <c r="G1268" i="14" a="1"/>
  <c r="G1268" i="14" s="1"/>
  <c r="K1268" i="14" s="1"/>
  <c r="G1132" i="14" a="1"/>
  <c r="G1132" i="14" s="1"/>
  <c r="K1132" i="14" s="1"/>
  <c r="G1458" i="14" a="1"/>
  <c r="G1458" i="14" s="1"/>
  <c r="K1458" i="14" s="1"/>
  <c r="G1225" i="14" a="1"/>
  <c r="G1225" i="14" s="1"/>
  <c r="K1225" i="14" s="1"/>
  <c r="N1225" i="14" s="1"/>
  <c r="G1360" i="14" a="1"/>
  <c r="G1360" i="14" s="1"/>
  <c r="K1360" i="14" s="1"/>
  <c r="G1310" i="14" a="1"/>
  <c r="G1310" i="14" s="1"/>
  <c r="K1310" i="14" s="1"/>
  <c r="N1310" i="14" s="1"/>
  <c r="G1098" i="14" a="1"/>
  <c r="G1098" i="14" s="1"/>
  <c r="K1098" i="14" s="1"/>
  <c r="G1349" i="14" a="1"/>
  <c r="G1349" i="14" s="1"/>
  <c r="K1349" i="14" s="1"/>
  <c r="N1349" i="14" s="1"/>
  <c r="G1028" i="14" a="1"/>
  <c r="G1028" i="14" s="1"/>
  <c r="K1028" i="14" s="1"/>
  <c r="N1028" i="14" s="1"/>
  <c r="G1209" i="14" a="1"/>
  <c r="G1209" i="14" s="1"/>
  <c r="K1209" i="14" s="1"/>
  <c r="N1209" i="14" s="1"/>
  <c r="G1104" i="14" a="1"/>
  <c r="G1104" i="14" s="1"/>
  <c r="K1104" i="14" s="1"/>
  <c r="N1104" i="14" s="1"/>
  <c r="G645" i="14" a="1"/>
  <c r="G645" i="14" s="1"/>
  <c r="K645" i="14" s="1"/>
  <c r="G1433" i="14" a="1"/>
  <c r="G1433" i="14" s="1"/>
  <c r="K1433" i="14" s="1"/>
  <c r="G1238" i="14" a="1"/>
  <c r="G1238" i="14" s="1"/>
  <c r="K1238" i="14" s="1"/>
  <c r="G1352" i="14" a="1"/>
  <c r="G1352" i="14" s="1"/>
  <c r="K1352" i="14" s="1"/>
  <c r="G1304" i="14" a="1"/>
  <c r="G1304" i="14" s="1"/>
  <c r="K1304" i="14" s="1"/>
  <c r="N1304" i="14" s="1"/>
  <c r="G1136" i="14" a="1"/>
  <c r="G1136" i="14" s="1"/>
  <c r="K1136" i="14" s="1"/>
  <c r="G139" i="14" a="1"/>
  <c r="G139" i="14" s="1"/>
  <c r="K139" i="14" s="1"/>
  <c r="N139" i="14" s="1"/>
  <c r="G537" i="14" a="1"/>
  <c r="G537" i="14" s="1"/>
  <c r="K537" i="14" s="1"/>
  <c r="N537" i="14" s="1"/>
  <c r="G22" i="14" a="1"/>
  <c r="G22" i="14" s="1"/>
  <c r="K22" i="14" s="1"/>
  <c r="G401" i="14" a="1"/>
  <c r="G401" i="14" s="1"/>
  <c r="K401" i="14" s="1"/>
  <c r="G710" i="14" a="1"/>
  <c r="G710" i="14" s="1"/>
  <c r="K710" i="14" s="1"/>
  <c r="N710" i="14" s="1"/>
  <c r="G503" i="14" a="1"/>
  <c r="G503" i="14" s="1"/>
  <c r="K503" i="14" s="1"/>
  <c r="N503" i="14" s="1"/>
  <c r="G552" i="14" a="1"/>
  <c r="G552" i="14" s="1"/>
  <c r="K552" i="14" s="1"/>
  <c r="N552" i="14" s="1"/>
  <c r="G614" i="14" a="1"/>
  <c r="G614" i="14" s="1"/>
  <c r="K614" i="14" s="1"/>
  <c r="N614" i="14" s="1"/>
  <c r="G858" i="14" a="1"/>
  <c r="G858" i="14" s="1"/>
  <c r="K858" i="14" s="1"/>
  <c r="N858" i="14" s="1"/>
  <c r="G406" i="14" a="1"/>
  <c r="G406" i="14" s="1"/>
  <c r="K406" i="14" s="1"/>
  <c r="G554" i="14" a="1"/>
  <c r="G554" i="14" s="1"/>
  <c r="K554" i="14" s="1"/>
  <c r="N554" i="14" s="1"/>
  <c r="G103" i="14" a="1"/>
  <c r="G103" i="14" s="1"/>
  <c r="K103" i="14" s="1"/>
  <c r="N103" i="14" s="1"/>
  <c r="G661" i="14" a="1"/>
  <c r="G661" i="14" s="1"/>
  <c r="K661" i="14" s="1"/>
  <c r="N661" i="14" s="1"/>
  <c r="G879" i="14" a="1"/>
  <c r="G879" i="14" s="1"/>
  <c r="K879" i="14" s="1"/>
  <c r="G1097" i="14" a="1"/>
  <c r="G1097" i="14" s="1"/>
  <c r="K1097" i="14" s="1"/>
  <c r="N1097" i="14" s="1"/>
  <c r="G371" i="14" a="1"/>
  <c r="G371" i="14" s="1"/>
  <c r="K371" i="14" s="1"/>
  <c r="G585" i="14" a="1"/>
  <c r="G585" i="14" s="1"/>
  <c r="K585" i="14" s="1"/>
  <c r="G513" i="14" a="1"/>
  <c r="G513" i="14" s="1"/>
  <c r="K513" i="14" s="1"/>
  <c r="G1171" i="14" a="1"/>
  <c r="G1171" i="14" s="1"/>
  <c r="K1171" i="14" s="1"/>
  <c r="N1171" i="14" s="1"/>
  <c r="G390" i="14" a="1"/>
  <c r="G390" i="14" s="1"/>
  <c r="K390" i="14" s="1"/>
  <c r="N390" i="14" s="1"/>
  <c r="G701" i="14" a="1"/>
  <c r="G701" i="14" s="1"/>
  <c r="K701" i="14" s="1"/>
  <c r="N701" i="14" s="1"/>
  <c r="G300" i="14" a="1"/>
  <c r="G300" i="14" s="1"/>
  <c r="K300" i="14" s="1"/>
  <c r="G692" i="14" a="1"/>
  <c r="G692" i="14" s="1"/>
  <c r="K692" i="14" s="1"/>
  <c r="N692" i="14" s="1"/>
  <c r="G1160" i="14" a="1"/>
  <c r="G1160" i="14" s="1"/>
  <c r="K1160" i="14" s="1"/>
  <c r="N1160" i="14" s="1"/>
  <c r="G464" i="14" a="1"/>
  <c r="G464" i="14" s="1"/>
  <c r="K464" i="14" s="1"/>
  <c r="N464" i="14" s="1"/>
  <c r="G568" i="14" a="1"/>
  <c r="G568" i="14" s="1"/>
  <c r="K568" i="14" s="1"/>
  <c r="G181" i="14" a="1"/>
  <c r="G181" i="14" s="1"/>
  <c r="K181" i="14" s="1"/>
  <c r="G809" i="14" a="1"/>
  <c r="G809" i="14" s="1"/>
  <c r="K809" i="14" s="1"/>
  <c r="N809" i="14" s="1"/>
  <c r="G1079" i="14" a="1"/>
  <c r="G1079" i="14" s="1"/>
  <c r="K1079" i="14" s="1"/>
  <c r="N1079" i="14" s="1"/>
  <c r="G395" i="14" a="1"/>
  <c r="G395" i="14" s="1"/>
  <c r="K395" i="14" s="1"/>
  <c r="G570" i="14" a="1"/>
  <c r="G570" i="14" s="1"/>
  <c r="K570" i="14" s="1"/>
  <c r="N570" i="14" s="1"/>
  <c r="G186" i="14" a="1"/>
  <c r="G186" i="14" s="1"/>
  <c r="K186" i="14" s="1"/>
  <c r="G867" i="14" a="1"/>
  <c r="G867" i="14" s="1"/>
  <c r="K867" i="14" s="1"/>
  <c r="G1497" i="14" a="1"/>
  <c r="G1497" i="14" s="1"/>
  <c r="K1497" i="14" s="1"/>
  <c r="G1258" i="14" a="1"/>
  <c r="G1258" i="14" s="1"/>
  <c r="K1258" i="14" s="1"/>
  <c r="N1258" i="14" s="1"/>
  <c r="G1340" i="14" a="1"/>
  <c r="G1340" i="14" s="1"/>
  <c r="K1340" i="14" s="1"/>
  <c r="G1294" i="14" a="1"/>
  <c r="G1294" i="14" s="1"/>
  <c r="K1294" i="14" s="1"/>
  <c r="G1137" i="14" a="1"/>
  <c r="G1137" i="14" s="1"/>
  <c r="K1137" i="14" s="1"/>
  <c r="N1137" i="14" s="1"/>
  <c r="G427" i="14" a="1"/>
  <c r="G427" i="14" s="1"/>
  <c r="K427" i="14" s="1"/>
  <c r="N427" i="14" s="1"/>
  <c r="G592" i="14" a="1"/>
  <c r="G592" i="14" s="1"/>
  <c r="K592" i="14" s="1"/>
  <c r="G674" i="14" a="1"/>
  <c r="G674" i="14" s="1"/>
  <c r="K674" i="14" s="1"/>
  <c r="N674" i="14" s="1"/>
  <c r="G928" i="14" a="1"/>
  <c r="G928" i="14" s="1"/>
  <c r="K928" i="14" s="1"/>
  <c r="N928" i="14" s="1"/>
  <c r="G1082" i="14" a="1"/>
  <c r="G1082" i="14" s="1"/>
  <c r="K1082" i="14" s="1"/>
  <c r="G373" i="14" a="1"/>
  <c r="G373" i="14" s="1"/>
  <c r="K373" i="14" s="1"/>
  <c r="N373" i="14" s="1"/>
  <c r="G613" i="14" a="1"/>
  <c r="G613" i="14" s="1"/>
  <c r="K613" i="14" s="1"/>
  <c r="G501" i="14" a="1"/>
  <c r="G501" i="14" s="1"/>
  <c r="K501" i="14" s="1"/>
  <c r="N501" i="14" s="1"/>
  <c r="G1154" i="14" a="1"/>
  <c r="G1154" i="14" s="1"/>
  <c r="K1154" i="14" s="1"/>
  <c r="N1154" i="14" s="1"/>
  <c r="G430" i="14" a="1"/>
  <c r="G430" i="14" s="1"/>
  <c r="K430" i="14" s="1"/>
  <c r="N430" i="14" s="1"/>
  <c r="G574" i="14" a="1"/>
  <c r="G574" i="14" s="1"/>
  <c r="K574" i="14" s="1"/>
  <c r="N574" i="14" s="1"/>
  <c r="G188" i="14" a="1"/>
  <c r="G188" i="14" s="1"/>
  <c r="K188" i="14" s="1"/>
  <c r="G550" i="14" a="1"/>
  <c r="G550" i="14" s="1"/>
  <c r="K550" i="14" s="1"/>
  <c r="G1000" i="14" a="1"/>
  <c r="G1000" i="14" s="1"/>
  <c r="K1000" i="14" s="1"/>
  <c r="N1000" i="14" s="1"/>
  <c r="G477" i="14" a="1"/>
  <c r="G477" i="14" s="1"/>
  <c r="K477" i="14" s="1"/>
  <c r="N477" i="14" s="1"/>
  <c r="G977" i="14" a="1"/>
  <c r="G977" i="14" s="1"/>
  <c r="K977" i="14" s="1"/>
  <c r="G1100" i="14" a="1"/>
  <c r="G1100" i="14" s="1"/>
  <c r="K1100" i="14" s="1"/>
  <c r="N1100" i="14" s="1"/>
  <c r="G146" i="14" a="1"/>
  <c r="G146" i="14" s="1"/>
  <c r="K146" i="14" s="1"/>
  <c r="G969" i="14" a="1"/>
  <c r="G969" i="14" s="1"/>
  <c r="K969" i="14" s="1"/>
  <c r="G365" i="14" a="1"/>
  <c r="G365" i="14" s="1"/>
  <c r="K365" i="14" s="1"/>
  <c r="N365" i="14" s="1"/>
  <c r="G863" i="14" a="1"/>
  <c r="G863" i="14" s="1"/>
  <c r="K863" i="14" s="1"/>
  <c r="G1089" i="14" a="1"/>
  <c r="G1089" i="14" s="1"/>
  <c r="K1089" i="14" s="1"/>
  <c r="G116" i="14" a="1"/>
  <c r="G116" i="14" s="1"/>
  <c r="K116" i="14" s="1"/>
  <c r="G951" i="14" a="1"/>
  <c r="G951" i="14" s="1"/>
  <c r="K951" i="14" s="1"/>
  <c r="N951" i="14" s="1"/>
  <c r="G356" i="14" a="1"/>
  <c r="G356" i="14" s="1"/>
  <c r="K356" i="14" s="1"/>
  <c r="N356" i="14" s="1"/>
  <c r="G849" i="14" a="1"/>
  <c r="G849" i="14" s="1"/>
  <c r="K849" i="14" s="1"/>
  <c r="N849" i="14" s="1"/>
  <c r="G1088" i="14" a="1"/>
  <c r="G1088" i="14" s="1"/>
  <c r="K1088" i="14" s="1"/>
  <c r="G262" i="14" a="1"/>
  <c r="G262" i="14" s="1"/>
  <c r="K262" i="14" s="1"/>
  <c r="N262" i="14" s="1"/>
  <c r="G580" i="14" a="1"/>
  <c r="G580" i="14" s="1"/>
  <c r="K580" i="14" s="1"/>
  <c r="N580" i="14" s="1"/>
  <c r="G169" i="14" a="1"/>
  <c r="G169" i="14" s="1"/>
  <c r="K169" i="14" s="1"/>
  <c r="G800" i="14" a="1"/>
  <c r="G800" i="14" s="1"/>
  <c r="K800" i="14" s="1"/>
  <c r="G942" i="14" a="1"/>
  <c r="G942" i="14" s="1"/>
  <c r="K942" i="14" s="1"/>
  <c r="N942" i="14" s="1"/>
  <c r="G317" i="14" a="1"/>
  <c r="G317" i="14" s="1"/>
  <c r="K317" i="14" s="1"/>
  <c r="N317" i="14" s="1"/>
  <c r="G600" i="14" a="1"/>
  <c r="G600" i="14" s="1"/>
  <c r="K600" i="14" s="1"/>
  <c r="N600" i="14" s="1"/>
  <c r="G206" i="14" a="1"/>
  <c r="G206" i="14" s="1"/>
  <c r="K206" i="14" s="1"/>
  <c r="G817" i="14" a="1"/>
  <c r="G817" i="14" s="1"/>
  <c r="K817" i="14" s="1"/>
  <c r="G959" i="14" a="1"/>
  <c r="G959" i="14" s="1"/>
  <c r="K959" i="14" s="1"/>
  <c r="N959" i="14" s="1"/>
  <c r="G392" i="14" a="1"/>
  <c r="G392" i="14" s="1"/>
  <c r="K392" i="14" s="1"/>
  <c r="G617" i="14" a="1"/>
  <c r="G617" i="14" s="1"/>
  <c r="K617" i="14" s="1"/>
  <c r="G144" i="14" a="1"/>
  <c r="G144" i="14" s="1"/>
  <c r="K144" i="14" s="1"/>
  <c r="G638" i="14" a="1"/>
  <c r="G638" i="14" s="1"/>
  <c r="K638" i="14" s="1"/>
  <c r="N638" i="14" s="1"/>
  <c r="G1002" i="14" a="1"/>
  <c r="G1002" i="14" s="1"/>
  <c r="K1002" i="14" s="1"/>
  <c r="G1264" i="14" a="1"/>
  <c r="G1264" i="14" s="1"/>
  <c r="K1264" i="14" s="1"/>
  <c r="G243" i="14" a="1"/>
  <c r="G243" i="14" s="1"/>
  <c r="K243" i="14" s="1"/>
  <c r="G857" i="14" a="1"/>
  <c r="G857" i="14" s="1"/>
  <c r="K857" i="14" s="1"/>
  <c r="N857" i="14" s="1"/>
  <c r="G500" i="14" a="1"/>
  <c r="G500" i="14" s="1"/>
  <c r="K500" i="14" s="1"/>
  <c r="N500" i="14" s="1"/>
  <c r="G1253" i="14" a="1"/>
  <c r="G1253" i="14" s="1"/>
  <c r="K1253" i="14" s="1"/>
  <c r="N1253" i="14" s="1"/>
  <c r="G438" i="14" a="1"/>
  <c r="G438" i="14" s="1"/>
  <c r="K438" i="14" s="1"/>
  <c r="N438" i="14" s="1"/>
  <c r="G936" i="14" a="1"/>
  <c r="G936" i="14" s="1"/>
  <c r="K936" i="14" s="1"/>
  <c r="N936" i="14" s="1"/>
  <c r="G529" i="14" a="1"/>
  <c r="G529" i="14" s="1"/>
  <c r="K529" i="14" s="1"/>
  <c r="N529" i="14" s="1"/>
  <c r="G151" i="14" a="1"/>
  <c r="G151" i="14" s="1"/>
  <c r="K151" i="14" s="1"/>
  <c r="N151" i="14" s="1"/>
  <c r="G1096" i="14" a="1"/>
  <c r="G1096" i="14" s="1"/>
  <c r="K1096" i="14" s="1"/>
  <c r="G202" i="14" a="1"/>
  <c r="G202" i="14" s="1"/>
  <c r="K202" i="14" s="1"/>
  <c r="N202" i="14" s="1"/>
  <c r="G819" i="14" a="1"/>
  <c r="G819" i="14" s="1"/>
  <c r="K819" i="14" s="1"/>
  <c r="N819" i="14" s="1"/>
  <c r="G504" i="14" a="1"/>
  <c r="G504" i="14" s="1"/>
  <c r="K504" i="14" s="1"/>
  <c r="N504" i="14" s="1"/>
  <c r="G13" i="14" a="1"/>
  <c r="G13" i="14" s="1"/>
  <c r="K13" i="14" s="1"/>
  <c r="G359" i="14" a="1"/>
  <c r="G359" i="14" s="1"/>
  <c r="K359" i="14" s="1"/>
  <c r="G962" i="14" a="1"/>
  <c r="G962" i="14" s="1"/>
  <c r="K962" i="14" s="1"/>
  <c r="G763" i="14" a="1"/>
  <c r="G763" i="14" s="1"/>
  <c r="K763" i="14" s="1"/>
  <c r="G218" i="14" a="1"/>
  <c r="G218" i="14" s="1"/>
  <c r="K218" i="14" s="1"/>
  <c r="N218" i="14" s="1"/>
  <c r="G1239" i="14" a="1"/>
  <c r="G1239" i="14" s="1"/>
  <c r="K1239" i="14" s="1"/>
  <c r="N1239" i="14" s="1"/>
  <c r="G461" i="14" a="1"/>
  <c r="G461" i="14" s="1"/>
  <c r="K461" i="14" s="1"/>
  <c r="G967" i="14" a="1"/>
  <c r="G967" i="14" s="1"/>
  <c r="K967" i="14" s="1"/>
  <c r="G1067" i="14" a="1"/>
  <c r="G1067" i="14" s="1"/>
  <c r="K1067" i="14" s="1"/>
  <c r="N1067" i="14" s="1"/>
  <c r="G156" i="14" a="1"/>
  <c r="G156" i="14" s="1"/>
  <c r="K156" i="14" s="1"/>
  <c r="N156" i="14" s="1"/>
  <c r="H1227" i="14" a="1"/>
  <c r="H1227" i="14" s="1"/>
  <c r="H684" i="14" a="1"/>
  <c r="H684" i="14" s="1"/>
  <c r="H49" i="14" a="1"/>
  <c r="H49" i="14" s="1"/>
  <c r="H1250" i="14" a="1"/>
  <c r="H1250" i="14" s="1"/>
  <c r="L1250" i="14" s="1"/>
  <c r="H721" i="14" a="1"/>
  <c r="H721" i="14" s="1"/>
  <c r="H47" i="14" a="1"/>
  <c r="H47" i="14" s="1"/>
  <c r="H54" i="14" a="1"/>
  <c r="H54" i="14" s="1"/>
  <c r="H63" i="14" a="1"/>
  <c r="H63" i="14" s="1"/>
  <c r="L63" i="14" s="1"/>
  <c r="H1246" i="14" a="1"/>
  <c r="H1246" i="14" s="1"/>
  <c r="H33" i="14" a="1"/>
  <c r="H33" i="14" s="1"/>
  <c r="H730" i="14" a="1"/>
  <c r="H730" i="14" s="1"/>
  <c r="H324" i="14" a="1"/>
  <c r="H324" i="14" s="1"/>
  <c r="L324" i="14" s="1"/>
  <c r="H434" i="14" a="1"/>
  <c r="H434" i="14" s="1"/>
  <c r="H1279" i="14" a="1"/>
  <c r="H1279" i="14" s="1"/>
  <c r="H991" i="14" a="1"/>
  <c r="H991" i="14" s="1"/>
  <c r="H230" i="14" a="1"/>
  <c r="H230" i="14" s="1"/>
  <c r="L230" i="14" s="1"/>
  <c r="H286" i="14" a="1"/>
  <c r="H286" i="14" s="1"/>
  <c r="H437" i="14" a="1"/>
  <c r="H437" i="14" s="1"/>
  <c r="H1288" i="14" a="1"/>
  <c r="H1288" i="14" s="1"/>
  <c r="H880" i="14" a="1"/>
  <c r="H880" i="14" s="1"/>
  <c r="L880" i="14" s="1"/>
  <c r="H197" i="14" a="1"/>
  <c r="H197" i="14" s="1"/>
  <c r="H309" i="14" a="1"/>
  <c r="H309" i="14" s="1"/>
  <c r="H416" i="14" a="1"/>
  <c r="H416" i="14" s="1"/>
  <c r="H1293" i="14" a="1"/>
  <c r="H1293" i="14" s="1"/>
  <c r="L1293" i="14" s="1"/>
  <c r="H900" i="14" a="1"/>
  <c r="H900" i="14" s="1"/>
  <c r="H208" i="14" a="1"/>
  <c r="H208" i="14" s="1"/>
  <c r="H304" i="14" a="1"/>
  <c r="H304" i="14" s="1"/>
  <c r="H422" i="14" a="1"/>
  <c r="H422" i="14" s="1"/>
  <c r="L422" i="14" s="1"/>
  <c r="H1302" i="14" a="1"/>
  <c r="H1302" i="14" s="1"/>
  <c r="H904" i="14" a="1"/>
  <c r="H904" i="14" s="1"/>
  <c r="H204" i="14" a="1"/>
  <c r="H204" i="14" s="1"/>
  <c r="H339" i="14" a="1"/>
  <c r="H339" i="14" s="1"/>
  <c r="L339" i="14" s="1"/>
  <c r="H442" i="14" a="1"/>
  <c r="H442" i="14" s="1"/>
  <c r="H1290" i="14" a="1"/>
  <c r="H1290" i="14" s="1"/>
  <c r="H1009" i="14" a="1"/>
  <c r="H1009" i="14" s="1"/>
  <c r="H238" i="14" a="1"/>
  <c r="H238" i="14" s="1"/>
  <c r="L238" i="14" s="1"/>
  <c r="H1240" i="14" a="1"/>
  <c r="H1240" i="14" s="1"/>
  <c r="H694" i="14" a="1"/>
  <c r="H694" i="14" s="1"/>
  <c r="H73" i="14" a="1"/>
  <c r="H73" i="14" s="1"/>
  <c r="H299" i="14" a="1"/>
  <c r="H299" i="14" s="1"/>
  <c r="L299" i="14" s="1"/>
  <c r="H414" i="14" a="1"/>
  <c r="H414" i="14" s="1"/>
  <c r="H1298" i="14" a="1"/>
  <c r="H1298" i="14" s="1"/>
  <c r="H886" i="14" a="1"/>
  <c r="H886" i="14" s="1"/>
  <c r="H200" i="14" a="1"/>
  <c r="H200" i="14" s="1"/>
  <c r="L200" i="14" s="1"/>
  <c r="H672" i="14" a="1"/>
  <c r="H672" i="14" s="1"/>
  <c r="H664" i="14" a="1"/>
  <c r="H664" i="14" s="1"/>
  <c r="H755" i="14" a="1"/>
  <c r="H755" i="14" s="1"/>
  <c r="H526" i="14" a="1"/>
  <c r="H526" i="14" s="1"/>
  <c r="L526" i="14" s="1"/>
  <c r="H737" i="14" a="1"/>
  <c r="H737" i="14" s="1"/>
  <c r="H610" i="14" a="1"/>
  <c r="H610" i="14" s="1"/>
  <c r="H655" i="14" a="1"/>
  <c r="H655" i="14" s="1"/>
  <c r="H1029" i="14" a="1"/>
  <c r="H1029" i="14" s="1"/>
  <c r="L1029" i="14" s="1"/>
  <c r="H396" i="14" a="1"/>
  <c r="H396" i="14" s="1"/>
  <c r="H579" i="14" a="1"/>
  <c r="H579" i="14" s="1"/>
  <c r="H557" i="14" a="1"/>
  <c r="H557" i="14" s="1"/>
  <c r="H556" i="14" a="1"/>
  <c r="H556" i="14" s="1"/>
  <c r="L556" i="14" s="1"/>
  <c r="H1145" i="14" a="1"/>
  <c r="H1145" i="14" s="1"/>
  <c r="H90" i="14" a="1"/>
  <c r="H90" i="14" s="1"/>
  <c r="H587" i="14" a="1"/>
  <c r="H587" i="14" s="1"/>
  <c r="H567" i="14" a="1"/>
  <c r="H567" i="14" s="1"/>
  <c r="L567" i="14" s="1"/>
  <c r="H573" i="14" a="1"/>
  <c r="H573" i="14" s="1"/>
  <c r="H1140" i="14" a="1"/>
  <c r="H1140" i="14" s="1"/>
  <c r="H115" i="14" a="1"/>
  <c r="H115" i="14" s="1"/>
  <c r="H631" i="14" a="1"/>
  <c r="H631" i="14" s="1"/>
  <c r="L631" i="14" s="1"/>
  <c r="H1414" i="14" a="1"/>
  <c r="H1414" i="14" s="1"/>
  <c r="H1420" i="14" a="1"/>
  <c r="H1420" i="14" s="1"/>
  <c r="H492" i="14" a="1"/>
  <c r="H492" i="14" s="1"/>
  <c r="H1348" i="14" a="1"/>
  <c r="H1348" i="14" s="1"/>
  <c r="L1348" i="14" s="1"/>
  <c r="H1436" i="14" a="1"/>
  <c r="H1436" i="14" s="1"/>
  <c r="H1388" i="14" a="1"/>
  <c r="H1388" i="14" s="1"/>
  <c r="H1377" i="14" a="1"/>
  <c r="H1377" i="14" s="1"/>
  <c r="H428" i="14" a="1"/>
  <c r="H428" i="14" s="1"/>
  <c r="L428" i="14" s="1"/>
  <c r="H1324" i="14" a="1"/>
  <c r="H1324" i="14" s="1"/>
  <c r="H1392" i="14" a="1"/>
  <c r="H1392" i="14" s="1"/>
  <c r="H1228" i="14" a="1"/>
  <c r="H1228" i="14" s="1"/>
  <c r="H1241" i="14" a="1"/>
  <c r="H1241" i="14" s="1"/>
  <c r="L1241" i="14" s="1"/>
  <c r="H1192" i="14" a="1"/>
  <c r="H1192" i="14" s="1"/>
  <c r="H1231" i="14" a="1"/>
  <c r="H1231" i="14" s="1"/>
  <c r="H1363" i="14" a="1"/>
  <c r="H1363" i="14" s="1"/>
  <c r="H1366" i="14" a="1"/>
  <c r="H1366" i="14" s="1"/>
  <c r="L1366" i="14" s="1"/>
  <c r="H498" i="14" a="1"/>
  <c r="H498" i="14" s="1"/>
  <c r="H1320" i="14" a="1"/>
  <c r="H1320" i="14" s="1"/>
  <c r="H1384" i="14" a="1"/>
  <c r="H1384" i="14" s="1"/>
  <c r="H106" i="14" a="1"/>
  <c r="H106" i="14" s="1"/>
  <c r="L106" i="14" s="1"/>
  <c r="H128" i="14" a="1"/>
  <c r="H128" i="14" s="1"/>
  <c r="H454" i="14" a="1"/>
  <c r="H454" i="14" s="1"/>
  <c r="H547" i="14" a="1"/>
  <c r="H547" i="14" s="1"/>
  <c r="H140" i="14" a="1"/>
  <c r="H140" i="14" s="1"/>
  <c r="L140" i="14" s="1"/>
  <c r="H132" i="14" a="1"/>
  <c r="H132" i="14" s="1"/>
  <c r="H150" i="14" a="1"/>
  <c r="H150" i="14" s="1"/>
  <c r="H1210" i="14" a="1"/>
  <c r="H1210" i="14" s="1"/>
  <c r="H571" i="14" a="1"/>
  <c r="H571" i="14" s="1"/>
  <c r="L571" i="14" s="1"/>
  <c r="H168" i="14" a="1"/>
  <c r="H168" i="14" s="1"/>
  <c r="H62" i="14" a="1"/>
  <c r="H62" i="14" s="1"/>
  <c r="H64" i="14" a="1"/>
  <c r="H64" i="14" s="1"/>
  <c r="H1243" i="14" a="1"/>
  <c r="H1243" i="14" s="1"/>
  <c r="L1243" i="14" s="1"/>
  <c r="H471" i="14" a="1"/>
  <c r="H471" i="14" s="1"/>
  <c r="H66" i="14" a="1"/>
  <c r="H66" i="14" s="1"/>
  <c r="H594" i="14" a="1"/>
  <c r="H594" i="14" s="1"/>
  <c r="H603" i="14" a="1"/>
  <c r="H603" i="14" s="1"/>
  <c r="L603" i="14" s="1"/>
  <c r="H1107" i="14" a="1"/>
  <c r="H1107" i="14" s="1"/>
  <c r="H178" i="14" a="1"/>
  <c r="H178" i="14" s="1"/>
  <c r="H782" i="14" a="1"/>
  <c r="H782" i="14" s="1"/>
  <c r="H767" i="14" a="1"/>
  <c r="H767" i="14" s="1"/>
  <c r="L767" i="14" s="1"/>
  <c r="H779" i="14" a="1"/>
  <c r="H779" i="14" s="1"/>
  <c r="H1184" i="14" a="1"/>
  <c r="H1184" i="14" s="1"/>
  <c r="H952" i="14" a="1"/>
  <c r="H952" i="14" s="1"/>
  <c r="H679" i="14" a="1"/>
  <c r="H679" i="14" s="1"/>
  <c r="L679" i="14" s="1"/>
  <c r="H696" i="14" a="1"/>
  <c r="H696" i="14" s="1"/>
  <c r="H1213" i="14" a="1"/>
  <c r="H1213" i="14" s="1"/>
  <c r="H834" i="14" a="1"/>
  <c r="H834" i="14" s="1"/>
  <c r="H683" i="14" a="1"/>
  <c r="H683" i="14" s="1"/>
  <c r="L683" i="14" s="1"/>
  <c r="H693" i="14" a="1"/>
  <c r="H693" i="14" s="1"/>
  <c r="H1191" i="14" a="1"/>
  <c r="H1191" i="14" s="1"/>
  <c r="H839" i="14" a="1"/>
  <c r="H839" i="14" s="1"/>
  <c r="H1440" i="14" a="1"/>
  <c r="H1440" i="14" s="1"/>
  <c r="L1440" i="14" s="1"/>
  <c r="H1449" i="14" a="1"/>
  <c r="H1449" i="14" s="1"/>
  <c r="H506" i="14" a="1"/>
  <c r="H506" i="14" s="1"/>
  <c r="H1285" i="14" a="1"/>
  <c r="H1285" i="14" s="1"/>
  <c r="H1461" i="14" a="1"/>
  <c r="H1461" i="14" s="1"/>
  <c r="L1461" i="14" s="1"/>
  <c r="H191" i="14" a="1"/>
  <c r="H191" i="14" s="1"/>
  <c r="H221" i="14" a="1"/>
  <c r="H221" i="14" s="1"/>
  <c r="H1230" i="14" a="1"/>
  <c r="H1230" i="14" s="1"/>
  <c r="H634" i="14" a="1"/>
  <c r="H634" i="14" s="1"/>
  <c r="L634" i="14" s="1"/>
  <c r="H241" i="14" a="1"/>
  <c r="H241" i="14" s="1"/>
  <c r="H620" i="14" a="1"/>
  <c r="H620" i="14" s="1"/>
  <c r="H643" i="14" a="1"/>
  <c r="H643" i="14" s="1"/>
  <c r="H1105" i="14" a="1"/>
  <c r="H1105" i="14" s="1"/>
  <c r="L1105" i="14" s="1"/>
  <c r="H187" i="14" a="1"/>
  <c r="H187" i="14" s="1"/>
  <c r="H799" i="14" a="1"/>
  <c r="H799" i="14" s="1"/>
  <c r="H685" i="14" a="1"/>
  <c r="H685" i="14" s="1"/>
  <c r="H698" i="14" a="1"/>
  <c r="H698" i="14" s="1"/>
  <c r="L698" i="14" s="1"/>
  <c r="H1202" i="14" a="1"/>
  <c r="H1202" i="14" s="1"/>
  <c r="H229" i="14" a="1"/>
  <c r="H229" i="14" s="1"/>
  <c r="H714" i="14" a="1"/>
  <c r="H714" i="14" s="1"/>
  <c r="H380" i="14" a="1"/>
  <c r="H380" i="14" s="1"/>
  <c r="L380" i="14" s="1"/>
  <c r="H451" i="14" a="1"/>
  <c r="H451" i="14" s="1"/>
  <c r="H1317" i="14" a="1"/>
  <c r="H1317" i="14" s="1"/>
  <c r="H1060" i="14" a="1"/>
  <c r="H1060" i="14" s="1"/>
  <c r="H326" i="14" a="1"/>
  <c r="H326" i="14" s="1"/>
  <c r="L326" i="14" s="1"/>
  <c r="H209" i="14" a="1"/>
  <c r="H209" i="14" s="1"/>
  <c r="H297" i="14" a="1"/>
  <c r="H297" i="14" s="1"/>
  <c r="H1269" i="14" a="1"/>
  <c r="H1269" i="14" s="1"/>
  <c r="H563" i="14" a="1"/>
  <c r="H563" i="14" s="1"/>
  <c r="L563" i="14" s="1"/>
  <c r="H147" i="14" a="1"/>
  <c r="H147" i="14" s="1"/>
  <c r="H195" i="14" a="1"/>
  <c r="H195" i="14" s="1"/>
  <c r="H255" i="14" a="1"/>
  <c r="H255" i="14" s="1"/>
  <c r="H1263" i="14" a="1"/>
  <c r="H1263" i="14" s="1"/>
  <c r="L1263" i="14" s="1"/>
  <c r="H582" i="14" a="1"/>
  <c r="H582" i="14" s="1"/>
  <c r="H142" i="14" a="1"/>
  <c r="H142" i="14" s="1"/>
  <c r="H50" i="14" a="1"/>
  <c r="H50" i="14" s="1"/>
  <c r="H74" i="14" a="1"/>
  <c r="H74" i="14" s="1"/>
  <c r="L74" i="14" s="1"/>
  <c r="H1232" i="14" a="1"/>
  <c r="H1232" i="14" s="1"/>
  <c r="H840" i="14" a="1"/>
  <c r="H840" i="14" s="1"/>
  <c r="H77" i="14" a="1"/>
  <c r="H77" i="14" s="1"/>
  <c r="H111" i="14" a="1"/>
  <c r="H111" i="14" s="1"/>
  <c r="L111" i="14" s="1"/>
  <c r="H1248" i="14" a="1"/>
  <c r="H1248" i="14" s="1"/>
  <c r="H882" i="14" a="1"/>
  <c r="H882" i="14" s="1"/>
  <c r="H1244" i="14" a="1"/>
  <c r="H1244" i="14" s="1"/>
  <c r="H690" i="14" a="1"/>
  <c r="H690" i="14" s="1"/>
  <c r="L690" i="14" s="1"/>
  <c r="H68" i="14" a="1"/>
  <c r="H68" i="14" s="1"/>
  <c r="H980" i="14" a="1"/>
  <c r="H980" i="14" s="1"/>
  <c r="H1025" i="14" a="1"/>
  <c r="H1025" i="14" s="1"/>
  <c r="H644" i="14" a="1"/>
  <c r="H644" i="14" s="1"/>
  <c r="L644" i="14" s="1"/>
  <c r="H868" i="14" a="1"/>
  <c r="H868" i="14" s="1"/>
  <c r="H941" i="14" a="1"/>
  <c r="H941" i="14" s="1"/>
  <c r="H1110" i="14" a="1"/>
  <c r="H1110" i="14" s="1"/>
  <c r="H1153" i="14" a="1"/>
  <c r="H1153" i="14" s="1"/>
  <c r="L1153" i="14" s="1"/>
  <c r="H435" i="14" a="1"/>
  <c r="H435" i="14" s="1"/>
  <c r="H769" i="14" a="1"/>
  <c r="H769" i="14" s="1"/>
  <c r="H1108" i="14" a="1"/>
  <c r="H1108" i="14" s="1"/>
  <c r="H947" i="14" a="1"/>
  <c r="H947" i="14" s="1"/>
  <c r="L947" i="14" s="1"/>
  <c r="H945" i="14" a="1"/>
  <c r="H945" i="14" s="1"/>
  <c r="H656" i="14" a="1"/>
  <c r="H656" i="14" s="1"/>
  <c r="H652" i="14" a="1"/>
  <c r="H652" i="14" s="1"/>
  <c r="H925" i="14" a="1"/>
  <c r="H925" i="14" s="1"/>
  <c r="L925" i="14" s="1"/>
  <c r="H1065" i="14" a="1"/>
  <c r="H1065" i="14" s="1"/>
  <c r="H1086" i="14" a="1"/>
  <c r="H1086" i="14" s="1"/>
  <c r="H418" i="14" a="1"/>
  <c r="H418" i="14" s="1"/>
  <c r="H647" i="14" a="1"/>
  <c r="H647" i="14" s="1"/>
  <c r="L647" i="14" s="1"/>
  <c r="H1054" i="14" a="1"/>
  <c r="H1054" i="14" s="1"/>
  <c r="H1134" i="14" a="1"/>
  <c r="H1134" i="14" s="1"/>
  <c r="H1169" i="14" a="1"/>
  <c r="H1169" i="14" s="1"/>
  <c r="H405" i="14" a="1"/>
  <c r="H405" i="14" s="1"/>
  <c r="L405" i="14" s="1"/>
  <c r="H796" i="14" a="1"/>
  <c r="H796" i="14" s="1"/>
  <c r="H1127" i="14" a="1"/>
  <c r="H1127" i="14" s="1"/>
  <c r="I241" i="14"/>
  <c r="I242" i="14" s="1"/>
  <c r="O242" i="14" s="1"/>
  <c r="I168" i="14" a="1"/>
  <c r="I168" i="14" s="1"/>
  <c r="O168" i="14" s="1"/>
  <c r="O1227" i="14"/>
  <c r="O684" i="14"/>
  <c r="O49" i="14"/>
  <c r="O1250" i="14"/>
  <c r="O721" i="14"/>
  <c r="O47" i="14"/>
  <c r="O54" i="14"/>
  <c r="O63" i="14"/>
  <c r="O1246" i="14"/>
  <c r="O33" i="14"/>
  <c r="O730" i="14"/>
  <c r="O324" i="14"/>
  <c r="O434" i="14"/>
  <c r="O1279" i="14"/>
  <c r="O991" i="14"/>
  <c r="O230" i="14"/>
  <c r="O286" i="14"/>
  <c r="O437" i="14"/>
  <c r="O1288" i="14"/>
  <c r="O880" i="14"/>
  <c r="O197" i="14"/>
  <c r="O309" i="14"/>
  <c r="O416" i="14"/>
  <c r="O1293" i="14"/>
  <c r="O900" i="14"/>
  <c r="O208" i="14"/>
  <c r="O304" i="14"/>
  <c r="O422" i="14"/>
  <c r="O1302" i="14"/>
  <c r="O904" i="14"/>
  <c r="O204" i="14"/>
  <c r="O339" i="14"/>
  <c r="O442" i="14"/>
  <c r="O1290" i="14"/>
  <c r="O1009" i="14"/>
  <c r="O238" i="14"/>
  <c r="O1240" i="14"/>
  <c r="O694" i="14"/>
  <c r="O73" i="14"/>
  <c r="O299" i="14"/>
  <c r="O414" i="14"/>
  <c r="O1298" i="14"/>
  <c r="O886" i="14"/>
  <c r="O200" i="14"/>
  <c r="O672" i="14"/>
  <c r="O664" i="14"/>
  <c r="O755" i="14"/>
  <c r="O526" i="14"/>
  <c r="O737" i="14"/>
  <c r="O610" i="14"/>
  <c r="O655" i="14"/>
  <c r="O1029" i="14"/>
  <c r="O396" i="14"/>
  <c r="O579" i="14"/>
  <c r="O557" i="14"/>
  <c r="O556" i="14"/>
  <c r="O1145" i="14"/>
  <c r="O90" i="14"/>
  <c r="O587" i="14"/>
  <c r="O567" i="14"/>
  <c r="O573" i="14"/>
  <c r="O1140" i="14"/>
  <c r="O115" i="14"/>
  <c r="O631" i="14"/>
  <c r="O1414" i="14"/>
  <c r="O1420" i="14"/>
  <c r="O492" i="14"/>
  <c r="O1348" i="14"/>
  <c r="O1436" i="14"/>
  <c r="O1388" i="14"/>
  <c r="O1377" i="14"/>
  <c r="O428" i="14"/>
  <c r="O1324" i="14"/>
  <c r="O1392" i="14"/>
  <c r="O1228" i="14"/>
  <c r="O1241" i="14"/>
  <c r="O1192" i="14"/>
  <c r="O1231" i="14"/>
  <c r="O1363" i="14"/>
  <c r="O1366" i="14"/>
  <c r="O498" i="14"/>
  <c r="O1320" i="14"/>
  <c r="O1384" i="14"/>
  <c r="O106" i="14"/>
  <c r="O128" i="14"/>
  <c r="O454" i="14"/>
  <c r="O547" i="14"/>
  <c r="O140" i="14"/>
  <c r="O132" i="14"/>
  <c r="O150" i="14"/>
  <c r="O1210" i="14"/>
  <c r="O571" i="14"/>
  <c r="O62" i="14"/>
  <c r="O64" i="14"/>
  <c r="O1243" i="14"/>
  <c r="O471" i="14"/>
  <c r="O66" i="14"/>
  <c r="O594" i="14"/>
  <c r="O603" i="14"/>
  <c r="O1107" i="14"/>
  <c r="O178" i="14"/>
  <c r="O782" i="14"/>
  <c r="O767" i="14"/>
  <c r="O779" i="14"/>
  <c r="O1184" i="14"/>
  <c r="O952" i="14"/>
  <c r="O679" i="14"/>
  <c r="O696" i="14"/>
  <c r="O1213" i="14"/>
  <c r="O834" i="14"/>
  <c r="O683" i="14"/>
  <c r="O693" i="14"/>
  <c r="O1191" i="14"/>
  <c r="O839" i="14"/>
  <c r="O1440" i="14"/>
  <c r="O1449" i="14"/>
  <c r="O506" i="14"/>
  <c r="O1285" i="14"/>
  <c r="O1461" i="14"/>
  <c r="O191" i="14"/>
  <c r="O221" i="14"/>
  <c r="O1230" i="14"/>
  <c r="O634" i="14"/>
  <c r="O620" i="14"/>
  <c r="O643" i="14"/>
  <c r="O1105" i="14"/>
  <c r="O187" i="14"/>
  <c r="O799" i="14"/>
  <c r="O685" i="14"/>
  <c r="O698" i="14"/>
  <c r="O1202" i="14"/>
  <c r="O229" i="14"/>
  <c r="O714" i="14"/>
  <c r="O380" i="14"/>
  <c r="O451" i="14"/>
  <c r="O1317" i="14"/>
  <c r="O1060" i="14"/>
  <c r="O326" i="14"/>
  <c r="O209" i="14"/>
  <c r="O297" i="14"/>
  <c r="O1269" i="14"/>
  <c r="O563" i="14"/>
  <c r="O147" i="14"/>
  <c r="O195" i="14"/>
  <c r="O255" i="14"/>
  <c r="O1263" i="14"/>
  <c r="O582" i="14"/>
  <c r="O142" i="14"/>
  <c r="O50" i="14"/>
  <c r="O74" i="14"/>
  <c r="O1232" i="14"/>
  <c r="O840" i="14"/>
  <c r="O77" i="14"/>
  <c r="O111" i="14"/>
  <c r="O1248" i="14"/>
  <c r="O882" i="14"/>
  <c r="O1244" i="14"/>
  <c r="O690" i="14"/>
  <c r="O68" i="14"/>
  <c r="O980" i="14"/>
  <c r="O1025" i="14"/>
  <c r="O644" i="14"/>
  <c r="O868" i="14"/>
  <c r="O941" i="14"/>
  <c r="O1110" i="14"/>
  <c r="O1153" i="14"/>
  <c r="O435" i="14"/>
  <c r="O769" i="14"/>
  <c r="O1108" i="14"/>
  <c r="O947" i="14"/>
  <c r="O945" i="14"/>
  <c r="O656" i="14"/>
  <c r="O652" i="14"/>
  <c r="O925" i="14"/>
  <c r="O1065" i="14"/>
  <c r="O1086" i="14"/>
  <c r="O418" i="14"/>
  <c r="O647" i="14"/>
  <c r="O1054" i="14"/>
  <c r="O1134" i="14"/>
  <c r="O1169" i="14"/>
  <c r="O405" i="14"/>
  <c r="O796" i="14"/>
  <c r="O1127" i="14"/>
  <c r="L325" i="14"/>
  <c r="G285" i="14" a="1"/>
  <c r="G285" i="14" s="1"/>
  <c r="K285" i="14" s="1"/>
  <c r="N285" i="14" s="1"/>
  <c r="G558" i="14" a="1"/>
  <c r="G558" i="14" s="1"/>
  <c r="K558" i="14" s="1"/>
  <c r="N558" i="14" s="1"/>
  <c r="G61" i="14" a="1"/>
  <c r="G61" i="14" s="1"/>
  <c r="K61" i="14" s="1"/>
  <c r="N61" i="14" s="1"/>
  <c r="G686" i="14" a="1"/>
  <c r="G686" i="14" s="1"/>
  <c r="K686" i="14" s="1"/>
  <c r="G1111" i="14" a="1"/>
  <c r="G1111" i="14" s="1"/>
  <c r="K1111" i="14" s="1"/>
  <c r="G280" i="14" a="1"/>
  <c r="G280" i="14" s="1"/>
  <c r="K280" i="14" s="1"/>
  <c r="N280" i="14" s="1"/>
  <c r="G590" i="14" a="1"/>
  <c r="G590" i="14" s="1"/>
  <c r="K590" i="14" s="1"/>
  <c r="N590" i="14" s="1"/>
  <c r="G96" i="14" a="1"/>
  <c r="G96" i="14" s="1"/>
  <c r="K96" i="14" s="1"/>
  <c r="G725" i="14" a="1"/>
  <c r="G725" i="14" s="1"/>
  <c r="K725" i="14" s="1"/>
  <c r="N725" i="14" s="1"/>
  <c r="G1167" i="14" a="1"/>
  <c r="G1167" i="14" s="1"/>
  <c r="K1167" i="14" s="1"/>
  <c r="N1167" i="14" s="1"/>
  <c r="G311" i="14" a="1"/>
  <c r="G311" i="14" s="1"/>
  <c r="K311" i="14" s="1"/>
  <c r="N311" i="14" s="1"/>
  <c r="G576" i="14" a="1"/>
  <c r="G576" i="14" s="1"/>
  <c r="K576" i="14" s="1"/>
  <c r="G17" i="14" a="1"/>
  <c r="G17" i="14" s="1"/>
  <c r="K17" i="14" s="1"/>
  <c r="N17" i="14" s="1"/>
  <c r="G35" i="14" a="1"/>
  <c r="G35" i="14" s="1"/>
  <c r="K35" i="14" s="1"/>
  <c r="N35" i="14" s="1"/>
  <c r="G1062" i="14" a="1"/>
  <c r="G1062" i="14" s="1"/>
  <c r="K1062" i="14" s="1"/>
  <c r="N1062" i="14" s="1"/>
  <c r="G30" i="14" a="1"/>
  <c r="G30" i="14" s="1"/>
  <c r="K30" i="14" s="1"/>
  <c r="G805" i="14" a="1"/>
  <c r="G805" i="14" s="1"/>
  <c r="K805" i="14" s="1"/>
  <c r="N805" i="14" s="1"/>
  <c r="G322" i="14" a="1"/>
  <c r="G322" i="14" s="1"/>
  <c r="K322" i="14" s="1"/>
  <c r="G994" i="14" a="1"/>
  <c r="G994" i="14" s="1"/>
  <c r="K994" i="14" s="1"/>
  <c r="G1193" i="14" a="1"/>
  <c r="G1193" i="14" s="1"/>
  <c r="K1193" i="14" s="1"/>
  <c r="G811" i="14" a="1"/>
  <c r="G811" i="14" s="1"/>
  <c r="K811" i="14" s="1"/>
  <c r="N811" i="14" s="1"/>
  <c r="G290" i="14" a="1"/>
  <c r="G290" i="14" s="1"/>
  <c r="K290" i="14" s="1"/>
  <c r="N290" i="14" s="1"/>
  <c r="G861" i="14" a="1"/>
  <c r="G861" i="14" s="1"/>
  <c r="K861" i="14" s="1"/>
  <c r="N861" i="14" s="1"/>
  <c r="G1151" i="14" a="1"/>
  <c r="G1151" i="14" s="1"/>
  <c r="K1151" i="14" s="1"/>
  <c r="G844" i="14" a="1"/>
  <c r="G844" i="14" s="1"/>
  <c r="K844" i="14" s="1"/>
  <c r="N844" i="14" s="1"/>
  <c r="G315" i="14" a="1"/>
  <c r="G315" i="14" s="1"/>
  <c r="K315" i="14" s="1"/>
  <c r="N315" i="14" s="1"/>
  <c r="G905" i="14" a="1"/>
  <c r="G905" i="14" s="1"/>
  <c r="K905" i="14" s="1"/>
  <c r="N905" i="14" s="1"/>
  <c r="G1163" i="14" a="1"/>
  <c r="G1163" i="14" s="1"/>
  <c r="K1163" i="14" s="1"/>
  <c r="G872" i="14" a="1"/>
  <c r="G872" i="14" s="1"/>
  <c r="K872" i="14" s="1"/>
  <c r="N872" i="14" s="1"/>
  <c r="G313" i="14" a="1"/>
  <c r="G313" i="14" s="1"/>
  <c r="K313" i="14" s="1"/>
  <c r="G901" i="14" a="1"/>
  <c r="G901" i="14" s="1"/>
  <c r="K901" i="14" s="1"/>
  <c r="G1162" i="14" a="1"/>
  <c r="G1162" i="14" s="1"/>
  <c r="K1162" i="14" s="1"/>
  <c r="G34" i="14" a="1"/>
  <c r="G34" i="14" s="1"/>
  <c r="K34" i="14" s="1"/>
  <c r="N34" i="14" s="1"/>
  <c r="G802" i="14" a="1"/>
  <c r="G802" i="14" s="1"/>
  <c r="K802" i="14" s="1"/>
  <c r="N802" i="14" s="1"/>
  <c r="G330" i="14" a="1"/>
  <c r="G330" i="14" s="1"/>
  <c r="K330" i="14" s="1"/>
  <c r="N330" i="14" s="1"/>
  <c r="G1007" i="14" a="1"/>
  <c r="G1007" i="14" s="1"/>
  <c r="K1007" i="14" s="1"/>
  <c r="G1196" i="14" a="1"/>
  <c r="G1196" i="14" s="1"/>
  <c r="K1196" i="14" s="1"/>
  <c r="N1196" i="14" s="1"/>
  <c r="G479" i="14" a="1"/>
  <c r="G479" i="14" s="1"/>
  <c r="K479" i="14" s="1"/>
  <c r="N479" i="14" s="1"/>
  <c r="G555" i="14" a="1"/>
  <c r="G555" i="14" s="1"/>
  <c r="K555" i="14" s="1"/>
  <c r="N555" i="14" s="1"/>
  <c r="G65" i="14" a="1"/>
  <c r="G65" i="14" s="1"/>
  <c r="K65" i="14" s="1"/>
  <c r="G697" i="14" a="1"/>
  <c r="G697" i="14" s="1"/>
  <c r="K697" i="14" s="1"/>
  <c r="N697" i="14" s="1"/>
  <c r="G1152" i="14" a="1"/>
  <c r="G1152" i="14" s="1"/>
  <c r="K1152" i="14" s="1"/>
  <c r="N1152" i="14" s="1"/>
  <c r="G856" i="14" a="1"/>
  <c r="G856" i="14" s="1"/>
  <c r="K856" i="14" s="1"/>
  <c r="G1233" i="14" a="1"/>
  <c r="G1233" i="14" s="1"/>
  <c r="K1233" i="14" s="1"/>
  <c r="G884" i="14" a="1"/>
  <c r="G884" i="14" s="1"/>
  <c r="K884" i="14" s="1"/>
  <c r="N884" i="14" s="1"/>
  <c r="G1150" i="14" a="1"/>
  <c r="G1150" i="14" s="1"/>
  <c r="K1150" i="14" s="1"/>
  <c r="G1257" i="14" a="1"/>
  <c r="G1257" i="14" s="1"/>
  <c r="K1257" i="14" s="1"/>
  <c r="N1257" i="14" s="1"/>
  <c r="G453" i="14" a="1"/>
  <c r="G453" i="14" s="1"/>
  <c r="K453" i="14" s="1"/>
  <c r="G728" i="14" a="1"/>
  <c r="G728" i="14" s="1"/>
  <c r="K728" i="14" s="1"/>
  <c r="N728" i="14" s="1"/>
  <c r="G544" i="14" a="1"/>
  <c r="G544" i="14" s="1"/>
  <c r="K544" i="14" s="1"/>
  <c r="N544" i="14" s="1"/>
  <c r="G341" i="14" a="1"/>
  <c r="G341" i="14" s="1"/>
  <c r="K341" i="14" s="1"/>
  <c r="N341" i="14" s="1"/>
  <c r="G921" i="14" a="1"/>
  <c r="G921" i="14" s="1"/>
  <c r="K921" i="14" s="1"/>
  <c r="G398" i="14" a="1"/>
  <c r="G398" i="14" s="1"/>
  <c r="K398" i="14" s="1"/>
  <c r="N398" i="14" s="1"/>
  <c r="G553" i="14" a="1"/>
  <c r="G553" i="14" s="1"/>
  <c r="K553" i="14" s="1"/>
  <c r="N553" i="14" s="1"/>
  <c r="G431" i="14" a="1"/>
  <c r="G431" i="14" s="1"/>
  <c r="K431" i="14" s="1"/>
  <c r="N431" i="14" s="1"/>
  <c r="G439" i="14" a="1"/>
  <c r="G439" i="14" s="1"/>
  <c r="K439" i="14" s="1"/>
  <c r="G812" i="14" a="1"/>
  <c r="G812" i="14" s="1"/>
  <c r="K812" i="14" s="1"/>
  <c r="N812" i="14" s="1"/>
  <c r="G539" i="14" a="1"/>
  <c r="G539" i="14" s="1"/>
  <c r="K539" i="14" s="1"/>
  <c r="N539" i="14" s="1"/>
  <c r="G120" i="14" a="1"/>
  <c r="G120" i="14" s="1"/>
  <c r="K120" i="14" s="1"/>
  <c r="N120" i="14" s="1"/>
  <c r="G666" i="14" a="1"/>
  <c r="G666" i="14" s="1"/>
  <c r="K666" i="14" s="1"/>
  <c r="G841" i="14" a="1"/>
  <c r="G841" i="14" s="1"/>
  <c r="K841" i="14" s="1"/>
  <c r="G559" i="14" a="1"/>
  <c r="G559" i="14" s="1"/>
  <c r="K559" i="14" s="1"/>
  <c r="N559" i="14" s="1"/>
  <c r="G160" i="14" a="1"/>
  <c r="G160" i="14" s="1"/>
  <c r="K160" i="14" s="1"/>
  <c r="G628" i="14" a="1"/>
  <c r="G628" i="14" s="1"/>
  <c r="K628" i="14" s="1"/>
  <c r="G1463" i="14" a="1"/>
  <c r="G1463" i="14" s="1"/>
  <c r="K1463" i="14" s="1"/>
  <c r="N1463" i="14" s="1"/>
  <c r="G1275" i="14" a="1"/>
  <c r="G1275" i="14" s="1"/>
  <c r="K1275" i="14" s="1"/>
  <c r="N1275" i="14" s="1"/>
  <c r="G1391" i="14" a="1"/>
  <c r="G1391" i="14" s="1"/>
  <c r="K1391" i="14" s="1"/>
  <c r="N1391" i="14" s="1"/>
  <c r="G1355" i="14" a="1"/>
  <c r="G1355" i="14" s="1"/>
  <c r="K1355" i="14" s="1"/>
  <c r="G785" i="14" a="1"/>
  <c r="G785" i="14" s="1"/>
  <c r="K785" i="14" s="1"/>
  <c r="N785" i="14" s="1"/>
  <c r="G1428" i="14" a="1"/>
  <c r="G1428" i="14" s="1"/>
  <c r="K1428" i="14" s="1"/>
  <c r="N1428" i="14" s="1"/>
  <c r="G1218" i="14" a="1"/>
  <c r="G1218" i="14" s="1"/>
  <c r="K1218" i="14" s="1"/>
  <c r="G1344" i="14" a="1"/>
  <c r="G1344" i="14" s="1"/>
  <c r="K1344" i="14" s="1"/>
  <c r="G1332" i="14" a="1"/>
  <c r="G1332" i="14" s="1"/>
  <c r="K1332" i="14" s="1"/>
  <c r="N1332" i="14" s="1"/>
  <c r="G773" i="14" a="1"/>
  <c r="G773" i="14" s="1"/>
  <c r="K773" i="14" s="1"/>
  <c r="N773" i="14" s="1"/>
  <c r="G1331" i="14" a="1"/>
  <c r="G1331" i="14" s="1"/>
  <c r="K1331" i="14" s="1"/>
  <c r="G1146" i="14" a="1"/>
  <c r="G1146" i="14" s="1"/>
  <c r="K1146" i="14" s="1"/>
  <c r="G1242" i="14" a="1"/>
  <c r="G1242" i="14" s="1"/>
  <c r="K1242" i="14" s="1"/>
  <c r="G1203" i="14" a="1"/>
  <c r="G1203" i="14" s="1"/>
  <c r="K1203" i="14" s="1"/>
  <c r="N1203" i="14" s="1"/>
  <c r="G436" i="14" a="1"/>
  <c r="G436" i="14" s="1"/>
  <c r="K436" i="14" s="1"/>
  <c r="N436" i="14" s="1"/>
  <c r="G1379" i="14" a="1"/>
  <c r="G1379" i="14" s="1"/>
  <c r="K1379" i="14" s="1"/>
  <c r="G1222" i="14" a="1"/>
  <c r="G1222" i="14" s="1"/>
  <c r="K1222" i="14" s="1"/>
  <c r="N1222" i="14" s="1"/>
  <c r="G1335" i="14" a="1"/>
  <c r="G1335" i="14" s="1"/>
  <c r="K1335" i="14" s="1"/>
  <c r="N1335" i="14" s="1"/>
  <c r="G1330" i="14" a="1"/>
  <c r="G1330" i="14" s="1"/>
  <c r="K1330" i="14" s="1"/>
  <c r="N1330" i="14" s="1"/>
  <c r="G860" i="14" a="1"/>
  <c r="G860" i="14" s="1"/>
  <c r="K860" i="14" s="1"/>
  <c r="G70" i="14" a="1"/>
  <c r="G70" i="14" s="1"/>
  <c r="K70" i="14" s="1"/>
  <c r="N70" i="14" s="1"/>
  <c r="G432" i="14" a="1"/>
  <c r="G432" i="14" s="1"/>
  <c r="K432" i="14" s="1"/>
  <c r="N432" i="14" s="1"/>
  <c r="G84" i="14" a="1"/>
  <c r="G84" i="14" s="1"/>
  <c r="K84" i="14" s="1"/>
  <c r="N84" i="14" s="1"/>
  <c r="G28" i="14" a="1"/>
  <c r="G28" i="14" s="1"/>
  <c r="K28" i="14" s="1"/>
  <c r="G887" i="14" a="1"/>
  <c r="G887" i="14" s="1"/>
  <c r="K887" i="14" s="1"/>
  <c r="G389" i="14" a="1"/>
  <c r="G389" i="14" s="1"/>
  <c r="K389" i="14" s="1"/>
  <c r="N389" i="14" s="1"/>
  <c r="G474" i="14" a="1"/>
  <c r="G474" i="14" s="1"/>
  <c r="K474" i="14" s="1"/>
  <c r="G104" i="14" a="1"/>
  <c r="G104" i="14" s="1"/>
  <c r="K104" i="14" s="1"/>
  <c r="G575" i="14" a="1"/>
  <c r="G575" i="14" s="1"/>
  <c r="K575" i="14" s="1"/>
  <c r="N575" i="14" s="1"/>
  <c r="G937" i="14" a="1"/>
  <c r="G937" i="14" s="1"/>
  <c r="K937" i="14" s="1"/>
  <c r="N937" i="14" s="1"/>
  <c r="G265" i="14" a="1"/>
  <c r="G265" i="14" s="1"/>
  <c r="K265" i="14" s="1"/>
  <c r="G540" i="14" a="1"/>
  <c r="G540" i="14" s="1"/>
  <c r="K540" i="14" s="1"/>
  <c r="G705" i="14" a="1"/>
  <c r="G705" i="14" s="1"/>
  <c r="K705" i="14" s="1"/>
  <c r="N705" i="14" s="1"/>
  <c r="G1037" i="14" a="1"/>
  <c r="G1037" i="14" s="1"/>
  <c r="K1037" i="14" s="1"/>
  <c r="N1037" i="14" s="1"/>
  <c r="G982" i="14" a="1"/>
  <c r="G982" i="14" s="1"/>
  <c r="K982" i="14" s="1"/>
  <c r="G126" i="14" a="1"/>
  <c r="G126" i="14" s="1"/>
  <c r="K126" i="14" s="1"/>
  <c r="G621" i="14" a="1"/>
  <c r="G621" i="14" s="1"/>
  <c r="K621" i="14" s="1"/>
  <c r="N621" i="14" s="1"/>
  <c r="G180" i="14" a="1"/>
  <c r="G180" i="14" s="1"/>
  <c r="K180" i="14" s="1"/>
  <c r="N180" i="14" s="1"/>
  <c r="G520" i="14" a="1"/>
  <c r="G520" i="14" s="1"/>
  <c r="K520" i="14" s="1"/>
  <c r="N520" i="14" s="1"/>
  <c r="G1023" i="14" a="1"/>
  <c r="G1023" i="14" s="1"/>
  <c r="K1023" i="14" s="1"/>
  <c r="G83" i="14" a="1"/>
  <c r="G83" i="14" s="1"/>
  <c r="K83" i="14" s="1"/>
  <c r="N83" i="14" s="1"/>
  <c r="G535" i="14" a="1"/>
  <c r="G535" i="14" s="1"/>
  <c r="K535" i="14" s="1"/>
  <c r="N535" i="14" s="1"/>
  <c r="G223" i="14" a="1"/>
  <c r="G223" i="14" s="1"/>
  <c r="K223" i="14" s="1"/>
  <c r="G766" i="14" a="1"/>
  <c r="G766" i="14" s="1"/>
  <c r="K766" i="14" s="1"/>
  <c r="G993" i="14" a="1"/>
  <c r="G993" i="14" s="1"/>
  <c r="K993" i="14" s="1"/>
  <c r="N993" i="14" s="1"/>
  <c r="G171" i="14" a="1"/>
  <c r="G171" i="14" s="1"/>
  <c r="K171" i="14" s="1"/>
  <c r="N171" i="14" s="1"/>
  <c r="G468" i="14" a="1"/>
  <c r="G468" i="14" s="1"/>
  <c r="K468" i="14" s="1"/>
  <c r="N468" i="14" s="1"/>
  <c r="G267" i="14" a="1"/>
  <c r="G267" i="14" s="1"/>
  <c r="K267" i="14" s="1"/>
  <c r="G838" i="14" a="1"/>
  <c r="G838" i="14" s="1"/>
  <c r="K838" i="14" s="1"/>
  <c r="G862" i="14" a="1"/>
  <c r="G862" i="14" s="1"/>
  <c r="K862" i="14" s="1"/>
  <c r="N862" i="14" s="1"/>
  <c r="G91" i="14" a="1"/>
  <c r="G91" i="14" s="1"/>
  <c r="K91" i="14" s="1"/>
  <c r="N91" i="14" s="1"/>
  <c r="G470" i="14" a="1"/>
  <c r="G470" i="14" s="1"/>
  <c r="K470" i="14" s="1"/>
  <c r="G228" i="14" a="1"/>
  <c r="G228" i="14" s="1"/>
  <c r="K228" i="14" s="1"/>
  <c r="G770" i="14" a="1"/>
  <c r="G770" i="14" s="1"/>
  <c r="K770" i="14" s="1"/>
  <c r="N770" i="14" s="1"/>
  <c r="G1485" i="14" a="1"/>
  <c r="G1485" i="14" s="1"/>
  <c r="K1485" i="14" s="1"/>
  <c r="N1485" i="14" s="1"/>
  <c r="G1283" i="14" a="1"/>
  <c r="G1283" i="14" s="1"/>
  <c r="K1283" i="14" s="1"/>
  <c r="G1429" i="14" a="1"/>
  <c r="G1429" i="14" s="1"/>
  <c r="K1429" i="14" s="1"/>
  <c r="N1429" i="14" s="1"/>
  <c r="G1382" i="14" a="1"/>
  <c r="G1382" i="14" s="1"/>
  <c r="K1382" i="14" s="1"/>
  <c r="N1382" i="14" s="1"/>
  <c r="G775" i="14" a="1"/>
  <c r="G775" i="14" s="1"/>
  <c r="K775" i="14" s="1"/>
  <c r="N775" i="14" s="1"/>
  <c r="G337" i="14" a="1"/>
  <c r="G337" i="14" s="1"/>
  <c r="K337" i="14" s="1"/>
  <c r="G517" i="14" a="1"/>
  <c r="G517" i="14" s="1"/>
  <c r="K517" i="14" s="1"/>
  <c r="G158" i="14" a="1"/>
  <c r="G158" i="14" s="1"/>
  <c r="K158" i="14" s="1"/>
  <c r="N158" i="14" s="1"/>
  <c r="G641" i="14" a="1"/>
  <c r="G641" i="14" s="1"/>
  <c r="K641" i="14" s="1"/>
  <c r="G1015" i="14" a="1"/>
  <c r="G1015" i="14" s="1"/>
  <c r="K1015" i="14" s="1"/>
  <c r="G943" i="14" a="1"/>
  <c r="G943" i="14" s="1"/>
  <c r="K943" i="14" s="1"/>
  <c r="N943" i="14" s="1"/>
  <c r="G134" i="14" a="1"/>
  <c r="G134" i="14" s="1"/>
  <c r="K134" i="14" s="1"/>
  <c r="N134" i="14" s="1"/>
  <c r="G662" i="14" a="1"/>
  <c r="G662" i="14" s="1"/>
  <c r="K662" i="14" s="1"/>
  <c r="G189" i="14" a="1"/>
  <c r="G189" i="14" s="1"/>
  <c r="K189" i="14" s="1"/>
  <c r="G530" i="14" a="1"/>
  <c r="G530" i="14" s="1"/>
  <c r="K530" i="14" s="1"/>
  <c r="N530" i="14" s="1"/>
  <c r="G983" i="14" a="1"/>
  <c r="G983" i="14" s="1"/>
  <c r="K983" i="14" s="1"/>
  <c r="N983" i="14" s="1"/>
  <c r="G121" i="14" a="1"/>
  <c r="G121" i="14" s="1"/>
  <c r="K121" i="14" s="1"/>
  <c r="N121" i="14" s="1"/>
  <c r="G704" i="14" a="1"/>
  <c r="G704" i="14" s="1"/>
  <c r="K704" i="14" s="1"/>
  <c r="G566" i="14" a="1"/>
  <c r="G566" i="14" s="1"/>
  <c r="K566" i="14" s="1"/>
  <c r="N566" i="14" s="1"/>
  <c r="G8" i="14" a="1"/>
  <c r="G8" i="14" s="1"/>
  <c r="K8" i="14" s="1"/>
  <c r="N8" i="14" s="1"/>
  <c r="G911" i="14" a="1"/>
  <c r="G911" i="14" s="1"/>
  <c r="K911" i="14" s="1"/>
  <c r="N911" i="14" s="1"/>
  <c r="G384" i="14" a="1"/>
  <c r="G384" i="14" s="1"/>
  <c r="K384" i="14" s="1"/>
  <c r="G893" i="14" a="1"/>
  <c r="G893" i="14" s="1"/>
  <c r="K893" i="14" s="1"/>
  <c r="N893" i="14" s="1"/>
  <c r="G1212" i="14" a="1"/>
  <c r="G1212" i="14" s="1"/>
  <c r="K1212" i="14" s="1"/>
  <c r="N1212" i="14" s="1"/>
  <c r="G284" i="14" a="1"/>
  <c r="G284" i="14" s="1"/>
  <c r="K284" i="14" s="1"/>
  <c r="N284" i="14" s="1"/>
  <c r="G793" i="14" a="1"/>
  <c r="G793" i="14" s="1"/>
  <c r="K793" i="14" s="1"/>
  <c r="G282" i="14" a="1"/>
  <c r="G282" i="14" s="1"/>
  <c r="K282" i="14" s="1"/>
  <c r="N282" i="14" s="1"/>
  <c r="G761" i="14" a="1"/>
  <c r="G761" i="14" s="1"/>
  <c r="K761" i="14" s="1"/>
  <c r="N761" i="14" s="1"/>
  <c r="G217" i="14" a="1"/>
  <c r="G217" i="14" s="1"/>
  <c r="K217" i="14" s="1"/>
  <c r="N217" i="14" s="1"/>
  <c r="G788" i="14" a="1"/>
  <c r="G788" i="14" s="1"/>
  <c r="K788" i="14" s="1"/>
  <c r="G264" i="14" a="1"/>
  <c r="G264" i="14" s="1"/>
  <c r="K264" i="14" s="1"/>
  <c r="N264" i="14" s="1"/>
  <c r="G751" i="14" a="1"/>
  <c r="G751" i="14" s="1"/>
  <c r="K751" i="14" s="1"/>
  <c r="G1207" i="14" a="1"/>
  <c r="G1207" i="14" s="1"/>
  <c r="K1207" i="14" s="1"/>
  <c r="N1207" i="14" s="1"/>
  <c r="G240" i="14" a="1"/>
  <c r="G240" i="14" s="1"/>
  <c r="K240" i="14" s="1"/>
  <c r="G588" i="14" a="1"/>
  <c r="G588" i="14" s="1"/>
  <c r="K588" i="14" s="1"/>
  <c r="N588" i="14" s="1"/>
  <c r="G67" i="14" a="1"/>
  <c r="G67" i="14" s="1"/>
  <c r="K67" i="14" s="1"/>
  <c r="N67" i="14" s="1"/>
  <c r="G715" i="14" a="1"/>
  <c r="G715" i="14" s="1"/>
  <c r="K715" i="14" s="1"/>
  <c r="N715" i="14" s="1"/>
  <c r="G1109" i="14" a="1"/>
  <c r="G1109" i="14" s="1"/>
  <c r="K1109" i="14" s="1"/>
  <c r="G266" i="14" a="1"/>
  <c r="G266" i="14" s="1"/>
  <c r="K266" i="14" s="1"/>
  <c r="N266" i="14" s="1"/>
  <c r="G616" i="14" a="1"/>
  <c r="G616" i="14" s="1"/>
  <c r="K616" i="14" s="1"/>
  <c r="N616" i="14" s="1"/>
  <c r="G86" i="14" a="1"/>
  <c r="G86" i="14" s="1"/>
  <c r="K86" i="14" s="1"/>
  <c r="N86" i="14" s="1"/>
  <c r="G734" i="14" a="1"/>
  <c r="G734" i="14" s="1"/>
  <c r="K734" i="14" s="1"/>
  <c r="G1126" i="14" a="1"/>
  <c r="G1126" i="14" s="1"/>
  <c r="K1126" i="14" s="1"/>
  <c r="N1126" i="14" s="1"/>
  <c r="G367" i="14" a="1"/>
  <c r="G367" i="14" s="1"/>
  <c r="K367" i="14" s="1"/>
  <c r="N367" i="14" s="1"/>
  <c r="G562" i="14" a="1"/>
  <c r="G562" i="14" s="1"/>
  <c r="K562" i="14" s="1"/>
  <c r="N562" i="14" s="1"/>
  <c r="G45" i="14" a="1"/>
  <c r="G45" i="14" s="1"/>
  <c r="K45" i="14" s="1"/>
  <c r="G541" i="14" a="1"/>
  <c r="G541" i="14" s="1"/>
  <c r="K541" i="14" s="1"/>
  <c r="N541" i="14" s="1"/>
  <c r="G1078" i="14" a="1"/>
  <c r="G1078" i="14" s="1"/>
  <c r="K1078" i="14" s="1"/>
  <c r="G1251" i="14" a="1"/>
  <c r="G1251" i="14" s="1"/>
  <c r="K1251" i="14" s="1"/>
  <c r="N1251" i="14" s="1"/>
  <c r="G524" i="14" a="1"/>
  <c r="G524" i="14" s="1"/>
  <c r="K524" i="14" s="1"/>
  <c r="G878" i="14" a="1"/>
  <c r="G878" i="14" s="1"/>
  <c r="K878" i="14" s="1"/>
  <c r="N878" i="14" s="1"/>
  <c r="G549" i="14" a="1"/>
  <c r="G549" i="14" s="1"/>
  <c r="K549" i="14" s="1"/>
  <c r="N549" i="14" s="1"/>
  <c r="G152" i="14" a="1"/>
  <c r="G152" i="14" s="1"/>
  <c r="K152" i="14" s="1"/>
  <c r="N152" i="14" s="1"/>
  <c r="G1188" i="14" a="1"/>
  <c r="G1188" i="14" s="1"/>
  <c r="K1188" i="14" s="1"/>
  <c r="G665" i="14" a="1"/>
  <c r="G665" i="14" s="1"/>
  <c r="K665" i="14" s="1"/>
  <c r="N665" i="14" s="1"/>
  <c r="G1036" i="14" a="1"/>
  <c r="G1036" i="14" s="1"/>
  <c r="K1036" i="14" s="1"/>
  <c r="N1036" i="14" s="1"/>
  <c r="G565" i="14" a="1"/>
  <c r="G565" i="14" s="1"/>
  <c r="K565" i="14" s="1"/>
  <c r="G932" i="14" a="1"/>
  <c r="G932" i="14" s="1"/>
  <c r="K932" i="14" s="1"/>
  <c r="G510" i="14" a="1"/>
  <c r="G510" i="14" s="1"/>
  <c r="K510" i="14" s="1"/>
  <c r="N510" i="14" s="1"/>
  <c r="G826" i="14" a="1"/>
  <c r="G826" i="14" s="1"/>
  <c r="K826" i="14" s="1"/>
  <c r="N826" i="14" s="1"/>
  <c r="G531" i="14" a="1"/>
  <c r="G531" i="14" s="1"/>
  <c r="K531" i="14" s="1"/>
  <c r="N531" i="14" s="1"/>
  <c r="G1172" i="14" a="1"/>
  <c r="G1172" i="14" s="1"/>
  <c r="K1172" i="14" s="1"/>
  <c r="N1172" i="14" s="1"/>
  <c r="G676" i="14" a="1"/>
  <c r="G676" i="14" s="1"/>
  <c r="K676" i="14" s="1"/>
  <c r="N676" i="14" s="1"/>
  <c r="G956" i="14" a="1"/>
  <c r="G956" i="14" s="1"/>
  <c r="K956" i="14" s="1"/>
  <c r="G821" i="14" a="1"/>
  <c r="G821" i="14" s="1"/>
  <c r="K821" i="14" s="1"/>
  <c r="G348" i="14" a="1"/>
  <c r="G348" i="14" s="1"/>
  <c r="K348" i="14" s="1"/>
  <c r="N348" i="14" s="1"/>
  <c r="G1175" i="14" a="1"/>
  <c r="G1175" i="14" s="1"/>
  <c r="K1175" i="14" s="1"/>
  <c r="G707" i="14" a="1"/>
  <c r="G707" i="14" s="1"/>
  <c r="K707" i="14" s="1"/>
  <c r="N707" i="14" s="1"/>
  <c r="G1056" i="14" a="1"/>
  <c r="G1056" i="14" s="1"/>
  <c r="K1056" i="14" s="1"/>
  <c r="G596" i="14" a="1"/>
  <c r="G596" i="14" s="1"/>
  <c r="K596" i="14" s="1"/>
  <c r="N596" i="14" s="1"/>
  <c r="H298" i="14" a="1"/>
  <c r="H298" i="14" s="1"/>
  <c r="H1362" i="14" a="1"/>
  <c r="H1362" i="14" s="1"/>
  <c r="H1441" i="14" a="1"/>
  <c r="H1441" i="14" s="1"/>
  <c r="H76" i="14" a="1"/>
  <c r="H76" i="14" s="1"/>
  <c r="H294" i="14" a="1"/>
  <c r="H294" i="14" s="1"/>
  <c r="H1369" i="14" a="1"/>
  <c r="H1369" i="14" s="1"/>
  <c r="H1451" i="14" a="1"/>
  <c r="H1451" i="14" s="1"/>
  <c r="H72" i="14" a="1"/>
  <c r="H72" i="14" s="1"/>
  <c r="H92" i="14" a="1"/>
  <c r="H92" i="14" s="1"/>
  <c r="H316" i="14" a="1"/>
  <c r="H316" i="14" s="1"/>
  <c r="H1351" i="14" a="1"/>
  <c r="H1351" i="14" s="1"/>
  <c r="H1452" i="14" a="1"/>
  <c r="H1452" i="14" s="1"/>
  <c r="H743" i="14" a="1"/>
  <c r="H743" i="14" s="1"/>
  <c r="H320" i="14" a="1"/>
  <c r="H320" i="14" s="1"/>
  <c r="H36" i="14" a="1"/>
  <c r="H36" i="14" s="1"/>
  <c r="H1424" i="14" a="1"/>
  <c r="H1424" i="14" s="1"/>
  <c r="H1489" i="14" a="1"/>
  <c r="H1489" i="14" s="1"/>
  <c r="H279" i="14" a="1"/>
  <c r="H279" i="14" s="1"/>
  <c r="H281" i="14" a="1"/>
  <c r="H281" i="14" s="1"/>
  <c r="H1394" i="14" a="1"/>
  <c r="H1394" i="14" s="1"/>
  <c r="H1480" i="14" a="1"/>
  <c r="H1480" i="14" s="1"/>
  <c r="H249" i="14" a="1"/>
  <c r="H249" i="14" s="1"/>
  <c r="H307" i="14" a="1"/>
  <c r="H307" i="14" s="1"/>
  <c r="H51" i="14" a="1"/>
  <c r="H51" i="14" s="1"/>
  <c r="H1403" i="14" a="1"/>
  <c r="H1403" i="14" s="1"/>
  <c r="H1483" i="14" a="1"/>
  <c r="H1483" i="14" s="1"/>
  <c r="H256" i="14" a="1"/>
  <c r="H256" i="14" s="1"/>
  <c r="H302" i="14" a="1"/>
  <c r="H302" i="14" s="1"/>
  <c r="H37" i="14" a="1"/>
  <c r="H37" i="14" s="1"/>
  <c r="H1397" i="14" a="1"/>
  <c r="H1397" i="14" s="1"/>
  <c r="H1481" i="14" a="1"/>
  <c r="H1481" i="14" s="1"/>
  <c r="L1481" i="14" s="1"/>
  <c r="H257" i="14" a="1"/>
  <c r="H257" i="14" s="1"/>
  <c r="H332" i="14" a="1"/>
  <c r="H332" i="14" s="1"/>
  <c r="H41" i="14" a="1"/>
  <c r="H41" i="14" s="1"/>
  <c r="H1427" i="14" a="1"/>
  <c r="H1427" i="14" s="1"/>
  <c r="L1427" i="14" s="1"/>
  <c r="H1488" i="14" a="1"/>
  <c r="H1488" i="14" s="1"/>
  <c r="H292" i="14" a="1"/>
  <c r="H292" i="14" s="1"/>
  <c r="H413" i="14" a="1"/>
  <c r="H413" i="14" s="1"/>
  <c r="H1365" i="14" a="1"/>
  <c r="H1365" i="14" s="1"/>
  <c r="L1365" i="14" s="1"/>
  <c r="H1448" i="14" a="1"/>
  <c r="H1448" i="14" s="1"/>
  <c r="H110" i="14" a="1"/>
  <c r="H110" i="14" s="1"/>
  <c r="H293" i="14" a="1"/>
  <c r="H293" i="14" s="1"/>
  <c r="H1380" i="14" a="1"/>
  <c r="H1380" i="14" s="1"/>
  <c r="L1380" i="14" s="1"/>
  <c r="H1479" i="14" a="1"/>
  <c r="H1479" i="14" s="1"/>
  <c r="H251" i="14" a="1"/>
  <c r="H251" i="14" s="1"/>
  <c r="H718" i="14" a="1"/>
  <c r="H718" i="14" s="1"/>
  <c r="H1052" i="14" a="1"/>
  <c r="H1052" i="14" s="1"/>
  <c r="L1052" i="14" s="1"/>
  <c r="H1155" i="14" a="1"/>
  <c r="H1155" i="14" s="1"/>
  <c r="H1190" i="14" a="1"/>
  <c r="H1190" i="14" s="1"/>
  <c r="H739" i="14" a="1"/>
  <c r="H739" i="14" s="1"/>
  <c r="H687" i="14" a="1"/>
  <c r="H687" i="14" s="1"/>
  <c r="L687" i="14" s="1"/>
  <c r="H955" i="14" a="1"/>
  <c r="H955" i="14" s="1"/>
  <c r="H1237" i="14" a="1"/>
  <c r="H1237" i="14" s="1"/>
  <c r="H1259" i="14" a="1"/>
  <c r="H1259" i="14" s="1"/>
  <c r="H599" i="14" a="1"/>
  <c r="H599" i="14" s="1"/>
  <c r="L599" i="14" s="1"/>
  <c r="H589" i="14" a="1"/>
  <c r="H589" i="14" s="1"/>
  <c r="H855" i="14" a="1"/>
  <c r="H855" i="14" s="1"/>
  <c r="H1221" i="14" a="1"/>
  <c r="H1221" i="14" s="1"/>
  <c r="H1282" i="14" a="1"/>
  <c r="H1282" i="14" s="1"/>
  <c r="L1282" i="14" s="1"/>
  <c r="H615" i="14" a="1"/>
  <c r="H615" i="14" s="1"/>
  <c r="H623" i="14" a="1"/>
  <c r="H623" i="14" s="1"/>
  <c r="H907" i="14" a="1"/>
  <c r="H907" i="14" s="1"/>
  <c r="H1219" i="14" a="1"/>
  <c r="H1219" i="14" s="1"/>
  <c r="L1219" i="14" s="1"/>
  <c r="H1292" i="14" a="1"/>
  <c r="H1292" i="14" s="1"/>
  <c r="H677" i="14" a="1"/>
  <c r="H677" i="14" s="1"/>
  <c r="H1423" i="14" a="1"/>
  <c r="H1423" i="14" s="1"/>
  <c r="H1456" i="14" a="1"/>
  <c r="H1456" i="14" s="1"/>
  <c r="L1456" i="14" s="1"/>
  <c r="H79" i="14" a="1"/>
  <c r="H79" i="14" s="1"/>
  <c r="H1447" i="14" a="1"/>
  <c r="H1447" i="14" s="1"/>
  <c r="H1399" i="14" a="1"/>
  <c r="H1399" i="14" s="1"/>
  <c r="H1411" i="14" a="1"/>
  <c r="H1411" i="14" s="1"/>
  <c r="L1411" i="14" s="1"/>
  <c r="H97" i="14" a="1"/>
  <c r="H97" i="14" s="1"/>
  <c r="H1406" i="14" a="1"/>
  <c r="H1406" i="14" s="1"/>
  <c r="H1249" i="14" a="1"/>
  <c r="H1249" i="14" s="1"/>
  <c r="H1299" i="14" a="1"/>
  <c r="H1299" i="14" s="1"/>
  <c r="L1299" i="14" s="1"/>
  <c r="H497" i="14" a="1"/>
  <c r="H497" i="14" s="1"/>
  <c r="H507" i="14" a="1"/>
  <c r="H507" i="14" s="1"/>
  <c r="H1247" i="14" a="1"/>
  <c r="H1247" i="14" s="1"/>
  <c r="H1370" i="14" a="1"/>
  <c r="H1370" i="14" s="1"/>
  <c r="L1370" i="14" s="1"/>
  <c r="H1381" i="14" a="1"/>
  <c r="H1381" i="14" s="1"/>
  <c r="H89" i="14" a="1"/>
  <c r="H89" i="14" s="1"/>
  <c r="H1396" i="14" a="1"/>
  <c r="H1396" i="14" s="1"/>
  <c r="H163" i="14" a="1"/>
  <c r="H163" i="14" s="1"/>
  <c r="L163" i="14" s="1"/>
  <c r="H52" i="14" a="1"/>
  <c r="H52" i="14" s="1"/>
  <c r="H1371" i="14" a="1"/>
  <c r="H1371" i="14" s="1"/>
  <c r="H1338" i="14" a="1"/>
  <c r="H1338" i="14" s="1"/>
  <c r="H172" i="14" a="1"/>
  <c r="H172" i="14" s="1"/>
  <c r="L172" i="14" s="1"/>
  <c r="H193" i="14" a="1"/>
  <c r="H193" i="14" s="1"/>
  <c r="H369" i="14" a="1"/>
  <c r="H369" i="14" s="1"/>
  <c r="H1353" i="14" a="1"/>
  <c r="H1353" i="14" s="1"/>
  <c r="H1341" i="14" a="1"/>
  <c r="H1341" i="14" s="1"/>
  <c r="L1341" i="14" s="1"/>
  <c r="H207" i="14" a="1"/>
  <c r="H207" i="14" s="1"/>
  <c r="H95" i="14" a="1"/>
  <c r="H95" i="14" s="1"/>
  <c r="L95" i="14" s="1"/>
  <c r="H1234" i="14" a="1"/>
  <c r="H1234" i="14" s="1"/>
  <c r="H1334" i="14" a="1"/>
  <c r="H1334" i="14" s="1"/>
  <c r="L1334" i="14" s="1"/>
  <c r="H1430" i="14" a="1"/>
  <c r="H1430" i="14" s="1"/>
  <c r="H87" i="14" a="1"/>
  <c r="H87" i="14" s="1"/>
  <c r="L87" i="14" s="1"/>
  <c r="H658" i="14" a="1"/>
  <c r="H658" i="14" s="1"/>
  <c r="H833" i="14" a="1"/>
  <c r="H833" i="14" s="1"/>
  <c r="H1306" i="14" a="1"/>
  <c r="H1306" i="14" s="1"/>
  <c r="H1287" i="14" a="1"/>
  <c r="H1287" i="14" s="1"/>
  <c r="L1287" i="14" s="1"/>
  <c r="H803" i="14" a="1"/>
  <c r="H803" i="14" s="1"/>
  <c r="H807" i="14" a="1"/>
  <c r="H807" i="14" s="1"/>
  <c r="L807" i="14" s="1"/>
  <c r="H984" i="14" a="1"/>
  <c r="H984" i="14" s="1"/>
  <c r="H1325" i="14" a="1"/>
  <c r="H1325" i="14" s="1"/>
  <c r="L1325" i="14" s="1"/>
  <c r="H1313" i="14" a="1"/>
  <c r="H1313" i="14" s="1"/>
  <c r="H988" i="14" a="1"/>
  <c r="H988" i="14" s="1"/>
  <c r="H716" i="14" a="1"/>
  <c r="H716" i="14" s="1"/>
  <c r="H875" i="14" a="1"/>
  <c r="H875" i="14" s="1"/>
  <c r="L875" i="14" s="1"/>
  <c r="H1336" i="14" a="1"/>
  <c r="H1336" i="14" s="1"/>
  <c r="H1315" i="14" a="1"/>
  <c r="H1315" i="14" s="1"/>
  <c r="H869" i="14" a="1"/>
  <c r="H869" i="14" s="1"/>
  <c r="L869" i="14" s="1"/>
  <c r="H720" i="14" a="1"/>
  <c r="H720" i="14" s="1"/>
  <c r="L720" i="14" s="1"/>
  <c r="H885" i="14" a="1"/>
  <c r="H885" i="14" s="1"/>
  <c r="L885" i="14" s="1"/>
  <c r="H1319" i="14" a="1"/>
  <c r="H1319" i="14" s="1"/>
  <c r="L1319" i="14" s="1"/>
  <c r="H1284" i="14" a="1"/>
  <c r="H1284" i="14" s="1"/>
  <c r="H881" i="14" a="1"/>
  <c r="H881" i="14" s="1"/>
  <c r="H1450" i="14" a="1"/>
  <c r="H1450" i="14" s="1"/>
  <c r="L1450" i="14" s="1"/>
  <c r="H1478" i="14" a="1"/>
  <c r="H1478" i="14" s="1"/>
  <c r="H88" i="14" a="1"/>
  <c r="H88" i="14" s="1"/>
  <c r="L88" i="14" s="1"/>
  <c r="H1465" i="14" a="1"/>
  <c r="H1465" i="14" s="1"/>
  <c r="L1465" i="14" s="1"/>
  <c r="H260" i="14" a="1"/>
  <c r="H260" i="14" s="1"/>
  <c r="L260" i="14" s="1"/>
  <c r="H447" i="14" a="1"/>
  <c r="H447" i="14" s="1"/>
  <c r="H7" i="14" a="1"/>
  <c r="H7" i="14" s="1"/>
  <c r="L7" i="14" s="1"/>
  <c r="H1359" i="14" a="1"/>
  <c r="H1359" i="14" s="1"/>
  <c r="H271" i="14" a="1"/>
  <c r="H271" i="14" s="1"/>
  <c r="H700" i="14" a="1"/>
  <c r="H700" i="14" s="1"/>
  <c r="L700" i="14" s="1"/>
  <c r="H866" i="14" a="1"/>
  <c r="H866" i="14" s="1"/>
  <c r="L866" i="14" s="1"/>
  <c r="H1305" i="14" a="1"/>
  <c r="H1305" i="14" s="1"/>
  <c r="L1305" i="14" s="1"/>
  <c r="H1295" i="14" a="1"/>
  <c r="H1295" i="14" s="1"/>
  <c r="L1295" i="14" s="1"/>
  <c r="H818" i="14" a="1"/>
  <c r="H818" i="14" s="1"/>
  <c r="L818" i="14" s="1"/>
  <c r="H724" i="14" a="1"/>
  <c r="H724" i="14" s="1"/>
  <c r="H883" i="14" a="1"/>
  <c r="H883" i="14" s="1"/>
  <c r="H1329" i="14" a="1"/>
  <c r="H1329" i="14" s="1"/>
  <c r="H1383" i="14" a="1"/>
  <c r="H1383" i="14" s="1"/>
  <c r="L1383" i="14" s="1"/>
  <c r="H733" i="14" a="1"/>
  <c r="H733" i="14" s="1"/>
  <c r="L733" i="14" s="1"/>
  <c r="H382" i="14" a="1"/>
  <c r="H382" i="14" s="1"/>
  <c r="L382" i="14" s="1"/>
  <c r="H20" i="14" a="1"/>
  <c r="H20" i="14" s="1"/>
  <c r="L20" i="14" s="1"/>
  <c r="H1434" i="14" a="1"/>
  <c r="H1434" i="14" s="1"/>
  <c r="H1495" i="14" a="1"/>
  <c r="H1495" i="14" s="1"/>
  <c r="L1495" i="14" s="1"/>
  <c r="H357" i="14" a="1"/>
  <c r="H357" i="14" s="1"/>
  <c r="H211" i="14" a="1"/>
  <c r="H211" i="14" s="1"/>
  <c r="H274" i="14" a="1"/>
  <c r="H274" i="14" s="1"/>
  <c r="L274" i="14" s="1"/>
  <c r="H1408" i="14" a="1"/>
  <c r="H1408" i="14" s="1"/>
  <c r="L1408" i="14" s="1"/>
  <c r="H1492" i="14" a="1"/>
  <c r="H1492" i="14" s="1"/>
  <c r="L1492" i="14" s="1"/>
  <c r="H174" i="14" a="1"/>
  <c r="H174" i="14" s="1"/>
  <c r="L174" i="14" s="1"/>
  <c r="H199" i="14" a="1"/>
  <c r="H199" i="14" s="1"/>
  <c r="L199" i="14" s="1"/>
  <c r="H123" i="14" a="1"/>
  <c r="H123" i="14" s="1"/>
  <c r="H1387" i="14" a="1"/>
  <c r="H1387" i="14" s="1"/>
  <c r="H1491" i="14" a="1"/>
  <c r="H1491" i="14" s="1"/>
  <c r="H154" i="14" a="1"/>
  <c r="H154" i="14" s="1"/>
  <c r="L154" i="14" s="1"/>
  <c r="H48" i="14" a="1"/>
  <c r="H48" i="14" s="1"/>
  <c r="L48" i="14" s="1"/>
  <c r="H201" i="14" a="1"/>
  <c r="H201" i="14" s="1"/>
  <c r="L201" i="14" s="1"/>
  <c r="H1385" i="14" a="1"/>
  <c r="H1385" i="14" s="1"/>
  <c r="L1385" i="14" s="1"/>
  <c r="H1462" i="14" a="1"/>
  <c r="H1462" i="14" s="1"/>
  <c r="L1462" i="14" s="1"/>
  <c r="H71" i="14" a="1"/>
  <c r="H71" i="14" s="1"/>
  <c r="H252" i="14" a="1"/>
  <c r="H252" i="14" s="1"/>
  <c r="H1395" i="14" a="1"/>
  <c r="H1395" i="14" s="1"/>
  <c r="H1466" i="14" a="1"/>
  <c r="H1466" i="14" s="1"/>
  <c r="L1466" i="14" s="1"/>
  <c r="H334" i="14" a="1"/>
  <c r="H334" i="14" s="1"/>
  <c r="L334" i="14" s="1"/>
  <c r="H1276" i="14" a="1"/>
  <c r="H1276" i="14" s="1"/>
  <c r="L1276" i="14" s="1"/>
  <c r="H1444" i="14" a="1"/>
  <c r="H1444" i="14" s="1"/>
  <c r="L1444" i="14" s="1"/>
  <c r="H101" i="14" a="1"/>
  <c r="H101" i="14" s="1"/>
  <c r="L101" i="14" s="1"/>
  <c r="H1038" i="14" a="1"/>
  <c r="H1038" i="14" s="1"/>
  <c r="H1032" i="14" a="1"/>
  <c r="H1032" i="14" s="1"/>
  <c r="H1135" i="14" a="1"/>
  <c r="H1135" i="14" s="1"/>
  <c r="H1138" i="14" a="1"/>
  <c r="H1138" i="14" s="1"/>
  <c r="L1138" i="14" s="1"/>
  <c r="H958" i="14" a="1"/>
  <c r="H958" i="14" s="1"/>
  <c r="L958" i="14" s="1"/>
  <c r="H1166" i="14" a="1"/>
  <c r="H1166" i="14" s="1"/>
  <c r="L1166" i="14" s="1"/>
  <c r="H1149" i="14" a="1"/>
  <c r="H1149" i="14" s="1"/>
  <c r="L1149" i="14" s="1"/>
  <c r="H859" i="14" a="1"/>
  <c r="H859" i="14" s="1"/>
  <c r="L859" i="14" s="1"/>
  <c r="H774" i="14" a="1"/>
  <c r="H774" i="14" s="1"/>
  <c r="H1125" i="14" a="1"/>
  <c r="H1125" i="14" s="1"/>
  <c r="H1016" i="14" a="1"/>
  <c r="H1016" i="14" s="1"/>
  <c r="H986" i="14" a="1"/>
  <c r="H986" i="14" s="1"/>
  <c r="L986" i="14" s="1"/>
  <c r="H1129" i="14" a="1"/>
  <c r="H1129" i="14" s="1"/>
  <c r="L1129" i="14" s="1"/>
  <c r="H1121" i="14" a="1"/>
  <c r="H1121" i="14" s="1"/>
  <c r="L1121" i="14" s="1"/>
  <c r="H938" i="14" a="1"/>
  <c r="H938" i="14" s="1"/>
  <c r="L938" i="14" s="1"/>
  <c r="H1090" i="14" a="1"/>
  <c r="H1090" i="14" s="1"/>
  <c r="L1090" i="14" s="1"/>
  <c r="H1123" i="14" a="1"/>
  <c r="H1123" i="14" s="1"/>
  <c r="L1123" i="14" s="1"/>
  <c r="H789" i="14" a="1"/>
  <c r="H789" i="14" s="1"/>
  <c r="H756" i="14" a="1"/>
  <c r="H756" i="14" s="1"/>
  <c r="H1063" i="14" a="1"/>
  <c r="H1063" i="14" s="1"/>
  <c r="L1063" i="14" s="1"/>
  <c r="H1173" i="14" a="1"/>
  <c r="H1173" i="14" s="1"/>
  <c r="L1173" i="14" s="1"/>
  <c r="H1158" i="14" a="1"/>
  <c r="H1158" i="14" s="1"/>
  <c r="L1158" i="14" s="1"/>
  <c r="H815" i="14" a="1"/>
  <c r="H815" i="14" s="1"/>
  <c r="L815" i="14" s="1"/>
  <c r="H781" i="14" a="1"/>
  <c r="H781" i="14" s="1"/>
  <c r="L781" i="14" s="1"/>
  <c r="H1147" i="14" a="1"/>
  <c r="H1147" i="14" s="1"/>
  <c r="I270" i="14"/>
  <c r="I271" i="14" s="1"/>
  <c r="I206" i="14"/>
  <c r="O206" i="14" s="1"/>
  <c r="I207" i="14" a="1"/>
  <c r="I207" i="14" s="1"/>
  <c r="O207" i="14" s="1"/>
  <c r="I169" i="14"/>
  <c r="O169" i="14" s="1"/>
  <c r="O298" i="14"/>
  <c r="O1362" i="14"/>
  <c r="O1441" i="14"/>
  <c r="O76" i="14"/>
  <c r="O294" i="14"/>
  <c r="O1369" i="14"/>
  <c r="O1451" i="14"/>
  <c r="O72" i="14"/>
  <c r="O92" i="14"/>
  <c r="O316" i="14"/>
  <c r="O1351" i="14"/>
  <c r="O1452" i="14"/>
  <c r="O743" i="14"/>
  <c r="O320" i="14"/>
  <c r="O36" i="14"/>
  <c r="O1424" i="14"/>
  <c r="O1489" i="14"/>
  <c r="O279" i="14"/>
  <c r="O281" i="14"/>
  <c r="O1394" i="14"/>
  <c r="O1480" i="14"/>
  <c r="O249" i="14"/>
  <c r="O307" i="14"/>
  <c r="O51" i="14"/>
  <c r="O1403" i="14"/>
  <c r="O1483" i="14"/>
  <c r="O256" i="14"/>
  <c r="O302" i="14"/>
  <c r="O37" i="14"/>
  <c r="O1397" i="14"/>
  <c r="O1481" i="14"/>
  <c r="O257" i="14"/>
  <c r="O332" i="14"/>
  <c r="O41" i="14"/>
  <c r="O1427" i="14"/>
  <c r="O1488" i="14"/>
  <c r="O292" i="14"/>
  <c r="O413" i="14"/>
  <c r="O1365" i="14"/>
  <c r="O1448" i="14"/>
  <c r="O110" i="14"/>
  <c r="O293" i="14"/>
  <c r="O1380" i="14"/>
  <c r="O1479" i="14"/>
  <c r="O251" i="14"/>
  <c r="O718" i="14"/>
  <c r="O1052" i="14"/>
  <c r="O1155" i="14"/>
  <c r="O1190" i="14"/>
  <c r="O739" i="14"/>
  <c r="O687" i="14"/>
  <c r="O955" i="14"/>
  <c r="O1237" i="14"/>
  <c r="O1259" i="14"/>
  <c r="O599" i="14"/>
  <c r="O589" i="14"/>
  <c r="O855" i="14"/>
  <c r="O1221" i="14"/>
  <c r="O1282" i="14"/>
  <c r="O615" i="14"/>
  <c r="O623" i="14"/>
  <c r="O907" i="14"/>
  <c r="O1219" i="14"/>
  <c r="O1292" i="14"/>
  <c r="O677" i="14"/>
  <c r="O1423" i="14"/>
  <c r="O1456" i="14"/>
  <c r="O79" i="14"/>
  <c r="O1447" i="14"/>
  <c r="O1399" i="14"/>
  <c r="O1411" i="14"/>
  <c r="O97" i="14"/>
  <c r="O1406" i="14"/>
  <c r="O1249" i="14"/>
  <c r="O1299" i="14"/>
  <c r="O497" i="14"/>
  <c r="O507" i="14"/>
  <c r="O1247" i="14"/>
  <c r="O1370" i="14"/>
  <c r="O1381" i="14"/>
  <c r="O89" i="14"/>
  <c r="O1396" i="14"/>
  <c r="O163" i="14"/>
  <c r="O52" i="14"/>
  <c r="O1371" i="14"/>
  <c r="O1338" i="14"/>
  <c r="O172" i="14"/>
  <c r="O193" i="14"/>
  <c r="O369" i="14"/>
  <c r="O1353" i="14"/>
  <c r="O1341" i="14"/>
  <c r="O95" i="14"/>
  <c r="O1234" i="14"/>
  <c r="O1334" i="14"/>
  <c r="O1430" i="14"/>
  <c r="O87" i="14"/>
  <c r="O658" i="14"/>
  <c r="O833" i="14"/>
  <c r="O1306" i="14"/>
  <c r="O1287" i="14"/>
  <c r="O803" i="14"/>
  <c r="O807" i="14"/>
  <c r="O984" i="14"/>
  <c r="O1325" i="14"/>
  <c r="O1313" i="14"/>
  <c r="O988" i="14"/>
  <c r="O716" i="14"/>
  <c r="O875" i="14"/>
  <c r="O1336" i="14"/>
  <c r="O1315" i="14"/>
  <c r="O869" i="14"/>
  <c r="O720" i="14"/>
  <c r="O885" i="14"/>
  <c r="O1319" i="14"/>
  <c r="O1284" i="14"/>
  <c r="O881" i="14"/>
  <c r="O1450" i="14"/>
  <c r="O1478" i="14"/>
  <c r="O88" i="14"/>
  <c r="O1465" i="14"/>
  <c r="O260" i="14"/>
  <c r="O447" i="14"/>
  <c r="O7" i="14"/>
  <c r="O1359" i="14"/>
  <c r="O271" i="14"/>
  <c r="O700" i="14"/>
  <c r="O866" i="14"/>
  <c r="O1305" i="14"/>
  <c r="O1295" i="14"/>
  <c r="O818" i="14"/>
  <c r="O724" i="14"/>
  <c r="O883" i="14"/>
  <c r="O1329" i="14"/>
  <c r="O1383" i="14"/>
  <c r="O733" i="14"/>
  <c r="O382" i="14"/>
  <c r="O20" i="14"/>
  <c r="O1434" i="14"/>
  <c r="O1495" i="14"/>
  <c r="O357" i="14"/>
  <c r="O211" i="14"/>
  <c r="O274" i="14"/>
  <c r="O1408" i="14"/>
  <c r="O1492" i="14"/>
  <c r="O174" i="14"/>
  <c r="O199" i="14"/>
  <c r="O123" i="14"/>
  <c r="O1387" i="14"/>
  <c r="O1491" i="14"/>
  <c r="O154" i="14"/>
  <c r="O48" i="14"/>
  <c r="O201" i="14"/>
  <c r="O1385" i="14"/>
  <c r="O1462" i="14"/>
  <c r="O71" i="14"/>
  <c r="O252" i="14"/>
  <c r="O1395" i="14"/>
  <c r="O1466" i="14"/>
  <c r="O334" i="14"/>
  <c r="O1276" i="14"/>
  <c r="O1444" i="14"/>
  <c r="O101" i="14"/>
  <c r="O1038" i="14"/>
  <c r="O1032" i="14"/>
  <c r="O1135" i="14"/>
  <c r="O1138" i="14"/>
  <c r="O958" i="14"/>
  <c r="O1166" i="14"/>
  <c r="O1149" i="14"/>
  <c r="O859" i="14"/>
  <c r="O774" i="14"/>
  <c r="O1125" i="14"/>
  <c r="O1016" i="14"/>
  <c r="O986" i="14"/>
  <c r="O1129" i="14"/>
  <c r="O1121" i="14"/>
  <c r="O938" i="14"/>
  <c r="O1090" i="14"/>
  <c r="O1123" i="14"/>
  <c r="O789" i="14"/>
  <c r="O756" i="14"/>
  <c r="O1063" i="14"/>
  <c r="O1173" i="14"/>
  <c r="O1158" i="14"/>
  <c r="O815" i="14"/>
  <c r="O781" i="14"/>
  <c r="O1147" i="14"/>
  <c r="N867" i="14" l="1"/>
  <c r="L206" i="14"/>
  <c r="L1088" i="14"/>
  <c r="N1088" i="14" s="1"/>
  <c r="L867" i="14"/>
  <c r="N1098" i="14"/>
  <c r="N888" i="14"/>
  <c r="L888" i="14"/>
  <c r="N206" i="14"/>
  <c r="L1206" i="14"/>
  <c r="L1013" i="14"/>
  <c r="L1188" i="14"/>
  <c r="L766" i="14"/>
  <c r="L860" i="14"/>
  <c r="N860" i="14" s="1"/>
  <c r="L1355" i="14"/>
  <c r="L1163" i="14"/>
  <c r="L1193" i="14"/>
  <c r="L977" i="14"/>
  <c r="N977" i="14" s="1"/>
  <c r="L395" i="14"/>
  <c r="N395" i="14" s="1"/>
  <c r="L1098" i="14"/>
  <c r="M624" i="14"/>
  <c r="P624" i="14" s="1"/>
  <c r="M843" i="14"/>
  <c r="P843" i="14" s="1"/>
  <c r="M914" i="14"/>
  <c r="P914" i="14" s="1"/>
  <c r="M1266" i="14"/>
  <c r="P1266" i="14" s="1"/>
  <c r="M1435" i="14"/>
  <c r="P1435" i="14" s="1"/>
  <c r="M827" i="14"/>
  <c r="P827" i="14" s="1"/>
  <c r="M114" i="14"/>
  <c r="P114" i="14" s="1"/>
  <c r="O1340" i="14"/>
  <c r="O401" i="14"/>
  <c r="O397" i="14"/>
  <c r="L6" i="14"/>
  <c r="N6" i="14" s="1"/>
  <c r="P906" i="14"/>
  <c r="O642" i="14"/>
  <c r="O1027" i="14"/>
  <c r="L1261" i="14"/>
  <c r="N1261" i="14" s="1"/>
  <c r="O713" i="14"/>
  <c r="O379" i="14"/>
  <c r="M308" i="14"/>
  <c r="P308" i="14" s="1"/>
  <c r="M403" i="14"/>
  <c r="P403" i="14" s="1"/>
  <c r="M515" i="14"/>
  <c r="P515" i="14" s="1"/>
  <c r="L1233" i="14"/>
  <c r="N1233" i="14" s="1"/>
  <c r="M282" i="14"/>
  <c r="P282" i="14" s="1"/>
  <c r="M1458" i="14"/>
  <c r="P1458" i="14" s="1"/>
  <c r="M588" i="14"/>
  <c r="P588" i="14" s="1"/>
  <c r="M878" i="14"/>
  <c r="P878" i="14" s="1"/>
  <c r="M1175" i="14"/>
  <c r="P1175" i="14" s="1"/>
  <c r="M1104" i="14"/>
  <c r="P1104" i="14" s="1"/>
  <c r="M928" i="14"/>
  <c r="P928" i="14" s="1"/>
  <c r="M566" i="14"/>
  <c r="P566" i="14" s="1"/>
  <c r="M537" i="14"/>
  <c r="P537" i="14" s="1"/>
  <c r="M1126" i="14"/>
  <c r="P1126" i="14" s="1"/>
  <c r="M510" i="14"/>
  <c r="P510" i="14" s="1"/>
  <c r="M602" i="14"/>
  <c r="P602" i="14" s="1"/>
  <c r="M1271" i="14"/>
  <c r="P1271" i="14" s="1"/>
  <c r="M1001" i="14"/>
  <c r="P1001" i="14" s="1"/>
  <c r="M161" i="14"/>
  <c r="P161" i="14" s="1"/>
  <c r="M1432" i="14"/>
  <c r="P1432" i="14" s="1"/>
  <c r="M1318" i="14"/>
  <c r="P1318" i="14" s="1"/>
  <c r="M458" i="14"/>
  <c r="P458" i="14" s="1"/>
  <c r="M312" i="14"/>
  <c r="P312" i="14" s="1"/>
  <c r="M961" i="14"/>
  <c r="P961" i="14" s="1"/>
  <c r="M215" i="14"/>
  <c r="P215" i="14" s="1"/>
  <c r="M653" i="14"/>
  <c r="P653" i="14" s="1"/>
  <c r="K797" i="14"/>
  <c r="K1112" i="14"/>
  <c r="K1131" i="14"/>
  <c r="K1446" i="14"/>
  <c r="K723" i="14"/>
  <c r="K1116" i="14"/>
  <c r="L213" i="14"/>
  <c r="N213" i="14" s="1"/>
  <c r="M179" i="14"/>
  <c r="P179" i="14" s="1"/>
  <c r="O819" i="14"/>
  <c r="O102" i="14"/>
  <c r="O633" i="14"/>
  <c r="O1277" i="14"/>
  <c r="O538" i="14"/>
  <c r="O440" i="14"/>
  <c r="L256" i="14"/>
  <c r="N256" i="14" s="1"/>
  <c r="L307" i="14"/>
  <c r="N307" i="14" s="1"/>
  <c r="L281" i="14"/>
  <c r="N281" i="14" s="1"/>
  <c r="L36" i="14"/>
  <c r="N36" i="14" s="1"/>
  <c r="L1351" i="14"/>
  <c r="N1351" i="14" s="1"/>
  <c r="L1451" i="14"/>
  <c r="N1451" i="14" s="1"/>
  <c r="L1441" i="14"/>
  <c r="N1441" i="14" s="1"/>
  <c r="L962" i="14"/>
  <c r="N962" i="14" s="1"/>
  <c r="L392" i="14"/>
  <c r="N392" i="14" s="1"/>
  <c r="L146" i="14"/>
  <c r="N146" i="14" s="1"/>
  <c r="L186" i="14"/>
  <c r="N186" i="14" s="1"/>
  <c r="L371" i="14"/>
  <c r="N371" i="14" s="1"/>
  <c r="L401" i="14"/>
  <c r="N401" i="14" s="1"/>
  <c r="L1433" i="14"/>
  <c r="N1433" i="14" s="1"/>
  <c r="L1268" i="14"/>
  <c r="N1268" i="14" s="1"/>
  <c r="M21" i="14"/>
  <c r="P21" i="14" s="1"/>
  <c r="M354" i="14"/>
  <c r="P354" i="14" s="1"/>
  <c r="O1239" i="14"/>
  <c r="O202" i="14"/>
  <c r="O857" i="14"/>
  <c r="O959" i="14"/>
  <c r="O1034" i="14"/>
  <c r="O1194" i="14"/>
  <c r="O711" i="14"/>
  <c r="O1014" i="14"/>
  <c r="L916" i="14"/>
  <c r="N916" i="14" s="1"/>
  <c r="L119" i="14"/>
  <c r="N119" i="14" s="1"/>
  <c r="L270" i="14"/>
  <c r="N270" i="14" s="1"/>
  <c r="M1160" i="14"/>
  <c r="P1160" i="14" s="1"/>
  <c r="M551" i="14"/>
  <c r="P551" i="14" s="1"/>
  <c r="M946" i="14"/>
  <c r="P946" i="14" s="1"/>
  <c r="M488" i="14"/>
  <c r="P488" i="14" s="1"/>
  <c r="M847" i="14"/>
  <c r="P847" i="14" s="1"/>
  <c r="M732" i="14"/>
  <c r="P732" i="14" s="1"/>
  <c r="M1286" i="14"/>
  <c r="P1286" i="14" s="1"/>
  <c r="L188" i="14"/>
  <c r="N188" i="14" s="1"/>
  <c r="L1458" i="14"/>
  <c r="N1458" i="14" s="1"/>
  <c r="O916" i="14"/>
  <c r="O965" i="14"/>
  <c r="O340" i="14"/>
  <c r="O119" i="14"/>
  <c r="L26" i="14"/>
  <c r="N26" i="14" s="1"/>
  <c r="L1175" i="14"/>
  <c r="N1175" i="14" s="1"/>
  <c r="L246" i="14"/>
  <c r="N246" i="14" s="1"/>
  <c r="L740" i="14"/>
  <c r="N740" i="14" s="1"/>
  <c r="M1136" i="14"/>
  <c r="P1136" i="14" s="1"/>
  <c r="M788" i="14"/>
  <c r="P788" i="14" s="1"/>
  <c r="M1238" i="14"/>
  <c r="P1238" i="14" s="1"/>
  <c r="M987" i="14"/>
  <c r="P987" i="14" s="1"/>
  <c r="M370" i="14"/>
  <c r="P370" i="14" s="1"/>
  <c r="M284" i="14"/>
  <c r="P284" i="14" s="1"/>
  <c r="M1021" i="14"/>
  <c r="P1021" i="14" s="1"/>
  <c r="O1171" i="14"/>
  <c r="O1225" i="14"/>
  <c r="O1039" i="14"/>
  <c r="L716" i="14"/>
  <c r="N716" i="14" s="1"/>
  <c r="L1306" i="14"/>
  <c r="N1306" i="14" s="1"/>
  <c r="L207" i="14"/>
  <c r="N207" i="14" s="1"/>
  <c r="L193" i="14"/>
  <c r="N193" i="14" s="1"/>
  <c r="L1127" i="14"/>
  <c r="N1127" i="14" s="1"/>
  <c r="L1134" i="14"/>
  <c r="N1134" i="14" s="1"/>
  <c r="L1086" i="14"/>
  <c r="N1086" i="14" s="1"/>
  <c r="L656" i="14"/>
  <c r="N656" i="14" s="1"/>
  <c r="L769" i="14"/>
  <c r="N769" i="14" s="1"/>
  <c r="L941" i="14"/>
  <c r="N941" i="14" s="1"/>
  <c r="L980" i="14"/>
  <c r="N980" i="14" s="1"/>
  <c r="L882" i="14"/>
  <c r="N882" i="14" s="1"/>
  <c r="L840" i="14"/>
  <c r="N840" i="14" s="1"/>
  <c r="L142" i="14"/>
  <c r="N142" i="14" s="1"/>
  <c r="L195" i="14"/>
  <c r="N195" i="14" s="1"/>
  <c r="L297" i="14"/>
  <c r="N297" i="14" s="1"/>
  <c r="L1317" i="14"/>
  <c r="N1317" i="14" s="1"/>
  <c r="L229" i="14"/>
  <c r="N229" i="14" s="1"/>
  <c r="L799" i="14"/>
  <c r="N799" i="14" s="1"/>
  <c r="L620" i="14"/>
  <c r="N620" i="14" s="1"/>
  <c r="L221" i="14"/>
  <c r="N221" i="14" s="1"/>
  <c r="L506" i="14"/>
  <c r="N506" i="14" s="1"/>
  <c r="L1191" i="14"/>
  <c r="N1191" i="14" s="1"/>
  <c r="L1213" i="14"/>
  <c r="N1213" i="14" s="1"/>
  <c r="L1184" i="14"/>
  <c r="N1184" i="14" s="1"/>
  <c r="L178" i="14"/>
  <c r="N178" i="14" s="1"/>
  <c r="L66" i="14"/>
  <c r="N66" i="14" s="1"/>
  <c r="L62" i="14"/>
  <c r="N62" i="14" s="1"/>
  <c r="L150" i="14"/>
  <c r="N150" i="14" s="1"/>
  <c r="L454" i="14"/>
  <c r="N454" i="14" s="1"/>
  <c r="L1320" i="14"/>
  <c r="N1320" i="14" s="1"/>
  <c r="L1231" i="14"/>
  <c r="N1231" i="14" s="1"/>
  <c r="L1392" i="14"/>
  <c r="N1392" i="14" s="1"/>
  <c r="L1388" i="14"/>
  <c r="N1388" i="14" s="1"/>
  <c r="L1420" i="14"/>
  <c r="N1420" i="14" s="1"/>
  <c r="L1140" i="14"/>
  <c r="N1140" i="14" s="1"/>
  <c r="L90" i="14"/>
  <c r="N90" i="14" s="1"/>
  <c r="L579" i="14"/>
  <c r="N579" i="14" s="1"/>
  <c r="L610" i="14"/>
  <c r="N610" i="14" s="1"/>
  <c r="L664" i="14"/>
  <c r="N664" i="14" s="1"/>
  <c r="L1298" i="14"/>
  <c r="N1298" i="14" s="1"/>
  <c r="L694" i="14"/>
  <c r="N694" i="14" s="1"/>
  <c r="L1290" i="14"/>
  <c r="N1290" i="14" s="1"/>
  <c r="L904" i="14"/>
  <c r="N904" i="14" s="1"/>
  <c r="L208" i="14"/>
  <c r="N208" i="14" s="1"/>
  <c r="L309" i="14"/>
  <c r="N309" i="14" s="1"/>
  <c r="L437" i="14"/>
  <c r="N437" i="14" s="1"/>
  <c r="L1279" i="14"/>
  <c r="N1279" i="14" s="1"/>
  <c r="L33" i="14"/>
  <c r="N33" i="14" s="1"/>
  <c r="L47" i="14"/>
  <c r="N47" i="14" s="1"/>
  <c r="L684" i="14"/>
  <c r="N684" i="14" s="1"/>
  <c r="L1379" i="14"/>
  <c r="L349" i="14"/>
  <c r="N349" i="14" s="1"/>
  <c r="K922" i="14"/>
  <c r="K832" i="14"/>
  <c r="N832" i="14" s="1"/>
  <c r="K1081" i="14"/>
  <c r="K1013" i="14"/>
  <c r="N1013" i="14" s="1"/>
  <c r="K1075" i="14"/>
  <c r="N1075" i="14" s="1"/>
  <c r="K328" i="14"/>
  <c r="N328" i="14" s="1"/>
  <c r="K593" i="14"/>
  <c r="N593" i="14" s="1"/>
  <c r="M616" i="14"/>
  <c r="P616" i="14" s="1"/>
  <c r="L1078" i="14"/>
  <c r="N1078" i="14" s="1"/>
  <c r="L751" i="14"/>
  <c r="N751" i="14" s="1"/>
  <c r="L1150" i="14"/>
  <c r="N1150" i="14" s="1"/>
  <c r="O763" i="14"/>
  <c r="O151" i="14"/>
  <c r="O1264" i="14"/>
  <c r="O1142" i="14"/>
  <c r="O246" i="14"/>
  <c r="O1197" i="14"/>
  <c r="M57" i="14"/>
  <c r="P57" i="14" s="1"/>
  <c r="M912" i="14"/>
  <c r="P912" i="14" s="1"/>
  <c r="M496" i="14"/>
  <c r="P496" i="14" s="1"/>
  <c r="M1122" i="14"/>
  <c r="P1122" i="14" s="1"/>
  <c r="M978" i="14"/>
  <c r="P978" i="14" s="1"/>
  <c r="O69" i="14"/>
  <c r="M502" i="14"/>
  <c r="P502" i="14" s="1"/>
  <c r="M889" i="14"/>
  <c r="P889" i="14" s="1"/>
  <c r="M478" i="14"/>
  <c r="P478" i="14" s="1"/>
  <c r="M528" i="14"/>
  <c r="P528" i="14" s="1"/>
  <c r="M1030" i="14"/>
  <c r="P1030" i="14" s="1"/>
  <c r="O580" i="14"/>
  <c r="O863" i="14"/>
  <c r="O550" i="14"/>
  <c r="O1082" i="14"/>
  <c r="O1258" i="14"/>
  <c r="O181" i="14"/>
  <c r="O554" i="14"/>
  <c r="O22" i="14"/>
  <c r="O645" i="14"/>
  <c r="O166" i="14"/>
  <c r="O935" i="14"/>
  <c r="O1235" i="14"/>
  <c r="O1042" i="14"/>
  <c r="O974" i="14"/>
  <c r="O920" i="14"/>
  <c r="O609" i="14"/>
  <c r="O786" i="14"/>
  <c r="O1018" i="14"/>
  <c r="O640" i="14"/>
  <c r="O771" i="14"/>
  <c r="O1189" i="14"/>
  <c r="O625" i="14"/>
  <c r="O306" i="14"/>
  <c r="O85" i="14"/>
  <c r="O18" i="14"/>
  <c r="O1245" i="14"/>
  <c r="O1143" i="14"/>
  <c r="O527" i="14"/>
  <c r="O949" i="14"/>
  <c r="O649" i="14"/>
  <c r="O127" i="14"/>
  <c r="O343" i="14"/>
  <c r="O1044" i="14"/>
  <c r="O463" i="14"/>
  <c r="O259" i="14"/>
  <c r="L550" i="14"/>
  <c r="N550" i="14" s="1"/>
  <c r="L22" i="14"/>
  <c r="N22" i="14" s="1"/>
  <c r="M554" i="14"/>
  <c r="P554" i="14" s="1"/>
  <c r="M26" i="14"/>
  <c r="P26" i="14" s="1"/>
  <c r="O600" i="14"/>
  <c r="O806" i="14"/>
  <c r="O445" i="14"/>
  <c r="O639" i="14"/>
  <c r="O250" i="14"/>
  <c r="O548" i="14"/>
  <c r="O777" i="14"/>
  <c r="O489" i="14"/>
  <c r="O23" i="14"/>
  <c r="O6" i="14"/>
  <c r="O1350" i="14"/>
  <c r="O1297" i="14"/>
  <c r="O561" i="14"/>
  <c r="O1236" i="14"/>
  <c r="O53" i="14"/>
  <c r="O467" i="14"/>
  <c r="O480" i="14"/>
  <c r="O375" i="14"/>
  <c r="O443" i="14"/>
  <c r="O190" i="14"/>
  <c r="L1434" i="14"/>
  <c r="N1434" i="14" s="1"/>
  <c r="L447" i="14"/>
  <c r="N447" i="14" s="1"/>
  <c r="L1494" i="14"/>
  <c r="N1494" i="14" s="1"/>
  <c r="L175" i="14"/>
  <c r="N175" i="14" s="1"/>
  <c r="L482" i="14"/>
  <c r="N482" i="14" s="1"/>
  <c r="L448" i="14"/>
  <c r="N448" i="14" s="1"/>
  <c r="L657" i="14"/>
  <c r="N657" i="14" s="1"/>
  <c r="L1223" i="14"/>
  <c r="N1223" i="14" s="1"/>
  <c r="L931" i="14"/>
  <c r="N931" i="14" s="1"/>
  <c r="L27" i="14"/>
  <c r="N27" i="14" s="1"/>
  <c r="L16" i="14"/>
  <c r="N16" i="14" s="1"/>
  <c r="L359" i="14"/>
  <c r="N359" i="14" s="1"/>
  <c r="L863" i="14"/>
  <c r="N863" i="14" s="1"/>
  <c r="L1082" i="14"/>
  <c r="N1082" i="14" s="1"/>
  <c r="L181" i="14"/>
  <c r="N181" i="14" s="1"/>
  <c r="L645" i="14"/>
  <c r="N645" i="14" s="1"/>
  <c r="M321" i="14"/>
  <c r="P321" i="14" s="1"/>
  <c r="M635" i="14"/>
  <c r="P635" i="14" s="1"/>
  <c r="M399" i="14"/>
  <c r="P399" i="14" s="1"/>
  <c r="M12" i="14"/>
  <c r="P12" i="14" s="1"/>
  <c r="M1072" i="14"/>
  <c r="P1072" i="14" s="1"/>
  <c r="M368" i="14"/>
  <c r="P368" i="14" s="1"/>
  <c r="L1336" i="14"/>
  <c r="N1336" i="14" s="1"/>
  <c r="L1313" i="14"/>
  <c r="N1313" i="14" s="1"/>
  <c r="L803" i="14"/>
  <c r="N803" i="14" s="1"/>
  <c r="L658" i="14"/>
  <c r="N658" i="14" s="1"/>
  <c r="L1234" i="14"/>
  <c r="N1234" i="14" s="1"/>
  <c r="L1396" i="14"/>
  <c r="N1396" i="14" s="1"/>
  <c r="L1247" i="14"/>
  <c r="N1247" i="14" s="1"/>
  <c r="L1249" i="14"/>
  <c r="N1249" i="14" s="1"/>
  <c r="L1399" i="14"/>
  <c r="N1399" i="14" s="1"/>
  <c r="L1423" i="14"/>
  <c r="N1423" i="14" s="1"/>
  <c r="L907" i="14"/>
  <c r="N907" i="14" s="1"/>
  <c r="L1221" i="14"/>
  <c r="N1221" i="14" s="1"/>
  <c r="L1259" i="14"/>
  <c r="N1259" i="14" s="1"/>
  <c r="L739" i="14"/>
  <c r="N739" i="14" s="1"/>
  <c r="L718" i="14"/>
  <c r="N718" i="14" s="1"/>
  <c r="L293" i="14"/>
  <c r="N293" i="14" s="1"/>
  <c r="L413" i="14"/>
  <c r="N413" i="14" s="1"/>
  <c r="L41" i="14"/>
  <c r="N41" i="14" s="1"/>
  <c r="L1397" i="14"/>
  <c r="N1397" i="14" s="1"/>
  <c r="L1483" i="14"/>
  <c r="N1483" i="14" s="1"/>
  <c r="L249" i="14"/>
  <c r="N249" i="14" s="1"/>
  <c r="L279" i="14"/>
  <c r="N279" i="14" s="1"/>
  <c r="L320" i="14"/>
  <c r="N320" i="14" s="1"/>
  <c r="L316" i="14"/>
  <c r="N316" i="14" s="1"/>
  <c r="L1369" i="14"/>
  <c r="N1369" i="14" s="1"/>
  <c r="L1362" i="14"/>
  <c r="N1362" i="14" s="1"/>
  <c r="L159" i="14"/>
  <c r="N159" i="14" s="1"/>
  <c r="L630" i="14"/>
  <c r="N630" i="14" s="1"/>
  <c r="L820" i="14"/>
  <c r="N820" i="14" s="1"/>
  <c r="L572" i="14"/>
  <c r="N572" i="14" s="1"/>
  <c r="L836" i="14"/>
  <c r="N836" i="14" s="1"/>
  <c r="L601" i="14"/>
  <c r="N601" i="14" s="1"/>
  <c r="L383" i="14"/>
  <c r="N383" i="14" s="1"/>
  <c r="L948" i="14"/>
  <c r="N948" i="14" s="1"/>
  <c r="M119" i="14"/>
  <c r="P119" i="14" s="1"/>
  <c r="K505" i="14"/>
  <c r="K374" i="14"/>
  <c r="K177" i="14"/>
  <c r="N177" i="14" s="1"/>
  <c r="K651" i="14"/>
  <c r="N651" i="14" s="1"/>
  <c r="K1022" i="14"/>
  <c r="N1022" i="14" s="1"/>
  <c r="K586" i="14"/>
  <c r="K1130" i="14"/>
  <c r="N1130" i="14" s="1"/>
  <c r="K1139" i="14"/>
  <c r="N1139" i="14" s="1"/>
  <c r="K1476" i="14"/>
  <c r="N1476" i="14" s="1"/>
  <c r="K511" i="14"/>
  <c r="M593" i="14"/>
  <c r="P593" i="14" s="1"/>
  <c r="M328" i="14"/>
  <c r="P328" i="14" s="1"/>
  <c r="M1075" i="14"/>
  <c r="P1075" i="14" s="1"/>
  <c r="O356" i="14"/>
  <c r="O1100" i="14"/>
  <c r="O1154" i="14"/>
  <c r="O427" i="14"/>
  <c r="O570" i="14"/>
  <c r="O692" i="14"/>
  <c r="O1097" i="14"/>
  <c r="O552" i="14"/>
  <c r="O1304" i="14"/>
  <c r="O1349" i="14"/>
  <c r="O1300" i="14"/>
  <c r="O523" i="14"/>
  <c r="O976" i="14"/>
  <c r="O368" i="14"/>
  <c r="O1072" i="14"/>
  <c r="O12" i="14"/>
  <c r="O399" i="14"/>
  <c r="O635" i="14"/>
  <c r="O321" i="14"/>
  <c r="L881" i="14"/>
  <c r="N881" i="14" s="1"/>
  <c r="L369" i="14"/>
  <c r="N369" i="14" s="1"/>
  <c r="L1371" i="14"/>
  <c r="N1371" i="14" s="1"/>
  <c r="L11" i="14"/>
  <c r="N11" i="14" s="1"/>
  <c r="L183" i="14"/>
  <c r="N183" i="14" s="1"/>
  <c r="L1254" i="14"/>
  <c r="N1254" i="14" s="1"/>
  <c r="L804" i="14"/>
  <c r="N804" i="14" s="1"/>
  <c r="L1074" i="14"/>
  <c r="N1074" i="14" s="1"/>
  <c r="L1093" i="14"/>
  <c r="N1093" i="14" s="1"/>
  <c r="L354" i="14"/>
  <c r="N354" i="14" s="1"/>
  <c r="L21" i="14"/>
  <c r="N21" i="14" s="1"/>
  <c r="L821" i="14"/>
  <c r="N821" i="14" s="1"/>
  <c r="L116" i="14"/>
  <c r="N116" i="14" s="1"/>
  <c r="L613" i="14"/>
  <c r="N613" i="14" s="1"/>
  <c r="M340" i="14"/>
  <c r="P340" i="14" s="1"/>
  <c r="L1021" i="14"/>
  <c r="N1021" i="14" s="1"/>
  <c r="L956" i="14"/>
  <c r="N956" i="14" s="1"/>
  <c r="M916" i="14"/>
  <c r="P916" i="14" s="1"/>
  <c r="M849" i="14"/>
  <c r="P849" i="14" s="1"/>
  <c r="L796" i="14"/>
  <c r="N796" i="14" s="1"/>
  <c r="L1054" i="14"/>
  <c r="N1054" i="14" s="1"/>
  <c r="L1065" i="14"/>
  <c r="N1065" i="14" s="1"/>
  <c r="L945" i="14"/>
  <c r="N945" i="14" s="1"/>
  <c r="L435" i="14"/>
  <c r="N435" i="14" s="1"/>
  <c r="L868" i="14"/>
  <c r="N868" i="14" s="1"/>
  <c r="L68" i="14"/>
  <c r="N68" i="14" s="1"/>
  <c r="L1248" i="14"/>
  <c r="N1248" i="14" s="1"/>
  <c r="L1232" i="14"/>
  <c r="N1232" i="14" s="1"/>
  <c r="L582" i="14"/>
  <c r="N582" i="14" s="1"/>
  <c r="L147" i="14"/>
  <c r="N147" i="14" s="1"/>
  <c r="L209" i="14"/>
  <c r="N209" i="14" s="1"/>
  <c r="L774" i="14"/>
  <c r="N774" i="14" s="1"/>
  <c r="L1038" i="14"/>
  <c r="N1038" i="14" s="1"/>
  <c r="L71" i="14"/>
  <c r="N71" i="14" s="1"/>
  <c r="L123" i="14"/>
  <c r="N123" i="14" s="1"/>
  <c r="L724" i="14"/>
  <c r="N724" i="14" s="1"/>
  <c r="L1381" i="14"/>
  <c r="N1381" i="14" s="1"/>
  <c r="L497" i="14"/>
  <c r="N497" i="14" s="1"/>
  <c r="L97" i="14"/>
  <c r="N97" i="14" s="1"/>
  <c r="L79" i="14"/>
  <c r="N79" i="14" s="1"/>
  <c r="L1292" i="14"/>
  <c r="N1292" i="14" s="1"/>
  <c r="L615" i="14"/>
  <c r="N615" i="14" s="1"/>
  <c r="L589" i="14"/>
  <c r="N589" i="14" s="1"/>
  <c r="L955" i="14"/>
  <c r="N955" i="14" s="1"/>
  <c r="L1155" i="14"/>
  <c r="N1155" i="14" s="1"/>
  <c r="L1479" i="14"/>
  <c r="N1479" i="14" s="1"/>
  <c r="L1448" i="14"/>
  <c r="N1448" i="14" s="1"/>
  <c r="L1488" i="14"/>
  <c r="N1488" i="14" s="1"/>
  <c r="L257" i="14"/>
  <c r="N257" i="14" s="1"/>
  <c r="L302" i="14"/>
  <c r="N302" i="14" s="1"/>
  <c r="L51" i="14"/>
  <c r="N51" i="14" s="1"/>
  <c r="L1394" i="14"/>
  <c r="N1394" i="14" s="1"/>
  <c r="L1424" i="14"/>
  <c r="N1424" i="14" s="1"/>
  <c r="L1452" i="14"/>
  <c r="N1452" i="14" s="1"/>
  <c r="L72" i="14"/>
  <c r="N72" i="14" s="1"/>
  <c r="L76" i="14"/>
  <c r="N76" i="14" s="1"/>
  <c r="M1300" i="14"/>
  <c r="P1300" i="14" s="1"/>
  <c r="M1154" i="14"/>
  <c r="P1154" i="14" s="1"/>
  <c r="M549" i="14"/>
  <c r="P549" i="14" s="1"/>
  <c r="M486" i="14"/>
  <c r="P486" i="14" s="1"/>
  <c r="M1308" i="14"/>
  <c r="P1308" i="14" s="1"/>
  <c r="M1389" i="14"/>
  <c r="P1389" i="14" s="1"/>
  <c r="M444" i="14"/>
  <c r="P444" i="14" s="1"/>
  <c r="M560" i="14"/>
  <c r="P560" i="14" s="1"/>
  <c r="M1048" i="14"/>
  <c r="P1048" i="14" s="1"/>
  <c r="L451" i="14"/>
  <c r="N451" i="14" s="1"/>
  <c r="L1202" i="14"/>
  <c r="N1202" i="14" s="1"/>
  <c r="L187" i="14"/>
  <c r="N187" i="14" s="1"/>
  <c r="L241" i="14"/>
  <c r="N241" i="14" s="1"/>
  <c r="L191" i="14"/>
  <c r="N191" i="14" s="1"/>
  <c r="L1449" i="14"/>
  <c r="N1449" i="14" s="1"/>
  <c r="L693" i="14"/>
  <c r="N693" i="14" s="1"/>
  <c r="L696" i="14"/>
  <c r="N696" i="14" s="1"/>
  <c r="L779" i="14"/>
  <c r="N779" i="14" s="1"/>
  <c r="L1107" i="14"/>
  <c r="N1107" i="14" s="1"/>
  <c r="L471" i="14"/>
  <c r="N471" i="14" s="1"/>
  <c r="L168" i="14"/>
  <c r="N168" i="14" s="1"/>
  <c r="L132" i="14"/>
  <c r="N132" i="14" s="1"/>
  <c r="L128" i="14"/>
  <c r="N128" i="14" s="1"/>
  <c r="L498" i="14"/>
  <c r="N498" i="14" s="1"/>
  <c r="L1192" i="14"/>
  <c r="N1192" i="14" s="1"/>
  <c r="L1324" i="14"/>
  <c r="N1324" i="14" s="1"/>
  <c r="L1436" i="14"/>
  <c r="N1436" i="14" s="1"/>
  <c r="L1414" i="14"/>
  <c r="N1414" i="14" s="1"/>
  <c r="L573" i="14"/>
  <c r="N573" i="14" s="1"/>
  <c r="L1145" i="14"/>
  <c r="N1145" i="14" s="1"/>
  <c r="L396" i="14"/>
  <c r="N396" i="14" s="1"/>
  <c r="L737" i="14"/>
  <c r="N737" i="14" s="1"/>
  <c r="L672" i="14"/>
  <c r="N672" i="14" s="1"/>
  <c r="L414" i="14"/>
  <c r="N414" i="14" s="1"/>
  <c r="L1240" i="14"/>
  <c r="N1240" i="14" s="1"/>
  <c r="L442" i="14"/>
  <c r="N442" i="14" s="1"/>
  <c r="L1302" i="14"/>
  <c r="N1302" i="14" s="1"/>
  <c r="L900" i="14"/>
  <c r="N900" i="14" s="1"/>
  <c r="L197" i="14"/>
  <c r="N197" i="14" s="1"/>
  <c r="L286" i="14"/>
  <c r="N286" i="14" s="1"/>
  <c r="L434" i="14"/>
  <c r="N434" i="14" s="1"/>
  <c r="L1246" i="14"/>
  <c r="N1246" i="14" s="1"/>
  <c r="L721" i="14"/>
  <c r="N721" i="14" s="1"/>
  <c r="L1227" i="14"/>
  <c r="N1227" i="14" s="1"/>
  <c r="L565" i="14"/>
  <c r="N565" i="14" s="1"/>
  <c r="L662" i="14"/>
  <c r="N662" i="14" s="1"/>
  <c r="L223" i="14"/>
  <c r="N223" i="14" s="1"/>
  <c r="L982" i="14"/>
  <c r="N982" i="14" s="1"/>
  <c r="L1218" i="14"/>
  <c r="N1218" i="14" s="1"/>
  <c r="L160" i="14"/>
  <c r="N160" i="14" s="1"/>
  <c r="L1096" i="14"/>
  <c r="N1096" i="14" s="1"/>
  <c r="L144" i="14"/>
  <c r="N144" i="14" s="1"/>
  <c r="L1497" i="14"/>
  <c r="N1497" i="14" s="1"/>
  <c r="L568" i="14"/>
  <c r="N568" i="14" s="1"/>
  <c r="L513" i="14"/>
  <c r="N513" i="14" s="1"/>
  <c r="M1097" i="14"/>
  <c r="P1097" i="14" s="1"/>
  <c r="M67" i="14"/>
  <c r="P67" i="14" s="1"/>
  <c r="M1304" i="14"/>
  <c r="P1304" i="14" s="1"/>
  <c r="M996" i="14"/>
  <c r="P996" i="14" s="1"/>
  <c r="M450" i="14"/>
  <c r="P450" i="14" s="1"/>
  <c r="M425" i="14"/>
  <c r="P425" i="14" s="1"/>
  <c r="M203" i="14"/>
  <c r="P203" i="14" s="1"/>
  <c r="M1059" i="14"/>
  <c r="P1059" i="14" s="1"/>
  <c r="M1291" i="14"/>
  <c r="P1291" i="14" s="1"/>
  <c r="M707" i="14"/>
  <c r="P707" i="14" s="1"/>
  <c r="L59" i="14"/>
  <c r="N59" i="14" s="1"/>
  <c r="L708" i="14"/>
  <c r="N708" i="14" s="1"/>
  <c r="M8" i="14"/>
  <c r="P8" i="14" s="1"/>
  <c r="M570" i="14"/>
  <c r="P570" i="14" s="1"/>
  <c r="M1036" i="14"/>
  <c r="P1036" i="14" s="1"/>
  <c r="L1003" i="14"/>
  <c r="N1003" i="14" s="1"/>
  <c r="M1171" i="14"/>
  <c r="P1171" i="14" s="1"/>
  <c r="M427" i="14"/>
  <c r="P427" i="14" s="1"/>
  <c r="M1212" i="14"/>
  <c r="P1212" i="14" s="1"/>
  <c r="M1349" i="14"/>
  <c r="P1349" i="14" s="1"/>
  <c r="M1258" i="14"/>
  <c r="P1258" i="14" s="1"/>
  <c r="L517" i="14"/>
  <c r="N517" i="14" s="1"/>
  <c r="L228" i="14"/>
  <c r="N228" i="14" s="1"/>
  <c r="L887" i="14"/>
  <c r="N887" i="14" s="1"/>
  <c r="L461" i="14"/>
  <c r="N461" i="14" s="1"/>
  <c r="L1002" i="14"/>
  <c r="N1002" i="14" s="1"/>
  <c r="L169" i="14"/>
  <c r="N169" i="14" s="1"/>
  <c r="L1360" i="14"/>
  <c r="N1360" i="14" s="1"/>
  <c r="M367" i="14"/>
  <c r="P367" i="14" s="1"/>
  <c r="M826" i="14"/>
  <c r="P826" i="14" s="1"/>
  <c r="M552" i="14"/>
  <c r="P552" i="14" s="1"/>
  <c r="M1081" i="14"/>
  <c r="P1081" i="14" s="1"/>
  <c r="M922" i="14"/>
  <c r="P922" i="14" s="1"/>
  <c r="M511" i="14"/>
  <c r="P511" i="14" s="1"/>
  <c r="M586" i="14"/>
  <c r="P586" i="14" s="1"/>
  <c r="M374" i="14"/>
  <c r="P374" i="14" s="1"/>
  <c r="M505" i="14"/>
  <c r="P505" i="14" s="1"/>
  <c r="L1040" i="14"/>
  <c r="N1040" i="14" s="1"/>
  <c r="L806" i="14"/>
  <c r="N806" i="14" s="1"/>
  <c r="M692" i="14"/>
  <c r="P692" i="14" s="1"/>
  <c r="M761" i="14"/>
  <c r="P761" i="14" s="1"/>
  <c r="M1235" i="14"/>
  <c r="P1235" i="14" s="1"/>
  <c r="M976" i="14"/>
  <c r="P976" i="14" s="1"/>
  <c r="M935" i="14"/>
  <c r="P935" i="14" s="1"/>
  <c r="M523" i="14"/>
  <c r="P523" i="14" s="1"/>
  <c r="M166" i="14"/>
  <c r="P166" i="14" s="1"/>
  <c r="M1225" i="14"/>
  <c r="P1225" i="14" s="1"/>
  <c r="M909" i="14"/>
  <c r="P909" i="14" s="1"/>
  <c r="L965" i="14"/>
  <c r="N965" i="14" s="1"/>
  <c r="L69" i="14"/>
  <c r="N69" i="14" s="1"/>
  <c r="L406" i="14"/>
  <c r="M1013" i="14"/>
  <c r="P1013" i="14" s="1"/>
  <c r="M832" i="14"/>
  <c r="P832" i="14" s="1"/>
  <c r="L1014" i="14"/>
  <c r="N1014" i="14" s="1"/>
  <c r="L1197" i="14"/>
  <c r="N1197" i="14" s="1"/>
  <c r="M1476" i="14"/>
  <c r="P1476" i="14" s="1"/>
  <c r="M1139" i="14"/>
  <c r="P1139" i="14" s="1"/>
  <c r="M1130" i="14"/>
  <c r="P1130" i="14" s="1"/>
  <c r="M1022" i="14"/>
  <c r="P1022" i="14" s="1"/>
  <c r="M651" i="14"/>
  <c r="P651" i="14" s="1"/>
  <c r="M177" i="14"/>
  <c r="P177" i="14" s="1"/>
  <c r="N406" i="14"/>
  <c r="L711" i="14"/>
  <c r="N711" i="14" s="1"/>
  <c r="M60" i="14"/>
  <c r="P60" i="14" s="1"/>
  <c r="M167" i="14"/>
  <c r="P167" i="14" s="1"/>
  <c r="M829" i="14"/>
  <c r="P829" i="14" s="1"/>
  <c r="M1281" i="14"/>
  <c r="P1281" i="14" s="1"/>
  <c r="M1095" i="14"/>
  <c r="P1095" i="14" s="1"/>
  <c r="M1307" i="14"/>
  <c r="P1307" i="14" s="1"/>
  <c r="M385" i="14"/>
  <c r="P385" i="14" s="1"/>
  <c r="M272" i="14"/>
  <c r="P272" i="14" s="1"/>
  <c r="M910" i="14"/>
  <c r="P910" i="14" s="1"/>
  <c r="M1496" i="14"/>
  <c r="P1496" i="14" s="1"/>
  <c r="L668" i="14"/>
  <c r="N668" i="14" s="1"/>
  <c r="L1119" i="14"/>
  <c r="N1119" i="14" s="1"/>
  <c r="L102" i="14"/>
  <c r="N102" i="14" s="1"/>
  <c r="M45" i="14"/>
  <c r="P45" i="14" s="1"/>
  <c r="L874" i="14"/>
  <c r="N874" i="14" s="1"/>
  <c r="L184" i="14"/>
  <c r="N184" i="14" s="1"/>
  <c r="L1264" i="14"/>
  <c r="N1264" i="14" s="1"/>
  <c r="L1176" i="14"/>
  <c r="N1176" i="14" s="1"/>
  <c r="L865" i="14"/>
  <c r="N865" i="14" s="1"/>
  <c r="L1024" i="14"/>
  <c r="N1024" i="14" s="1"/>
  <c r="L362" i="14"/>
  <c r="N362" i="14" s="1"/>
  <c r="L934" i="14"/>
  <c r="N934" i="14" s="1"/>
  <c r="L971" i="14"/>
  <c r="N971" i="14" s="1"/>
  <c r="L415" i="14"/>
  <c r="N415" i="14" s="1"/>
  <c r="L853" i="14"/>
  <c r="N853" i="14" s="1"/>
  <c r="L1070" i="14"/>
  <c r="N1070" i="14" s="1"/>
  <c r="L890" i="14"/>
  <c r="N890" i="14" s="1"/>
  <c r="L346" i="14"/>
  <c r="N346" i="14" s="1"/>
  <c r="L688" i="14"/>
  <c r="N688" i="14" s="1"/>
  <c r="L131" i="14"/>
  <c r="N131" i="14" s="1"/>
  <c r="L960" i="14"/>
  <c r="N960" i="14" s="1"/>
  <c r="L505" i="14"/>
  <c r="L374" i="14"/>
  <c r="L586" i="14"/>
  <c r="L511" i="14"/>
  <c r="L922" i="14"/>
  <c r="L1081" i="14"/>
  <c r="L641" i="14"/>
  <c r="N641" i="14" s="1"/>
  <c r="L265" i="14"/>
  <c r="N265" i="14" s="1"/>
  <c r="L474" i="14"/>
  <c r="N474" i="14" s="1"/>
  <c r="L1331" i="14"/>
  <c r="N1331" i="14" s="1"/>
  <c r="L856" i="14"/>
  <c r="N856" i="14" s="1"/>
  <c r="L901" i="14"/>
  <c r="N901" i="14" s="1"/>
  <c r="L994" i="14"/>
  <c r="N994" i="14" s="1"/>
  <c r="L13" i="14"/>
  <c r="N13" i="14" s="1"/>
  <c r="L1256" i="14"/>
  <c r="N1256" i="14" s="1"/>
  <c r="L495" i="14"/>
  <c r="N495" i="14" s="1"/>
  <c r="L133" i="14"/>
  <c r="N133" i="14" s="1"/>
  <c r="L244" i="14"/>
  <c r="N244" i="14" s="1"/>
  <c r="L81" i="14"/>
  <c r="N81" i="14" s="1"/>
  <c r="L313" i="14"/>
  <c r="N313" i="14" s="1"/>
  <c r="L322" i="14"/>
  <c r="N322" i="14" s="1"/>
  <c r="L850" i="14"/>
  <c r="N850" i="14" s="1"/>
  <c r="L852" i="14"/>
  <c r="N852" i="14" s="1"/>
  <c r="L825" i="14"/>
  <c r="N825" i="14" s="1"/>
  <c r="L838" i="14"/>
  <c r="N838" i="14" s="1"/>
  <c r="L1242" i="14"/>
  <c r="N1242" i="14" s="1"/>
  <c r="L841" i="14"/>
  <c r="N841" i="14" s="1"/>
  <c r="L1111" i="14"/>
  <c r="N1111" i="14" s="1"/>
  <c r="L1033" i="14"/>
  <c r="N1033" i="14" s="1"/>
  <c r="L15" i="14"/>
  <c r="N15" i="14" s="1"/>
  <c r="L654" i="14"/>
  <c r="N654" i="14" s="1"/>
  <c r="L424" i="14"/>
  <c r="N424" i="14" s="1"/>
  <c r="L411" i="14"/>
  <c r="N411" i="14" s="1"/>
  <c r="L896" i="14"/>
  <c r="N896" i="14" s="1"/>
  <c r="L964" i="14"/>
  <c r="N964" i="14" s="1"/>
  <c r="L789" i="14"/>
  <c r="N789" i="14" s="1"/>
  <c r="L1125" i="14"/>
  <c r="N1125" i="14" s="1"/>
  <c r="L1032" i="14"/>
  <c r="N1032" i="14" s="1"/>
  <c r="L252" i="14"/>
  <c r="N252" i="14" s="1"/>
  <c r="L1387" i="14"/>
  <c r="N1387" i="14" s="1"/>
  <c r="L883" i="14"/>
  <c r="N883" i="14" s="1"/>
  <c r="L1147" i="14"/>
  <c r="N1147" i="14" s="1"/>
  <c r="L1284" i="14"/>
  <c r="N1284" i="14" s="1"/>
  <c r="L52" i="14"/>
  <c r="N52" i="14" s="1"/>
  <c r="L585" i="14"/>
  <c r="N585" i="14" s="1"/>
  <c r="L1238" i="14"/>
  <c r="N1238" i="14" s="1"/>
  <c r="L1478" i="14"/>
  <c r="N1478" i="14" s="1"/>
  <c r="L1315" i="14"/>
  <c r="N1315" i="14" s="1"/>
  <c r="L988" i="14"/>
  <c r="N988" i="14" s="1"/>
  <c r="L833" i="14"/>
  <c r="N833" i="14" s="1"/>
  <c r="N1056" i="14"/>
  <c r="N932" i="14"/>
  <c r="N1188" i="14"/>
  <c r="N524" i="14"/>
  <c r="N45" i="14"/>
  <c r="N734" i="14"/>
  <c r="N1109" i="14"/>
  <c r="N240" i="14"/>
  <c r="N788" i="14"/>
  <c r="N793" i="14"/>
  <c r="N384" i="14"/>
  <c r="N704" i="14"/>
  <c r="N189" i="14"/>
  <c r="N1015" i="14"/>
  <c r="N337" i="14"/>
  <c r="N1283" i="14"/>
  <c r="N470" i="14"/>
  <c r="N267" i="14"/>
  <c r="N766" i="14"/>
  <c r="N1023" i="14"/>
  <c r="N126" i="14"/>
  <c r="N540" i="14"/>
  <c r="N104" i="14"/>
  <c r="N28" i="14"/>
  <c r="N1379" i="14"/>
  <c r="N1146" i="14"/>
  <c r="N1344" i="14"/>
  <c r="N1355" i="14"/>
  <c r="N628" i="14"/>
  <c r="N666" i="14"/>
  <c r="N439" i="14"/>
  <c r="N921" i="14"/>
  <c r="N453" i="14"/>
  <c r="N65" i="14"/>
  <c r="N1007" i="14"/>
  <c r="N1162" i="14"/>
  <c r="N1163" i="14"/>
  <c r="N1151" i="14"/>
  <c r="N1193" i="14"/>
  <c r="N30" i="14"/>
  <c r="N576" i="14"/>
  <c r="N96" i="14"/>
  <c r="N686" i="14"/>
  <c r="L211" i="14"/>
  <c r="N211" i="14" s="1"/>
  <c r="L271" i="14"/>
  <c r="N271" i="14" s="1"/>
  <c r="L1169" i="14"/>
  <c r="N1169" i="14" s="1"/>
  <c r="L418" i="14"/>
  <c r="N418" i="14" s="1"/>
  <c r="L652" i="14"/>
  <c r="N652" i="14" s="1"/>
  <c r="L1108" i="14"/>
  <c r="N1108" i="14" s="1"/>
  <c r="L1110" i="14"/>
  <c r="N1110" i="14" s="1"/>
  <c r="L1025" i="14"/>
  <c r="N1025" i="14" s="1"/>
  <c r="L1244" i="14"/>
  <c r="N1244" i="14" s="1"/>
  <c r="L77" i="14"/>
  <c r="N77" i="14" s="1"/>
  <c r="L50" i="14"/>
  <c r="N50" i="14" s="1"/>
  <c r="L255" i="14"/>
  <c r="N255" i="14" s="1"/>
  <c r="L1269" i="14"/>
  <c r="N1269" i="14" s="1"/>
  <c r="L1060" i="14"/>
  <c r="N1060" i="14" s="1"/>
  <c r="L714" i="14"/>
  <c r="N714" i="14" s="1"/>
  <c r="L685" i="14"/>
  <c r="N685" i="14" s="1"/>
  <c r="L643" i="14"/>
  <c r="N643" i="14" s="1"/>
  <c r="L357" i="14"/>
  <c r="N357" i="14" s="1"/>
  <c r="L1359" i="14"/>
  <c r="N1359" i="14" s="1"/>
  <c r="L89" i="14"/>
  <c r="N89" i="14" s="1"/>
  <c r="L507" i="14"/>
  <c r="N507" i="14" s="1"/>
  <c r="L1406" i="14"/>
  <c r="N1406" i="14" s="1"/>
  <c r="L1447" i="14"/>
  <c r="N1447" i="14" s="1"/>
  <c r="L677" i="14"/>
  <c r="N677" i="14" s="1"/>
  <c r="L623" i="14"/>
  <c r="N623" i="14" s="1"/>
  <c r="L855" i="14"/>
  <c r="N855" i="14" s="1"/>
  <c r="L1237" i="14"/>
  <c r="N1237" i="14" s="1"/>
  <c r="L1190" i="14"/>
  <c r="N1190" i="14" s="1"/>
  <c r="L251" i="14"/>
  <c r="N251" i="14" s="1"/>
  <c r="L110" i="14"/>
  <c r="N110" i="14" s="1"/>
  <c r="L292" i="14"/>
  <c r="N292" i="14" s="1"/>
  <c r="L332" i="14"/>
  <c r="N332" i="14" s="1"/>
  <c r="L37" i="14"/>
  <c r="N37" i="14" s="1"/>
  <c r="L1403" i="14"/>
  <c r="N1403" i="14" s="1"/>
  <c r="L1480" i="14"/>
  <c r="N1480" i="14" s="1"/>
  <c r="L1489" i="14"/>
  <c r="N1489" i="14" s="1"/>
  <c r="L743" i="14"/>
  <c r="N743" i="14" s="1"/>
  <c r="L92" i="14"/>
  <c r="N92" i="14" s="1"/>
  <c r="L294" i="14"/>
  <c r="N294" i="14" s="1"/>
  <c r="L298" i="14"/>
  <c r="N298" i="14" s="1"/>
  <c r="L243" i="14"/>
  <c r="N243" i="14" s="1"/>
  <c r="L879" i="14"/>
  <c r="N879" i="14" s="1"/>
  <c r="L1352" i="14"/>
  <c r="N1352" i="14" s="1"/>
  <c r="L984" i="14"/>
  <c r="N984" i="14" s="1"/>
  <c r="L1430" i="14"/>
  <c r="N1430" i="14" s="1"/>
  <c r="L967" i="14"/>
  <c r="N967" i="14" s="1"/>
  <c r="L617" i="14"/>
  <c r="N617" i="14" s="1"/>
  <c r="L969" i="14"/>
  <c r="N969" i="14" s="1"/>
  <c r="L1089" i="14"/>
  <c r="N1089" i="14" s="1"/>
  <c r="L1340" i="14"/>
  <c r="N1340" i="14" s="1"/>
  <c r="L756" i="14"/>
  <c r="N756" i="14" s="1"/>
  <c r="L1016" i="14"/>
  <c r="N1016" i="14" s="1"/>
  <c r="L1135" i="14"/>
  <c r="N1135" i="14" s="1"/>
  <c r="L1395" i="14"/>
  <c r="N1395" i="14" s="1"/>
  <c r="L1491" i="14"/>
  <c r="N1491" i="14" s="1"/>
  <c r="L1329" i="14"/>
  <c r="N1329" i="14" s="1"/>
  <c r="L1353" i="14"/>
  <c r="N1353" i="14" s="1"/>
  <c r="L1338" i="14"/>
  <c r="N1338" i="14" s="1"/>
  <c r="L1230" i="14"/>
  <c r="N1230" i="14" s="1"/>
  <c r="L1285" i="14"/>
  <c r="N1285" i="14" s="1"/>
  <c r="L839" i="14"/>
  <c r="N839" i="14" s="1"/>
  <c r="L834" i="14"/>
  <c r="N834" i="14" s="1"/>
  <c r="L952" i="14"/>
  <c r="N952" i="14" s="1"/>
  <c r="L782" i="14"/>
  <c r="N782" i="14" s="1"/>
  <c r="L594" i="14"/>
  <c r="N594" i="14" s="1"/>
  <c r="L64" i="14"/>
  <c r="N64" i="14" s="1"/>
  <c r="L1210" i="14"/>
  <c r="N1210" i="14" s="1"/>
  <c r="L547" i="14"/>
  <c r="N547" i="14" s="1"/>
  <c r="L1384" i="14"/>
  <c r="N1384" i="14" s="1"/>
  <c r="L1363" i="14"/>
  <c r="N1363" i="14" s="1"/>
  <c r="L1228" i="14"/>
  <c r="N1228" i="14" s="1"/>
  <c r="L1377" i="14"/>
  <c r="N1377" i="14" s="1"/>
  <c r="L492" i="14"/>
  <c r="N492" i="14" s="1"/>
  <c r="L115" i="14"/>
  <c r="N115" i="14" s="1"/>
  <c r="L587" i="14"/>
  <c r="N587" i="14" s="1"/>
  <c r="L557" i="14"/>
  <c r="N557" i="14" s="1"/>
  <c r="L655" i="14"/>
  <c r="N655" i="14" s="1"/>
  <c r="L755" i="14"/>
  <c r="N755" i="14" s="1"/>
  <c r="L886" i="14"/>
  <c r="N886" i="14" s="1"/>
  <c r="L73" i="14"/>
  <c r="N73" i="14" s="1"/>
  <c r="L1009" i="14"/>
  <c r="N1009" i="14" s="1"/>
  <c r="L204" i="14"/>
  <c r="N204" i="14" s="1"/>
  <c r="L304" i="14"/>
  <c r="N304" i="14" s="1"/>
  <c r="L416" i="14"/>
  <c r="N416" i="14" s="1"/>
  <c r="L1288" i="14"/>
  <c r="N1288" i="14" s="1"/>
  <c r="L991" i="14"/>
  <c r="N991" i="14" s="1"/>
  <c r="L730" i="14"/>
  <c r="N730" i="14" s="1"/>
  <c r="L54" i="14"/>
  <c r="N54" i="14" s="1"/>
  <c r="L49" i="14"/>
  <c r="N49" i="14" s="1"/>
  <c r="L368" i="14"/>
  <c r="N368" i="14" s="1"/>
  <c r="L642" i="14"/>
  <c r="N642" i="14" s="1"/>
  <c r="L1072" i="14"/>
  <c r="N1072" i="14" s="1"/>
  <c r="L1042" i="14"/>
  <c r="N1042" i="14" s="1"/>
  <c r="L12" i="14"/>
  <c r="N12" i="14" s="1"/>
  <c r="L974" i="14"/>
  <c r="N974" i="14" s="1"/>
  <c r="L399" i="14"/>
  <c r="N399" i="14" s="1"/>
  <c r="L920" i="14"/>
  <c r="N920" i="14" s="1"/>
  <c r="L635" i="14"/>
  <c r="N635" i="14" s="1"/>
  <c r="L1039" i="14"/>
  <c r="N1039" i="14" s="1"/>
  <c r="L321" i="14"/>
  <c r="N321" i="14" s="1"/>
  <c r="L609" i="14"/>
  <c r="N609" i="14" s="1"/>
  <c r="L14" i="14"/>
  <c r="N14" i="14" s="1"/>
  <c r="L917" i="14"/>
  <c r="N917" i="14" s="1"/>
  <c r="L660" i="14"/>
  <c r="N660" i="14" s="1"/>
  <c r="L192" i="14"/>
  <c r="N192" i="14" s="1"/>
  <c r="L619" i="14"/>
  <c r="N619" i="14" s="1"/>
  <c r="L817" i="14"/>
  <c r="N817" i="14" s="1"/>
  <c r="L300" i="14"/>
  <c r="N300" i="14" s="1"/>
  <c r="L1194" i="14"/>
  <c r="N1194" i="14" s="1"/>
  <c r="L763" i="14"/>
  <c r="N763" i="14" s="1"/>
  <c r="L592" i="14"/>
  <c r="N592" i="14" s="1"/>
  <c r="L1136" i="14"/>
  <c r="N1136" i="14" s="1"/>
  <c r="L340" i="14"/>
  <c r="N340" i="14" s="1"/>
  <c r="L741" i="14"/>
  <c r="N741" i="14" s="1"/>
  <c r="L1407" i="14"/>
  <c r="N1407" i="14" s="1"/>
  <c r="L800" i="14"/>
  <c r="N800" i="14" s="1"/>
  <c r="L1294" i="14"/>
  <c r="N1294" i="14" s="1"/>
  <c r="L1132" i="14"/>
  <c r="N1132" i="14" s="1"/>
  <c r="L1077" i="14"/>
  <c r="N1077" i="14" s="1"/>
  <c r="L80" i="14"/>
  <c r="N80" i="14" s="1"/>
  <c r="L173" i="14"/>
  <c r="N173" i="14" s="1"/>
  <c r="L242" i="14"/>
  <c r="N242" i="14" s="1"/>
  <c r="L1142" i="14"/>
  <c r="N1142" i="14" s="1"/>
  <c r="L1260" i="14"/>
  <c r="N1260" i="14" s="1"/>
  <c r="L1208" i="14"/>
  <c r="N1208" i="14" s="1"/>
  <c r="L954" i="14"/>
  <c r="N954" i="14" s="1"/>
  <c r="L149" i="14"/>
  <c r="N149" i="14" s="1"/>
  <c r="L924" i="14"/>
  <c r="N924" i="14" s="1"/>
  <c r="L891" i="14"/>
  <c r="N891" i="14" s="1"/>
  <c r="L1045" i="14"/>
  <c r="N1045" i="14" s="1"/>
  <c r="L1278" i="14"/>
  <c r="N1278" i="14" s="1"/>
  <c r="L929" i="14"/>
  <c r="N929" i="14" s="1"/>
  <c r="L417" i="14"/>
  <c r="N417" i="14" s="1"/>
  <c r="L94" i="14"/>
  <c r="N94" i="14" s="1"/>
  <c r="L699" i="14"/>
  <c r="N699" i="14" s="1"/>
  <c r="L981" i="14"/>
  <c r="N981" i="14" s="1"/>
  <c r="L837" i="14"/>
  <c r="N837" i="14" s="1"/>
  <c r="L1087" i="14"/>
  <c r="N1087" i="14" s="1"/>
  <c r="L1141" i="14"/>
  <c r="N1141" i="14" s="1"/>
  <c r="L363" i="14"/>
  <c r="N363" i="14" s="1"/>
  <c r="L835" i="14"/>
  <c r="N835" i="14" s="1"/>
  <c r="L578" i="14"/>
  <c r="N578" i="14" s="1"/>
  <c r="L597" i="14"/>
  <c r="N597" i="14" s="1"/>
  <c r="L232" i="14"/>
  <c r="N232" i="14" s="1"/>
  <c r="L750" i="14"/>
  <c r="N750" i="14" s="1"/>
  <c r="L1068" i="14"/>
  <c r="N1068" i="14" s="1"/>
  <c r="L923" i="14"/>
  <c r="N923" i="14" s="1"/>
  <c r="L1376" i="14"/>
  <c r="N1376" i="14" s="1"/>
  <c r="L1314" i="14"/>
  <c r="N1314" i="14" s="1"/>
  <c r="L581" i="14"/>
  <c r="N581" i="14" s="1"/>
  <c r="L577" i="14"/>
  <c r="N577" i="14" s="1"/>
  <c r="L722" i="14"/>
  <c r="N722" i="14" s="1"/>
  <c r="L830" i="14"/>
  <c r="N830" i="14" s="1"/>
  <c r="L1057" i="14"/>
  <c r="N1057" i="14" s="1"/>
  <c r="L329" i="14"/>
  <c r="N329" i="14" s="1"/>
  <c r="L1361" i="14"/>
  <c r="N1361" i="14" s="1"/>
  <c r="L545" i="14"/>
  <c r="N545" i="14" s="1"/>
  <c r="L1386" i="14"/>
  <c r="N1386" i="14" s="1"/>
  <c r="L1262" i="14"/>
  <c r="N1262" i="14" s="1"/>
  <c r="L752" i="14"/>
  <c r="N752" i="14" s="1"/>
  <c r="L798" i="14"/>
  <c r="N798" i="14" s="1"/>
  <c r="L1468" i="14"/>
  <c r="N1468" i="14" s="1"/>
  <c r="L1224" i="14"/>
  <c r="N1224" i="14" s="1"/>
  <c r="L170" i="14"/>
  <c r="N170" i="14" s="1"/>
  <c r="L950" i="14"/>
  <c r="N950" i="14" s="1"/>
  <c r="L350" i="14"/>
  <c r="N350" i="14" s="1"/>
  <c r="L1010" i="14"/>
  <c r="N1010" i="14" s="1"/>
  <c r="L1412" i="14"/>
  <c r="N1412" i="14" s="1"/>
  <c r="L695" i="14"/>
  <c r="N695" i="14" s="1"/>
  <c r="L129" i="14"/>
  <c r="N129" i="14" s="1"/>
  <c r="L135" i="14"/>
  <c r="N135" i="14" s="1"/>
  <c r="L1170" i="14"/>
  <c r="N1170" i="14" s="1"/>
  <c r="L32" i="14"/>
  <c r="N32" i="14" s="1"/>
  <c r="L1410" i="14"/>
  <c r="N1410" i="14" s="1"/>
  <c r="L992" i="14"/>
  <c r="N992" i="14" s="1"/>
  <c r="L31" i="14"/>
  <c r="N31" i="14" s="1"/>
  <c r="L198" i="14"/>
  <c r="N198" i="14" s="1"/>
  <c r="L1133" i="14"/>
  <c r="N1133" i="14" s="1"/>
  <c r="L797" i="14"/>
  <c r="L759" i="14"/>
  <c r="N759" i="14" s="1"/>
  <c r="L1112" i="14"/>
  <c r="L784" i="14"/>
  <c r="N784" i="14" s="1"/>
  <c r="L1131" i="14"/>
  <c r="L1417" i="14"/>
  <c r="N1417" i="14" s="1"/>
  <c r="L1446" i="14"/>
  <c r="L953" i="14"/>
  <c r="N953" i="14" s="1"/>
  <c r="L723" i="14"/>
  <c r="L735" i="14"/>
  <c r="N735" i="14" s="1"/>
  <c r="L1116" i="14"/>
  <c r="L762" i="14"/>
  <c r="N762" i="14" s="1"/>
  <c r="L764" i="14"/>
  <c r="N764" i="14" s="1"/>
  <c r="L892" i="14"/>
  <c r="N892" i="14" s="1"/>
  <c r="L1322" i="14"/>
  <c r="N1322" i="14" s="1"/>
  <c r="L1312" i="14"/>
  <c r="N1312" i="14" s="1"/>
  <c r="L1347" i="14"/>
  <c r="N1347" i="14" s="1"/>
  <c r="L1367" i="14"/>
  <c r="N1367" i="14" s="1"/>
  <c r="L1356" i="14"/>
  <c r="N1356" i="14" s="1"/>
  <c r="L273" i="14"/>
  <c r="N273" i="14" s="1"/>
  <c r="L283" i="14"/>
  <c r="N283" i="14" s="1"/>
  <c r="L963" i="14"/>
  <c r="N963" i="14" s="1"/>
  <c r="L412" i="14"/>
  <c r="N412" i="14" s="1"/>
  <c r="L1296" i="14"/>
  <c r="N1296" i="14" s="1"/>
  <c r="L1326" i="14"/>
  <c r="N1326" i="14" s="1"/>
  <c r="L1270" i="14"/>
  <c r="N1270" i="14" s="1"/>
  <c r="L742" i="14"/>
  <c r="N742" i="14" s="1"/>
  <c r="L1415" i="14"/>
  <c r="N1415" i="14" s="1"/>
  <c r="L1460" i="14"/>
  <c r="N1460" i="14" s="1"/>
  <c r="L1280" i="14"/>
  <c r="N1280" i="14" s="1"/>
  <c r="L82" i="14"/>
  <c r="N82" i="14" s="1"/>
  <c r="L970" i="14"/>
  <c r="N970" i="14" s="1"/>
  <c r="L247" i="14"/>
  <c r="N247" i="14" s="1"/>
  <c r="L1050" i="14"/>
  <c r="N1050" i="14" s="1"/>
  <c r="L1455" i="14"/>
  <c r="N1455" i="14" s="1"/>
  <c r="L778" i="14"/>
  <c r="N778" i="14" s="1"/>
  <c r="L278" i="14"/>
  <c r="N278" i="14" s="1"/>
  <c r="L1115" i="14"/>
  <c r="N1115" i="14" s="1"/>
  <c r="L1120" i="14"/>
  <c r="N1120" i="14" s="1"/>
  <c r="L1102" i="14"/>
  <c r="N1102" i="14" s="1"/>
  <c r="L3" i="14"/>
  <c r="N3" i="14" s="1"/>
  <c r="L39" i="14"/>
  <c r="N39" i="14" s="1"/>
  <c r="L1425" i="14"/>
  <c r="N1425" i="14" s="1"/>
  <c r="L808" i="14"/>
  <c r="N808" i="14" s="1"/>
  <c r="L210" i="14"/>
  <c r="N210" i="14" s="1"/>
  <c r="N1173" i="14"/>
  <c r="N1123" i="14"/>
  <c r="N1129" i="14"/>
  <c r="N958" i="14"/>
  <c r="N334" i="14"/>
  <c r="N48" i="14"/>
  <c r="N1408" i="14"/>
  <c r="N1495" i="14"/>
  <c r="N733" i="14"/>
  <c r="N866" i="14"/>
  <c r="N7" i="14"/>
  <c r="N88" i="14"/>
  <c r="N869" i="14"/>
  <c r="N1206" i="14"/>
  <c r="L738" i="14"/>
  <c r="N738" i="14" s="1"/>
  <c r="L226" i="14"/>
  <c r="N226" i="14" s="1"/>
  <c r="L235" i="14"/>
  <c r="N235" i="14" s="1"/>
  <c r="L514" i="14"/>
  <c r="N514" i="14" s="1"/>
  <c r="L542" i="14"/>
  <c r="N542" i="14" s="1"/>
  <c r="L253" i="14"/>
  <c r="N253" i="14" s="1"/>
  <c r="L494" i="14"/>
  <c r="N494" i="14" s="1"/>
  <c r="L749" i="14"/>
  <c r="N749" i="14" s="1"/>
  <c r="L1339" i="14"/>
  <c r="N1339" i="14" s="1"/>
  <c r="L633" i="14"/>
  <c r="N633" i="14" s="1"/>
  <c r="L682" i="14"/>
  <c r="N682" i="14" s="1"/>
  <c r="L276" i="14"/>
  <c r="N276" i="14" s="1"/>
  <c r="L521" i="14"/>
  <c r="N521" i="14" s="1"/>
  <c r="L449" i="14"/>
  <c r="N449" i="14" s="1"/>
  <c r="L157" i="14"/>
  <c r="N157" i="14" s="1"/>
  <c r="L145" i="14"/>
  <c r="N145" i="14" s="1"/>
  <c r="L118" i="14"/>
  <c r="N118" i="14" s="1"/>
  <c r="L1277" i="14"/>
  <c r="N1277" i="14" s="1"/>
  <c r="L1454" i="14"/>
  <c r="N1454" i="14" s="1"/>
  <c r="L754" i="14"/>
  <c r="N754" i="14" s="1"/>
  <c r="L1374" i="14"/>
  <c r="N1374" i="14" s="1"/>
  <c r="L1321" i="14"/>
  <c r="N1321" i="14" s="1"/>
  <c r="L584" i="14"/>
  <c r="N584" i="14" s="1"/>
  <c r="L940" i="14"/>
  <c r="N940" i="14" s="1"/>
  <c r="L452" i="14"/>
  <c r="N452" i="14" s="1"/>
  <c r="L538" i="14"/>
  <c r="N538" i="14" s="1"/>
  <c r="L748" i="14"/>
  <c r="N748" i="14" s="1"/>
  <c r="L446" i="14"/>
  <c r="N446" i="14" s="1"/>
  <c r="L222" i="14"/>
  <c r="N222" i="14" s="1"/>
  <c r="L364" i="14"/>
  <c r="N364" i="14" s="1"/>
  <c r="L476" i="14"/>
  <c r="N476" i="14" s="1"/>
  <c r="L1049" i="14"/>
  <c r="N1049" i="14" s="1"/>
  <c r="L388" i="14"/>
  <c r="N388" i="14" s="1"/>
  <c r="L440" i="14"/>
  <c r="N440" i="14" s="1"/>
  <c r="L361" i="14"/>
  <c r="N361" i="14" s="1"/>
  <c r="L475" i="14"/>
  <c r="N475" i="14" s="1"/>
  <c r="L703" i="14"/>
  <c r="N703" i="14" s="1"/>
  <c r="L93" i="14"/>
  <c r="N93" i="14" s="1"/>
  <c r="N185" i="14"/>
  <c r="N1181" i="14"/>
  <c r="N636" i="14"/>
  <c r="N485" i="14"/>
  <c r="N519" i="14"/>
  <c r="N512" i="14"/>
  <c r="N410" i="14"/>
  <c r="N939" i="14"/>
  <c r="N319" i="14"/>
  <c r="N632" i="14"/>
  <c r="N831" i="14"/>
  <c r="N823" i="14"/>
  <c r="N930" i="14"/>
  <c r="N179" i="14"/>
  <c r="N978" i="14"/>
  <c r="N515" i="14"/>
  <c r="N1122" i="14"/>
  <c r="N114" i="14"/>
  <c r="N1117" i="14"/>
  <c r="N827" i="14"/>
  <c r="N312" i="14"/>
  <c r="N496" i="14"/>
  <c r="N1435" i="14"/>
  <c r="N1346" i="14"/>
  <c r="N1266" i="14"/>
  <c r="N912" i="14"/>
  <c r="N1001" i="14"/>
  <c r="N57" i="14"/>
  <c r="N1271" i="14"/>
  <c r="N906" i="14"/>
  <c r="N602" i="14"/>
  <c r="N914" i="14"/>
  <c r="N897" i="14"/>
  <c r="N403" i="14"/>
  <c r="N1017" i="14"/>
  <c r="N308" i="14"/>
  <c r="N310" i="14"/>
  <c r="L1200" i="14"/>
  <c r="N1200" i="14" s="1"/>
  <c r="L345" i="14"/>
  <c r="N345" i="14" s="1"/>
  <c r="L4" i="14"/>
  <c r="N4" i="14" s="1"/>
  <c r="L1094" i="14"/>
  <c r="N1094" i="14" s="1"/>
  <c r="L772" i="14"/>
  <c r="N772" i="14" s="1"/>
  <c r="L810" i="14"/>
  <c r="N810" i="14" s="1"/>
  <c r="L236" i="14"/>
  <c r="N236" i="14" s="1"/>
  <c r="L1148" i="14"/>
  <c r="N1148" i="14" s="1"/>
  <c r="L291" i="14"/>
  <c r="N291" i="14" s="1"/>
  <c r="L1393" i="14"/>
  <c r="N1393" i="14" s="1"/>
  <c r="L1405" i="14"/>
  <c r="N1405" i="14" s="1"/>
  <c r="L1401" i="14"/>
  <c r="N1401" i="14" s="1"/>
  <c r="L1058" i="14"/>
  <c r="N1058" i="14" s="1"/>
  <c r="L268" i="14"/>
  <c r="N268" i="14" s="1"/>
  <c r="L848" i="14"/>
  <c r="N848" i="14" s="1"/>
  <c r="L1041" i="14"/>
  <c r="N1041" i="14" s="1"/>
  <c r="L466" i="14"/>
  <c r="N466" i="14" s="1"/>
  <c r="L98" i="14"/>
  <c r="N98" i="14" s="1"/>
  <c r="L1323" i="14"/>
  <c r="N1323" i="14" s="1"/>
  <c r="L1343" i="14"/>
  <c r="N1343" i="14" s="1"/>
  <c r="L1328" i="14"/>
  <c r="N1328" i="14" s="1"/>
  <c r="L176" i="14"/>
  <c r="N176" i="14" s="1"/>
  <c r="L263" i="14"/>
  <c r="N263" i="14" s="1"/>
  <c r="L968" i="14"/>
  <c r="N968" i="14" s="1"/>
  <c r="L423" i="14"/>
  <c r="N423" i="14" s="1"/>
  <c r="L1373" i="14"/>
  <c r="N1373" i="14" s="1"/>
  <c r="N1337" i="14"/>
  <c r="L1214" i="14"/>
  <c r="N1214" i="14" s="1"/>
  <c r="L1404" i="14"/>
  <c r="N1404" i="14" s="1"/>
  <c r="L1470" i="14"/>
  <c r="N1470" i="14" s="1"/>
  <c r="L670" i="14"/>
  <c r="N670" i="14" s="1"/>
  <c r="L828" i="14"/>
  <c r="N828" i="14" s="1"/>
  <c r="L1217" i="14"/>
  <c r="N1217" i="14" s="1"/>
  <c r="L465" i="14"/>
  <c r="N465" i="14" s="1"/>
  <c r="L1026" i="14"/>
  <c r="N1026" i="14" s="1"/>
  <c r="L1157" i="14"/>
  <c r="N1157" i="14" s="1"/>
  <c r="L40" i="14"/>
  <c r="N40" i="14" s="1"/>
  <c r="L1378" i="14"/>
  <c r="N1378" i="14" s="1"/>
  <c r="L999" i="14"/>
  <c r="N999" i="14" s="1"/>
  <c r="L898" i="14"/>
  <c r="N898" i="14" s="1"/>
  <c r="L137" i="14"/>
  <c r="N137" i="14" s="1"/>
  <c r="L1159" i="14"/>
  <c r="N1159" i="14" s="1"/>
  <c r="L24" i="14"/>
  <c r="N24" i="14" s="1"/>
  <c r="L1431" i="14"/>
  <c r="N1431" i="14" s="1"/>
  <c r="L1364" i="14"/>
  <c r="N1364" i="14" s="1"/>
  <c r="L717" i="14"/>
  <c r="N717" i="14" s="1"/>
  <c r="L194" i="14"/>
  <c r="N194" i="14" s="1"/>
  <c r="L1165" i="14"/>
  <c r="N1165" i="14" s="1"/>
  <c r="L1114" i="14"/>
  <c r="N1114" i="14" s="1"/>
  <c r="L1020" i="14"/>
  <c r="N1020" i="14" s="1"/>
  <c r="L1161" i="14"/>
  <c r="N1161" i="14" s="1"/>
  <c r="L1043" i="14"/>
  <c r="N1043" i="14" s="1"/>
  <c r="L342" i="14"/>
  <c r="N342" i="14" s="1"/>
  <c r="L258" i="14"/>
  <c r="N258" i="14" s="1"/>
  <c r="L1437" i="14"/>
  <c r="N1437" i="14" s="1"/>
  <c r="L1471" i="14"/>
  <c r="N1471" i="14" s="1"/>
  <c r="L1473" i="14"/>
  <c r="N1473" i="14" s="1"/>
  <c r="L1475" i="14"/>
  <c r="N1475" i="14" s="1"/>
  <c r="L224" i="14"/>
  <c r="N224" i="14" s="1"/>
  <c r="L864" i="14"/>
  <c r="N864" i="14" s="1"/>
  <c r="L1035" i="14"/>
  <c r="N1035" i="14" s="1"/>
  <c r="L457" i="14"/>
  <c r="N457" i="14" s="1"/>
  <c r="L1482" i="14"/>
  <c r="N1482" i="14" s="1"/>
  <c r="L903" i="14"/>
  <c r="N903" i="14" s="1"/>
  <c r="L899" i="14"/>
  <c r="N899" i="14" s="1"/>
  <c r="L1005" i="14"/>
  <c r="N1005" i="14" s="1"/>
  <c r="L1265" i="14"/>
  <c r="N1265" i="14" s="1"/>
  <c r="L536" i="14"/>
  <c r="N536" i="14" s="1"/>
  <c r="L366" i="14"/>
  <c r="N366" i="14" s="1"/>
  <c r="L58" i="14"/>
  <c r="N58" i="14" s="1"/>
  <c r="L386" i="14"/>
  <c r="N386" i="14" s="1"/>
  <c r="L78" i="14"/>
  <c r="N78" i="14" s="1"/>
  <c r="L1185" i="14"/>
  <c r="N1185" i="14" s="1"/>
  <c r="L1402" i="14"/>
  <c r="N1402" i="14" s="1"/>
  <c r="L760" i="14"/>
  <c r="N760" i="14" s="1"/>
  <c r="L637" i="14"/>
  <c r="N637" i="14" s="1"/>
  <c r="L919" i="14"/>
  <c r="N919" i="14" s="1"/>
  <c r="L1274" i="14"/>
  <c r="N1274" i="14" s="1"/>
  <c r="L391" i="14"/>
  <c r="N391" i="14" s="1"/>
  <c r="L1019" i="14"/>
  <c r="N1019" i="14" s="1"/>
  <c r="L1124" i="14"/>
  <c r="N1124" i="14" s="1"/>
  <c r="L38" i="14"/>
  <c r="N38" i="14" s="1"/>
  <c r="L1421" i="14"/>
  <c r="N1421" i="14" s="1"/>
  <c r="L1084" i="14"/>
  <c r="N1084" i="14" s="1"/>
  <c r="L288" i="14"/>
  <c r="N288" i="14" s="1"/>
  <c r="L289" i="14"/>
  <c r="N289" i="14" s="1"/>
  <c r="L269" i="14"/>
  <c r="N269" i="14" s="1"/>
  <c r="L220" i="14"/>
  <c r="N220" i="14" s="1"/>
  <c r="L995" i="14"/>
  <c r="N995" i="14" s="1"/>
  <c r="L323" i="14"/>
  <c r="N323" i="14" s="1"/>
  <c r="L1422" i="14"/>
  <c r="N1422" i="14" s="1"/>
  <c r="L768" i="14"/>
  <c r="N768" i="14" s="1"/>
  <c r="N781" i="14"/>
  <c r="N1063" i="14"/>
  <c r="N1090" i="14"/>
  <c r="N986" i="14"/>
  <c r="N859" i="14"/>
  <c r="N1138" i="14"/>
  <c r="N101" i="14"/>
  <c r="N1466" i="14"/>
  <c r="N1462" i="14"/>
  <c r="N154" i="14"/>
  <c r="N199" i="14"/>
  <c r="N274" i="14"/>
  <c r="N1383" i="14"/>
  <c r="N818" i="14"/>
  <c r="N700" i="14"/>
  <c r="N1319" i="14"/>
  <c r="N807" i="14"/>
  <c r="N1334" i="14"/>
  <c r="N1341" i="14"/>
  <c r="N172" i="14"/>
  <c r="N163" i="14"/>
  <c r="N1370" i="14"/>
  <c r="N1299" i="14"/>
  <c r="N1411" i="14"/>
  <c r="N1456" i="14"/>
  <c r="N1219" i="14"/>
  <c r="N1282" i="14"/>
  <c r="N599" i="14"/>
  <c r="N687" i="14"/>
  <c r="N1052" i="14"/>
  <c r="N1380" i="14"/>
  <c r="N1365" i="14"/>
  <c r="N1427" i="14"/>
  <c r="N1481" i="14"/>
  <c r="N1186" i="14"/>
  <c r="N731" i="14"/>
  <c r="L786" i="14"/>
  <c r="N786" i="14" s="1"/>
  <c r="L1027" i="14"/>
  <c r="N1027" i="14" s="1"/>
  <c r="L1018" i="14"/>
  <c r="N1018" i="14" s="1"/>
  <c r="L445" i="14"/>
  <c r="N445" i="14" s="1"/>
  <c r="L640" i="14"/>
  <c r="N640" i="14" s="1"/>
  <c r="L639" i="14"/>
  <c r="N639" i="14" s="1"/>
  <c r="L771" i="14"/>
  <c r="N771" i="14" s="1"/>
  <c r="L250" i="14"/>
  <c r="N250" i="14" s="1"/>
  <c r="L1189" i="14"/>
  <c r="N1189" i="14" s="1"/>
  <c r="L548" i="14"/>
  <c r="N548" i="14" s="1"/>
  <c r="L625" i="14"/>
  <c r="N625" i="14" s="1"/>
  <c r="L777" i="14"/>
  <c r="N777" i="14" s="1"/>
  <c r="L306" i="14"/>
  <c r="N306" i="14" s="1"/>
  <c r="L489" i="14"/>
  <c r="N489" i="14" s="1"/>
  <c r="L85" i="14"/>
  <c r="N85" i="14" s="1"/>
  <c r="L23" i="14"/>
  <c r="N23" i="14" s="1"/>
  <c r="L18" i="14"/>
  <c r="N18" i="14" s="1"/>
  <c r="L1245" i="14"/>
  <c r="N1245" i="14" s="1"/>
  <c r="L1350" i="14"/>
  <c r="N1350" i="14" s="1"/>
  <c r="L1143" i="14"/>
  <c r="N1143" i="14" s="1"/>
  <c r="L1297" i="14"/>
  <c r="N1297" i="14" s="1"/>
  <c r="L527" i="14"/>
  <c r="N527" i="14" s="1"/>
  <c r="L561" i="14"/>
  <c r="N561" i="14" s="1"/>
  <c r="L949" i="14"/>
  <c r="N949" i="14" s="1"/>
  <c r="L1236" i="14"/>
  <c r="N1236" i="14" s="1"/>
  <c r="L649" i="14"/>
  <c r="N649" i="14" s="1"/>
  <c r="L53" i="14"/>
  <c r="N53" i="14" s="1"/>
  <c r="L127" i="14"/>
  <c r="N127" i="14" s="1"/>
  <c r="L467" i="14"/>
  <c r="N467" i="14" s="1"/>
  <c r="L343" i="14"/>
  <c r="N343" i="14" s="1"/>
  <c r="L480" i="14"/>
  <c r="N480" i="14" s="1"/>
  <c r="L1044" i="14"/>
  <c r="N1044" i="14" s="1"/>
  <c r="L375" i="14"/>
  <c r="N375" i="14" s="1"/>
  <c r="L463" i="14"/>
  <c r="N463" i="14" s="1"/>
  <c r="L443" i="14"/>
  <c r="N443" i="14" s="1"/>
  <c r="L259" i="14"/>
  <c r="N259" i="14" s="1"/>
  <c r="L190" i="14"/>
  <c r="N190" i="14" s="1"/>
  <c r="N1205" i="14"/>
  <c r="N1180" i="14"/>
  <c r="N975" i="14"/>
  <c r="N627" i="14"/>
  <c r="N508" i="14"/>
  <c r="N604" i="14"/>
  <c r="N358" i="14"/>
  <c r="N926" i="14"/>
  <c r="N295" i="14"/>
  <c r="N814" i="14"/>
  <c r="N333" i="14"/>
  <c r="N9" i="14"/>
  <c r="N167" i="14"/>
  <c r="N1496" i="14"/>
  <c r="N653" i="14"/>
  <c r="N910" i="14"/>
  <c r="N215" i="14"/>
  <c r="N272" i="14"/>
  <c r="N961" i="14"/>
  <c r="N385" i="14"/>
  <c r="N420" i="14"/>
  <c r="N458" i="14"/>
  <c r="N1307" i="14"/>
  <c r="N1318" i="14"/>
  <c r="N1095" i="14"/>
  <c r="N1432" i="14"/>
  <c r="N1281" i="14"/>
  <c r="N161" i="14"/>
  <c r="N125" i="14"/>
  <c r="N370" i="14"/>
  <c r="N1047" i="14"/>
  <c r="N987" i="14"/>
  <c r="N60" i="14"/>
  <c r="N829" i="14"/>
  <c r="N325" i="14"/>
  <c r="L1080" i="14"/>
  <c r="N1080" i="14" s="1"/>
  <c r="L1195" i="14"/>
  <c r="N1195" i="14" s="1"/>
  <c r="L1099" i="14"/>
  <c r="N1099" i="14" s="1"/>
  <c r="L681" i="14"/>
  <c r="N681" i="14" s="1"/>
  <c r="L153" i="14"/>
  <c r="N153" i="14" s="1"/>
  <c r="L1128" i="14"/>
  <c r="N1128" i="14" s="1"/>
  <c r="L239" i="14"/>
  <c r="N239" i="14" s="1"/>
  <c r="L130" i="14"/>
  <c r="N130" i="14" s="1"/>
  <c r="L277" i="14"/>
  <c r="N277" i="14" s="1"/>
  <c r="L1438" i="14"/>
  <c r="N1438" i="14" s="1"/>
  <c r="L1333" i="14"/>
  <c r="N1333" i="14" s="1"/>
  <c r="L182" i="14"/>
  <c r="N182" i="14" s="1"/>
  <c r="L393" i="14"/>
  <c r="N393" i="14" s="1"/>
  <c r="L780" i="14"/>
  <c r="N780" i="14" s="1"/>
  <c r="L1487" i="14"/>
  <c r="N1487" i="14" s="1"/>
  <c r="L1008" i="14"/>
  <c r="N1008" i="14" s="1"/>
  <c r="L998" i="14"/>
  <c r="N998" i="14" s="1"/>
  <c r="L1083" i="14"/>
  <c r="N1083" i="14" s="1"/>
  <c r="L1309" i="14"/>
  <c r="N1309" i="14" s="1"/>
  <c r="L469" i="14"/>
  <c r="N469" i="14" s="1"/>
  <c r="L355" i="14"/>
  <c r="N355" i="14" s="1"/>
  <c r="L915" i="14"/>
  <c r="N915" i="14" s="1"/>
  <c r="L378" i="14"/>
  <c r="N378" i="14" s="1"/>
  <c r="L1426" i="14"/>
  <c r="N1426" i="14" s="1"/>
  <c r="L429" i="14"/>
  <c r="N429" i="14" s="1"/>
  <c r="L1342" i="14"/>
  <c r="N1342" i="14" s="1"/>
  <c r="L1368" i="14"/>
  <c r="N1368" i="14" s="1"/>
  <c r="L813" i="14"/>
  <c r="N813" i="14" s="1"/>
  <c r="L706" i="14"/>
  <c r="N706" i="14" s="1"/>
  <c r="L801" i="14"/>
  <c r="N801" i="14" s="1"/>
  <c r="L1226" i="14"/>
  <c r="N1226" i="14" s="1"/>
  <c r="L484" i="14"/>
  <c r="N484" i="14" s="1"/>
  <c r="L122" i="14"/>
  <c r="N122" i="14" s="1"/>
  <c r="L1168" i="14"/>
  <c r="N1168" i="14" s="1"/>
  <c r="L441" i="14"/>
  <c r="N441" i="14" s="1"/>
  <c r="L1443" i="14"/>
  <c r="N1443" i="14" s="1"/>
  <c r="L1416" i="14"/>
  <c r="N1416" i="14" s="1"/>
  <c r="L895" i="14"/>
  <c r="N895" i="14" s="1"/>
  <c r="L124" i="14"/>
  <c r="N124" i="14" s="1"/>
  <c r="L1198" i="14"/>
  <c r="N1198" i="14" s="1"/>
  <c r="L1069" i="14"/>
  <c r="N1069" i="14" s="1"/>
  <c r="L351" i="14"/>
  <c r="N351" i="14" s="1"/>
  <c r="L1400" i="14"/>
  <c r="N1400" i="14" s="1"/>
  <c r="L680" i="14"/>
  <c r="N680" i="14" s="1"/>
  <c r="L1216" i="14"/>
  <c r="N1216" i="14" s="1"/>
  <c r="L1179" i="14"/>
  <c r="N1179" i="14" s="1"/>
  <c r="L245" i="14"/>
  <c r="N245" i="14" s="1"/>
  <c r="L347" i="14"/>
  <c r="N347" i="14" s="1"/>
  <c r="L219" i="14"/>
  <c r="N219" i="14" s="1"/>
  <c r="L1118" i="14"/>
  <c r="N1118" i="14" s="1"/>
  <c r="L1064" i="14"/>
  <c r="N1064" i="14" s="1"/>
  <c r="L1055" i="14"/>
  <c r="N1055" i="14" s="1"/>
  <c r="L205" i="14"/>
  <c r="N205" i="14" s="1"/>
  <c r="L136" i="14"/>
  <c r="N136" i="14" s="1"/>
  <c r="L287" i="14"/>
  <c r="N287" i="14" s="1"/>
  <c r="N25" i="14"/>
  <c r="L1354" i="14"/>
  <c r="N1354" i="14" s="1"/>
  <c r="L301" i="14"/>
  <c r="N301" i="14" s="1"/>
  <c r="L408" i="14"/>
  <c r="N408" i="14" s="1"/>
  <c r="L757" i="14"/>
  <c r="N757" i="14" s="1"/>
  <c r="L646" i="14"/>
  <c r="N646" i="14" s="1"/>
  <c r="L727" i="14"/>
  <c r="N727" i="14" s="1"/>
  <c r="L612" i="14"/>
  <c r="N612" i="14" s="1"/>
  <c r="L745" i="14"/>
  <c r="N745" i="14" s="1"/>
  <c r="L851" i="14"/>
  <c r="N851" i="14" s="1"/>
  <c r="L1390" i="14"/>
  <c r="N1390" i="14" s="1"/>
  <c r="L702" i="14"/>
  <c r="N702" i="14" s="1"/>
  <c r="L234" i="14"/>
  <c r="N234" i="14" s="1"/>
  <c r="L790" i="14"/>
  <c r="N790" i="14" s="1"/>
  <c r="L1398" i="14"/>
  <c r="N1398" i="14" s="1"/>
  <c r="L491" i="14"/>
  <c r="N491" i="14" s="1"/>
  <c r="L1327" i="14"/>
  <c r="N1327" i="14" s="1"/>
  <c r="L1474" i="14"/>
  <c r="N1474" i="14" s="1"/>
  <c r="L824" i="14"/>
  <c r="N824" i="14" s="1"/>
  <c r="L675" i="14"/>
  <c r="N675" i="14" s="1"/>
  <c r="L871" i="14"/>
  <c r="N871" i="14" s="1"/>
  <c r="L1255" i="14"/>
  <c r="N1255" i="14" s="1"/>
  <c r="L522" i="14"/>
  <c r="N522" i="14" s="1"/>
  <c r="L275" i="14"/>
  <c r="N275" i="14" s="1"/>
  <c r="L1085" i="14"/>
  <c r="N1085" i="14" s="1"/>
  <c r="L421" i="14"/>
  <c r="N421" i="14" s="1"/>
  <c r="L1469" i="14"/>
  <c r="N1469" i="14" s="1"/>
  <c r="L1004" i="14"/>
  <c r="N1004" i="14" s="1"/>
  <c r="L1012" i="14"/>
  <c r="N1012" i="14" s="1"/>
  <c r="L973" i="14"/>
  <c r="N973" i="14" s="1"/>
  <c r="L1076" i="14"/>
  <c r="N1076" i="14" s="1"/>
  <c r="L261" i="14"/>
  <c r="N261" i="14" s="1"/>
  <c r="L1091" i="14"/>
  <c r="N1091" i="14" s="1"/>
  <c r="L303" i="14"/>
  <c r="N303" i="14" s="1"/>
  <c r="L1413" i="14"/>
  <c r="N1413" i="14" s="1"/>
  <c r="N815" i="14"/>
  <c r="N938" i="14"/>
  <c r="N1149" i="14"/>
  <c r="N1444" i="14"/>
  <c r="N1385" i="14"/>
  <c r="N174" i="14"/>
  <c r="N20" i="14"/>
  <c r="N1295" i="14"/>
  <c r="N260" i="14"/>
  <c r="N1450" i="14"/>
  <c r="N885" i="14"/>
  <c r="L237" i="14"/>
  <c r="N237" i="14" s="1"/>
  <c r="L352" i="14"/>
  <c r="N352" i="14" s="1"/>
  <c r="L377" i="14"/>
  <c r="N377" i="14" s="1"/>
  <c r="L1046" i="14"/>
  <c r="N1046" i="14" s="1"/>
  <c r="L29" i="14"/>
  <c r="N29" i="14" s="1"/>
  <c r="L673" i="14"/>
  <c r="N673" i="14" s="1"/>
  <c r="L214" i="14"/>
  <c r="N214" i="14" s="1"/>
  <c r="L1445" i="14"/>
  <c r="N1445" i="14" s="1"/>
  <c r="L1484" i="14"/>
  <c r="N1484" i="14" s="1"/>
  <c r="L525" i="14"/>
  <c r="N525" i="14" s="1"/>
  <c r="L546" i="14"/>
  <c r="N546" i="14" s="1"/>
  <c r="L746" i="14"/>
  <c r="N746" i="14" s="1"/>
  <c r="L605" i="14"/>
  <c r="N605" i="14" s="1"/>
  <c r="L758" i="14"/>
  <c r="N758" i="14" s="1"/>
  <c r="L729" i="14"/>
  <c r="N729" i="14" s="1"/>
  <c r="L713" i="14"/>
  <c r="N713" i="14" s="1"/>
  <c r="L648" i="14"/>
  <c r="N648" i="14" s="1"/>
  <c r="L1372" i="14"/>
  <c r="N1372" i="14" s="1"/>
  <c r="L1229" i="14"/>
  <c r="N1229" i="14" s="1"/>
  <c r="L1273" i="14"/>
  <c r="N1273" i="14" s="1"/>
  <c r="L1453" i="14"/>
  <c r="N1453" i="14" s="1"/>
  <c r="L1183" i="14"/>
  <c r="N1183" i="14" s="1"/>
  <c r="L459" i="14"/>
  <c r="N459" i="14" s="1"/>
  <c r="L516" i="14"/>
  <c r="N516" i="14" s="1"/>
  <c r="L618" i="14"/>
  <c r="N618" i="14" s="1"/>
  <c r="L1053" i="14"/>
  <c r="N1053" i="14" s="1"/>
  <c r="L1103" i="14"/>
  <c r="N1103" i="14" s="1"/>
  <c r="L1051" i="14"/>
  <c r="N1051" i="14" s="1"/>
  <c r="L663" i="14"/>
  <c r="N663" i="14" s="1"/>
  <c r="L379" i="14"/>
  <c r="N379" i="14" s="1"/>
  <c r="L456" i="14"/>
  <c r="N456" i="14" s="1"/>
  <c r="L344" i="14"/>
  <c r="N344" i="14" s="1"/>
  <c r="L518" i="14"/>
  <c r="N518" i="14" s="1"/>
  <c r="L997" i="14"/>
  <c r="N997" i="14" s="1"/>
  <c r="L376" i="14"/>
  <c r="N376" i="14" s="1"/>
  <c r="L138" i="14"/>
  <c r="N138" i="14" s="1"/>
  <c r="L164" i="14"/>
  <c r="N164" i="14" s="1"/>
  <c r="L107" i="14"/>
  <c r="N107" i="14" s="1"/>
  <c r="N533" i="14"/>
  <c r="N1092" i="14"/>
  <c r="N1199" i="14"/>
  <c r="N583" i="14"/>
  <c r="N327" i="14"/>
  <c r="N318" i="14"/>
  <c r="N532" i="14"/>
  <c r="N1030" i="14"/>
  <c r="N979" i="14"/>
  <c r="N528" i="14"/>
  <c r="N1286" i="14"/>
  <c r="N1061" i="14"/>
  <c r="N732" i="14"/>
  <c r="N1031" i="14"/>
  <c r="N108" i="14"/>
  <c r="N162" i="14"/>
  <c r="N622" i="14"/>
  <c r="N478" i="14"/>
  <c r="N667" i="14"/>
  <c r="N100" i="14"/>
  <c r="N1220" i="14"/>
  <c r="N1106" i="14"/>
  <c r="N1439" i="14"/>
  <c r="N1113" i="14"/>
  <c r="N1467" i="14"/>
  <c r="N889" i="14"/>
  <c r="N847" i="14"/>
  <c r="N488" i="14"/>
  <c r="N944" i="14"/>
  <c r="N502" i="14"/>
  <c r="N99" i="14"/>
  <c r="N918" i="14"/>
  <c r="N877" i="14"/>
  <c r="N842" i="14"/>
  <c r="N1316" i="14"/>
  <c r="N606" i="14"/>
  <c r="N659" i="14"/>
  <c r="N381" i="14"/>
  <c r="O241" i="14"/>
  <c r="N405" i="14"/>
  <c r="N647" i="14"/>
  <c r="N925" i="14"/>
  <c r="N947" i="14"/>
  <c r="N1153" i="14"/>
  <c r="N644" i="14"/>
  <c r="N690" i="14"/>
  <c r="N111" i="14"/>
  <c r="N74" i="14"/>
  <c r="N1263" i="14"/>
  <c r="N563" i="14"/>
  <c r="N326" i="14"/>
  <c r="N380" i="14"/>
  <c r="N698" i="14"/>
  <c r="N1105" i="14"/>
  <c r="N634" i="14"/>
  <c r="N1461" i="14"/>
  <c r="N1440" i="14"/>
  <c r="N683" i="14"/>
  <c r="N679" i="14"/>
  <c r="N767" i="14"/>
  <c r="N603" i="14"/>
  <c r="N1243" i="14"/>
  <c r="N571" i="14"/>
  <c r="N140" i="14"/>
  <c r="N106" i="14"/>
  <c r="N1366" i="14"/>
  <c r="N1241" i="14"/>
  <c r="N428" i="14"/>
  <c r="N1348" i="14"/>
  <c r="N631" i="14"/>
  <c r="N567" i="14"/>
  <c r="N556" i="14"/>
  <c r="N1029" i="14"/>
  <c r="N526" i="14"/>
  <c r="N200" i="14"/>
  <c r="N299" i="14"/>
  <c r="N238" i="14"/>
  <c r="N339" i="14"/>
  <c r="N422" i="14"/>
  <c r="N1293" i="14"/>
  <c r="N880" i="14"/>
  <c r="N230" i="14"/>
  <c r="N324" i="14"/>
  <c r="N63" i="14"/>
  <c r="N1250" i="14"/>
  <c r="L753" i="14"/>
  <c r="N753" i="14" s="1"/>
  <c r="L726" i="14"/>
  <c r="N726" i="14" s="1"/>
  <c r="L1073" i="14"/>
  <c r="N1073" i="14" s="1"/>
  <c r="L155" i="14"/>
  <c r="N155" i="14" s="1"/>
  <c r="L1071" i="14"/>
  <c r="N1071" i="14" s="1"/>
  <c r="L1272" i="14"/>
  <c r="N1272" i="14" s="1"/>
  <c r="L870" i="14"/>
  <c r="N870" i="14" s="1"/>
  <c r="L143" i="14"/>
  <c r="N143" i="14" s="1"/>
  <c r="L1201" i="14"/>
  <c r="N1201" i="14" s="1"/>
  <c r="L1215" i="14"/>
  <c r="N1215" i="14" s="1"/>
  <c r="L1204" i="14"/>
  <c r="N1204" i="14" s="1"/>
  <c r="L595" i="14"/>
  <c r="N595" i="14" s="1"/>
  <c r="L1006" i="14"/>
  <c r="N1006" i="14" s="1"/>
  <c r="L1311" i="14"/>
  <c r="N1311" i="14" s="1"/>
  <c r="L626" i="14"/>
  <c r="N626" i="14" s="1"/>
  <c r="L1490" i="14"/>
  <c r="N1490" i="14" s="1"/>
  <c r="L795" i="14"/>
  <c r="N795" i="14" s="1"/>
  <c r="L873" i="14"/>
  <c r="N873" i="14" s="1"/>
  <c r="L791" i="14"/>
  <c r="N791" i="14" s="1"/>
  <c r="L534" i="14"/>
  <c r="N534" i="14" s="1"/>
  <c r="L913" i="14"/>
  <c r="N913" i="14" s="1"/>
  <c r="L1345" i="14"/>
  <c r="N1345" i="14" s="1"/>
  <c r="L569" i="14"/>
  <c r="N569" i="14" s="1"/>
  <c r="L225" i="14"/>
  <c r="N225" i="14" s="1"/>
  <c r="L816" i="14"/>
  <c r="N816" i="14" s="1"/>
  <c r="L404" i="14"/>
  <c r="N404" i="14" s="1"/>
  <c r="L1289" i="14"/>
  <c r="N1289" i="14" s="1"/>
  <c r="L1442" i="14"/>
  <c r="N1442" i="14" s="1"/>
  <c r="L113" i="14"/>
  <c r="N113" i="14" s="1"/>
  <c r="L216" i="14"/>
  <c r="N216" i="14" s="1"/>
  <c r="L787" i="14"/>
  <c r="N787" i="14" s="1"/>
  <c r="L462" i="14"/>
  <c r="N462" i="14" s="1"/>
  <c r="L933" i="14"/>
  <c r="N933" i="14" s="1"/>
  <c r="L1144" i="14"/>
  <c r="N1144" i="14" s="1"/>
  <c r="L876" i="14"/>
  <c r="N876" i="14" s="1"/>
  <c r="L254" i="14"/>
  <c r="N254" i="14" s="1"/>
  <c r="L1187" i="14"/>
  <c r="N1187" i="14" s="1"/>
  <c r="L1164" i="14"/>
  <c r="N1164" i="14" s="1"/>
  <c r="L42" i="14"/>
  <c r="N42" i="14" s="1"/>
  <c r="L1419" i="14"/>
  <c r="N1419" i="14" s="1"/>
  <c r="L854" i="14"/>
  <c r="N854" i="14" s="1"/>
  <c r="L117" i="14"/>
  <c r="N117" i="14" s="1"/>
  <c r="L248" i="14"/>
  <c r="N248" i="14" s="1"/>
  <c r="L1174" i="14"/>
  <c r="N1174" i="14" s="1"/>
  <c r="L331" i="14"/>
  <c r="N331" i="14" s="1"/>
  <c r="L338" i="14"/>
  <c r="N338" i="14" s="1"/>
  <c r="L792" i="14"/>
  <c r="N792" i="14" s="1"/>
  <c r="L611" i="14"/>
  <c r="N611" i="14" s="1"/>
  <c r="L650" i="14"/>
  <c r="N650" i="14" s="1"/>
  <c r="L765" i="14"/>
  <c r="N765" i="14" s="1"/>
  <c r="L691" i="14"/>
  <c r="N691" i="14" s="1"/>
  <c r="L776" i="14"/>
  <c r="N776" i="14" s="1"/>
  <c r="L989" i="14"/>
  <c r="N989" i="14" s="1"/>
  <c r="L148" i="14"/>
  <c r="N148" i="14" s="1"/>
  <c r="L1177" i="14"/>
  <c r="N1177" i="14" s="1"/>
  <c r="L1178" i="14"/>
  <c r="N1178" i="14" s="1"/>
  <c r="L10" i="14"/>
  <c r="N10" i="14" s="1"/>
  <c r="L822" i="14"/>
  <c r="N822" i="14" s="1"/>
  <c r="L902" i="14"/>
  <c r="N902" i="14" s="1"/>
  <c r="L1267" i="14"/>
  <c r="N1267" i="14" s="1"/>
  <c r="L747" i="14"/>
  <c r="N747" i="14" s="1"/>
  <c r="L1493" i="14"/>
  <c r="N1493" i="14" s="1"/>
  <c r="L564" i="14"/>
  <c r="N564" i="14" s="1"/>
  <c r="L598" i="14"/>
  <c r="N598" i="14" s="1"/>
  <c r="L736" i="14"/>
  <c r="N736" i="14" s="1"/>
  <c r="L846" i="14"/>
  <c r="N846" i="14" s="1"/>
  <c r="L957" i="14"/>
  <c r="N957" i="14" s="1"/>
  <c r="L314" i="14"/>
  <c r="N314" i="14" s="1"/>
  <c r="L1301" i="14"/>
  <c r="N1301" i="14" s="1"/>
  <c r="L607" i="14"/>
  <c r="N607" i="14" s="1"/>
  <c r="L1409" i="14"/>
  <c r="N1409" i="14" s="1"/>
  <c r="L419" i="14"/>
  <c r="N419" i="14" s="1"/>
  <c r="L1303" i="14"/>
  <c r="N1303" i="14" s="1"/>
  <c r="L112" i="14"/>
  <c r="N112" i="14" s="1"/>
  <c r="L1357" i="14"/>
  <c r="N1357" i="14" s="1"/>
  <c r="L109" i="14"/>
  <c r="N109" i="14" s="1"/>
  <c r="L794" i="14"/>
  <c r="N794" i="14" s="1"/>
  <c r="L360" i="14"/>
  <c r="N360" i="14" s="1"/>
  <c r="L972" i="14"/>
  <c r="N972" i="14" s="1"/>
  <c r="L1182" i="14"/>
  <c r="N1182" i="14" s="1"/>
  <c r="L985" i="14"/>
  <c r="N985" i="14" s="1"/>
  <c r="L296" i="14"/>
  <c r="N296" i="14" s="1"/>
  <c r="L5" i="14"/>
  <c r="N5" i="14" s="1"/>
  <c r="L43" i="14"/>
  <c r="N43" i="14" s="1"/>
  <c r="L1459" i="14"/>
  <c r="N1459" i="14" s="1"/>
  <c r="L1464" i="14"/>
  <c r="N1464" i="14" s="1"/>
  <c r="L1457" i="14"/>
  <c r="N1457" i="14" s="1"/>
  <c r="L1472" i="14"/>
  <c r="N1472" i="14" s="1"/>
  <c r="L105" i="14"/>
  <c r="N105" i="14" s="1"/>
  <c r="L212" i="14"/>
  <c r="N212" i="14" s="1"/>
  <c r="L1066" i="14"/>
  <c r="N1066" i="14" s="1"/>
  <c r="L305" i="14"/>
  <c r="N305" i="14" s="1"/>
  <c r="N1158" i="14"/>
  <c r="N1121" i="14"/>
  <c r="N1166" i="14"/>
  <c r="N1276" i="14"/>
  <c r="N201" i="14"/>
  <c r="N1492" i="14"/>
  <c r="N382" i="14"/>
  <c r="N1305" i="14"/>
  <c r="N1465" i="14"/>
  <c r="N720" i="14"/>
  <c r="N875" i="14"/>
  <c r="N1325" i="14"/>
  <c r="N1287" i="14"/>
  <c r="N87" i="14"/>
  <c r="N95" i="14"/>
  <c r="O270" i="14"/>
  <c r="L141" i="14"/>
  <c r="N141" i="14" s="1"/>
  <c r="L394" i="14"/>
  <c r="N394" i="14" s="1"/>
  <c r="L407" i="14"/>
  <c r="N407" i="14" s="1"/>
  <c r="L409" i="14"/>
  <c r="N409" i="14" s="1"/>
  <c r="L499" i="14"/>
  <c r="N499" i="14" s="1"/>
  <c r="L543" i="14"/>
  <c r="N543" i="14" s="1"/>
  <c r="L402" i="14"/>
  <c r="N402" i="14" s="1"/>
  <c r="L19" i="14"/>
  <c r="N19" i="14" s="1"/>
  <c r="L1358" i="14"/>
  <c r="N1358" i="14" s="1"/>
  <c r="L689" i="14"/>
  <c r="N689" i="14" s="1"/>
  <c r="L231" i="14"/>
  <c r="N231" i="14" s="1"/>
  <c r="L483" i="14"/>
  <c r="N483" i="14" s="1"/>
  <c r="L608" i="14"/>
  <c r="N608" i="14" s="1"/>
  <c r="L629" i="14"/>
  <c r="N629" i="14" s="1"/>
  <c r="L46" i="14"/>
  <c r="N46" i="14" s="1"/>
  <c r="L44" i="14"/>
  <c r="N44" i="14" s="1"/>
  <c r="L196" i="14"/>
  <c r="N196" i="14" s="1"/>
  <c r="L227" i="14"/>
  <c r="N227" i="14" s="1"/>
  <c r="L1156" i="14"/>
  <c r="N1156" i="14" s="1"/>
  <c r="L455" i="14"/>
  <c r="N455" i="14" s="1"/>
  <c r="L1375" i="14"/>
  <c r="N1375" i="14" s="1"/>
  <c r="L1418" i="14"/>
  <c r="N1418" i="14" s="1"/>
  <c r="L1477" i="14"/>
  <c r="N1477" i="14" s="1"/>
  <c r="L426" i="14"/>
  <c r="N426" i="14" s="1"/>
  <c r="L433" i="14"/>
  <c r="N433" i="14" s="1"/>
  <c r="L591" i="14"/>
  <c r="N591" i="14" s="1"/>
  <c r="L709" i="14"/>
  <c r="N709" i="14" s="1"/>
  <c r="L335" i="14"/>
  <c r="N335" i="14" s="1"/>
  <c r="L490" i="14"/>
  <c r="N490" i="14" s="1"/>
  <c r="L165" i="14"/>
  <c r="N165" i="14" s="1"/>
  <c r="L1011" i="14"/>
  <c r="N1011" i="14" s="1"/>
  <c r="L387" i="14"/>
  <c r="N387" i="14" s="1"/>
  <c r="L460" i="14"/>
  <c r="N460" i="14" s="1"/>
  <c r="L336" i="14"/>
  <c r="N336" i="14" s="1"/>
  <c r="L472" i="14"/>
  <c r="N472" i="14" s="1"/>
  <c r="L990" i="14"/>
  <c r="N990" i="14" s="1"/>
  <c r="L75" i="14"/>
  <c r="N75" i="14" s="1"/>
  <c r="L719" i="14"/>
  <c r="N719" i="14" s="1"/>
  <c r="L671" i="14"/>
  <c r="N671" i="14" s="1"/>
  <c r="N669" i="14"/>
  <c r="N744" i="14"/>
  <c r="N481" i="14"/>
  <c r="N1211" i="14"/>
  <c r="N1101" i="14"/>
  <c r="N966" i="14"/>
  <c r="N400" i="14"/>
  <c r="N678" i="14"/>
  <c r="N783" i="14"/>
  <c r="N233" i="14"/>
  <c r="N845" i="14"/>
  <c r="N894" i="14"/>
  <c r="N909" i="14"/>
  <c r="N1291" i="14"/>
  <c r="N1059" i="14"/>
  <c r="N1048" i="14"/>
  <c r="N560" i="14"/>
  <c r="N444" i="14"/>
  <c r="N1389" i="14"/>
  <c r="N1308" i="14"/>
  <c r="N486" i="14"/>
  <c r="N203" i="14"/>
  <c r="N425" i="14"/>
  <c r="N450" i="14"/>
  <c r="N996" i="14"/>
  <c r="N843" i="14"/>
  <c r="N624" i="14"/>
  <c r="N797" i="14" l="1"/>
  <c r="N1446" i="14"/>
  <c r="N1081" i="14"/>
  <c r="N505" i="14"/>
  <c r="N922" i="14"/>
  <c r="N1116" i="14"/>
  <c r="N1112" i="14"/>
  <c r="N1131" i="14"/>
  <c r="N723" i="14"/>
  <c r="N586" i="14"/>
  <c r="N374" i="14"/>
  <c r="N511" i="14"/>
  <c r="S3" i="14" l="1" a="1"/>
  <c r="S3" i="14" s="1"/>
  <c r="S15" i="14" s="1"/>
  <c r="S9" i="14" l="1"/>
  <c r="S11" i="14" s="1"/>
  <c r="U9" i="14"/>
  <c r="U10" i="14" s="1"/>
  <c r="T9" i="14"/>
  <c r="T11" i="14" s="1"/>
  <c r="T8" i="14"/>
  <c r="U8" i="14"/>
  <c r="S8" i="14"/>
  <c r="T10" i="14" l="1"/>
  <c r="S10" i="14"/>
  <c r="U11" i="14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<sst xmlns="http://schemas.openxmlformats.org/spreadsheetml/2006/main" count="26547" uniqueCount="153">
  <si>
    <t>BE21</t>
  </si>
  <si>
    <t>BE23</t>
  </si>
  <si>
    <t>BE25</t>
  </si>
  <si>
    <t>DE50</t>
  </si>
  <si>
    <t>DE60</t>
  </si>
  <si>
    <t>DE80</t>
  </si>
  <si>
    <t>DE93</t>
  </si>
  <si>
    <t>DE94</t>
  </si>
  <si>
    <t>DEA</t>
  </si>
  <si>
    <t>DEF0</t>
  </si>
  <si>
    <t>ES11</t>
  </si>
  <si>
    <t>ES12</t>
  </si>
  <si>
    <t>ES13</t>
  </si>
  <si>
    <t>ES21</t>
  </si>
  <si>
    <t>ES51</t>
  </si>
  <si>
    <t>ES52</t>
  </si>
  <si>
    <t>ES61</t>
  </si>
  <si>
    <t>ES62</t>
  </si>
  <si>
    <t>FRD1</t>
  </si>
  <si>
    <t>FRD2</t>
  </si>
  <si>
    <t>FRE1</t>
  </si>
  <si>
    <t>FRG0</t>
  </si>
  <si>
    <t>FRH0</t>
  </si>
  <si>
    <t>FRI1</t>
  </si>
  <si>
    <t>FRI3</t>
  </si>
  <si>
    <t>FRJ1</t>
  </si>
  <si>
    <t>FR2</t>
  </si>
  <si>
    <t>FR30</t>
  </si>
  <si>
    <t>FR5</t>
  </si>
  <si>
    <t>FR6</t>
  </si>
  <si>
    <t>NL11</t>
  </si>
  <si>
    <t>NL12</t>
  </si>
  <si>
    <t>NL32</t>
  </si>
  <si>
    <t>NL33</t>
  </si>
  <si>
    <t>NL34</t>
  </si>
  <si>
    <t>NL41</t>
  </si>
  <si>
    <t>PT11</t>
  </si>
  <si>
    <t>PT15</t>
  </si>
  <si>
    <t>PT16</t>
  </si>
  <si>
    <t>PT17</t>
  </si>
  <si>
    <t>PT18</t>
  </si>
  <si>
    <t>Prov. Antwerpen</t>
  </si>
  <si>
    <t>Prov. Oost-Vlaanderen</t>
  </si>
  <si>
    <t>Prov. West-Vlaanderen</t>
  </si>
  <si>
    <t>Bremen</t>
  </si>
  <si>
    <t>Hamburg</t>
  </si>
  <si>
    <t>Mecklenburg-Vorpommern</t>
  </si>
  <si>
    <t>Lüneburg</t>
  </si>
  <si>
    <t>Weser-Ems</t>
  </si>
  <si>
    <t>Nordrhein-Westfalen</t>
  </si>
  <si>
    <t>Schleswig-Holstein</t>
  </si>
  <si>
    <t>Galicia</t>
  </si>
  <si>
    <t>Principado de Asturias</t>
  </si>
  <si>
    <t>Cantabria</t>
  </si>
  <si>
    <t>País Vasco</t>
  </si>
  <si>
    <t>Cataluña</t>
  </si>
  <si>
    <t>Comunitat Valenciana</t>
  </si>
  <si>
    <t>Andalucía</t>
  </si>
  <si>
    <t>Región de Murcia</t>
  </si>
  <si>
    <t>Basse-Normandie</t>
  </si>
  <si>
    <t>Haute-Normandie</t>
  </si>
  <si>
    <t>Nord-Pas-de-Calais</t>
  </si>
  <si>
    <t>Pays-de-la-Loire</t>
  </si>
  <si>
    <t>Bretagne</t>
  </si>
  <si>
    <t>Aquitaine</t>
  </si>
  <si>
    <t>Poitou-Charentes</t>
  </si>
  <si>
    <t>Languedoc-Roussillon</t>
  </si>
  <si>
    <t>Groningen</t>
  </si>
  <si>
    <t>Friesland (NL)</t>
  </si>
  <si>
    <t>Noord-Holland</t>
  </si>
  <si>
    <t>Zuid-Holland</t>
  </si>
  <si>
    <t>Zeeland</t>
  </si>
  <si>
    <t>Noord-Brabant</t>
  </si>
  <si>
    <t>Norte</t>
  </si>
  <si>
    <t>Algarve</t>
  </si>
  <si>
    <t>Centro (PT)</t>
  </si>
  <si>
    <t>Área Metropolitana de Lisboa</t>
  </si>
  <si>
    <t>Alentejo</t>
  </si>
  <si>
    <t>NUTS</t>
  </si>
  <si>
    <t>PUERTO</t>
  </si>
  <si>
    <t>ID TRANSCAD</t>
  </si>
  <si>
    <t>Algeciras</t>
  </si>
  <si>
    <t>Barcelona</t>
  </si>
  <si>
    <t>Tarragona</t>
  </si>
  <si>
    <t>Brest</t>
  </si>
  <si>
    <t>Caen</t>
  </si>
  <si>
    <t>Valencia</t>
  </si>
  <si>
    <t>Oporto</t>
  </si>
  <si>
    <t>Cádiz</t>
  </si>
  <si>
    <t>Lisboa</t>
  </si>
  <si>
    <t>Cartagena</t>
  </si>
  <si>
    <t>Santander</t>
  </si>
  <si>
    <t>Bilbao</t>
  </si>
  <si>
    <t>Pasajes</t>
  </si>
  <si>
    <t>Saint Nazaire</t>
  </si>
  <si>
    <t>Dunquerque</t>
  </si>
  <si>
    <t>Hamburgo</t>
  </si>
  <si>
    <t>Amberes</t>
  </si>
  <si>
    <t>Rotterdam</t>
  </si>
  <si>
    <t>Bremerhaven</t>
  </si>
  <si>
    <t>Amsterdam</t>
  </si>
  <si>
    <t>Zeebrugge</t>
  </si>
  <si>
    <t>Calais</t>
  </si>
  <si>
    <t>Le Havre</t>
  </si>
  <si>
    <t>Cherburgo</t>
  </si>
  <si>
    <t>La Rochelle</t>
  </si>
  <si>
    <t>A Coruña</t>
  </si>
  <si>
    <t>Vigo</t>
  </si>
  <si>
    <t>Sines</t>
  </si>
  <si>
    <t>Gijón</t>
  </si>
  <si>
    <t>Málaga</t>
  </si>
  <si>
    <t>Coste camión</t>
  </si>
  <si>
    <t>€/km cargado</t>
  </si>
  <si>
    <t>Distancias en km</t>
  </si>
  <si>
    <t>Tiempo en horas</t>
  </si>
  <si>
    <t>Flujo de mercancías en miles de toneladas</t>
  </si>
  <si>
    <t>FlujoMM</t>
  </si>
  <si>
    <t>IDOr</t>
  </si>
  <si>
    <t>IDDes</t>
  </si>
  <si>
    <t>Origen</t>
  </si>
  <si>
    <t>Destino</t>
  </si>
  <si>
    <t>FlujoRoad</t>
  </si>
  <si>
    <t>NA</t>
  </si>
  <si>
    <t>CosteRoad</t>
  </si>
  <si>
    <t>CosteMM</t>
  </si>
  <si>
    <t>TMM</t>
  </si>
  <si>
    <t>Tcarr</t>
  </si>
  <si>
    <t>CU_Road</t>
  </si>
  <si>
    <t>CU_MM</t>
  </si>
  <si>
    <t>ln(1/p-1)</t>
  </si>
  <si>
    <t>Cr-Cmm</t>
  </si>
  <si>
    <t>Tr-Tmm</t>
  </si>
  <si>
    <t>Beta</t>
  </si>
  <si>
    <t>T</t>
  </si>
  <si>
    <t>C</t>
  </si>
  <si>
    <t>Beta0</t>
  </si>
  <si>
    <t>S</t>
  </si>
  <si>
    <t>Cr</t>
  </si>
  <si>
    <t>Cmm</t>
  </si>
  <si>
    <t>Tr</t>
  </si>
  <si>
    <t>Tmm</t>
  </si>
  <si>
    <t>Pmm</t>
  </si>
  <si>
    <t>1/2 Interv Conf</t>
  </si>
  <si>
    <t>Min int</t>
  </si>
  <si>
    <t>Max int</t>
  </si>
  <si>
    <t>FRF2</t>
  </si>
  <si>
    <t>FRI2</t>
  </si>
  <si>
    <t>FRJ2</t>
  </si>
  <si>
    <t>DEA1</t>
  </si>
  <si>
    <t>Champagne-Ardenne</t>
  </si>
  <si>
    <t>Limousin</t>
  </si>
  <si>
    <t>Midi-Pyrénées</t>
  </si>
  <si>
    <t>DEA11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</si>
</sst>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6" formatCode="0.000"/>
  </numFmts>
  <fonts count="5" x14ac:knownFonts="1">
    <font>
      <sz val="11"/>
      <color theme="1"/>
      <name val="Calibri"/>
      <family val="2"/>
      <scheme val="minor"/>
    </font>
    <font>
      <sz val="9"/>
      <name val="Arial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1" xfId="0" applyFont="1" applyFill="1" applyBorder="1" applyAlignment="1">
      <alignment horizontal="left" vertical="center"/>
    </xf>
    <xf numFmtId="0" fontId="0" fillId="0" borderId="1" xfId="0" applyBorder="1"/>
    <xf numFmtId="0" fontId="0" fillId="0" borderId="1" xfId="0" applyBorder="1" applyAlignment="1">
      <alignment horizontal="center"/>
    </xf>
    <xf numFmtId="0" fontId="0" fillId="0" borderId="0" xfId="0" applyNumberFormat="1"/>
    <xf numFmtId="0" fontId="3" fillId="0" borderId="0" xfId="0" applyFont="1"/>
    <xf numFmtId="0" fontId="0" fillId="0" borderId="0" xfId="0" applyFill="1"/>
    <xf numFmtId="0" fontId="1" fillId="0" borderId="0" xfId="0" applyFont="1" applyFill="1" applyBorder="1" applyAlignment="1">
      <alignment horizontal="left" vertical="center"/>
    </xf>
    <xf numFmtId="0" fontId="3" fillId="0" borderId="1" xfId="0" applyFont="1" applyBorder="1"/>
    <xf numFmtId="0" fontId="3" fillId="0" borderId="1" xfId="0" applyFont="1" applyFill="1" applyBorder="1"/>
    <xf numFmtId="0" fontId="4" fillId="0" borderId="1" xfId="0" applyFont="1" applyBorder="1"/>
    <xf numFmtId="4" fontId="0" fillId="0" borderId="1" xfId="1" applyNumberFormat="1" applyFont="1" applyBorder="1"/>
    <xf numFmtId="166" fontId="0" fillId="0" borderId="1" xfId="0" applyNumberFormat="1" applyBorder="1"/>
    <xf numFmtId="166" fontId="0" fillId="0" borderId="1" xfId="0" applyNumberFormat="1" applyFill="1" applyBorder="1"/>
    <xf numFmtId="2" fontId="0" fillId="0" borderId="0" xfId="0" applyNumberFormat="1"/>
    <xf numFmtId="0" fontId="4" fillId="0" borderId="0" xfId="0" applyFont="1"/>
    <xf numFmtId="0" fontId="0" fillId="0" borderId="1" xfId="0" applyBorder="1" applyAlignment="1">
      <alignment horizontal="center"/>
    </xf>
  </cellXfs>
  <cellStyles count="2">
    <cellStyle name="Millares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E558D5-74BD-45C8-9588-6761F35D76C2}">
  <dimension ref="B4:D9"/>
  <sheetViews>
    <sheetView workbookViewId="0">
      <selection activeCell="C6" sqref="C6"/>
    </sheetView>
  </sheetViews>
  <sheetFormatPr baseColWidth="10" defaultRowHeight="15" x14ac:dyDescent="0.25"/>
  <cols>
    <col min="2" max="2" width="28.5703125" bestFit="1" customWidth="1"/>
  </cols>
  <sheetData>
    <row r="4" spans="2:4" x14ac:dyDescent="0.25">
      <c r="B4" t="s">
        <v>115</v>
      </c>
    </row>
    <row r="6" spans="2:4" x14ac:dyDescent="0.25">
      <c r="B6" t="s">
        <v>111</v>
      </c>
      <c r="C6">
        <v>1.3129999999999999</v>
      </c>
      <c r="D6" t="s">
        <v>112</v>
      </c>
    </row>
    <row r="8" spans="2:4" x14ac:dyDescent="0.25">
      <c r="B8" t="s">
        <v>113</v>
      </c>
    </row>
    <row r="9" spans="2:4" x14ac:dyDescent="0.25">
      <c r="B9" t="s">
        <v>114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922A52-EDD9-4045-8834-B670437688FB}">
  <dimension ref="B2:H42"/>
  <sheetViews>
    <sheetView topLeftCell="A18" workbookViewId="0">
      <selection activeCell="D36" sqref="D36"/>
    </sheetView>
  </sheetViews>
  <sheetFormatPr baseColWidth="10" defaultRowHeight="15" x14ac:dyDescent="0.25"/>
  <cols>
    <col min="2" max="2" width="12.140625" bestFit="1" customWidth="1"/>
    <col min="4" max="4" width="24.5703125" bestFit="1" customWidth="1"/>
    <col min="7" max="7" width="12.85546875" bestFit="1" customWidth="1"/>
    <col min="8" max="8" width="13" bestFit="1" customWidth="1"/>
  </cols>
  <sheetData>
    <row r="2" spans="2:8" x14ac:dyDescent="0.25">
      <c r="B2" s="2" t="str">
        <f>G2</f>
        <v>ID TRANSCAD</v>
      </c>
      <c r="C2" s="16" t="s">
        <v>78</v>
      </c>
      <c r="D2" s="16"/>
      <c r="G2" s="2" t="s">
        <v>80</v>
      </c>
      <c r="H2" s="3" t="s">
        <v>79</v>
      </c>
    </row>
    <row r="3" spans="2:8" x14ac:dyDescent="0.25">
      <c r="B3" s="2">
        <v>41</v>
      </c>
      <c r="C3" s="2" t="s">
        <v>0</v>
      </c>
      <c r="D3" s="1" t="s">
        <v>41</v>
      </c>
      <c r="G3" s="3">
        <v>61</v>
      </c>
      <c r="H3" s="3" t="s">
        <v>81</v>
      </c>
    </row>
    <row r="4" spans="2:8" x14ac:dyDescent="0.25">
      <c r="B4" s="2">
        <v>42</v>
      </c>
      <c r="C4" s="2" t="s">
        <v>1</v>
      </c>
      <c r="D4" s="1" t="s">
        <v>42</v>
      </c>
      <c r="G4" s="3">
        <v>1063</v>
      </c>
      <c r="H4" s="3" t="s">
        <v>82</v>
      </c>
    </row>
    <row r="5" spans="2:8" x14ac:dyDescent="0.25">
      <c r="B5" s="2">
        <v>12</v>
      </c>
      <c r="C5" s="2" t="s">
        <v>2</v>
      </c>
      <c r="D5" s="1" t="s">
        <v>43</v>
      </c>
      <c r="G5" s="3">
        <v>63</v>
      </c>
      <c r="H5" s="3" t="s">
        <v>83</v>
      </c>
    </row>
    <row r="6" spans="2:8" x14ac:dyDescent="0.25">
      <c r="B6" s="2">
        <v>48</v>
      </c>
      <c r="C6" s="2" t="s">
        <v>3</v>
      </c>
      <c r="D6" s="1" t="s">
        <v>44</v>
      </c>
      <c r="G6" s="3">
        <v>275</v>
      </c>
      <c r="H6" s="3" t="s">
        <v>84</v>
      </c>
    </row>
    <row r="7" spans="2:8" x14ac:dyDescent="0.25">
      <c r="B7" s="2">
        <v>47</v>
      </c>
      <c r="C7" s="2" t="s">
        <v>4</v>
      </c>
      <c r="D7" s="1" t="s">
        <v>45</v>
      </c>
      <c r="G7" s="3">
        <v>271</v>
      </c>
      <c r="H7" s="3" t="s">
        <v>85</v>
      </c>
    </row>
    <row r="8" spans="2:8" x14ac:dyDescent="0.25">
      <c r="B8" s="2">
        <v>2</v>
      </c>
      <c r="C8" s="2" t="s">
        <v>5</v>
      </c>
      <c r="D8" s="1" t="s">
        <v>46</v>
      </c>
      <c r="G8" s="3">
        <v>1064</v>
      </c>
      <c r="H8" s="3" t="s">
        <v>86</v>
      </c>
    </row>
    <row r="9" spans="2:8" x14ac:dyDescent="0.25">
      <c r="B9" s="2">
        <v>3</v>
      </c>
      <c r="C9" s="2" t="s">
        <v>6</v>
      </c>
      <c r="D9" s="1" t="s">
        <v>47</v>
      </c>
      <c r="G9" s="3">
        <v>111</v>
      </c>
      <c r="H9" s="3" t="s">
        <v>87</v>
      </c>
    </row>
    <row r="10" spans="2:8" x14ac:dyDescent="0.25">
      <c r="B10" s="2">
        <v>6</v>
      </c>
      <c r="C10" s="2" t="s">
        <v>7</v>
      </c>
      <c r="D10" s="1" t="s">
        <v>48</v>
      </c>
      <c r="G10" s="3">
        <v>297</v>
      </c>
      <c r="H10" s="3" t="s">
        <v>88</v>
      </c>
    </row>
    <row r="11" spans="2:8" x14ac:dyDescent="0.25">
      <c r="B11" s="2">
        <v>5</v>
      </c>
      <c r="C11" s="2" t="s">
        <v>148</v>
      </c>
      <c r="D11" s="1" t="s">
        <v>49</v>
      </c>
      <c r="G11" s="3">
        <v>294</v>
      </c>
      <c r="H11" s="3" t="s">
        <v>89</v>
      </c>
    </row>
    <row r="12" spans="2:8" x14ac:dyDescent="0.25">
      <c r="B12" s="2">
        <v>1</v>
      </c>
      <c r="C12" s="2" t="s">
        <v>9</v>
      </c>
      <c r="D12" s="1" t="s">
        <v>50</v>
      </c>
      <c r="G12" s="3">
        <v>118</v>
      </c>
      <c r="H12" s="3" t="s">
        <v>90</v>
      </c>
    </row>
    <row r="13" spans="2:8" x14ac:dyDescent="0.25">
      <c r="B13" s="2">
        <v>25</v>
      </c>
      <c r="C13" s="2" t="s">
        <v>10</v>
      </c>
      <c r="D13" s="1" t="s">
        <v>51</v>
      </c>
      <c r="G13" s="3">
        <v>326</v>
      </c>
      <c r="H13" s="3" t="s">
        <v>91</v>
      </c>
    </row>
    <row r="14" spans="2:8" x14ac:dyDescent="0.25">
      <c r="B14" s="2">
        <v>26</v>
      </c>
      <c r="C14" s="2" t="s">
        <v>11</v>
      </c>
      <c r="D14" s="1" t="s">
        <v>52</v>
      </c>
      <c r="G14" s="3">
        <v>163</v>
      </c>
      <c r="H14" s="3" t="s">
        <v>92</v>
      </c>
    </row>
    <row r="15" spans="2:8" x14ac:dyDescent="0.25">
      <c r="B15" s="2">
        <v>27</v>
      </c>
      <c r="C15" s="2" t="s">
        <v>12</v>
      </c>
      <c r="D15" s="1" t="s">
        <v>53</v>
      </c>
      <c r="G15" s="3">
        <v>172</v>
      </c>
      <c r="H15" s="3" t="s">
        <v>93</v>
      </c>
    </row>
    <row r="16" spans="2:8" x14ac:dyDescent="0.25">
      <c r="B16" s="2">
        <v>28</v>
      </c>
      <c r="C16" s="2" t="s">
        <v>13</v>
      </c>
      <c r="D16" s="1" t="s">
        <v>54</v>
      </c>
      <c r="G16" s="3">
        <v>282</v>
      </c>
      <c r="H16" s="3" t="s">
        <v>94</v>
      </c>
    </row>
    <row r="17" spans="2:8" x14ac:dyDescent="0.25">
      <c r="B17" s="2">
        <v>29</v>
      </c>
      <c r="C17" s="2" t="s">
        <v>14</v>
      </c>
      <c r="D17" s="1" t="s">
        <v>55</v>
      </c>
      <c r="G17" s="3">
        <v>235</v>
      </c>
      <c r="H17" s="3" t="s">
        <v>95</v>
      </c>
    </row>
    <row r="18" spans="2:8" x14ac:dyDescent="0.25">
      <c r="B18" s="2">
        <v>30</v>
      </c>
      <c r="C18" s="2" t="s">
        <v>15</v>
      </c>
      <c r="D18" s="1" t="s">
        <v>56</v>
      </c>
      <c r="G18" s="3">
        <v>1069</v>
      </c>
      <c r="H18" s="3" t="s">
        <v>96</v>
      </c>
    </row>
    <row r="19" spans="2:8" x14ac:dyDescent="0.25">
      <c r="B19" s="2">
        <v>32</v>
      </c>
      <c r="C19" s="2" t="s">
        <v>16</v>
      </c>
      <c r="D19" s="1" t="s">
        <v>57</v>
      </c>
      <c r="G19" s="3">
        <v>253</v>
      </c>
      <c r="H19" s="3" t="s">
        <v>97</v>
      </c>
    </row>
    <row r="20" spans="2:8" x14ac:dyDescent="0.25">
      <c r="B20" s="2">
        <v>33</v>
      </c>
      <c r="C20" s="2" t="s">
        <v>17</v>
      </c>
      <c r="D20" s="1" t="s">
        <v>58</v>
      </c>
      <c r="G20" s="3">
        <v>250</v>
      </c>
      <c r="H20" s="3" t="s">
        <v>98</v>
      </c>
    </row>
    <row r="21" spans="2:8" x14ac:dyDescent="0.25">
      <c r="B21" s="2">
        <v>14</v>
      </c>
      <c r="C21" s="2" t="s">
        <v>145</v>
      </c>
      <c r="D21" s="2" t="s">
        <v>149</v>
      </c>
      <c r="G21" s="3">
        <v>245</v>
      </c>
      <c r="H21" s="3" t="s">
        <v>99</v>
      </c>
    </row>
    <row r="22" spans="2:8" x14ac:dyDescent="0.25">
      <c r="B22" s="2">
        <v>43</v>
      </c>
      <c r="C22" s="2" t="s">
        <v>146</v>
      </c>
      <c r="D22" s="1" t="s">
        <v>150</v>
      </c>
      <c r="G22" s="3">
        <v>218</v>
      </c>
      <c r="H22" s="3" t="s">
        <v>100</v>
      </c>
    </row>
    <row r="23" spans="2:8" x14ac:dyDescent="0.25">
      <c r="B23" s="2">
        <v>44</v>
      </c>
      <c r="C23" s="2" t="s">
        <v>18</v>
      </c>
      <c r="D23" s="1" t="s">
        <v>59</v>
      </c>
      <c r="G23" s="3">
        <v>220</v>
      </c>
      <c r="H23" s="3" t="s">
        <v>101</v>
      </c>
    </row>
    <row r="24" spans="2:8" x14ac:dyDescent="0.25">
      <c r="B24" s="2">
        <v>16</v>
      </c>
      <c r="C24" s="2" t="s">
        <v>19</v>
      </c>
      <c r="D24" s="1" t="s">
        <v>60</v>
      </c>
      <c r="G24" s="3">
        <v>268</v>
      </c>
      <c r="H24" s="3" t="s">
        <v>102</v>
      </c>
    </row>
    <row r="25" spans="2:8" x14ac:dyDescent="0.25">
      <c r="B25" s="2">
        <v>15</v>
      </c>
      <c r="C25" s="2" t="s">
        <v>20</v>
      </c>
      <c r="D25" s="1" t="s">
        <v>61</v>
      </c>
      <c r="G25" s="3">
        <v>269</v>
      </c>
      <c r="H25" s="3" t="s">
        <v>103</v>
      </c>
    </row>
    <row r="26" spans="2:8" x14ac:dyDescent="0.25">
      <c r="B26" s="2">
        <v>24</v>
      </c>
      <c r="C26" s="2" t="s">
        <v>21</v>
      </c>
      <c r="D26" s="1" t="s">
        <v>62</v>
      </c>
      <c r="G26" s="3">
        <v>272</v>
      </c>
      <c r="H26" s="3" t="s">
        <v>104</v>
      </c>
    </row>
    <row r="27" spans="2:8" x14ac:dyDescent="0.25">
      <c r="B27" s="2">
        <v>17</v>
      </c>
      <c r="C27" s="2" t="s">
        <v>22</v>
      </c>
      <c r="D27" s="1" t="s">
        <v>63</v>
      </c>
      <c r="G27" s="3">
        <v>283</v>
      </c>
      <c r="H27" s="3" t="s">
        <v>105</v>
      </c>
    </row>
    <row r="28" spans="2:8" x14ac:dyDescent="0.25">
      <c r="B28" s="2">
        <v>22</v>
      </c>
      <c r="C28" s="2" t="s">
        <v>23</v>
      </c>
      <c r="D28" s="1" t="s">
        <v>64</v>
      </c>
      <c r="G28" s="3">
        <v>285</v>
      </c>
      <c r="H28" s="3" t="s">
        <v>106</v>
      </c>
    </row>
    <row r="29" spans="2:8" x14ac:dyDescent="0.25">
      <c r="B29" s="2">
        <v>21</v>
      </c>
      <c r="C29" s="2" t="s">
        <v>24</v>
      </c>
      <c r="D29" s="1" t="s">
        <v>65</v>
      </c>
      <c r="E29" s="7"/>
      <c r="G29" s="3">
        <v>288</v>
      </c>
      <c r="H29" s="3" t="s">
        <v>107</v>
      </c>
    </row>
    <row r="30" spans="2:8" x14ac:dyDescent="0.25">
      <c r="B30" s="2">
        <v>45</v>
      </c>
      <c r="C30" s="2" t="s">
        <v>25</v>
      </c>
      <c r="D30" s="1" t="s">
        <v>66</v>
      </c>
      <c r="E30" s="7"/>
      <c r="G30" s="3">
        <v>1065</v>
      </c>
      <c r="H30" s="3" t="s">
        <v>108</v>
      </c>
    </row>
    <row r="31" spans="2:8" x14ac:dyDescent="0.25">
      <c r="B31" s="2">
        <v>46</v>
      </c>
      <c r="C31" s="2" t="s">
        <v>147</v>
      </c>
      <c r="D31" s="1" t="s">
        <v>151</v>
      </c>
      <c r="G31" s="3">
        <v>323</v>
      </c>
      <c r="H31" s="3" t="s">
        <v>109</v>
      </c>
    </row>
    <row r="32" spans="2:8" x14ac:dyDescent="0.25">
      <c r="B32" s="2">
        <v>49</v>
      </c>
      <c r="C32" s="2" t="s">
        <v>30</v>
      </c>
      <c r="D32" s="1" t="s">
        <v>67</v>
      </c>
      <c r="G32" s="3">
        <v>462</v>
      </c>
      <c r="H32" s="3" t="s">
        <v>110</v>
      </c>
    </row>
    <row r="33" spans="2:4" x14ac:dyDescent="0.25">
      <c r="B33" s="2">
        <v>7</v>
      </c>
      <c r="C33" s="2" t="s">
        <v>31</v>
      </c>
      <c r="D33" s="1" t="s">
        <v>68</v>
      </c>
    </row>
    <row r="34" spans="2:4" x14ac:dyDescent="0.25">
      <c r="B34" s="2">
        <v>8</v>
      </c>
      <c r="C34" s="2" t="s">
        <v>32</v>
      </c>
      <c r="D34" s="1" t="s">
        <v>69</v>
      </c>
    </row>
    <row r="35" spans="2:4" x14ac:dyDescent="0.25">
      <c r="B35" s="2">
        <v>40</v>
      </c>
      <c r="C35" s="2" t="s">
        <v>33</v>
      </c>
      <c r="D35" s="1" t="s">
        <v>70</v>
      </c>
    </row>
    <row r="36" spans="2:4" x14ac:dyDescent="0.25">
      <c r="B36" s="2">
        <v>50</v>
      </c>
      <c r="C36" s="2" t="s">
        <v>34</v>
      </c>
      <c r="D36" s="1" t="s">
        <v>71</v>
      </c>
    </row>
    <row r="37" spans="2:4" x14ac:dyDescent="0.25">
      <c r="B37" s="2">
        <v>39</v>
      </c>
      <c r="C37" s="2" t="s">
        <v>35</v>
      </c>
      <c r="D37" s="1" t="s">
        <v>72</v>
      </c>
    </row>
    <row r="38" spans="2:4" x14ac:dyDescent="0.25">
      <c r="B38" s="2">
        <v>34</v>
      </c>
      <c r="C38" s="2" t="s">
        <v>36</v>
      </c>
      <c r="D38" s="1" t="s">
        <v>73</v>
      </c>
    </row>
    <row r="39" spans="2:4" x14ac:dyDescent="0.25">
      <c r="B39" s="2">
        <v>35</v>
      </c>
      <c r="C39" s="2" t="s">
        <v>37</v>
      </c>
      <c r="D39" s="1" t="s">
        <v>74</v>
      </c>
    </row>
    <row r="40" spans="2:4" x14ac:dyDescent="0.25">
      <c r="B40" s="2">
        <v>36</v>
      </c>
      <c r="C40" s="2" t="s">
        <v>38</v>
      </c>
      <c r="D40" s="1" t="s">
        <v>75</v>
      </c>
    </row>
    <row r="41" spans="2:4" x14ac:dyDescent="0.25">
      <c r="B41" s="2">
        <v>37</v>
      </c>
      <c r="C41" s="2" t="s">
        <v>39</v>
      </c>
      <c r="D41" s="1" t="s">
        <v>76</v>
      </c>
    </row>
    <row r="42" spans="2:4" x14ac:dyDescent="0.25">
      <c r="B42" s="2">
        <v>38</v>
      </c>
      <c r="C42" s="2" t="s">
        <v>40</v>
      </c>
      <c r="D42" s="1" t="s">
        <v>77</v>
      </c>
    </row>
  </sheetData>
  <mergeCells count="1">
    <mergeCell ref="C2:D2"/>
  </mergeCells>
  <pageMargins left="0.7" right="0.7" top="0.75" bottom="0.75" header="0.3" footer="0.3"/>
  <pageSetup paperSize="9"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4A0174-E488-4C0B-86DB-E8F51C52EB38}">
  <dimension ref="A2:U1497"/>
  <sheetViews>
    <sheetView tabSelected="1" topLeftCell="B1" workbookViewId="0">
      <selection activeCell="W20" sqref="W20"/>
    </sheetView>
  </sheetViews>
  <sheetFormatPr baseColWidth="10" defaultRowHeight="15" x14ac:dyDescent="0.25"/>
  <cols>
    <col min="1" max="6" width="13.28515625" customWidth="1"/>
    <col min="7" max="7" width="16" style="6" bestFit="1" customWidth="1"/>
    <col min="8" max="8" width="16.7109375" style="6" customWidth="1"/>
    <col min="9" max="9" width="13.28515625" customWidth="1"/>
    <col min="10" max="10" width="10.85546875" customWidth="1"/>
    <col min="11" max="12" width="13.28515625" bestFit="1" customWidth="1"/>
    <col min="13" max="13" width="12.140625" bestFit="1" customWidth="1"/>
    <col min="14" max="14" width="13.85546875" style="6" bestFit="1" customWidth="1"/>
    <col min="15" max="15" width="16" style="6" bestFit="1" customWidth="1"/>
    <col min="16" max="16" width="11" bestFit="1" customWidth="1"/>
    <col min="18" max="18" width="14.140625" customWidth="1"/>
    <col min="19" max="19" width="12.7109375" bestFit="1" customWidth="1"/>
  </cols>
  <sheetData>
    <row r="2" spans="1:21" x14ac:dyDescent="0.25">
      <c r="A2" s="5" t="s">
        <v>117</v>
      </c>
      <c r="B2" s="5" t="s">
        <v>118</v>
      </c>
      <c r="C2" s="8" t="s">
        <v>119</v>
      </c>
      <c r="D2" s="8" t="s">
        <v>120</v>
      </c>
      <c r="E2" s="8" t="s">
        <v>116</v>
      </c>
      <c r="F2" s="8" t="s">
        <v>121</v>
      </c>
      <c r="G2" s="9" t="s">
        <v>123</v>
      </c>
      <c r="H2" s="9" t="s">
        <v>124</v>
      </c>
      <c r="I2" s="8" t="s">
        <v>125</v>
      </c>
      <c r="J2" s="8" t="s">
        <v>126</v>
      </c>
      <c r="K2" s="8" t="s">
        <v>127</v>
      </c>
      <c r="L2" s="8" t="s">
        <v>128</v>
      </c>
      <c r="M2" s="8" t="s">
        <v>141</v>
      </c>
      <c r="N2" s="9" t="s">
        <v>130</v>
      </c>
      <c r="O2" s="9" t="s">
        <v>131</v>
      </c>
      <c r="P2" s="8" t="s">
        <v>129</v>
      </c>
      <c r="S2" s="5" t="s">
        <v>133</v>
      </c>
      <c r="T2" s="5" t="s">
        <v>134</v>
      </c>
      <c r="U2" s="5" t="s">
        <v>135</v>
      </c>
    </row>
    <row r="3" spans="1:21" x14ac:dyDescent="0.25">
      <c r="A3">
        <v>4</v>
      </c>
      <c r="B3">
        <v>40</v>
      </c>
      <c r="C3" s="2" t="s">
        <v>3</v>
      </c>
      <c r="D3" s="2" t="s">
        <v>39</v>
      </c>
      <c r="E3" s="11" cm="1">
        <f t="array" aca="1" ref="E3" ca="1">INDEX('OD flujo mercancia multimodal'!E$45:E$1645,MATCH(C3&amp;D3,'OD flujo mercancia multimodal'!C$45:C$1645&amp;'OD flujo mercancia multimodal'!D$45:D$1645,0))</f>
        <v>39340.912087912089</v>
      </c>
      <c r="F3" s="11" cm="1">
        <f t="array" aca="1" ref="F3" ca="1">INDEX('OD flujo mercancia carretera'!E$45:E$1646,MATCH(C3&amp;D3,'OD flujo mercancia carretera'!C$45:C$1646&amp;'OD flujo mercancia carretera'!D$45:D$1646,0))</f>
        <v>103775.29670329674</v>
      </c>
      <c r="G3" s="11" cm="1">
        <f t="array" aca="1" ref="G3" ca="1">INDEX('Coste Carretera'!E$46:E$1646,MATCH(C3&amp;D3,'Coste Carretera'!C$46:C$1646&amp;'Coste Carretera'!D$46:D$1646,0))</f>
        <v>4328312248.7200003</v>
      </c>
      <c r="H3" s="11" cm="1">
        <f t="array" aca="1" ref="H3" ca="1">INDEX('Coste multimodal'!E$46:E$1646,MATCH(C3&amp;D3,'Coste multimodal'!C$46:C$1646&amp;'Coste multimodal'!D$46:D$1646,0))</f>
        <v>413446894.86839873</v>
      </c>
      <c r="I3" s="12" cm="1">
        <f t="array" aca="1" ref="I3" ca="1">INDEX('Tiempos intermodal (horas)'!E$45:E$1645,MATCH(C3&amp;D3,'Tiempos intermodal (horas)'!C$45:C$1645&amp;'Tiempos intermodal (horas)'!D$45:D$1645,0))</f>
        <v>27.706552653288053</v>
      </c>
      <c r="J3" s="2" cm="1">
        <f t="array" aca="1" ref="J3" ca="1">INDEX('Tiempos carretera (horas)'!E$45:E$1645,MATCH(C3&amp;D3,'Tiempos carretera (horas)'!C$45:C$1645&amp;'Tiempos carretera (horas)'!D$45:D$1645,0))</f>
        <v>25</v>
      </c>
      <c r="K3" s="12">
        <f t="shared" ref="K3:K66" ca="1" si="0">G3/(F3*1000)</f>
        <v>41.708502757597977</v>
      </c>
      <c r="L3" s="12">
        <f t="shared" ref="L3:L66" ca="1" si="1">H3/(E3*1000)</f>
        <v>10.509336792815096</v>
      </c>
      <c r="M3" s="12">
        <f t="shared" ref="M3:M66" ca="1" si="2">E3/(E3+F3)</f>
        <v>0.27488788600672237</v>
      </c>
      <c r="N3" s="13">
        <f ca="1">K3-L3</f>
        <v>31.199165964782878</v>
      </c>
      <c r="O3" s="13">
        <f t="shared" ref="O3:O66" ca="1" si="3">J3-I3</f>
        <v>-2.7065526532880533</v>
      </c>
      <c r="P3" s="12">
        <f t="shared" ref="P3:P66" ca="1" si="4">LN(1/M3-1)</f>
        <v>0.96996295559862289</v>
      </c>
      <c r="R3" t="s">
        <v>132</v>
      </c>
      <c r="S3" cm="1">
        <f t="array" aca="1" ref="S3:U7" ca="1">LINEST(P3:P1497,N3:O1497,TRUE,TRUE)</f>
        <v>-1.879931713241752E-3</v>
      </c>
      <c r="T3">
        <f ca="1"/>
        <v>-1.5560555737506793E-3</v>
      </c>
      <c r="U3">
        <f ca="1"/>
        <v>1.7278961124340448</v>
      </c>
    </row>
    <row r="4" spans="1:21" x14ac:dyDescent="0.25">
      <c r="A4">
        <v>40</v>
      </c>
      <c r="B4">
        <v>8</v>
      </c>
      <c r="C4" s="2" t="s">
        <v>39</v>
      </c>
      <c r="D4" s="2" t="s">
        <v>7</v>
      </c>
      <c r="E4" s="11" cm="1">
        <f t="array" aca="1" ref="E4" ca="1">INDEX('OD flujo mercancia multimodal'!E$45:E$1645,MATCH(C4&amp;D4,'OD flujo mercancia multimodal'!C$45:C$1645&amp;'OD flujo mercancia multimodal'!D$45:D$1645,0))</f>
        <v>37304.780219780179</v>
      </c>
      <c r="F4" s="11" cm="1">
        <f t="array" aca="1" ref="F4" ca="1">INDEX('OD flujo mercancia carretera'!E$45:E$1646,MATCH(C4&amp;D4,'OD flujo mercancia carretera'!C$45:C$1646&amp;'OD flujo mercancia carretera'!D$45:D$1646,0))</f>
        <v>219465.35897435882</v>
      </c>
      <c r="G4" s="11" cm="1">
        <f t="array" aca="1" ref="G4" ca="1">INDEX('Coste Carretera'!E$46:E$1646,MATCH(C4&amp;D4,'Coste Carretera'!C$46:C$1646&amp;'Coste Carretera'!D$46:D$1646,0))</f>
        <v>4164238997.6571383</v>
      </c>
      <c r="H4" s="11" cm="1">
        <f t="array" aca="1" ref="H4" ca="1">INDEX('Coste multimodal'!E$46:E$1646,MATCH(C4&amp;D4,'Coste multimodal'!C$46:C$1646&amp;'Coste multimodal'!D$46:D$1646,0))</f>
        <v>273568999.93480873</v>
      </c>
      <c r="I4" s="12" cm="1">
        <f t="array" aca="1" ref="I4" ca="1">INDEX('Tiempos intermodal (horas)'!E$45:E$1645,MATCH(C4&amp;D4,'Tiempos intermodal (horas)'!C$45:C$1645&amp;'Tiempos intermodal (horas)'!D$45:D$1645,0))</f>
        <v>81.215254844688431</v>
      </c>
      <c r="J4" s="2" cm="1">
        <f t="array" aca="1" ref="J4" ca="1">INDEX('Tiempos carretera (horas)'!E$45:E$1645,MATCH(C4&amp;D4,'Tiempos carretera (horas)'!C$45:C$1645&amp;'Tiempos carretera (horas)'!D$45:D$1645,0))</f>
        <v>22.46</v>
      </c>
      <c r="K4" s="12">
        <f t="shared" ca="1" si="0"/>
        <v>18.974470582137137</v>
      </c>
      <c r="L4" s="12">
        <f t="shared" ca="1" si="1"/>
        <v>7.3333497295275247</v>
      </c>
      <c r="M4" s="12">
        <f t="shared" ca="1" si="2"/>
        <v>0.14528472951278321</v>
      </c>
      <c r="N4" s="13">
        <f t="shared" ref="N4:N66" ca="1" si="5">K4-L4</f>
        <v>11.641120852609612</v>
      </c>
      <c r="O4" s="13">
        <f t="shared" ca="1" si="3"/>
        <v>-58.75525484468843</v>
      </c>
      <c r="P4" s="12">
        <f t="shared" ca="1" si="4"/>
        <v>1.7720729277114371</v>
      </c>
      <c r="R4" t="s">
        <v>136</v>
      </c>
      <c r="S4">
        <f ca="1"/>
        <v>9.7217792810773038E-4</v>
      </c>
      <c r="T4">
        <f ca="1"/>
        <v>1.4992414643197398E-4</v>
      </c>
      <c r="U4">
        <f ca="1"/>
        <v>5.583463589052956E-2</v>
      </c>
    </row>
    <row r="5" spans="1:21" x14ac:dyDescent="0.25">
      <c r="A5">
        <v>8</v>
      </c>
      <c r="B5">
        <v>40</v>
      </c>
      <c r="C5" s="2" t="s">
        <v>7</v>
      </c>
      <c r="D5" s="2" t="s">
        <v>39</v>
      </c>
      <c r="E5" s="11" cm="1">
        <f t="array" aca="1" ref="E5" ca="1">INDEX('OD flujo mercancia multimodal'!E$45:E$1645,MATCH(C5&amp;D5,'OD flujo mercancia multimodal'!C$45:C$1645&amp;'OD flujo mercancia multimodal'!D$45:D$1645,0))</f>
        <v>16683.412087912089</v>
      </c>
      <c r="F5" s="11" cm="1">
        <f t="array" aca="1" ref="F5" ca="1">INDEX('OD flujo mercancia carretera'!E$45:E$1646,MATCH(C5&amp;D5,'OD flujo mercancia carretera'!C$45:C$1646&amp;'OD flujo mercancia carretera'!D$45:D$1646,0))</f>
        <v>189723.06593406596</v>
      </c>
      <c r="G5" s="11" cm="1">
        <f t="array" aca="1" ref="G5" ca="1">INDEX('Coste Carretera'!E$46:E$1646,MATCH(C5&amp;D5,'Coste Carretera'!C$46:C$1646&amp;'Coste Carretera'!D$46:D$1646,0))</f>
        <v>1330459310.4600005</v>
      </c>
      <c r="H5" s="11" cm="1">
        <f t="array" aca="1" ref="H5" ca="1">INDEX('Coste multimodal'!E$46:E$1646,MATCH(C5&amp;D5,'Coste multimodal'!C$46:C$1646&amp;'Coste multimodal'!D$46:D$1646,0))</f>
        <v>330510707.41182733</v>
      </c>
      <c r="I5" s="12" cm="1">
        <f t="array" aca="1" ref="I5" ca="1">INDEX('Tiempos intermodal (horas)'!E$45:E$1645,MATCH(C5&amp;D5,'Tiempos intermodal (horas)'!C$45:C$1645&amp;'Tiempos intermodal (horas)'!D$45:D$1645,0))</f>
        <v>27.859885986621386</v>
      </c>
      <c r="J5" s="2" cm="1">
        <f t="array" aca="1" ref="J5" ca="1">INDEX('Tiempos carretera (horas)'!E$45:E$1645,MATCH(C5&amp;D5,'Tiempos carretera (horas)'!C$45:C$1645&amp;'Tiempos carretera (horas)'!D$45:D$1645,0))</f>
        <v>24</v>
      </c>
      <c r="K5" s="12">
        <f t="shared" ca="1" si="0"/>
        <v>7.0126386789594264</v>
      </c>
      <c r="L5" s="12">
        <f t="shared" ca="1" si="1"/>
        <v>19.810738095434193</v>
      </c>
      <c r="M5" s="12">
        <f t="shared" ca="1" si="2"/>
        <v>8.0827948075038847E-2</v>
      </c>
      <c r="N5" s="13">
        <f t="shared" ca="1" si="5"/>
        <v>-12.798099416474766</v>
      </c>
      <c r="O5" s="13">
        <f t="shared" ca="1" si="3"/>
        <v>-3.8598859866213857</v>
      </c>
      <c r="P5" s="12">
        <f t="shared" ca="1" si="4"/>
        <v>2.4311505235529336</v>
      </c>
      <c r="S5">
        <f ca="1"/>
        <v>7.1085287569857283E-2</v>
      </c>
      <c r="T5">
        <f ca="1"/>
        <v>1.0182480789796522</v>
      </c>
      <c r="U5" t="e">
        <f ca="1"/>
        <v>#N/A</v>
      </c>
    </row>
    <row r="6" spans="1:21" x14ac:dyDescent="0.25">
      <c r="A6">
        <v>18</v>
      </c>
      <c r="B6">
        <v>27</v>
      </c>
      <c r="C6" s="2" t="s">
        <v>17</v>
      </c>
      <c r="D6" s="2" t="s">
        <v>145</v>
      </c>
      <c r="E6" s="11" cm="1">
        <f t="array" aca="1" ref="E6" ca="1">INDEX('OD flujo mercancia multimodal'!E$45:E$1645,MATCH(C6&amp;D6,'OD flujo mercancia multimodal'!C$45:C$1645&amp;'OD flujo mercancia multimodal'!D$45:D$1645,0))</f>
        <v>66211.61538461539</v>
      </c>
      <c r="F6" s="11" cm="1">
        <f t="array" aca="1" ref="F6" ca="1">INDEX('OD flujo mercancia carretera'!E$45:E$1646,MATCH(C6&amp;D6,'OD flujo mercancia carretera'!C$45:C$1646&amp;'OD flujo mercancia carretera'!D$45:D$1646,0))</f>
        <v>472179.71538461535</v>
      </c>
      <c r="G6" s="11" cm="1">
        <f t="array" aca="1" ref="G6" ca="1">INDEX('Coste Carretera'!E$46:E$1646,MATCH(C6&amp;D6,'Coste Carretera'!C$46:C$1646&amp;'Coste Carretera'!D$46:D$1646,0))</f>
        <v>5612578540.5599995</v>
      </c>
      <c r="H6" s="11" cm="1">
        <f t="array" aca="1" ref="H6" ca="1">INDEX('Coste multimodal'!E$46:E$1646,MATCH(C6&amp;D6,'Coste multimodal'!C$46:C$1646&amp;'Coste multimodal'!D$46:D$1646,0))</f>
        <v>1530036240.6238813</v>
      </c>
      <c r="I6" s="12" cm="1">
        <f t="array" aca="1" ref="I6" ca="1">INDEX('Tiempos intermodal (horas)'!E$45:E$1645,MATCH(C6&amp;D6,'Tiempos intermodal (horas)'!C$45:C$1645&amp;'Tiempos intermodal (horas)'!D$45:D$1645,0))</f>
        <v>113.12321072048611</v>
      </c>
      <c r="J6" s="2" cm="1">
        <f t="array" aca="1" ref="J6" ca="1">INDEX('Tiempos carretera (horas)'!E$45:E$1645,MATCH(C6&amp;D6,'Tiempos carretera (horas)'!C$45:C$1645&amp;'Tiempos carretera (horas)'!D$45:D$1645,0))</f>
        <v>16.329999999999998</v>
      </c>
      <c r="K6" s="12">
        <f t="shared" ca="1" si="0"/>
        <v>11.886530398681479</v>
      </c>
      <c r="L6" s="12">
        <f ca="1">H6/(E6*1000)</f>
        <v>23.108275364316111</v>
      </c>
      <c r="M6" s="12">
        <f t="shared" ca="1" si="2"/>
        <v>0.12298046346700092</v>
      </c>
      <c r="N6" s="13">
        <f t="shared" ca="1" si="5"/>
        <v>-11.221744965634631</v>
      </c>
      <c r="O6" s="13">
        <f t="shared" ca="1" si="3"/>
        <v>-96.793210720486115</v>
      </c>
      <c r="P6" s="12">
        <f t="shared" ca="1" si="4"/>
        <v>1.9645037595171173</v>
      </c>
      <c r="S6">
        <f ca="1"/>
        <v>57.087721636340795</v>
      </c>
      <c r="T6">
        <f ca="1"/>
        <v>1492</v>
      </c>
      <c r="U6" t="e">
        <f ca="1"/>
        <v>#N/A</v>
      </c>
    </row>
    <row r="7" spans="1:21" x14ac:dyDescent="0.25">
      <c r="A7">
        <v>27</v>
      </c>
      <c r="B7">
        <v>18</v>
      </c>
      <c r="C7" s="2" t="s">
        <v>145</v>
      </c>
      <c r="D7" s="2" t="s">
        <v>17</v>
      </c>
      <c r="E7" s="11" cm="1">
        <f t="array" aca="1" ref="E7" ca="1">INDEX('OD flujo mercancia multimodal'!E$45:E$1645,MATCH(C7&amp;D7,'OD flujo mercancia multimodal'!C$45:C$1645&amp;'OD flujo mercancia multimodal'!D$45:D$1645,0))</f>
        <v>57001.769230769205</v>
      </c>
      <c r="F7" s="11" cm="1">
        <f t="array" aca="1" ref="F7" ca="1">INDEX('OD flujo mercancia carretera'!E$45:E$1646,MATCH(C7&amp;D7,'OD flujo mercancia carretera'!C$45:C$1646&amp;'OD flujo mercancia carretera'!D$45:D$1646,0))</f>
        <v>472356.58461538458</v>
      </c>
      <c r="G7" s="11" cm="1">
        <f t="array" aca="1" ref="G7" ca="1">INDEX('Coste Carretera'!E$46:E$1646,MATCH(C7&amp;D7,'Coste Carretera'!C$46:C$1646&amp;'Coste Carretera'!D$46:D$1646,0))</f>
        <v>4831884932.8799973</v>
      </c>
      <c r="H7" s="11" cm="1">
        <f t="array" aca="1" ref="H7" ca="1">INDEX('Coste multimodal'!E$46:E$1646,MATCH(C7&amp;D7,'Coste multimodal'!C$46:C$1646&amp;'Coste multimodal'!D$46:D$1646,0))</f>
        <v>1530036240.6238813</v>
      </c>
      <c r="I7" s="12" cm="1">
        <f t="array" aca="1" ref="I7" ca="1">INDEX('Tiempos intermodal (horas)'!E$45:E$1645,MATCH(C7&amp;D7,'Tiempos intermodal (horas)'!C$45:C$1645&amp;'Tiempos intermodal (horas)'!D$45:D$1645,0))</f>
        <v>113.12321072048611</v>
      </c>
      <c r="J7" s="2" cm="1">
        <f t="array" aca="1" ref="J7" ca="1">INDEX('Tiempos carretera (horas)'!E$45:E$1645,MATCH(C7&amp;D7,'Tiempos carretera (horas)'!C$45:C$1645&amp;'Tiempos carretera (horas)'!D$45:D$1645,0))</f>
        <v>16.329999999999998</v>
      </c>
      <c r="K7" s="12">
        <f t="shared" ca="1" si="0"/>
        <v>10.229316347552031</v>
      </c>
      <c r="L7" s="12">
        <f t="shared" ca="1" si="1"/>
        <v>26.841907913938524</v>
      </c>
      <c r="M7" s="12">
        <f t="shared" ca="1" si="2"/>
        <v>0.1076808721664861</v>
      </c>
      <c r="N7" s="13">
        <f t="shared" ca="1" si="5"/>
        <v>-16.612591566386492</v>
      </c>
      <c r="O7" s="13">
        <f t="shared" ca="1" si="3"/>
        <v>-96.793210720486115</v>
      </c>
      <c r="P7" s="12">
        <f t="shared" ca="1" si="4"/>
        <v>2.1146518697482035</v>
      </c>
      <c r="S7">
        <f ca="1"/>
        <v>118.38042783876404</v>
      </c>
      <c r="T7">
        <f ca="1"/>
        <v>1546.9490923158619</v>
      </c>
      <c r="U7" t="e">
        <f ca="1"/>
        <v>#N/A</v>
      </c>
    </row>
    <row r="8" spans="1:21" x14ac:dyDescent="0.25">
      <c r="A8">
        <v>31</v>
      </c>
      <c r="B8">
        <v>5</v>
      </c>
      <c r="C8" s="2" t="s">
        <v>30</v>
      </c>
      <c r="D8" s="2" t="s">
        <v>4</v>
      </c>
      <c r="E8" s="11" cm="1">
        <f t="array" aca="1" ref="E8" ca="1">INDEX('OD flujo mercancia multimodal'!E$45:E$1645,MATCH(C8&amp;D8,'OD flujo mercancia multimodal'!C$45:C$1645&amp;'OD flujo mercancia multimodal'!D$45:D$1645,0))</f>
        <v>66711.950549450587</v>
      </c>
      <c r="F8" s="11" cm="1">
        <f t="array" aca="1" ref="F8" ca="1">INDEX('OD flujo mercancia carretera'!E$45:E$1646,MATCH(C8&amp;D8,'OD flujo mercancia carretera'!C$45:C$1646&amp;'OD flujo mercancia carretera'!D$45:D$1646,0))</f>
        <v>83024.76923076919</v>
      </c>
      <c r="G8" s="11" cm="1">
        <f t="array" aca="1" ref="G8" ca="1">INDEX('Coste Carretera'!E$46:E$1646,MATCH(C8&amp;D8,'Coste Carretera'!C$46:C$1646&amp;'Coste Carretera'!D$46:D$1646,0))</f>
        <v>1037098646.2857147</v>
      </c>
      <c r="H8" s="11" cm="1">
        <f t="array" aca="1" ref="H8" ca="1">INDEX('Coste multimodal'!E$46:E$1646,MATCH(C8&amp;D8,'Coste multimodal'!C$46:C$1646&amp;'Coste multimodal'!D$46:D$1646,0))</f>
        <v>15008901152.445435</v>
      </c>
      <c r="I8" s="12" cm="1">
        <f t="array" aca="1" ref="I8" ca="1">INDEX('Tiempos intermodal (horas)'!E$45:E$1645,MATCH(C8&amp;D8,'Tiempos intermodal (horas)'!C$45:C$1645&amp;'Tiempos intermodal (horas)'!D$45:D$1645,0))</f>
        <v>18.60965957779068</v>
      </c>
      <c r="J8" s="2" cm="1">
        <f t="array" aca="1" ref="J8" ca="1">INDEX('Tiempos carretera (horas)'!E$45:E$1645,MATCH(C8&amp;D8,'Tiempos carretera (horas)'!C$45:C$1645&amp;'Tiempos carretera (horas)'!D$45:D$1645,0))</f>
        <v>3.16</v>
      </c>
      <c r="K8" s="12">
        <f t="shared" ca="1" si="0"/>
        <v>12.491436662751523</v>
      </c>
      <c r="L8" s="12">
        <f t="shared" ca="1" si="1"/>
        <v>224.98069729380808</v>
      </c>
      <c r="M8" s="12">
        <f t="shared" ca="1" si="2"/>
        <v>0.4455283289721379</v>
      </c>
      <c r="N8" s="13">
        <f t="shared" ca="1" si="5"/>
        <v>-212.48926063105657</v>
      </c>
      <c r="O8" s="13">
        <f t="shared" ca="1" si="3"/>
        <v>-15.44965957779068</v>
      </c>
      <c r="P8" s="12">
        <f t="shared" ca="1" si="4"/>
        <v>0.21875488221375111</v>
      </c>
      <c r="R8" t="s">
        <v>133</v>
      </c>
      <c r="S8">
        <f ca="1">S3/S4</f>
        <v>-1.9337321480861991</v>
      </c>
      <c r="T8">
        <f ca="1">T3/T4</f>
        <v>-10.378952362131461</v>
      </c>
      <c r="U8">
        <f ca="1">U3/U4</f>
        <v>30.946671091789522</v>
      </c>
    </row>
    <row r="9" spans="1:21" x14ac:dyDescent="0.25">
      <c r="A9">
        <v>31</v>
      </c>
      <c r="B9">
        <v>6</v>
      </c>
      <c r="C9" s="2" t="s">
        <v>30</v>
      </c>
      <c r="D9" s="2" t="s">
        <v>5</v>
      </c>
      <c r="E9" s="11" cm="1">
        <f t="array" aca="1" ref="E9" ca="1">INDEX('OD flujo mercancia multimodal'!E$45:E$1645,MATCH(C9&amp;D9,'OD flujo mercancia multimodal'!C$45:C$1645&amp;'OD flujo mercancia multimodal'!D$45:D$1645,0))</f>
        <v>15040.093406593391</v>
      </c>
      <c r="F9" s="11" cm="1">
        <f t="array" aca="1" ref="F9" ca="1">INDEX('OD flujo mercancia carretera'!E$45:E$1646,MATCH(C9&amp;D9,'OD flujo mercancia carretera'!C$45:C$1646&amp;'OD flujo mercancia carretera'!D$45:D$1646,0))</f>
        <v>148814.0805860807</v>
      </c>
      <c r="G9" s="11" cm="1">
        <f t="array" aca="1" ref="G9" ca="1">INDEX('Coste Carretera'!E$46:E$1646,MATCH(C9&amp;D9,'Coste Carretera'!C$46:C$1646&amp;'Coste Carretera'!D$46:D$1646,0))</f>
        <v>412330778.38285667</v>
      </c>
      <c r="H9" s="11" cm="1">
        <f t="array" aca="1" ref="H9" ca="1">INDEX('Coste multimodal'!E$46:E$1646,MATCH(C9&amp;D9,'Coste multimodal'!C$46:C$1646&amp;'Coste multimodal'!D$46:D$1646,0))</f>
        <v>15128357926.208292</v>
      </c>
      <c r="I9" s="12" cm="1">
        <f t="array" aca="1" ref="I9" ca="1">INDEX('Tiempos intermodal (horas)'!E$45:E$1645,MATCH(C9&amp;D9,'Tiempos intermodal (horas)'!C$45:C$1645&amp;'Tiempos intermodal (horas)'!D$45:D$1645,0))</f>
        <v>21.154104022235124</v>
      </c>
      <c r="J9" s="2" cm="1">
        <f t="array" aca="1" ref="J9" ca="1">INDEX('Tiempos carretera (horas)'!E$45:E$1645,MATCH(C9&amp;D9,'Tiempos carretera (horas)'!C$45:C$1645&amp;'Tiempos carretera (horas)'!D$45:D$1645,0))</f>
        <v>5.32</v>
      </c>
      <c r="K9" s="12">
        <f t="shared" ca="1" si="0"/>
        <v>2.7707779852481509</v>
      </c>
      <c r="L9" s="12">
        <f ca="1">H9/(E8*1000)</f>
        <v>226.77133259646362</v>
      </c>
      <c r="M9" s="12">
        <f t="shared" ca="1" si="2"/>
        <v>9.1789504289746263E-2</v>
      </c>
      <c r="N9" s="13">
        <f t="shared" ca="1" si="5"/>
        <v>-224.00055461121548</v>
      </c>
      <c r="O9" s="13">
        <f t="shared" ca="1" si="3"/>
        <v>-15.834104022235124</v>
      </c>
      <c r="P9" s="12">
        <f t="shared" ca="1" si="4"/>
        <v>2.2919782164695297</v>
      </c>
      <c r="R9" t="s">
        <v>142</v>
      </c>
      <c r="S9">
        <f ca="1">_xlfn.T.INV.2T(0.95,$T$6)*S4</f>
        <v>6.0972401335074967E-5</v>
      </c>
      <c r="T9">
        <f ca="1">_xlfn.T.INV.2T(0.95,$T$6)*T4</f>
        <v>9.4028417656648275E-6</v>
      </c>
      <c r="U9">
        <f ca="1">_xlfn.T.INV.2T(0.95,$T$6)*U4</f>
        <v>3.5017991352071704E-3</v>
      </c>
    </row>
    <row r="10" spans="1:21" x14ac:dyDescent="0.25">
      <c r="A10">
        <v>31</v>
      </c>
      <c r="B10">
        <v>40</v>
      </c>
      <c r="C10" s="2" t="s">
        <v>30</v>
      </c>
      <c r="D10" s="2" t="s">
        <v>39</v>
      </c>
      <c r="E10" s="11" cm="1">
        <f t="array" aca="1" ref="E10" ca="1">INDEX('OD flujo mercancia multimodal'!E$45:E$1645,MATCH(C10&amp;D10,'OD flujo mercancia multimodal'!C$45:C$1645&amp;'OD flujo mercancia multimodal'!D$45:D$1645,0))</f>
        <v>11559.076923076922</v>
      </c>
      <c r="F10" s="11" cm="1">
        <f t="array" aca="1" ref="F10" ca="1">INDEX('OD flujo mercancia carretera'!E$45:E$1646,MATCH(C10&amp;D10,'OD flujo mercancia carretera'!C$45:C$1646&amp;'OD flujo mercancia carretera'!D$45:D$1646,0))</f>
        <v>92766.450549450587</v>
      </c>
      <c r="G10" s="11" cm="1">
        <f t="array" aca="1" ref="G10" ca="1">INDEX('Coste Carretera'!E$46:E$1646,MATCH(C10&amp;D10,'Coste Carretera'!C$46:C$1646&amp;'Coste Carretera'!D$46:D$1646,0))</f>
        <v>627101041.20000041</v>
      </c>
      <c r="H10" s="11" cm="1">
        <f t="array" aca="1" ref="H10" ca="1">INDEX('Coste multimodal'!E$46:E$1646,MATCH(C10&amp;D10,'Coste multimodal'!C$46:C$1646&amp;'Coste multimodal'!D$46:D$1646,0))</f>
        <v>595150838.09697008</v>
      </c>
      <c r="I10" s="12" cm="1">
        <f t="array" aca="1" ref="I10" ca="1">INDEX('Tiempos intermodal (horas)'!E$45:E$1645,MATCH(C10&amp;D10,'Tiempos intermodal (horas)'!C$45:C$1645&amp;'Tiempos intermodal (horas)'!D$45:D$1645,0))</f>
        <v>28.96210820884361</v>
      </c>
      <c r="J10" s="2" cm="1">
        <f t="array" aca="1" ref="J10" ca="1">INDEX('Tiempos carretera (horas)'!E$45:E$1645,MATCH(C10&amp;D10,'Tiempos carretera (horas)'!C$45:C$1645&amp;'Tiempos carretera (horas)'!D$45:D$1645,0))</f>
        <v>23.18</v>
      </c>
      <c r="K10" s="12">
        <f t="shared" ca="1" si="0"/>
        <v>6.7599982265756138</v>
      </c>
      <c r="L10" s="12">
        <f t="shared" ca="1" si="1"/>
        <v>51.487747858896185</v>
      </c>
      <c r="M10" s="12">
        <f t="shared" ca="1" si="2"/>
        <v>0.11079816419927351</v>
      </c>
      <c r="N10" s="13">
        <f t="shared" ca="1" si="5"/>
        <v>-44.727749632320574</v>
      </c>
      <c r="O10" s="13">
        <f t="shared" ca="1" si="3"/>
        <v>-5.78210820884361</v>
      </c>
      <c r="P10" s="12">
        <f t="shared" ca="1" si="4"/>
        <v>2.0826140410638261</v>
      </c>
      <c r="R10" t="s">
        <v>143</v>
      </c>
      <c r="S10">
        <f ca="1">S3-S9</f>
        <v>-1.940904114576827E-3</v>
      </c>
      <c r="T10">
        <f ca="1">T3-T9</f>
        <v>-1.5654584155163442E-3</v>
      </c>
      <c r="U10">
        <f ca="1">U3-U9</f>
        <v>1.7243943132988377</v>
      </c>
    </row>
    <row r="11" spans="1:21" x14ac:dyDescent="0.25">
      <c r="A11">
        <v>40</v>
      </c>
      <c r="B11">
        <v>31</v>
      </c>
      <c r="C11" s="2" t="s">
        <v>39</v>
      </c>
      <c r="D11" s="2" t="s">
        <v>30</v>
      </c>
      <c r="E11" s="11" cm="1">
        <f t="array" aca="1" ref="E11" ca="1">INDEX('OD flujo mercancia multimodal'!E$45:E$1645,MATCH(C11&amp;D11,'OD flujo mercancia multimodal'!C$45:C$1645&amp;'OD flujo mercancia multimodal'!D$45:D$1645,0))</f>
        <v>5347.3846153846171</v>
      </c>
      <c r="F11" s="11" cm="1">
        <f t="array" aca="1" ref="F11" ca="1">INDEX('OD flujo mercancia carretera'!E$45:E$1646,MATCH(C11&amp;D11,'OD flujo mercancia carretera'!C$45:C$1646&amp;'OD flujo mercancia carretera'!D$45:D$1646,0))</f>
        <v>123916.20512820513</v>
      </c>
      <c r="G11" s="11" cm="1">
        <f t="array" aca="1" ref="G11" ca="1">INDEX('Coste Carretera'!E$46:E$1646,MATCH(C11&amp;D11,'Coste Carretera'!C$46:C$1646&amp;'Coste Carretera'!D$46:D$1646,0))</f>
        <v>887183364.91199994</v>
      </c>
      <c r="H11" s="11" cm="1">
        <f t="array" aca="1" ref="H11" ca="1">INDEX('Coste multimodal'!E$46:E$1646,MATCH(C11&amp;D11,'Coste multimodal'!C$46:C$1646&amp;'Coste multimodal'!D$46:D$1646,0))</f>
        <v>538209130.61995149</v>
      </c>
      <c r="I11" s="12" cm="1">
        <f t="array" aca="1" ref="I11" ca="1">INDEX('Tiempos intermodal (horas)'!E$45:E$1645,MATCH(C11&amp;D11,'Tiempos intermodal (horas)'!C$45:C$1645&amp;'Tiempos intermodal (horas)'!D$45:D$1645,0))</f>
        <v>82.317477066910641</v>
      </c>
      <c r="J11" s="2" cm="1">
        <f t="array" aca="1" ref="J11" ca="1">INDEX('Tiempos carretera (horas)'!E$45:E$1645,MATCH(C11&amp;D11,'Tiempos carretera (horas)'!C$45:C$1645&amp;'Tiempos carretera (horas)'!D$45:D$1645,0))</f>
        <v>22.68</v>
      </c>
      <c r="K11" s="12">
        <f t="shared" ca="1" si="0"/>
        <v>7.1595427248123835</v>
      </c>
      <c r="L11" s="12">
        <f t="shared" ca="1" si="1"/>
        <v>100.64904048074354</v>
      </c>
      <c r="M11" s="12">
        <f t="shared" ca="1" si="2"/>
        <v>4.1368065253269019E-2</v>
      </c>
      <c r="N11" s="13">
        <f t="shared" ca="1" si="5"/>
        <v>-93.489497755931154</v>
      </c>
      <c r="O11" s="13">
        <f t="shared" ca="1" si="3"/>
        <v>-59.637477066910641</v>
      </c>
      <c r="P11" s="12">
        <f t="shared" ca="1" si="4"/>
        <v>3.1429979876368175</v>
      </c>
      <c r="R11" t="s">
        <v>144</v>
      </c>
      <c r="S11">
        <f ca="1">S3+S9</f>
        <v>-1.8189593119066769E-3</v>
      </c>
      <c r="T11">
        <f ca="1">T3+T9</f>
        <v>-1.5466527319850144E-3</v>
      </c>
      <c r="U11">
        <f ca="1">U3+U9</f>
        <v>1.7313979115692519</v>
      </c>
    </row>
    <row r="12" spans="1:21" x14ac:dyDescent="0.25">
      <c r="A12">
        <v>7</v>
      </c>
      <c r="B12">
        <v>4</v>
      </c>
      <c r="C12" s="2" t="s">
        <v>6</v>
      </c>
      <c r="D12" s="2" t="s">
        <v>3</v>
      </c>
      <c r="E12" s="11" cm="1">
        <f t="array" aca="1" ref="E12" ca="1">INDEX('OD flujo mercancia multimodal'!E$45:E$1645,MATCH(C12&amp;D12,'OD flujo mercancia multimodal'!C$45:C$1645&amp;'OD flujo mercancia multimodal'!D$45:D$1645,0))</f>
        <v>33943.214285714253</v>
      </c>
      <c r="F12" s="11" cm="1">
        <f t="array" aca="1" ref="F12" ca="1">INDEX('OD flujo mercancia carretera'!E$45:E$1646,MATCH(C12&amp;D12,'OD flujo mercancia carretera'!C$45:C$1646&amp;'OD flujo mercancia carretera'!D$45:D$1646,0))</f>
        <v>87185.076923076907</v>
      </c>
      <c r="G12" s="11" cm="1">
        <f t="array" aca="1" ref="G12" ca="1">INDEX('Coste Carretera'!E$46:E$1646,MATCH(C12&amp;D12,'Coste Carretera'!C$46:C$1646&amp;'Coste Carretera'!D$46:D$1646,0))</f>
        <v>249577665.99999976</v>
      </c>
      <c r="H12" s="11" cm="1">
        <f t="array" aca="1" ref="H12" ca="1">INDEX('Coste multimodal'!E$46:E$1646,MATCH(C12&amp;D12,'Coste multimodal'!C$46:C$1646&amp;'Coste multimodal'!D$46:D$1646,0))</f>
        <v>15085409329.289719</v>
      </c>
      <c r="I12" s="12" cm="1">
        <f t="array" aca="1" ref="I12" ca="1">INDEX('Tiempos intermodal (horas)'!E$45:E$1645,MATCH(C12&amp;D12,'Tiempos intermodal (horas)'!C$45:C$1645&amp;'Tiempos intermodal (horas)'!D$45:D$1645,0))</f>
        <v>17.792992911124013</v>
      </c>
      <c r="J12" s="2" cm="1">
        <f t="array" aca="1" ref="J12" ca="1">INDEX('Tiempos carretera (horas)'!E$45:E$1645,MATCH(C12&amp;D12,'Tiempos carretera (horas)'!C$45:C$1645&amp;'Tiempos carretera (horas)'!D$45:D$1645,0))</f>
        <v>1.41</v>
      </c>
      <c r="K12" s="12">
        <f t="shared" ca="1" si="0"/>
        <v>2.8626190950109645</v>
      </c>
      <c r="L12" s="12">
        <f t="shared" ca="1" si="1"/>
        <v>444.43078378816773</v>
      </c>
      <c r="M12" s="12">
        <f t="shared" ca="1" si="2"/>
        <v>0.28022532099627889</v>
      </c>
      <c r="N12" s="13">
        <f t="shared" ca="1" si="5"/>
        <v>-441.56816469315675</v>
      </c>
      <c r="O12" s="13">
        <f t="shared" ca="1" si="3"/>
        <v>-16.382992911124013</v>
      </c>
      <c r="P12" s="12">
        <f t="shared" ca="1" si="4"/>
        <v>0.94334421980287386</v>
      </c>
    </row>
    <row r="13" spans="1:21" x14ac:dyDescent="0.25">
      <c r="A13">
        <v>40</v>
      </c>
      <c r="B13">
        <v>4</v>
      </c>
      <c r="C13" s="2" t="s">
        <v>39</v>
      </c>
      <c r="D13" s="2" t="s">
        <v>3</v>
      </c>
      <c r="E13" s="11" cm="1">
        <f t="array" aca="1" ref="E13" ca="1">INDEX('OD flujo mercancia multimodal'!E$45:E$1645,MATCH(C13&amp;D13,'OD flujo mercancia multimodal'!C$45:C$1645&amp;'OD flujo mercancia multimodal'!D$45:D$1645,0))</f>
        <v>33842.994505494476</v>
      </c>
      <c r="F13" s="11" cm="1">
        <f t="array" aca="1" ref="F13" ca="1">INDEX('OD flujo mercancia carretera'!E$45:E$1646,MATCH(C13&amp;D13,'OD flujo mercancia carretera'!C$45:C$1646&amp;'OD flujo mercancia carretera'!D$45:D$1646,0))</f>
        <v>130731.89743589742</v>
      </c>
      <c r="G13" s="11" cm="1">
        <f t="array" aca="1" ref="G13" ca="1">INDEX('Coste Carretera'!E$46:E$1646,MATCH(C13&amp;D13,'Coste Carretera'!C$46:C$1646&amp;'Coste Carretera'!D$46:D$1646,0))</f>
        <v>3770800108.2514248</v>
      </c>
      <c r="H13" s="11" cm="1">
        <f t="array" aca="1" ref="H13" ca="1">INDEX('Coste multimodal'!E$46:E$1646,MATCH(C13&amp;D13,'Coste multimodal'!C$46:C$1646&amp;'Coste multimodal'!D$46:D$1646,0))</f>
        <v>356505187.39138019</v>
      </c>
      <c r="I13" s="12" cm="1">
        <f t="array" aca="1" ref="I13" ca="1">INDEX('Tiempos intermodal (horas)'!E$45:E$1645,MATCH(C13&amp;D13,'Tiempos intermodal (horas)'!C$45:C$1645&amp;'Tiempos intermodal (horas)'!D$45:D$1645,0))</f>
        <v>81.061921511355095</v>
      </c>
      <c r="J13" s="2" cm="1">
        <f t="array" aca="1" ref="J13" ca="1">INDEX('Tiempos carretera (horas)'!E$45:E$1645,MATCH(C13&amp;D13,'Tiempos carretera (horas)'!C$45:C$1645&amp;'Tiempos carretera (horas)'!D$45:D$1645,0))</f>
        <v>22.73</v>
      </c>
      <c r="K13" s="12">
        <f t="shared" ca="1" si="0"/>
        <v>28.84376485165286</v>
      </c>
      <c r="L13" s="12">
        <f t="shared" ca="1" si="1"/>
        <v>10.534091105132582</v>
      </c>
      <c r="M13" s="12">
        <f t="shared" ca="1" si="2"/>
        <v>0.20563886815460636</v>
      </c>
      <c r="N13" s="13">
        <f t="shared" ca="1" si="5"/>
        <v>18.309673746520279</v>
      </c>
      <c r="O13" s="13">
        <f t="shared" ca="1" si="3"/>
        <v>-58.331921511355091</v>
      </c>
      <c r="P13" s="12">
        <f t="shared" ca="1" si="4"/>
        <v>1.3514166206885199</v>
      </c>
      <c r="R13" t="s">
        <v>137</v>
      </c>
      <c r="S13">
        <v>10375.296703296999</v>
      </c>
      <c r="T13" t="s">
        <v>138</v>
      </c>
      <c r="U13">
        <v>39340.912087912089</v>
      </c>
    </row>
    <row r="14" spans="1:21" x14ac:dyDescent="0.25">
      <c r="A14">
        <v>5</v>
      </c>
      <c r="B14">
        <v>4</v>
      </c>
      <c r="C14" s="2" t="s">
        <v>4</v>
      </c>
      <c r="D14" s="2" t="s">
        <v>3</v>
      </c>
      <c r="E14" s="11" cm="1">
        <f t="array" aca="1" ref="E14" ca="1">INDEX('OD flujo mercancia multimodal'!E$45:E$1645,MATCH(C14&amp;D14,'OD flujo mercancia multimodal'!C$45:C$1645&amp;'OD flujo mercancia multimodal'!D$45:D$1645,0))</f>
        <v>77683.142857142826</v>
      </c>
      <c r="F14" s="11" cm="1">
        <f t="array" aca="1" ref="F14" ca="1">INDEX('OD flujo mercancia carretera'!E$45:E$1646,MATCH(C14&amp;D14,'OD flujo mercancia carretera'!C$45:C$1646&amp;'OD flujo mercancia carretera'!D$45:D$1646,0))</f>
        <v>96323.461538461517</v>
      </c>
      <c r="G14" s="11" cm="1">
        <f t="array" aca="1" ref="G14" ca="1">INDEX('Coste Carretera'!E$46:E$1646,MATCH(C14&amp;D14,'Coste Carretera'!C$46:C$1646&amp;'Coste Carretera'!D$46:D$1646,0))</f>
        <v>522229588.84571397</v>
      </c>
      <c r="H14" s="11" cm="1">
        <f t="array" aca="1" ref="H14" ca="1">INDEX('Coste multimodal'!E$46:E$1646,MATCH(C14&amp;D14,'Coste multimodal'!C$46:C$1646&amp;'Coste multimodal'!D$46:D$1646,0))</f>
        <v>15888960135.436863</v>
      </c>
      <c r="I14" s="12" cm="1">
        <f t="array" aca="1" ref="I14" ca="1">INDEX('Tiempos intermodal (horas)'!E$45:E$1645,MATCH(C14&amp;D14,'Tiempos intermodal (horas)'!C$45:C$1645&amp;'Tiempos intermodal (horas)'!D$45:D$1645,0))</f>
        <v>17.354104022235123</v>
      </c>
      <c r="J14" s="2" cm="1">
        <f t="array" aca="1" ref="J14" ca="1">INDEX('Tiempos carretera (horas)'!E$45:E$1645,MATCH(C14&amp;D14,'Tiempos carretera (horas)'!C$45:C$1645&amp;'Tiempos carretera (horas)'!D$45:D$1645,0))</f>
        <v>1.45</v>
      </c>
      <c r="K14" s="12">
        <f t="shared" ca="1" si="0"/>
        <v>5.4216239792959486</v>
      </c>
      <c r="L14" s="12">
        <f t="shared" ca="1" si="1"/>
        <v>204.53549574656404</v>
      </c>
      <c r="M14" s="12">
        <f t="shared" ca="1" si="2"/>
        <v>0.44643789887727509</v>
      </c>
      <c r="N14" s="13">
        <f t="shared" ca="1" si="5"/>
        <v>-199.11387176726808</v>
      </c>
      <c r="O14" s="13">
        <f t="shared" ca="1" si="3"/>
        <v>-15.904104022235124</v>
      </c>
      <c r="P14" s="12">
        <f t="shared" ca="1" si="4"/>
        <v>0.21507363662340442</v>
      </c>
      <c r="R14" t="s">
        <v>139</v>
      </c>
      <c r="S14">
        <v>25</v>
      </c>
      <c r="T14" t="s">
        <v>140</v>
      </c>
      <c r="U14">
        <v>91.322065508868235</v>
      </c>
    </row>
    <row r="15" spans="1:21" x14ac:dyDescent="0.25">
      <c r="A15">
        <v>10</v>
      </c>
      <c r="B15">
        <v>4</v>
      </c>
      <c r="C15" s="2" t="s">
        <v>9</v>
      </c>
      <c r="D15" s="2" t="s">
        <v>3</v>
      </c>
      <c r="E15" s="11" cm="1">
        <f t="array" aca="1" ref="E15" ca="1">INDEX('OD flujo mercancia multimodal'!E$45:E$1645,MATCH(C15&amp;D15,'OD flujo mercancia multimodal'!C$45:C$1645&amp;'OD flujo mercancia multimodal'!D$45:D$1645,0))</f>
        <v>45191.642857142826</v>
      </c>
      <c r="F15" s="11" cm="1">
        <f t="array" aca="1" ref="F15" ca="1">INDEX('OD flujo mercancia carretera'!E$45:E$1646,MATCH(C15&amp;D15,'OD flujo mercancia carretera'!C$45:C$1646&amp;'OD flujo mercancia carretera'!D$45:D$1646,0))</f>
        <v>121726.30769230767</v>
      </c>
      <c r="G15" s="11" cm="1">
        <f t="array" aca="1" ref="G15" ca="1">INDEX('Coste Carretera'!E$46:E$1646,MATCH(C15&amp;D15,'Coste Carretera'!C$46:C$1646&amp;'Coste Carretera'!D$46:D$1646,0))</f>
        <v>491307272.15142828</v>
      </c>
      <c r="H15" s="11" cm="1">
        <f t="array" aca="1" ref="H15" ca="1">INDEX('Coste multimodal'!E$46:E$1646,MATCH(C15&amp;D15,'Coste multimodal'!C$46:C$1646&amp;'Coste multimodal'!D$46:D$1646,0))</f>
        <v>15182592911.258291</v>
      </c>
      <c r="I15" s="12" cm="1">
        <f t="array" aca="1" ref="I15" ca="1">INDEX('Tiempos intermodal (horas)'!E$45:E$1645,MATCH(C15&amp;D15,'Tiempos intermodal (horas)'!C$45:C$1645&amp;'Tiempos intermodal (horas)'!D$45:D$1645,0))</f>
        <v>18.341881800012903</v>
      </c>
      <c r="J15" s="2" cm="1">
        <f t="array" aca="1" ref="J15" ca="1">INDEX('Tiempos carretera (horas)'!E$45:E$1645,MATCH(C15&amp;D15,'Tiempos carretera (horas)'!C$45:C$1645&amp;'Tiempos carretera (horas)'!D$45:D$1645,0))</f>
        <v>2.21</v>
      </c>
      <c r="K15" s="12">
        <f t="shared" ca="1" si="0"/>
        <v>4.0361634347221376</v>
      </c>
      <c r="L15" s="12">
        <f t="shared" ca="1" si="1"/>
        <v>335.96018979112165</v>
      </c>
      <c r="M15" s="12">
        <f t="shared" ca="1" si="2"/>
        <v>0.27074165905095099</v>
      </c>
      <c r="N15" s="13">
        <f t="shared" ca="1" si="5"/>
        <v>-331.92402635639951</v>
      </c>
      <c r="O15" s="13">
        <f t="shared" ca="1" si="3"/>
        <v>-16.131881800012902</v>
      </c>
      <c r="P15" s="12">
        <f t="shared" ca="1" si="4"/>
        <v>0.99086296781389194</v>
      </c>
      <c r="R15" t="s">
        <v>141</v>
      </c>
      <c r="S15">
        <f ca="1">1/(1+EXP($T$3*S13+$S$3*S14-T3*U13-S3*U14+U3))</f>
        <v>4.1770389897173433E-21</v>
      </c>
    </row>
    <row r="16" spans="1:21" x14ac:dyDescent="0.25">
      <c r="A16">
        <v>5</v>
      </c>
      <c r="B16">
        <v>31</v>
      </c>
      <c r="C16" s="2" t="s">
        <v>4</v>
      </c>
      <c r="D16" s="2" t="s">
        <v>30</v>
      </c>
      <c r="E16" s="11" cm="1">
        <f t="array" aca="1" ref="E16" ca="1">INDEX('OD flujo mercancia multimodal'!E$45:E$1645,MATCH(C16&amp;D16,'OD flujo mercancia multimodal'!C$45:C$1645&amp;'OD flujo mercancia multimodal'!D$45:D$1645,0))</f>
        <v>49187.532967032967</v>
      </c>
      <c r="F16" s="11" cm="1">
        <f t="array" aca="1" ref="F16" ca="1">INDEX('OD flujo mercancia carretera'!E$45:E$1646,MATCH(C16&amp;D16,'OD flujo mercancia carretera'!C$45:C$1646&amp;'OD flujo mercancia carretera'!D$45:D$1646,0))</f>
        <v>89507.76923076922</v>
      </c>
      <c r="G16" s="11" cm="1">
        <f t="array" aca="1" ref="G16" ca="1">INDEX('Coste Carretera'!E$46:E$1646,MATCH(C16&amp;D16,'Coste Carretera'!C$46:C$1646&amp;'Coste Carretera'!D$46:D$1646,0))</f>
        <v>844118138.35885715</v>
      </c>
      <c r="H16" s="11" cm="1">
        <f t="array" aca="1" ref="H16" ca="1">INDEX('Coste multimodal'!E$46:E$1646,MATCH(C16&amp;D16,'Coste multimodal'!C$46:C$1646&amp;'Coste multimodal'!D$46:D$1646,0))</f>
        <v>15008901152.445435</v>
      </c>
      <c r="I16" s="12" cm="1">
        <f t="array" aca="1" ref="I16" ca="1">INDEX('Tiempos intermodal (horas)'!E$45:E$1645,MATCH(C16&amp;D16,'Tiempos intermodal (horas)'!C$45:C$1645&amp;'Tiempos intermodal (horas)'!D$45:D$1645,0))</f>
        <v>18.60965957779068</v>
      </c>
      <c r="J16" s="2" cm="1">
        <f t="array" aca="1" ref="J16" ca="1">INDEX('Tiempos carretera (horas)'!E$45:E$1645,MATCH(C16&amp;D16,'Tiempos carretera (horas)'!C$45:C$1645&amp;'Tiempos carretera (horas)'!D$45:D$1645,0))</f>
        <v>3.16</v>
      </c>
      <c r="K16" s="12">
        <f t="shared" ca="1" si="0"/>
        <v>9.4306689309008362</v>
      </c>
      <c r="L16" s="12">
        <f t="shared" ca="1" si="1"/>
        <v>305.13628651603386</v>
      </c>
      <c r="M16" s="12">
        <f t="shared" ca="1" si="2"/>
        <v>0.35464454950956814</v>
      </c>
      <c r="N16" s="13">
        <f t="shared" ca="1" si="5"/>
        <v>-295.70561758513304</v>
      </c>
      <c r="O16" s="13">
        <f t="shared" ca="1" si="3"/>
        <v>-15.44965957779068</v>
      </c>
      <c r="P16" s="12">
        <f t="shared" ca="1" si="4"/>
        <v>0.59868523215167091</v>
      </c>
    </row>
    <row r="17" spans="1:16" x14ac:dyDescent="0.25">
      <c r="A17">
        <v>3</v>
      </c>
      <c r="B17">
        <v>21</v>
      </c>
      <c r="C17" s="2" t="s">
        <v>2</v>
      </c>
      <c r="D17" s="2" t="s">
        <v>20</v>
      </c>
      <c r="E17" s="11" cm="1">
        <f t="array" aca="1" ref="E17" ca="1">INDEX('OD flujo mercancia multimodal'!E$45:E$1645,MATCH(C17&amp;D17,'OD flujo mercancia multimodal'!C$45:C$1645&amp;'OD flujo mercancia multimodal'!D$45:D$1645,0))</f>
        <v>52281.87912087913</v>
      </c>
      <c r="F17" s="11" cm="1">
        <f t="array" aca="1" ref="F17" ca="1">INDEX('OD flujo mercancia carretera'!E$45:E$1646,MATCH(C17&amp;D17,'OD flujo mercancia carretera'!C$45:C$1646&amp;'OD flujo mercancia carretera'!D$45:D$1646,0))</f>
        <v>144821.10256410221</v>
      </c>
      <c r="G17" s="11" cm="1">
        <f t="array" aca="1" ref="G17" ca="1">INDEX('Coste Carretera'!E$46:E$1646,MATCH(C17&amp;D17,'Coste Carretera'!C$46:C$1646&amp;'Coste Carretera'!D$46:D$1646,0))</f>
        <v>252343090.38228574</v>
      </c>
      <c r="H17" s="11" cm="1">
        <f t="array" aca="1" ref="H17" ca="1">INDEX('Coste multimodal'!E$46:E$1646,MATCH(C17&amp;D17,'Coste multimodal'!C$46:C$1646&amp;'Coste multimodal'!D$46:D$1646,0))</f>
        <v>584854501.82747746</v>
      </c>
      <c r="I17" s="12" cm="1">
        <f t="array" aca="1" ref="I17" ca="1">INDEX('Tiempos intermodal (horas)'!E$45:E$1645,MATCH(C17&amp;D17,'Tiempos intermodal (horas)'!C$45:C$1645&amp;'Tiempos intermodal (horas)'!D$45:D$1645,0))</f>
        <v>16.78316482122381</v>
      </c>
      <c r="J17" s="2" cm="1">
        <f t="array" aca="1" ref="J17" ca="1">INDEX('Tiempos carretera (horas)'!E$45:E$1645,MATCH(C17&amp;D17,'Tiempos carretera (horas)'!C$45:C$1645&amp;'Tiempos carretera (horas)'!D$45:D$1645,0))</f>
        <v>1.3</v>
      </c>
      <c r="K17" s="12">
        <f t="shared" ca="1" si="0"/>
        <v>1.7424469632841737</v>
      </c>
      <c r="L17" s="12">
        <f t="shared" ca="1" si="1"/>
        <v>11.186562374226366</v>
      </c>
      <c r="M17" s="12">
        <f t="shared" ca="1" si="2"/>
        <v>0.26525158916387337</v>
      </c>
      <c r="N17" s="13">
        <f t="shared" ca="1" si="5"/>
        <v>-9.4441154109421923</v>
      </c>
      <c r="O17" s="13">
        <f t="shared" ca="1" si="3"/>
        <v>-15.483164821223809</v>
      </c>
      <c r="P17" s="12">
        <f t="shared" ca="1" si="4"/>
        <v>1.0188493737644191</v>
      </c>
    </row>
    <row r="18" spans="1:16" x14ac:dyDescent="0.25">
      <c r="A18">
        <v>19</v>
      </c>
      <c r="B18">
        <v>27</v>
      </c>
      <c r="C18" s="2" t="s">
        <v>18</v>
      </c>
      <c r="D18" s="2" t="s">
        <v>145</v>
      </c>
      <c r="E18" s="11" cm="1">
        <f t="array" aca="1" ref="E18" ca="1">INDEX('OD flujo mercancia multimodal'!E$45:E$1645,MATCH(C18&amp;D18,'OD flujo mercancia multimodal'!C$45:C$1645&amp;'OD flujo mercancia multimodal'!D$45:D$1645,0))</f>
        <v>61291.923076923078</v>
      </c>
      <c r="F18" s="11" cm="1">
        <f t="array" aca="1" ref="F18" ca="1">INDEX('OD flujo mercancia carretera'!E$45:E$1646,MATCH(C18&amp;D18,'OD flujo mercancia carretera'!C$45:C$1646&amp;'OD flujo mercancia carretera'!D$45:D$1646,0))</f>
        <v>456596.1</v>
      </c>
      <c r="G18" s="11" cm="1">
        <f t="array" aca="1" ref="G18" ca="1">INDEX('Coste Carretera'!E$46:E$1646,MATCH(C18&amp;D18,'Coste Carretera'!C$46:C$1646&amp;'Coste Carretera'!D$46:D$1646,0))</f>
        <v>914210711.19999993</v>
      </c>
      <c r="H18" s="11" cm="1">
        <f t="array" aca="1" ref="H18" ca="1">INDEX('Coste multimodal'!E$46:E$1646,MATCH(C18&amp;D18,'Coste multimodal'!C$46:C$1646&amp;'Coste multimodal'!D$46:D$1646,0))</f>
        <v>1208705447.7613821</v>
      </c>
      <c r="I18" s="12" cm="1">
        <f t="array" aca="1" ref="I18" ca="1">INDEX('Tiempos intermodal (horas)'!E$45:E$1645,MATCH(C18&amp;D18,'Tiempos intermodal (horas)'!C$45:C$1645&amp;'Tiempos intermodal (horas)'!D$45:D$1645,0))</f>
        <v>19.08551249351158</v>
      </c>
      <c r="J18" s="2" cm="1">
        <f t="array" aca="1" ref="J18" ca="1">INDEX('Tiempos carretera (horas)'!E$45:E$1645,MATCH(C18&amp;D18,'Tiempos carretera (horas)'!C$45:C$1645&amp;'Tiempos carretera (horas)'!D$45:D$1645,0))</f>
        <v>3.56</v>
      </c>
      <c r="K18" s="12">
        <f t="shared" ca="1" si="0"/>
        <v>2.0022306611904916</v>
      </c>
      <c r="L18" s="12">
        <f t="shared" ca="1" si="1"/>
        <v>19.720468653666209</v>
      </c>
      <c r="M18" s="12">
        <f t="shared" ca="1" si="2"/>
        <v>0.11834975968891881</v>
      </c>
      <c r="N18" s="13">
        <f t="shared" ca="1" si="5"/>
        <v>-17.718237992475718</v>
      </c>
      <c r="O18" s="13">
        <f t="shared" ca="1" si="3"/>
        <v>-15.525512493511579</v>
      </c>
      <c r="P18" s="12">
        <f t="shared" ca="1" si="4"/>
        <v>2.0081511189775516</v>
      </c>
    </row>
    <row r="19" spans="1:16" x14ac:dyDescent="0.25">
      <c r="A19">
        <v>27</v>
      </c>
      <c r="B19">
        <v>19</v>
      </c>
      <c r="C19" s="2" t="s">
        <v>145</v>
      </c>
      <c r="D19" s="2" t="s">
        <v>18</v>
      </c>
      <c r="E19" s="11" cm="1">
        <f t="array" aca="1" ref="E19" ca="1">INDEX('OD flujo mercancia multimodal'!E$45:E$1645,MATCH(C19&amp;D19,'OD flujo mercancia multimodal'!C$45:C$1645&amp;'OD flujo mercancia multimodal'!D$45:D$1645,0))</f>
        <v>34552.923076923078</v>
      </c>
      <c r="F19" s="11" cm="1">
        <f t="array" aca="1" ref="F19" ca="1">INDEX('OD flujo mercancia carretera'!E$45:E$1646,MATCH(C19&amp;D19,'OD flujo mercancia carretera'!C$45:C$1646&amp;'OD flujo mercancia carretera'!D$45:D$1646,0))</f>
        <v>511075.58461538458</v>
      </c>
      <c r="G19" s="11" cm="1">
        <f t="array" aca="1" ref="G19" ca="1">INDEX('Coste Carretera'!E$46:E$1646,MATCH(C19&amp;D19,'Coste Carretera'!C$46:C$1646&amp;'Coste Carretera'!D$46:D$1646,0))</f>
        <v>515380343.68000007</v>
      </c>
      <c r="H19" s="11" cm="1">
        <f t="array" aca="1" ref="H19" ca="1">INDEX('Coste multimodal'!E$46:E$1646,MATCH(C19&amp;D19,'Coste multimodal'!C$46:C$1646&amp;'Coste multimodal'!D$46:D$1646,0))</f>
        <v>1208705447.7613821</v>
      </c>
      <c r="I19" s="12" cm="1">
        <f t="array" aca="1" ref="I19" ca="1">INDEX('Tiempos intermodal (horas)'!E$45:E$1645,MATCH(C19&amp;D19,'Tiempos intermodal (horas)'!C$45:C$1645&amp;'Tiempos intermodal (horas)'!D$45:D$1645,0))</f>
        <v>19.08551249351158</v>
      </c>
      <c r="J19" s="2" cm="1">
        <f t="array" aca="1" ref="J19" ca="1">INDEX('Tiempos carretera (horas)'!E$45:E$1645,MATCH(C19&amp;D19,'Tiempos carretera (horas)'!C$45:C$1645&amp;'Tiempos carretera (horas)'!D$45:D$1645,0))</f>
        <v>3.56</v>
      </c>
      <c r="K19" s="12">
        <f t="shared" ca="1" si="0"/>
        <v>1.0084229401564058</v>
      </c>
      <c r="L19" s="12">
        <f t="shared" ca="1" si="1"/>
        <v>34.981279154603342</v>
      </c>
      <c r="M19" s="12">
        <f t="shared" ca="1" si="2"/>
        <v>6.33268287668141E-2</v>
      </c>
      <c r="N19" s="13">
        <f t="shared" ca="1" si="5"/>
        <v>-33.972856214446935</v>
      </c>
      <c r="O19" s="13">
        <f t="shared" ca="1" si="3"/>
        <v>-15.525512493511579</v>
      </c>
      <c r="P19" s="12">
        <f t="shared" ca="1" si="4"/>
        <v>2.6940253434765271</v>
      </c>
    </row>
    <row r="20" spans="1:16" x14ac:dyDescent="0.25">
      <c r="A20">
        <v>31</v>
      </c>
      <c r="B20">
        <v>10</v>
      </c>
      <c r="C20" s="2" t="s">
        <v>30</v>
      </c>
      <c r="D20" s="2" t="s">
        <v>9</v>
      </c>
      <c r="E20" s="11" cm="1">
        <f t="array" aca="1" ref="E20" ca="1">INDEX('OD flujo mercancia multimodal'!E$45:E$1645,MATCH(C20&amp;D20,'OD flujo mercancia multimodal'!C$45:C$1645&amp;'OD flujo mercancia multimodal'!D$45:D$1645,0))</f>
        <v>22915.521978021992</v>
      </c>
      <c r="F20" s="11" cm="1">
        <f t="array" aca="1" ref="F20" ca="1">INDEX('OD flujo mercancia carretera'!E$45:E$1646,MATCH(C20&amp;D20,'OD flujo mercancia carretera'!C$45:C$1646&amp;'OD flujo mercancia carretera'!D$45:D$1646,0))</f>
        <v>114667.23076923079</v>
      </c>
      <c r="G20" s="11" cm="1">
        <f t="array" aca="1" ref="G20" ca="1">INDEX('Coste Carretera'!E$46:E$1646,MATCH(C20&amp;D20,'Coste Carretera'!C$46:C$1646&amp;'Coste Carretera'!D$46:D$1646,0))</f>
        <v>457338821.42857164</v>
      </c>
      <c r="H20" s="11" cm="1">
        <f t="array" aca="1" ref="H20" ca="1">INDEX('Coste multimodal'!E$46:E$1646,MATCH(C20&amp;D20,'Coste multimodal'!C$46:C$1646&amp;'Coste multimodal'!D$46:D$1646,0))</f>
        <v>15056236929.505434</v>
      </c>
      <c r="I20" s="12" cm="1">
        <f t="array" aca="1" ref="I20" ca="1">INDEX('Tiempos intermodal (horas)'!E$45:E$1645,MATCH(C20&amp;D20,'Tiempos intermodal (horas)'!C$45:C$1645&amp;'Tiempos intermodal (horas)'!D$45:D$1645,0))</f>
        <v>19.597437355568459</v>
      </c>
      <c r="J20" s="2" cm="1">
        <f t="array" aca="1" ref="J20" ca="1">INDEX('Tiempos carretera (horas)'!E$45:E$1645,MATCH(C20&amp;D20,'Tiempos carretera (horas)'!C$45:C$1645&amp;'Tiempos carretera (horas)'!D$45:D$1645,0))</f>
        <v>4.05</v>
      </c>
      <c r="K20" s="12">
        <f t="shared" ca="1" si="0"/>
        <v>3.988400333387065</v>
      </c>
      <c r="L20" s="12">
        <f ca="1">H20/(E8*1000)</f>
        <v>225.69025197884028</v>
      </c>
      <c r="M20" s="12">
        <f t="shared" ca="1" si="2"/>
        <v>0.16655810063721496</v>
      </c>
      <c r="N20" s="13">
        <f t="shared" ca="1" si="5"/>
        <v>-221.70185164545322</v>
      </c>
      <c r="O20" s="13">
        <f t="shared" ca="1" si="3"/>
        <v>-15.547437355568459</v>
      </c>
      <c r="P20" s="12">
        <f t="shared" ca="1" si="4"/>
        <v>1.6102197916112173</v>
      </c>
    </row>
    <row r="21" spans="1:16" x14ac:dyDescent="0.25">
      <c r="A21">
        <v>10</v>
      </c>
      <c r="B21">
        <v>31</v>
      </c>
      <c r="C21" s="2" t="s">
        <v>9</v>
      </c>
      <c r="D21" s="2" t="s">
        <v>30</v>
      </c>
      <c r="E21" s="11" cm="1">
        <f t="array" aca="1" ref="E21" ca="1">INDEX('OD flujo mercancia multimodal'!E$45:E$1645,MATCH(C21&amp;D21,'OD flujo mercancia multimodal'!C$45:C$1645&amp;'OD flujo mercancia multimodal'!D$45:D$1645,0))</f>
        <v>16696.03296703297</v>
      </c>
      <c r="F21" s="11" cm="1">
        <f t="array" aca="1" ref="F21" ca="1">INDEX('OD flujo mercancia carretera'!E$45:E$1646,MATCH(C21&amp;D21,'OD flujo mercancia carretera'!C$45:C$1646&amp;'OD flujo mercancia carretera'!D$45:D$1646,0))</f>
        <v>114910.61538461538</v>
      </c>
      <c r="G21" s="11" cm="1">
        <f t="array" aca="1" ref="G21" ca="1">INDEX('Coste Carretera'!E$46:E$1646,MATCH(C21&amp;D21,'Coste Carretera'!C$46:C$1646&amp;'Coste Carretera'!D$46:D$1646,0))</f>
        <v>435212817.22285718</v>
      </c>
      <c r="H21" s="11" cm="1">
        <f t="array" aca="1" ref="H21" ca="1">INDEX('Coste multimodal'!E$46:E$1646,MATCH(C21&amp;D21,'Coste multimodal'!C$46:C$1646&amp;'Coste multimodal'!D$46:D$1646,0))</f>
        <v>15056236929.505434</v>
      </c>
      <c r="I21" s="12" cm="1">
        <f t="array" aca="1" ref="I21" ca="1">INDEX('Tiempos intermodal (horas)'!E$45:E$1645,MATCH(C21&amp;D21,'Tiempos intermodal (horas)'!C$45:C$1645&amp;'Tiempos intermodal (horas)'!D$45:D$1645,0))</f>
        <v>19.597437355568459</v>
      </c>
      <c r="J21" s="2" cm="1">
        <f t="array" aca="1" ref="J21" ca="1">INDEX('Tiempos carretera (horas)'!E$45:E$1645,MATCH(C21&amp;D21,'Tiempos carretera (horas)'!C$45:C$1645&amp;'Tiempos carretera (horas)'!D$45:D$1645,0))</f>
        <v>4.05</v>
      </c>
      <c r="K21" s="12">
        <f t="shared" ca="1" si="0"/>
        <v>3.787403067733679</v>
      </c>
      <c r="L21" s="12">
        <f t="shared" ca="1" si="1"/>
        <v>901.78528990896314</v>
      </c>
      <c r="M21" s="12">
        <f t="shared" ca="1" si="2"/>
        <v>0.12686314237272994</v>
      </c>
      <c r="N21" s="13">
        <f t="shared" ca="1" si="5"/>
        <v>-897.9978868412295</v>
      </c>
      <c r="O21" s="13">
        <f t="shared" ca="1" si="3"/>
        <v>-15.547437355568459</v>
      </c>
      <c r="P21" s="12">
        <f t="shared" ca="1" si="4"/>
        <v>1.9289834242971975</v>
      </c>
    </row>
    <row r="22" spans="1:16" x14ac:dyDescent="0.25">
      <c r="A22">
        <v>19</v>
      </c>
      <c r="B22">
        <v>20</v>
      </c>
      <c r="C22" s="2" t="s">
        <v>18</v>
      </c>
      <c r="D22" s="2" t="s">
        <v>19</v>
      </c>
      <c r="E22" s="11" cm="1">
        <f t="array" aca="1" ref="E22" ca="1">INDEX('OD flujo mercancia multimodal'!E$45:E$1645,MATCH(C22&amp;D22,'OD flujo mercancia multimodal'!C$45:C$1645&amp;'OD flujo mercancia multimodal'!D$45:D$1645,0))</f>
        <v>60267.615384615376</v>
      </c>
      <c r="F22" s="11" cm="1">
        <f t="array" aca="1" ref="F22" ca="1">INDEX('OD flujo mercancia carretera'!E$45:E$1646,MATCH(C22&amp;D22,'OD flujo mercancia carretera'!C$45:C$1646&amp;'OD flujo mercancia carretera'!D$45:D$1646,0))</f>
        <v>103154.6666666667</v>
      </c>
      <c r="G22" s="11" cm="1">
        <f t="array" aca="1" ref="G22" ca="1">INDEX('Coste Carretera'!E$46:E$1646,MATCH(C22&amp;D22,'Coste Carretera'!C$46:C$1646&amp;'Coste Carretera'!D$46:D$1646,0))</f>
        <v>512771335.9199999</v>
      </c>
      <c r="H22" s="11" cm="1">
        <f t="array" aca="1" ref="H22" ca="1">INDEX('Coste multimodal'!E$46:E$1646,MATCH(C22&amp;D22,'Coste multimodal'!C$46:C$1646&amp;'Coste multimodal'!D$46:D$1646,0))</f>
        <v>798547764.60138226</v>
      </c>
      <c r="I22" s="12" cm="1">
        <f t="array" aca="1" ref="I22" ca="1">INDEX('Tiempos intermodal (horas)'!E$45:E$1645,MATCH(C22&amp;D22,'Tiempos intermodal (horas)'!C$45:C$1645&amp;'Tiempos intermodal (horas)'!D$45:D$1645,0))</f>
        <v>17.638845826844911</v>
      </c>
      <c r="J22" s="2" cm="1">
        <f t="array" aca="1" ref="J22" ca="1">INDEX('Tiempos carretera (horas)'!E$45:E$1645,MATCH(C22&amp;D22,'Tiempos carretera (horas)'!C$45:C$1645&amp;'Tiempos carretera (horas)'!D$45:D$1645,0))</f>
        <v>1.98</v>
      </c>
      <c r="K22" s="12">
        <f t="shared" ca="1" si="0"/>
        <v>4.9708980939947756</v>
      </c>
      <c r="L22" s="12">
        <f t="shared" ca="1" si="1"/>
        <v>13.250030874877273</v>
      </c>
      <c r="M22" s="12">
        <f t="shared" ca="1" si="2"/>
        <v>0.368784566144434</v>
      </c>
      <c r="N22" s="13">
        <f t="shared" ca="1" si="5"/>
        <v>-8.2791327808824988</v>
      </c>
      <c r="O22" s="13">
        <f t="shared" ca="1" si="3"/>
        <v>-15.65884582684491</v>
      </c>
      <c r="P22" s="12">
        <f t="shared" ca="1" si="4"/>
        <v>0.53743457888407109</v>
      </c>
    </row>
    <row r="23" spans="1:16" x14ac:dyDescent="0.25">
      <c r="A23">
        <v>20</v>
      </c>
      <c r="B23">
        <v>19</v>
      </c>
      <c r="C23" s="2" t="s">
        <v>19</v>
      </c>
      <c r="D23" s="2" t="s">
        <v>18</v>
      </c>
      <c r="E23" s="11" cm="1">
        <f t="array" aca="1" ref="E23" ca="1">INDEX('OD flujo mercancia multimodal'!E$45:E$1645,MATCH(C23&amp;D23,'OD flujo mercancia multimodal'!C$45:C$1645&amp;'OD flujo mercancia multimodal'!D$45:D$1645,0))</f>
        <v>33258.692307692312</v>
      </c>
      <c r="F23" s="11" cm="1">
        <f t="array" aca="1" ref="F23" ca="1">INDEX('OD flujo mercancia carretera'!E$45:E$1646,MATCH(C23&amp;D23,'OD flujo mercancia carretera'!C$45:C$1646&amp;'OD flujo mercancia carretera'!D$45:D$1646,0))</f>
        <v>152905.71794871794</v>
      </c>
      <c r="G23" s="11" cm="1">
        <f t="array" aca="1" ref="G23" ca="1">INDEX('Coste Carretera'!E$46:E$1646,MATCH(C23&amp;D23,'Coste Carretera'!C$46:C$1646&amp;'Coste Carretera'!D$46:D$1646,0))</f>
        <v>282972936.24000001</v>
      </c>
      <c r="H23" s="11" cm="1">
        <f t="array" aca="1" ref="H23" ca="1">INDEX('Coste multimodal'!E$46:E$1646,MATCH(C23&amp;D23,'Coste multimodal'!C$46:C$1646&amp;'Coste multimodal'!D$46:D$1646,0))</f>
        <v>798547764.60138226</v>
      </c>
      <c r="I23" s="12" cm="1">
        <f t="array" aca="1" ref="I23" ca="1">INDEX('Tiempos intermodal (horas)'!E$45:E$1645,MATCH(C23&amp;D23,'Tiempos intermodal (horas)'!C$45:C$1645&amp;'Tiempos intermodal (horas)'!D$45:D$1645,0))</f>
        <v>17.638845826844911</v>
      </c>
      <c r="J23" s="2" cm="1">
        <f t="array" aca="1" ref="J23" ca="1">INDEX('Tiempos carretera (horas)'!E$45:E$1645,MATCH(C23&amp;D23,'Tiempos carretera (horas)'!C$45:C$1645&amp;'Tiempos carretera (horas)'!D$45:D$1645,0))</f>
        <v>1.98</v>
      </c>
      <c r="K23" s="12">
        <f t="shared" ca="1" si="0"/>
        <v>1.8506367193861544</v>
      </c>
      <c r="L23" s="12">
        <f t="shared" ca="1" si="1"/>
        <v>24.010197310634741</v>
      </c>
      <c r="M23" s="12">
        <f t="shared" ca="1" si="2"/>
        <v>0.17865225830159503</v>
      </c>
      <c r="N23" s="13">
        <f t="shared" ca="1" si="5"/>
        <v>-22.159560591248585</v>
      </c>
      <c r="O23" s="13">
        <f t="shared" ca="1" si="3"/>
        <v>-15.65884582684491</v>
      </c>
      <c r="P23" s="12">
        <f t="shared" ca="1" si="4"/>
        <v>1.5255053531672618</v>
      </c>
    </row>
    <row r="24" spans="1:16" x14ac:dyDescent="0.25">
      <c r="A24">
        <v>5</v>
      </c>
      <c r="B24">
        <v>8</v>
      </c>
      <c r="C24" s="2" t="s">
        <v>4</v>
      </c>
      <c r="D24" s="2" t="s">
        <v>7</v>
      </c>
      <c r="E24" s="11" cm="1">
        <f t="array" aca="1" ref="E24" ca="1">INDEX('OD flujo mercancia multimodal'!E$45:E$1645,MATCH(C24&amp;D24,'OD flujo mercancia multimodal'!C$45:C$1645&amp;'OD flujo mercancia multimodal'!D$45:D$1645,0))</f>
        <v>81144.928571428522</v>
      </c>
      <c r="F24" s="11" cm="1">
        <f t="array" aca="1" ref="F24" ca="1">INDEX('OD flujo mercancia carretera'!E$45:E$1646,MATCH(C24&amp;D24,'OD flujo mercancia carretera'!C$45:C$1646&amp;'OD flujo mercancia carretera'!D$45:D$1646,0))</f>
        <v>185056.92307692292</v>
      </c>
      <c r="G24" s="11" cm="1">
        <f t="array" aca="1" ref="G24" ca="1">INDEX('Coste Carretera'!E$46:E$1646,MATCH(C24&amp;D24,'Coste Carretera'!C$46:C$1646&amp;'Coste Carretera'!D$46:D$1646,0))</f>
        <v>562548577.61142826</v>
      </c>
      <c r="H24" s="11" cm="1">
        <f t="array" aca="1" ref="H24" ca="1">INDEX('Coste multimodal'!E$46:E$1646,MATCH(C24&amp;D24,'Coste multimodal'!C$46:C$1646&amp;'Coste multimodal'!D$46:D$1646,0))</f>
        <v>15143044750.654577</v>
      </c>
      <c r="I24" s="12" cm="1">
        <f t="array" aca="1" ref="I24" ca="1">INDEX('Tiempos intermodal (horas)'!E$45:E$1645,MATCH(C24&amp;D24,'Tiempos intermodal (horas)'!C$45:C$1645&amp;'Tiempos intermodal (horas)'!D$45:D$1645,0))</f>
        <v>17.507437355568459</v>
      </c>
      <c r="J24" s="2" cm="1">
        <f t="array" aca="1" ref="J24" ca="1">INDEX('Tiempos carretera (horas)'!E$45:E$1645,MATCH(C24&amp;D24,'Tiempos carretera (horas)'!C$45:C$1645&amp;'Tiempos carretera (horas)'!D$45:D$1645,0))</f>
        <v>1.83</v>
      </c>
      <c r="K24" s="12">
        <f t="shared" ca="1" si="0"/>
        <v>3.039867778292157</v>
      </c>
      <c r="L24" s="12">
        <f t="shared" ca="1" si="1"/>
        <v>186.6172663806683</v>
      </c>
      <c r="M24" s="12">
        <f t="shared" ca="1" si="2"/>
        <v>0.30482480895219216</v>
      </c>
      <c r="N24" s="13">
        <f t="shared" ca="1" si="5"/>
        <v>-183.57739860237615</v>
      </c>
      <c r="O24" s="13">
        <f t="shared" ca="1" si="3"/>
        <v>-15.677437355568459</v>
      </c>
      <c r="P24" s="12">
        <f t="shared" ca="1" si="4"/>
        <v>0.8244266725494328</v>
      </c>
    </row>
    <row r="25" spans="1:16" x14ac:dyDescent="0.25">
      <c r="A25">
        <v>31</v>
      </c>
      <c r="B25">
        <v>7</v>
      </c>
      <c r="C25" s="2" t="s">
        <v>30</v>
      </c>
      <c r="D25" s="10" t="s">
        <v>6</v>
      </c>
      <c r="E25" s="11" cm="1">
        <f t="array" aca="1" ref="E25" ca="1">INDEX('OD flujo mercancia multimodal'!E$45:E$1645,MATCH(C25&amp;D25,'OD flujo mercancia multimodal'!C$45:C$1645&amp;'OD flujo mercancia multimodal'!D$45:D$1645,0))</f>
        <v>6790.0934065934025</v>
      </c>
      <c r="F25" s="11" cm="1">
        <f t="array" aca="1" ref="F25" ca="1">INDEX('OD flujo mercancia carretera'!E$45:E$1646,MATCH(C25&amp;D25,'OD flujo mercancia carretera'!C$45:C$1646&amp;'OD flujo mercancia carretera'!D$45:D$1646,0))</f>
        <v>82360.384615384595</v>
      </c>
      <c r="G25" s="11" cm="1">
        <f t="array" aca="1" ref="G25" ca="1">INDEX('Coste Carretera'!E$46:E$1646,MATCH(C25&amp;D25,'Coste Carretera'!C$46:C$1646&amp;'Coste Carretera'!D$46:D$1646,0))</f>
        <v>110550868.7714285</v>
      </c>
      <c r="H25" s="11" cm="1">
        <f t="array" aca="1" ref="H25" ca="1">INDEX('Coste multimodal'!E$46:E$1646,MATCH(C25&amp;D25,'Coste multimodal'!C$46:C$1646&amp;'Coste multimodal'!D$46:D$1646,0))</f>
        <v>14989668928.674006</v>
      </c>
      <c r="I25" s="12" cm="1">
        <f t="array" aca="1" ref="I25" ca="1">INDEX('Tiempos intermodal (horas)'!E$45:E$1645,MATCH(C25&amp;D25,'Tiempos intermodal (horas)'!C$45:C$1645&amp;'Tiempos intermodal (horas)'!D$45:D$1645,0))</f>
        <v>19.04854846667957</v>
      </c>
      <c r="J25" s="2" cm="1">
        <f t="array" aca="1" ref="J25" ca="1">INDEX('Tiempos carretera (horas)'!E$45:E$1645,MATCH(C25&amp;D25,'Tiempos carretera (horas)'!C$45:C$1645&amp;'Tiempos carretera (horas)'!D$45:D$1645,0))</f>
        <v>3.26</v>
      </c>
      <c r="K25" s="12">
        <f t="shared" ca="1" si="0"/>
        <v>1.3422820848602257</v>
      </c>
      <c r="L25" s="12">
        <f ca="1">H25/(E8*1000)</f>
        <v>224.69240975892069</v>
      </c>
      <c r="M25" s="12">
        <f t="shared" ca="1" si="2"/>
        <v>7.616440828191029E-2</v>
      </c>
      <c r="N25" s="13">
        <f t="shared" ca="1" si="5"/>
        <v>-223.35012767406047</v>
      </c>
      <c r="O25" s="13">
        <f t="shared" ca="1" si="3"/>
        <v>-15.78854846667957</v>
      </c>
      <c r="P25" s="12">
        <f t="shared" ca="1" si="4"/>
        <v>2.4956398541082163</v>
      </c>
    </row>
    <row r="26" spans="1:16" x14ac:dyDescent="0.25">
      <c r="A26">
        <v>7</v>
      </c>
      <c r="B26">
        <v>31</v>
      </c>
      <c r="C26" s="10" t="s">
        <v>6</v>
      </c>
      <c r="D26" s="10" t="s">
        <v>30</v>
      </c>
      <c r="E26" s="11" cm="1">
        <f t="array" aca="1" ref="E26" ca="1">INDEX('OD flujo mercancia multimodal'!E$45:E$1645,MATCH(C26&amp;D26,'OD flujo mercancia multimodal'!C$45:C$1645&amp;'OD flujo mercancia multimodal'!D$45:D$1645,0))</f>
        <v>5447.6043956043977</v>
      </c>
      <c r="F26" s="11" cm="1">
        <f t="array" aca="1" ref="F26" ca="1">INDEX('OD flujo mercancia carretera'!E$45:E$1646,MATCH(C26&amp;D26,'OD flujo mercancia carretera'!C$45:C$1646&amp;'OD flujo mercancia carretera'!D$45:D$1646,0))</f>
        <v>80369.38461538461</v>
      </c>
      <c r="G26" s="11" cm="1">
        <f t="array" aca="1" ref="G26" ca="1">INDEX('Coste Carretera'!E$46:E$1646,MATCH(C26&amp;D26,'Coste Carretera'!C$46:C$1646&amp;'Coste Carretera'!D$46:D$1646,0))</f>
        <v>171904119.8457143</v>
      </c>
      <c r="H26" s="11" cm="1">
        <f t="array" aca="1" ref="H26" ca="1">INDEX('Coste multimodal'!E$46:E$1646,MATCH(C26&amp;D26,'Coste multimodal'!C$46:C$1646&amp;'Coste multimodal'!D$46:D$1646,0))</f>
        <v>39661012182.422585</v>
      </c>
      <c r="I26" s="12" cm="1">
        <f t="array" aca="1" ref="I26" ca="1">INDEX('Tiempos intermodal (horas)'!E$45:E$1645,MATCH(C26&amp;D26,'Tiempos intermodal (horas)'!C$45:C$1645&amp;'Tiempos intermodal (horas)'!D$45:D$1645,0))</f>
        <v>19.04854846667957</v>
      </c>
      <c r="J26" s="2" cm="1">
        <f t="array" aca="1" ref="J26" ca="1">INDEX('Tiempos carretera (horas)'!E$45:E$1645,MATCH(C26&amp;D26,'Tiempos carretera (horas)'!C$45:C$1645&amp;'Tiempos carretera (horas)'!D$45:D$1645,0))</f>
        <v>3.26</v>
      </c>
      <c r="K26" s="12">
        <f t="shared" ca="1" si="0"/>
        <v>2.1389254212705242</v>
      </c>
      <c r="L26" s="12">
        <f ca="1">H26/(E8*1000)</f>
        <v>594.51135599795793</v>
      </c>
      <c r="M26" s="12">
        <f t="shared" ca="1" si="2"/>
        <v>6.3479323364594192E-2</v>
      </c>
      <c r="N26" s="13">
        <f t="shared" ca="1" si="5"/>
        <v>-592.37243057668741</v>
      </c>
      <c r="O26" s="13">
        <f t="shared" ca="1" si="3"/>
        <v>-15.78854846667957</v>
      </c>
      <c r="P26" s="12">
        <f t="shared" ca="1" si="4"/>
        <v>2.6914573637001742</v>
      </c>
    </row>
    <row r="27" spans="1:16" x14ac:dyDescent="0.25">
      <c r="A27">
        <v>6</v>
      </c>
      <c r="B27">
        <v>31</v>
      </c>
      <c r="C27" s="2" t="s">
        <v>5</v>
      </c>
      <c r="D27" s="2" t="s">
        <v>30</v>
      </c>
      <c r="E27" s="11" cm="1">
        <f t="array" aca="1" ref="E27" ca="1">INDEX('OD flujo mercancia multimodal'!E$45:E$1645,MATCH(C27&amp;D27,'OD flujo mercancia multimodal'!C$45:C$1645&amp;'OD flujo mercancia multimodal'!D$45:D$1645,0))</f>
        <v>14152.675824175825</v>
      </c>
      <c r="F27" s="11" cm="1">
        <f t="array" aca="1" ref="F27" ca="1">INDEX('OD flujo mercancia carretera'!E$45:E$1646,MATCH(C27&amp;D27,'OD flujo mercancia carretera'!C$45:C$1646&amp;'OD flujo mercancia carretera'!D$45:D$1646,0))</f>
        <v>152062.39194139192</v>
      </c>
      <c r="G27" s="11" cm="1">
        <f t="array" aca="1" ref="G27" ca="1">INDEX('Coste Carretera'!E$46:E$1646,MATCH(C27&amp;D27,'Coste Carretera'!C$46:C$1646&amp;'Coste Carretera'!D$46:D$1646,0))</f>
        <v>528117720.08914286</v>
      </c>
      <c r="H27" s="11" cm="1">
        <f t="array" aca="1" ref="H27" ca="1">INDEX('Coste multimodal'!E$46:E$1646,MATCH(C27&amp;D27,'Coste multimodal'!C$46:C$1646&amp;'Coste multimodal'!D$46:D$1646,0))</f>
        <v>15128357926.208292</v>
      </c>
      <c r="I27" s="12" cm="1">
        <f t="array" aca="1" ref="I27" ca="1">INDEX('Tiempos intermodal (horas)'!E$45:E$1645,MATCH(C27&amp;D27,'Tiempos intermodal (horas)'!C$45:C$1645&amp;'Tiempos intermodal (horas)'!D$45:D$1645,0))</f>
        <v>21.154104022235124</v>
      </c>
      <c r="J27" s="2" cm="1">
        <f t="array" aca="1" ref="J27" ca="1">INDEX('Tiempos carretera (horas)'!E$45:E$1645,MATCH(C27&amp;D27,'Tiempos carretera (horas)'!C$45:C$1645&amp;'Tiempos carretera (horas)'!D$45:D$1645,0))</f>
        <v>5.32</v>
      </c>
      <c r="K27" s="12">
        <f t="shared" ca="1" si="0"/>
        <v>3.4730330974452293</v>
      </c>
      <c r="L27" s="12">
        <f t="shared" ca="1" si="1"/>
        <v>1068.9397619329195</v>
      </c>
      <c r="M27" s="12">
        <f t="shared" ca="1" si="2"/>
        <v>8.5146768066400425E-2</v>
      </c>
      <c r="N27" s="13">
        <f t="shared" ca="1" si="5"/>
        <v>-1065.4667288354742</v>
      </c>
      <c r="O27" s="13">
        <f t="shared" ca="1" si="3"/>
        <v>-15.834104022235124</v>
      </c>
      <c r="P27" s="12">
        <f t="shared" ca="1" si="4"/>
        <v>2.3743871995304473</v>
      </c>
    </row>
    <row r="28" spans="1:16" x14ac:dyDescent="0.25">
      <c r="A28">
        <v>19</v>
      </c>
      <c r="B28">
        <v>30</v>
      </c>
      <c r="C28" s="2" t="s">
        <v>18</v>
      </c>
      <c r="D28" s="2" t="s">
        <v>146</v>
      </c>
      <c r="E28" s="11" cm="1">
        <f t="array" aca="1" ref="E28" ca="1">INDEX('OD flujo mercancia multimodal'!E$45:E$1645,MATCH(C28&amp;D28,'OD flujo mercancia multimodal'!C$45:C$1645&amp;'OD flujo mercancia multimodal'!D$45:D$1645,0))</f>
        <v>9563.2230769230773</v>
      </c>
      <c r="F28" s="11" cm="1">
        <f t="array" aca="1" ref="F28" ca="1">INDEX('OD flujo mercancia carretera'!E$45:E$1646,MATCH(C28&amp;D28,'OD flujo mercancia carretera'!C$45:C$1646&amp;'OD flujo mercancia carretera'!D$45:D$1646,0))</f>
        <v>269524.09999999998</v>
      </c>
      <c r="G28" s="11" cm="1">
        <f t="array" aca="1" ref="G28" ca="1">INDEX('Coste Carretera'!E$46:E$1646,MATCH(C28&amp;D28,'Coste Carretera'!C$46:C$1646&amp;'Coste Carretera'!D$46:D$1646,0))</f>
        <v>982936072.32000005</v>
      </c>
      <c r="H28" s="11" cm="1">
        <f t="array" aca="1" ref="H28" ca="1">INDEX('Coste multimodal'!E$46:E$1646,MATCH(C28&amp;D28,'Coste multimodal'!C$46:C$1646&amp;'Coste multimodal'!D$46:D$1646,0))</f>
        <v>142923042.98628616</v>
      </c>
      <c r="I28" s="12" cm="1">
        <f t="array" aca="1" ref="I28" ca="1">INDEX('Tiempos intermodal (horas)'!E$45:E$1645,MATCH(C28&amp;D28,'Tiempos intermodal (horas)'!C$45:C$1645&amp;'Tiempos intermodal (horas)'!D$45:D$1645,0))</f>
        <v>42.806871823972408</v>
      </c>
      <c r="J28" s="2" cm="1">
        <f t="array" aca="1" ref="J28" ca="1">INDEX('Tiempos carretera (horas)'!E$45:E$1645,MATCH(C28&amp;D28,'Tiempos carretera (horas)'!C$45:C$1645&amp;'Tiempos carretera (horas)'!D$45:D$1645,0))</f>
        <v>5.13</v>
      </c>
      <c r="K28" s="12">
        <f t="shared" ca="1" si="0"/>
        <v>3.6469320269319145</v>
      </c>
      <c r="L28" s="12">
        <f t="shared" ca="1" si="1"/>
        <v>14.945070488962282</v>
      </c>
      <c r="M28" s="12">
        <f t="shared" ca="1" si="2"/>
        <v>3.4266060426855101E-2</v>
      </c>
      <c r="N28" s="13">
        <f t="shared" ca="1" si="5"/>
        <v>-11.298138462030368</v>
      </c>
      <c r="O28" s="13">
        <f t="shared" ca="1" si="3"/>
        <v>-37.676871823972405</v>
      </c>
      <c r="P28" s="12">
        <f t="shared" ca="1" si="4"/>
        <v>3.3387329990304431</v>
      </c>
    </row>
    <row r="29" spans="1:16" x14ac:dyDescent="0.25">
      <c r="A29">
        <v>30</v>
      </c>
      <c r="B29">
        <v>19</v>
      </c>
      <c r="C29" s="2" t="s">
        <v>146</v>
      </c>
      <c r="D29" s="2" t="s">
        <v>18</v>
      </c>
      <c r="E29" s="11" cm="1">
        <f t="array" aca="1" ref="E29" ca="1">INDEX('OD flujo mercancia multimodal'!E$45:E$1645,MATCH(C29&amp;D29,'OD flujo mercancia multimodal'!C$45:C$1645&amp;'OD flujo mercancia multimodal'!D$45:D$1645,0))</f>
        <v>3123.2307692307722</v>
      </c>
      <c r="F29" s="11" cm="1">
        <f t="array" aca="1" ref="F29" ca="1">INDEX('OD flujo mercancia carretera'!E$45:E$1646,MATCH(C29&amp;D29,'OD flujo mercancia carretera'!C$45:C$1646&amp;'OD flujo mercancia carretera'!D$45:D$1646,0))</f>
        <v>316104.18461538467</v>
      </c>
      <c r="G29" s="11" cm="1">
        <f t="array" aca="1" ref="G29" ca="1">INDEX('Coste Carretera'!E$46:E$1646,MATCH(C29&amp;D29,'Coste Carretera'!C$46:C$1646&amp;'Coste Carretera'!D$46:D$1646,0))</f>
        <v>408347104.6400001</v>
      </c>
      <c r="H29" s="11" cm="1">
        <f t="array" aca="1" ref="H29" ca="1">INDEX('Coste multimodal'!E$46:E$1646,MATCH(C29&amp;D29,'Coste multimodal'!C$46:C$1646&amp;'Coste multimodal'!D$46:D$1646,0))</f>
        <v>142923042.98628616</v>
      </c>
      <c r="I29" s="12" cm="1">
        <f t="array" aca="1" ref="I29" ca="1">INDEX('Tiempos intermodal (horas)'!E$45:E$1645,MATCH(C29&amp;D29,'Tiempos intermodal (horas)'!C$45:C$1645&amp;'Tiempos intermodal (horas)'!D$45:D$1645,0))</f>
        <v>42.806871823972408</v>
      </c>
      <c r="J29" s="2" cm="1">
        <f t="array" aca="1" ref="J29" ca="1">INDEX('Tiempos carretera (horas)'!E$45:E$1645,MATCH(C29&amp;D29,'Tiempos carretera (horas)'!C$45:C$1645&amp;'Tiempos carretera (horas)'!D$45:D$1645,0))</f>
        <v>5.13</v>
      </c>
      <c r="K29" s="12">
        <f t="shared" ca="1" si="0"/>
        <v>1.291811764962399</v>
      </c>
      <c r="L29" s="12">
        <f t="shared" ca="1" si="1"/>
        <v>45.761281681240291</v>
      </c>
      <c r="M29" s="12">
        <f t="shared" ca="1" si="2"/>
        <v>9.7837172458004693E-3</v>
      </c>
      <c r="N29" s="13">
        <f t="shared" ca="1" si="5"/>
        <v>-44.469469916277895</v>
      </c>
      <c r="O29" s="13">
        <f t="shared" ca="1" si="3"/>
        <v>-37.676871823972405</v>
      </c>
      <c r="P29" s="12">
        <f t="shared" ca="1" si="4"/>
        <v>4.6172038883817637</v>
      </c>
    </row>
    <row r="30" spans="1:16" x14ac:dyDescent="0.25">
      <c r="A30">
        <v>4</v>
      </c>
      <c r="B30">
        <v>5</v>
      </c>
      <c r="C30" s="2" t="s">
        <v>3</v>
      </c>
      <c r="D30" s="2" t="s">
        <v>4</v>
      </c>
      <c r="E30" s="11" cm="1">
        <f t="array" aca="1" ref="E30" ca="1">INDEX('OD flujo mercancia multimodal'!E$45:E$1645,MATCH(C30&amp;D30,'OD flujo mercancia multimodal'!C$45:C$1645&amp;'OD flujo mercancia multimodal'!D$45:D$1645,0))</f>
        <v>94493.785714285754</v>
      </c>
      <c r="F30" s="11" cm="1">
        <f t="array" aca="1" ref="F30" ca="1">INDEX('OD flujo mercancia carretera'!E$45:E$1646,MATCH(C30&amp;D30,'OD flujo mercancia carretera'!C$45:C$1646&amp;'OD flujo mercancia carretera'!D$45:D$1646,0))</f>
        <v>94033.615384615347</v>
      </c>
      <c r="G30" s="11" cm="1">
        <f t="array" aca="1" ref="G30" ca="1">INDEX('Coste Carretera'!E$46:E$1646,MATCH(C30&amp;D30,'Coste Carretera'!C$46:C$1646&amp;'Coste Carretera'!D$46:D$1646,0))</f>
        <v>635240144.09142888</v>
      </c>
      <c r="H30" s="11" cm="1">
        <f t="array" aca="1" ref="H30" ca="1">INDEX('Coste multimodal'!E$46:E$1646,MATCH(C30&amp;D30,'Coste multimodal'!C$46:C$1646&amp;'Coste multimodal'!D$46:D$1646,0))</f>
        <v>15888960135.436863</v>
      </c>
      <c r="I30" s="12" cm="1">
        <f t="array" aca="1" ref="I30" ca="1">INDEX('Tiempos intermodal (horas)'!E$45:E$1645,MATCH(C30&amp;D30,'Tiempos intermodal (horas)'!C$45:C$1645&amp;'Tiempos intermodal (horas)'!D$45:D$1645,0))</f>
        <v>17.354104022235123</v>
      </c>
      <c r="J30" s="2" cm="1">
        <f t="array" aca="1" ref="J30" ca="1">INDEX('Tiempos carretera (horas)'!E$45:E$1645,MATCH(C30&amp;D30,'Tiempos carretera (horas)'!C$45:C$1645&amp;'Tiempos carretera (horas)'!D$45:D$1645,0))</f>
        <v>1.45</v>
      </c>
      <c r="K30" s="12">
        <f t="shared" ca="1" si="0"/>
        <v>6.7554580507531909</v>
      </c>
      <c r="L30" s="12">
        <f t="shared" ca="1" si="1"/>
        <v>168.14820165507177</v>
      </c>
      <c r="M30" s="12">
        <f t="shared" ca="1" si="2"/>
        <v>0.5012204335470285</v>
      </c>
      <c r="N30" s="13">
        <f t="shared" ca="1" si="5"/>
        <v>-161.39274360431858</v>
      </c>
      <c r="O30" s="13">
        <f t="shared" ca="1" si="3"/>
        <v>-15.904104022235124</v>
      </c>
      <c r="P30" s="12">
        <f t="shared" ca="1" si="4"/>
        <v>-4.8817438829996621E-3</v>
      </c>
    </row>
    <row r="31" spans="1:16" x14ac:dyDescent="0.25">
      <c r="A31">
        <v>3</v>
      </c>
      <c r="B31">
        <v>24</v>
      </c>
      <c r="C31" s="2" t="s">
        <v>2</v>
      </c>
      <c r="D31" s="2" t="s">
        <v>23</v>
      </c>
      <c r="E31" s="11" cm="1">
        <f t="array" aca="1" ref="E31" ca="1">INDEX('OD flujo mercancia multimodal'!E$45:E$1645,MATCH(C31&amp;D31,'OD flujo mercancia multimodal'!C$45:C$1645&amp;'OD flujo mercancia multimodal'!D$45:D$1645,0))</f>
        <v>22562.648351648349</v>
      </c>
      <c r="F31" s="11" cm="1">
        <f t="array" aca="1" ref="F31" ca="1">INDEX('OD flujo mercancia carretera'!E$45:E$1646,MATCH(C31&amp;D31,'OD flujo mercancia carretera'!C$45:C$1646&amp;'OD flujo mercancia carretera'!D$45:D$1646,0))</f>
        <v>105156.43589743593</v>
      </c>
      <c r="G31" s="11" cm="1">
        <f t="array" aca="1" ref="G31" ca="1">INDEX('Coste Carretera'!E$46:E$1646,MATCH(C31&amp;D31,'Coste Carretera'!C$46:C$1646&amp;'Coste Carretera'!D$46:D$1646,0))</f>
        <v>1039236485.582857</v>
      </c>
      <c r="H31" s="11" cm="1">
        <f t="array" aca="1" ref="H31" ca="1">INDEX('Coste multimodal'!E$46:E$1646,MATCH(C31&amp;D31,'Coste multimodal'!C$46:C$1646&amp;'Coste multimodal'!D$46:D$1646,0))</f>
        <v>515101364.9368428</v>
      </c>
      <c r="I31" s="12" cm="1">
        <f t="array" aca="1" ref="I31" ca="1">INDEX('Tiempos intermodal (horas)'!E$45:E$1645,MATCH(C31&amp;D31,'Tiempos intermodal (horas)'!C$45:C$1645&amp;'Tiempos intermodal (horas)'!D$45:D$1645,0))</f>
        <v>25.049011309649494</v>
      </c>
      <c r="J31" s="2" cm="1">
        <f t="array" aca="1" ref="J31" ca="1">INDEX('Tiempos carretera (horas)'!E$45:E$1645,MATCH(C31&amp;D31,'Tiempos carretera (horas)'!C$45:C$1645&amp;'Tiempos carretera (horas)'!D$45:D$1645,0))</f>
        <v>9.0299999999999994</v>
      </c>
      <c r="K31" s="12">
        <f t="shared" ca="1" si="0"/>
        <v>9.8827663443868872</v>
      </c>
      <c r="L31" s="12">
        <f t="shared" ca="1" si="1"/>
        <v>22.829827283959389</v>
      </c>
      <c r="M31" s="12">
        <f t="shared" ca="1" si="2"/>
        <v>0.17665839435276187</v>
      </c>
      <c r="N31" s="13">
        <f t="shared" ca="1" si="5"/>
        <v>-12.947060939572502</v>
      </c>
      <c r="O31" s="13">
        <f t="shared" ca="1" si="3"/>
        <v>-16.019011309649493</v>
      </c>
      <c r="P31" s="12">
        <f t="shared" ca="1" si="4"/>
        <v>1.5391532958848311</v>
      </c>
    </row>
    <row r="32" spans="1:16" x14ac:dyDescent="0.25">
      <c r="A32">
        <v>6</v>
      </c>
      <c r="B32">
        <v>8</v>
      </c>
      <c r="C32" s="2" t="s">
        <v>5</v>
      </c>
      <c r="D32" s="2" t="s">
        <v>7</v>
      </c>
      <c r="E32" s="11" cm="1">
        <f t="array" aca="1" ref="E32" ca="1">INDEX('OD flujo mercancia multimodal'!E$45:E$1645,MATCH(C32&amp;D32,'OD flujo mercancia multimodal'!C$45:C$1645&amp;'OD flujo mercancia multimodal'!D$45:D$1645,0))</f>
        <v>46110.071428571391</v>
      </c>
      <c r="F32" s="11" cm="1">
        <f t="array" aca="1" ref="F32" ca="1">INDEX('OD flujo mercancia carretera'!E$45:E$1646,MATCH(C32&amp;D32,'OD flujo mercancia carretera'!C$45:C$1646&amp;'OD flujo mercancia carretera'!D$45:D$1646,0))</f>
        <v>247611.54578754562</v>
      </c>
      <c r="G32" s="11" cm="1">
        <f t="array" aca="1" ref="G32" ca="1">INDEX('Coste Carretera'!E$46:E$1646,MATCH(C32&amp;D32,'Coste Carretera'!C$46:C$1646&amp;'Coste Carretera'!D$46:D$1646,0))</f>
        <v>866968940.61142766</v>
      </c>
      <c r="H32" s="11" cm="1">
        <f t="array" aca="1" ref="H32" ca="1">INDEX('Coste multimodal'!E$46:E$1646,MATCH(C32&amp;D32,'Coste multimodal'!C$46:C$1646&amp;'Coste multimodal'!D$46:D$1646,0))</f>
        <v>15262501524.417435</v>
      </c>
      <c r="I32" s="12" cm="1">
        <f t="array" aca="1" ref="I32" ca="1">INDEX('Tiempos intermodal (horas)'!E$45:E$1645,MATCH(C32&amp;D32,'Tiempos intermodal (horas)'!C$45:C$1645&amp;'Tiempos intermodal (horas)'!D$45:D$1645,0))</f>
        <v>20.051881800012904</v>
      </c>
      <c r="J32" s="2" cm="1">
        <f t="array" aca="1" ref="J32" ca="1">INDEX('Tiempos carretera (horas)'!E$45:E$1645,MATCH(C32&amp;D32,'Tiempos carretera (horas)'!C$45:C$1645&amp;'Tiempos carretera (horas)'!D$45:D$1645,0))</f>
        <v>4</v>
      </c>
      <c r="K32" s="12">
        <f t="shared" ca="1" si="0"/>
        <v>3.5013267973994227</v>
      </c>
      <c r="L32" s="12">
        <f t="shared" ca="1" si="1"/>
        <v>331.00147216341685</v>
      </c>
      <c r="M32" s="12">
        <f t="shared" ca="1" si="2"/>
        <v>0.15698562423018436</v>
      </c>
      <c r="N32" s="13">
        <f t="shared" ca="1" si="5"/>
        <v>-327.50014536601742</v>
      </c>
      <c r="O32" s="13">
        <f t="shared" ca="1" si="3"/>
        <v>-16.051881800012904</v>
      </c>
      <c r="P32" s="12">
        <f t="shared" ca="1" si="4"/>
        <v>1.6808297752210808</v>
      </c>
    </row>
    <row r="33" spans="1:16" x14ac:dyDescent="0.25">
      <c r="A33">
        <v>3</v>
      </c>
      <c r="B33">
        <v>25</v>
      </c>
      <c r="C33" s="2" t="s">
        <v>2</v>
      </c>
      <c r="D33" s="2" t="s">
        <v>24</v>
      </c>
      <c r="E33" s="11" cm="1">
        <f t="array" aca="1" ref="E33" ca="1">INDEX('OD flujo mercancia multimodal'!E$45:E$1645,MATCH(C33&amp;D33,'OD flujo mercancia multimodal'!C$45:C$1645&amp;'OD flujo mercancia multimodal'!D$45:D$1645,0))</f>
        <v>20167.26373626374</v>
      </c>
      <c r="F33" s="11" cm="1">
        <f t="array" aca="1" ref="F33" ca="1">INDEX('OD flujo mercancia carretera'!E$45:E$1646,MATCH(C33&amp;D33,'OD flujo mercancia carretera'!C$45:C$1646&amp;'OD flujo mercancia carretera'!D$45:D$1646,0))</f>
        <v>98104.102564102534</v>
      </c>
      <c r="G33" s="11" cm="1">
        <f t="array" aca="1" ref="G33" ca="1">INDEX('Coste Carretera'!E$46:E$1646,MATCH(C33&amp;D33,'Coste Carretera'!C$46:C$1646&amp;'Coste Carretera'!D$46:D$1646,0))</f>
        <v>780619117.58285725</v>
      </c>
      <c r="H33" s="11" cm="1">
        <f t="array" aca="1" ref="H33" ca="1">INDEX('Coste multimodal'!E$46:E$1646,MATCH(C33&amp;D33,'Coste multimodal'!C$46:C$1646&amp;'Coste multimodal'!D$46:D$1646,0))</f>
        <v>456389751.83684283</v>
      </c>
      <c r="I33" s="12" cm="1">
        <f t="array" aca="1" ref="I33" ca="1">INDEX('Tiempos intermodal (horas)'!E$45:E$1645,MATCH(C33&amp;D33,'Tiempos intermodal (horas)'!C$45:C$1645&amp;'Tiempos intermodal (horas)'!D$45:D$1645,0))</f>
        <v>23.710122420760605</v>
      </c>
      <c r="J33" s="2" cm="1">
        <f t="array" aca="1" ref="J33" ca="1">INDEX('Tiempos carretera (horas)'!E$45:E$1645,MATCH(C33&amp;D33,'Tiempos carretera (horas)'!C$45:C$1645&amp;'Tiempos carretera (horas)'!D$45:D$1645,0))</f>
        <v>7.65</v>
      </c>
      <c r="K33" s="12">
        <f t="shared" ca="1" si="0"/>
        <v>7.9570486572953492</v>
      </c>
      <c r="L33" s="12">
        <f t="shared" ca="1" si="1"/>
        <v>22.630226777675652</v>
      </c>
      <c r="M33" s="12">
        <f t="shared" ca="1" si="2"/>
        <v>0.17051687460045251</v>
      </c>
      <c r="N33" s="13">
        <f t="shared" ca="1" si="5"/>
        <v>-14.673178120380303</v>
      </c>
      <c r="O33" s="13">
        <f t="shared" ca="1" si="3"/>
        <v>-16.060122420760607</v>
      </c>
      <c r="P33" s="12">
        <f t="shared" ca="1" si="4"/>
        <v>1.5819685032348878</v>
      </c>
    </row>
    <row r="34" spans="1:16" x14ac:dyDescent="0.25">
      <c r="A34">
        <v>8</v>
      </c>
      <c r="B34">
        <v>5</v>
      </c>
      <c r="C34" s="2" t="s">
        <v>7</v>
      </c>
      <c r="D34" s="2" t="s">
        <v>4</v>
      </c>
      <c r="E34" s="11" cm="1">
        <f t="array" aca="1" ref="E34" ca="1">INDEX('OD flujo mercancia multimodal'!E$45:E$1645,MATCH(C34&amp;D34,'OD flujo mercancia multimodal'!C$45:C$1645&amp;'OD flujo mercancia multimodal'!D$45:D$1645,0))</f>
        <v>71836.285714285754</v>
      </c>
      <c r="F34" s="11" cm="1">
        <f t="array" aca="1" ref="F34" ca="1">INDEX('OD flujo mercancia carretera'!E$45:E$1646,MATCH(C34&amp;D34,'OD flujo mercancia carretera'!C$45:C$1646&amp;'OD flujo mercancia carretera'!D$45:D$1646,0))</f>
        <v>179981.38461538457</v>
      </c>
      <c r="G34" s="11" cm="1">
        <f t="array" aca="1" ref="G34" ca="1">INDEX('Coste Carretera'!E$46:E$1646,MATCH(C34&amp;D34,'Coste Carretera'!C$46:C$1646&amp;'Coste Carretera'!D$46:D$1646,0))</f>
        <v>498015107.79428607</v>
      </c>
      <c r="H34" s="11" cm="1">
        <f t="array" aca="1" ref="H34" ca="1">INDEX('Coste multimodal'!E$46:E$1646,MATCH(C34&amp;D34,'Coste multimodal'!C$46:C$1646&amp;'Coste multimodal'!D$46:D$1646,0))</f>
        <v>15143044750.654577</v>
      </c>
      <c r="I34" s="12" cm="1">
        <f t="array" aca="1" ref="I34" ca="1">INDEX('Tiempos intermodal (horas)'!E$45:E$1645,MATCH(C34&amp;D34,'Tiempos intermodal (horas)'!C$45:C$1645&amp;'Tiempos intermodal (horas)'!D$45:D$1645,0))</f>
        <v>17.507437355568459</v>
      </c>
      <c r="J34" s="2" cm="1">
        <f t="array" aca="1" ref="J34" ca="1">INDEX('Tiempos carretera (horas)'!E$45:E$1645,MATCH(C34&amp;D34,'Tiempos carretera (horas)'!C$45:C$1645&amp;'Tiempos carretera (horas)'!D$45:D$1645,0))</f>
        <v>1.83</v>
      </c>
      <c r="K34" s="12">
        <f t="shared" ca="1" si="0"/>
        <v>2.7670367624881376</v>
      </c>
      <c r="L34" s="12">
        <f t="shared" ca="1" si="1"/>
        <v>210.79938362741865</v>
      </c>
      <c r="M34" s="12">
        <f t="shared" ca="1" si="2"/>
        <v>0.28527102812221383</v>
      </c>
      <c r="N34" s="13">
        <f t="shared" ca="1" si="5"/>
        <v>-208.0323468649305</v>
      </c>
      <c r="O34" s="13">
        <f t="shared" ca="1" si="3"/>
        <v>-15.677437355568459</v>
      </c>
      <c r="P34" s="12">
        <f t="shared" ca="1" si="4"/>
        <v>0.91846370627671281</v>
      </c>
    </row>
    <row r="35" spans="1:16" x14ac:dyDescent="0.25">
      <c r="A35">
        <v>3</v>
      </c>
      <c r="B35">
        <v>30</v>
      </c>
      <c r="C35" s="2" t="s">
        <v>2</v>
      </c>
      <c r="D35" s="2" t="s">
        <v>146</v>
      </c>
      <c r="E35" s="11" cm="1">
        <f t="array" aca="1" ref="E35" ca="1">INDEX('OD flujo mercancia multimodal'!E$45:E$1645,MATCH(C35&amp;D35,'OD flujo mercancia multimodal'!C$45:C$1645&amp;'OD flujo mercancia multimodal'!D$45:D$1645,0))</f>
        <v>22732.87142857143</v>
      </c>
      <c r="F35" s="11" cm="1">
        <f t="array" aca="1" ref="F35" ca="1">INDEX('OD flujo mercancia carretera'!E$45:E$1646,MATCH(C35&amp;D35,'OD flujo mercancia carretera'!C$45:C$1646&amp;'OD flujo mercancia carretera'!D$45:D$1646,0))</f>
        <v>267038.86923076923</v>
      </c>
      <c r="G35" s="11" cm="1">
        <f t="array" aca="1" ref="G35" ca="1">INDEX('Coste Carretera'!E$46:E$1646,MATCH(C35&amp;D35,'Coste Carretera'!C$46:C$1646&amp;'Coste Carretera'!D$46:D$1646,0))</f>
        <v>1286746921.3857141</v>
      </c>
      <c r="H35" s="11" cm="1">
        <f t="array" aca="1" ref="H35" ca="1">INDEX('Coste multimodal'!E$46:E$1646,MATCH(C35&amp;D35,'Coste multimodal'!C$46:C$1646&amp;'Coste multimodal'!D$46:D$1646,0))</f>
        <v>487664453.14484286</v>
      </c>
      <c r="I35" s="12" cm="1">
        <f t="array" aca="1" ref="I35" ca="1">INDEX('Tiempos intermodal (horas)'!E$45:E$1645,MATCH(C35&amp;D35,'Tiempos intermodal (horas)'!C$45:C$1645&amp;'Tiempos intermodal (horas)'!D$45:D$1645,0))</f>
        <v>24.23790019853838</v>
      </c>
      <c r="J35" s="2" cm="1">
        <f t="array" aca="1" ref="J35" ca="1">INDEX('Tiempos carretera (horas)'!E$45:E$1645,MATCH(C35&amp;D35,'Tiempos carretera (horas)'!C$45:C$1645&amp;'Tiempos carretera (horas)'!D$45:D$1645,0))</f>
        <v>8.1300000000000008</v>
      </c>
      <c r="K35" s="12">
        <f t="shared" ca="1" si="0"/>
        <v>4.8185753822741635</v>
      </c>
      <c r="L35" s="12">
        <f t="shared" ca="1" si="1"/>
        <v>21.451951403373087</v>
      </c>
      <c r="M35" s="12">
        <f t="shared" ca="1" si="2"/>
        <v>7.8450960665955638E-2</v>
      </c>
      <c r="N35" s="13">
        <f t="shared" ca="1" si="5"/>
        <v>-16.633376021098925</v>
      </c>
      <c r="O35" s="13">
        <f t="shared" ca="1" si="3"/>
        <v>-16.107900198538381</v>
      </c>
      <c r="P35" s="12">
        <f t="shared" ca="1" si="4"/>
        <v>2.4635822678645836</v>
      </c>
    </row>
    <row r="36" spans="1:16" x14ac:dyDescent="0.25">
      <c r="A36">
        <v>4</v>
      </c>
      <c r="B36">
        <v>10</v>
      </c>
      <c r="C36" s="2" t="s">
        <v>3</v>
      </c>
      <c r="D36" s="2" t="s">
        <v>9</v>
      </c>
      <c r="E36" s="11" cm="1">
        <f t="array" aca="1" ref="E36" ca="1">INDEX('OD flujo mercancia multimodal'!E$45:E$1645,MATCH(C36&amp;D36,'OD flujo mercancia multimodal'!C$45:C$1645&amp;'OD flujo mercancia multimodal'!D$45:D$1645,0))</f>
        <v>50697.357142857159</v>
      </c>
      <c r="F36" s="11" cm="1">
        <f t="array" aca="1" ref="F36" ca="1">INDEX('OD flujo mercancia carretera'!E$45:E$1646,MATCH(C36&amp;D36,'OD flujo mercancia carretera'!C$45:C$1646&amp;'OD flujo mercancia carretera'!D$45:D$1646,0))</f>
        <v>125676.07692307695</v>
      </c>
      <c r="G36" s="11" cm="1">
        <f t="array" aca="1" ref="G36" ca="1">INDEX('Coste Carretera'!E$46:E$1646,MATCH(C36&amp;D36,'Coste Carretera'!C$46:C$1646&amp;'Coste Carretera'!D$46:D$1646,0))</f>
        <v>551163415.80857158</v>
      </c>
      <c r="H36" s="11" cm="1">
        <f t="array" aca="1" ref="H36" ca="1">INDEX('Coste multimodal'!E$46:E$1646,MATCH(C36&amp;D36,'Coste multimodal'!C$46:C$1646&amp;'Coste multimodal'!D$46:D$1646,0))</f>
        <v>15182592911.258291</v>
      </c>
      <c r="I36" s="12" cm="1">
        <f t="array" aca="1" ref="I36" ca="1">INDEX('Tiempos intermodal (horas)'!E$45:E$1645,MATCH(C36&amp;D36,'Tiempos intermodal (horas)'!C$45:C$1645&amp;'Tiempos intermodal (horas)'!D$45:D$1645,0))</f>
        <v>18.341881800012903</v>
      </c>
      <c r="J36" s="2" cm="1">
        <f t="array" aca="1" ref="J36" ca="1">INDEX('Tiempos carretera (horas)'!E$45:E$1645,MATCH(C36&amp;D36,'Tiempos carretera (horas)'!C$45:C$1645&amp;'Tiempos carretera (horas)'!D$45:D$1645,0))</f>
        <v>2.21</v>
      </c>
      <c r="K36" s="12">
        <f t="shared" ca="1" si="0"/>
        <v>4.3855873711424351</v>
      </c>
      <c r="L36" s="12">
        <f t="shared" ca="1" si="1"/>
        <v>299.47503710057583</v>
      </c>
      <c r="M36" s="12">
        <f t="shared" ca="1" si="2"/>
        <v>0.28744327291322597</v>
      </c>
      <c r="N36" s="13">
        <f t="shared" ca="1" si="5"/>
        <v>-295.0894497294334</v>
      </c>
      <c r="O36" s="13">
        <f t="shared" ca="1" si="3"/>
        <v>-16.131881800012902</v>
      </c>
      <c r="P36" s="12">
        <f t="shared" ca="1" si="4"/>
        <v>0.907833996774698</v>
      </c>
    </row>
    <row r="37" spans="1:16" x14ac:dyDescent="0.25">
      <c r="A37">
        <v>7</v>
      </c>
      <c r="B37">
        <v>10</v>
      </c>
      <c r="C37" s="2" t="s">
        <v>6</v>
      </c>
      <c r="D37" s="2" t="s">
        <v>9</v>
      </c>
      <c r="E37" s="11" cm="1">
        <f t="array" aca="1" ref="E37" ca="1">INDEX('OD flujo mercancia multimodal'!E$45:E$1645,MATCH(C37&amp;D37,'OD flujo mercancia multimodal'!C$45:C$1645&amp;'OD flujo mercancia multimodal'!D$45:D$1645,0))</f>
        <v>23883.357142857159</v>
      </c>
      <c r="F37" s="11" cm="1">
        <f t="array" aca="1" ref="F37" ca="1">INDEX('OD flujo mercancia carretera'!E$45:E$1646,MATCH(C37&amp;D37,'OD flujo mercancia carretera'!C$45:C$1646&amp;'OD flujo mercancia carretera'!D$45:D$1646,0))</f>
        <v>150627.61538461543</v>
      </c>
      <c r="G37" s="11" cm="1">
        <f t="array" aca="1" ref="G37" ca="1">INDEX('Coste Carretera'!E$46:E$1646,MATCH(C37&amp;D37,'Coste Carretera'!C$46:C$1646&amp;'Coste Carretera'!D$46:D$1646,0))</f>
        <v>183135671.90285724</v>
      </c>
      <c r="H37" s="11" cm="1">
        <f t="array" aca="1" ref="H37" ca="1">INDEX('Coste multimodal'!E$46:E$1646,MATCH(C37&amp;D37,'Coste multimodal'!C$46:C$1646&amp;'Coste multimodal'!D$46:D$1646,0))</f>
        <v>117759625.60142858</v>
      </c>
      <c r="I37" s="12" cm="1">
        <f t="array" aca="1" ref="I37" ca="1">INDEX('Tiempos intermodal (horas)'!E$45:E$1645,MATCH(C37&amp;D37,'Tiempos intermodal (horas)'!C$45:C$1645&amp;'Tiempos intermodal (horas)'!D$45:D$1645,0))</f>
        <v>18.080770688901794</v>
      </c>
      <c r="J37" s="2" cm="1">
        <f t="array" aca="1" ref="J37" ca="1">INDEX('Tiempos carretera (horas)'!E$45:E$1645,MATCH(C37&amp;D37,'Tiempos carretera (horas)'!C$45:C$1645&amp;'Tiempos carretera (horas)'!D$45:D$1645,0))</f>
        <v>1.85</v>
      </c>
      <c r="K37" s="12">
        <f t="shared" ca="1" si="0"/>
        <v>1.2158173747571794</v>
      </c>
      <c r="L37" s="12">
        <f t="shared" ca="1" si="1"/>
        <v>4.9306144398819232</v>
      </c>
      <c r="M37" s="12">
        <f t="shared" ca="1" si="2"/>
        <v>0.13685877052285234</v>
      </c>
      <c r="N37" s="13">
        <f t="shared" ca="1" si="5"/>
        <v>-3.7147970651247437</v>
      </c>
      <c r="O37" s="13">
        <f t="shared" ca="1" si="3"/>
        <v>-16.230770688901792</v>
      </c>
      <c r="P37" s="12">
        <f t="shared" ca="1" si="4"/>
        <v>1.8416288051283336</v>
      </c>
    </row>
    <row r="38" spans="1:16" x14ac:dyDescent="0.25">
      <c r="A38">
        <v>10</v>
      </c>
      <c r="B38">
        <v>7</v>
      </c>
      <c r="C38" s="2" t="s">
        <v>9</v>
      </c>
      <c r="D38" s="2" t="s">
        <v>6</v>
      </c>
      <c r="E38" s="11" cm="1">
        <f t="array" aca="1" ref="E38" ca="1">INDEX('OD flujo mercancia multimodal'!E$45:E$1645,MATCH(C38&amp;D38,'OD flujo mercancia multimodal'!C$45:C$1645&amp;'OD flujo mercancia multimodal'!D$45:D$1645,0))</f>
        <v>19006.357142857138</v>
      </c>
      <c r="F38" s="11" cm="1">
        <f t="array" aca="1" ref="F38" ca="1">INDEX('OD flujo mercancia carretera'!E$45:E$1646,MATCH(C38&amp;D38,'OD flujo mercancia carretera'!C$45:C$1646&amp;'OD flujo mercancia carretera'!D$45:D$1646,0))</f>
        <v>152861.99999999997</v>
      </c>
      <c r="G38" s="11" cm="1">
        <f t="array" aca="1" ref="G38" ca="1">INDEX('Coste Carretera'!E$46:E$1646,MATCH(C38&amp;D38,'Coste Carretera'!C$46:C$1646&amp;'Coste Carretera'!D$46:D$1646,0))</f>
        <v>145739226.06285709</v>
      </c>
      <c r="H38" s="11" cm="1">
        <f t="array" aca="1" ref="H38" ca="1">INDEX('Coste multimodal'!E$46:E$1646,MATCH(C38&amp;D38,'Coste multimodal'!C$46:C$1646&amp;'Coste multimodal'!D$46:D$1646,0))</f>
        <v>117759625.60142858</v>
      </c>
      <c r="I38" s="12" cm="1">
        <f t="array" aca="1" ref="I38" ca="1">INDEX('Tiempos intermodal (horas)'!E$45:E$1645,MATCH(C38&amp;D38,'Tiempos intermodal (horas)'!C$45:C$1645&amp;'Tiempos intermodal (horas)'!D$45:D$1645,0))</f>
        <v>18.080770688901794</v>
      </c>
      <c r="J38" s="2" cm="1">
        <f t="array" aca="1" ref="J38" ca="1">INDEX('Tiempos carretera (horas)'!E$45:E$1645,MATCH(C38&amp;D38,'Tiempos carretera (horas)'!C$45:C$1645&amp;'Tiempos carretera (horas)'!D$45:D$1645,0))</f>
        <v>1.85</v>
      </c>
      <c r="K38" s="12">
        <f t="shared" ca="1" si="0"/>
        <v>0.95340389411925208</v>
      </c>
      <c r="L38" s="12">
        <f t="shared" ca="1" si="1"/>
        <v>6.195802000157844</v>
      </c>
      <c r="M38" s="12">
        <f t="shared" ca="1" si="2"/>
        <v>0.11058671566319238</v>
      </c>
      <c r="N38" s="13">
        <f t="shared" ca="1" si="5"/>
        <v>-5.2423981060385918</v>
      </c>
      <c r="O38" s="13">
        <f t="shared" ca="1" si="3"/>
        <v>-16.230770688901792</v>
      </c>
      <c r="P38" s="12">
        <f t="shared" ca="1" si="4"/>
        <v>2.0847620439256995</v>
      </c>
    </row>
    <row r="39" spans="1:16" x14ac:dyDescent="0.25">
      <c r="A39">
        <v>4</v>
      </c>
      <c r="B39">
        <v>7</v>
      </c>
      <c r="C39" s="2" t="s">
        <v>3</v>
      </c>
      <c r="D39" s="2" t="s">
        <v>6</v>
      </c>
      <c r="E39" s="11" cm="1">
        <f t="array" aca="1" ref="E39" ca="1">INDEX('OD flujo mercancia multimodal'!E$45:E$1645,MATCH(C39&amp;D39,'OD flujo mercancia multimodal'!C$45:C$1645&amp;'OD flujo mercancia multimodal'!D$45:D$1645,0))</f>
        <v>34571.928571428565</v>
      </c>
      <c r="F39" s="11" cm="1">
        <f t="array" aca="1" ref="F39" ca="1">INDEX('OD flujo mercancia carretera'!E$45:E$1646,MATCH(C39&amp;D39,'OD flujo mercancia carretera'!C$45:C$1646&amp;'OD flujo mercancia carretera'!D$45:D$1646,0))</f>
        <v>93369.230769230751</v>
      </c>
      <c r="G39" s="11" cm="1">
        <f t="array" aca="1" ref="G39" ca="1">INDEX('Coste Carretera'!E$46:E$1646,MATCH(C39&amp;D39,'Coste Carretera'!C$46:C$1646&amp;'Coste Carretera'!D$46:D$1646,0))</f>
        <v>254200476.39999998</v>
      </c>
      <c r="H39" s="11" cm="1">
        <f t="array" aca="1" ref="H39" ca="1">INDEX('Coste multimodal'!E$46:E$1646,MATCH(C39&amp;D39,'Coste multimodal'!C$46:C$1646&amp;'Coste multimodal'!D$46:D$1646,0))</f>
        <v>15085409329.289719</v>
      </c>
      <c r="I39" s="12" cm="1">
        <f t="array" aca="1" ref="I39" ca="1">INDEX('Tiempos intermodal (horas)'!E$45:E$1645,MATCH(C39&amp;D39,'Tiempos intermodal (horas)'!C$45:C$1645&amp;'Tiempos intermodal (horas)'!D$45:D$1645,0))</f>
        <v>17.792992911124013</v>
      </c>
      <c r="J39" s="2" cm="1">
        <f t="array" aca="1" ref="J39" ca="1">INDEX('Tiempos carretera (horas)'!E$45:E$1645,MATCH(C39&amp;D39,'Tiempos carretera (horas)'!C$45:C$1645&amp;'Tiempos carretera (horas)'!D$45:D$1645,0))</f>
        <v>1.41</v>
      </c>
      <c r="K39" s="12">
        <f t="shared" ca="1" si="0"/>
        <v>2.7225294061624652</v>
      </c>
      <c r="L39" s="12">
        <f t="shared" ca="1" si="1"/>
        <v>436.34850448455518</v>
      </c>
      <c r="M39" s="12">
        <f t="shared" ca="1" si="2"/>
        <v>0.27021740892136586</v>
      </c>
      <c r="N39" s="13">
        <f t="shared" ca="1" si="5"/>
        <v>-433.62597507839268</v>
      </c>
      <c r="O39" s="13">
        <f t="shared" ca="1" si="3"/>
        <v>-16.382992911124013</v>
      </c>
      <c r="P39" s="12">
        <f t="shared" ca="1" si="4"/>
        <v>0.99351981613351303</v>
      </c>
    </row>
    <row r="40" spans="1:16" x14ac:dyDescent="0.25">
      <c r="A40">
        <v>10</v>
      </c>
      <c r="B40">
        <v>8</v>
      </c>
      <c r="C40" s="2" t="s">
        <v>9</v>
      </c>
      <c r="D40" s="2" t="s">
        <v>7</v>
      </c>
      <c r="E40" s="11" cm="1">
        <f t="array" aca="1" ref="E40" ca="1">INDEX('OD flujo mercancia multimodal'!E$45:E$1645,MATCH(C40&amp;D40,'OD flujo mercancia multimodal'!C$45:C$1645&amp;'OD flujo mercancia multimodal'!D$45:D$1645,0))</f>
        <v>48653.428571428529</v>
      </c>
      <c r="F40" s="11" cm="1">
        <f t="array" aca="1" ref="F40" ca="1">INDEX('OD flujo mercancia carretera'!E$45:E$1646,MATCH(C40&amp;D40,'OD flujo mercancia carretera'!C$45:C$1646&amp;'OD flujo mercancia carretera'!D$45:D$1646,0))</f>
        <v>210459.76923076907</v>
      </c>
      <c r="G40" s="11" cm="1">
        <f t="array" aca="1" ref="G40" ca="1">INDEX('Coste Carretera'!E$46:E$1646,MATCH(C40&amp;D40,'Coste Carretera'!C$46:C$1646&amp;'Coste Carretera'!D$46:D$1646,0))</f>
        <v>528942560.19428521</v>
      </c>
      <c r="H40" s="11" cm="1">
        <f t="array" aca="1" ref="H40" ca="1">INDEX('Coste multimodal'!E$46:E$1646,MATCH(C40&amp;D40,'Coste multimodal'!C$46:C$1646&amp;'Coste multimodal'!D$46:D$1646,0))</f>
        <v>15099656723.80172</v>
      </c>
      <c r="I40" s="12" cm="1">
        <f t="array" aca="1" ref="I40" ca="1">INDEX('Tiempos intermodal (horas)'!E$45:E$1645,MATCH(C40&amp;D40,'Tiempos intermodal (horas)'!C$45:C$1645&amp;'Tiempos intermodal (horas)'!D$45:D$1645,0))</f>
        <v>18.495215133346235</v>
      </c>
      <c r="J40" s="2" cm="1">
        <f t="array" aca="1" ref="J40" ca="1">INDEX('Tiempos carretera (horas)'!E$45:E$1645,MATCH(C40&amp;D40,'Tiempos carretera (horas)'!C$45:C$1645&amp;'Tiempos carretera (horas)'!D$45:D$1645,0))</f>
        <v>2.08</v>
      </c>
      <c r="K40" s="12">
        <f t="shared" ca="1" si="0"/>
        <v>2.5132715964080519</v>
      </c>
      <c r="L40" s="12">
        <f t="shared" ca="1" si="1"/>
        <v>310.35133940527498</v>
      </c>
      <c r="M40" s="12">
        <f t="shared" ca="1" si="2"/>
        <v>0.18776900977683772</v>
      </c>
      <c r="N40" s="13">
        <f t="shared" ca="1" si="5"/>
        <v>-307.83806780886692</v>
      </c>
      <c r="O40" s="13">
        <f t="shared" ca="1" si="3"/>
        <v>-16.415215133346237</v>
      </c>
      <c r="P40" s="12">
        <f t="shared" ca="1" si="4"/>
        <v>1.4645722344311412</v>
      </c>
    </row>
    <row r="41" spans="1:16" x14ac:dyDescent="0.25">
      <c r="A41">
        <v>8</v>
      </c>
      <c r="B41">
        <v>10</v>
      </c>
      <c r="C41" s="2" t="s">
        <v>7</v>
      </c>
      <c r="D41" s="2" t="s">
        <v>9</v>
      </c>
      <c r="E41" s="11" cm="1">
        <f t="array" aca="1" ref="E41" ca="1">INDEX('OD flujo mercancia multimodal'!E$45:E$1645,MATCH(C41&amp;D41,'OD flujo mercancia multimodal'!C$45:C$1645&amp;'OD flujo mercancia multimodal'!D$45:D$1645,0))</f>
        <v>28039.857142857159</v>
      </c>
      <c r="F41" s="11" cm="1">
        <f t="array" aca="1" ref="F41" ca="1">INDEX('OD flujo mercancia carretera'!E$45:E$1646,MATCH(C41&amp;D41,'OD flujo mercancia carretera'!C$45:C$1646&amp;'OD flujo mercancia carretera'!D$45:D$1646,0))</f>
        <v>211623.84615384619</v>
      </c>
      <c r="G41" s="11" cm="1">
        <f t="array" aca="1" ref="G41" ca="1">INDEX('Coste Carretera'!E$46:E$1646,MATCH(C41&amp;D41,'Coste Carretera'!C$46:C$1646&amp;'Coste Carretera'!D$46:D$1646,0))</f>
        <v>304839232.50857162</v>
      </c>
      <c r="H41" s="11" cm="1">
        <f t="array" aca="1" ref="H41" ca="1">INDEX('Coste multimodal'!E$46:E$1646,MATCH(C41&amp;D41,'Coste multimodal'!C$46:C$1646&amp;'Coste multimodal'!D$46:D$1646,0))</f>
        <v>15099656723.80172</v>
      </c>
      <c r="I41" s="12" cm="1">
        <f t="array" aca="1" ref="I41" ca="1">INDEX('Tiempos intermodal (horas)'!E$45:E$1645,MATCH(C41&amp;D41,'Tiempos intermodal (horas)'!C$45:C$1645&amp;'Tiempos intermodal (horas)'!D$45:D$1645,0))</f>
        <v>18.495215133346235</v>
      </c>
      <c r="J41" s="2" cm="1">
        <f t="array" aca="1" ref="J41" ca="1">INDEX('Tiempos carretera (horas)'!E$45:E$1645,MATCH(C41&amp;D41,'Tiempos carretera (horas)'!C$45:C$1645&amp;'Tiempos carretera (horas)'!D$45:D$1645,0))</f>
        <v>2.08</v>
      </c>
      <c r="K41" s="12">
        <f t="shared" ca="1" si="0"/>
        <v>1.4404767612387113</v>
      </c>
      <c r="L41" s="12">
        <f t="shared" ca="1" si="1"/>
        <v>538.50690632524095</v>
      </c>
      <c r="M41" s="12">
        <f t="shared" ca="1" si="2"/>
        <v>0.11699667808330515</v>
      </c>
      <c r="N41" s="13">
        <f t="shared" ca="1" si="5"/>
        <v>-537.06642956400219</v>
      </c>
      <c r="O41" s="13">
        <f t="shared" ca="1" si="3"/>
        <v>-16.415215133346237</v>
      </c>
      <c r="P41" s="12">
        <f t="shared" ca="1" si="4"/>
        <v>2.0211834207326462</v>
      </c>
    </row>
    <row r="42" spans="1:16" x14ac:dyDescent="0.25">
      <c r="A42">
        <v>7</v>
      </c>
      <c r="B42">
        <v>8</v>
      </c>
      <c r="C42" s="2" t="s">
        <v>6</v>
      </c>
      <c r="D42" s="2" t="s">
        <v>7</v>
      </c>
      <c r="E42" s="11" cm="1">
        <f t="array" aca="1" ref="E42" ca="1">INDEX('OD flujo mercancia multimodal'!E$45:E$1645,MATCH(C42&amp;D42,'OD flujo mercancia multimodal'!C$45:C$1645&amp;'OD flujo mercancia multimodal'!D$45:D$1645,0))</f>
        <v>37404.999999999956</v>
      </c>
      <c r="F42" s="11" cm="1">
        <f t="array" aca="1" ref="F42" ca="1">INDEX('OD flujo mercancia carretera'!E$45:E$1646,MATCH(C42&amp;D42,'OD flujo mercancia carretera'!C$45:C$1646&amp;'OD flujo mercancia carretera'!D$45:D$1646,0))</f>
        <v>175918.53846153832</v>
      </c>
      <c r="G42" s="11" cm="1">
        <f t="array" aca="1" ref="G42" ca="1">INDEX('Coste Carretera'!E$46:E$1646,MATCH(C42&amp;D42,'Coste Carretera'!C$46:C$1646&amp;'Coste Carretera'!D$46:D$1646,0))</f>
        <v>286818547.59999961</v>
      </c>
      <c r="H42" s="11" cm="1">
        <f t="array" aca="1" ref="H42" ca="1">INDEX('Coste multimodal'!E$46:E$1646,MATCH(C42&amp;D42,'Coste multimodal'!C$46:C$1646&amp;'Coste multimodal'!D$46:D$1646,0))</f>
        <v>166783072.46342856</v>
      </c>
      <c r="I42" s="12" cm="1">
        <f t="array" aca="1" ref="I42" ca="1">INDEX('Tiempos intermodal (horas)'!E$45:E$1645,MATCH(C42&amp;D42,'Tiempos intermodal (horas)'!C$45:C$1645&amp;'Tiempos intermodal (horas)'!D$45:D$1645,0))</f>
        <v>17.946326244457346</v>
      </c>
      <c r="J42" s="2" cm="1">
        <f t="array" aca="1" ref="J42" ca="1">INDEX('Tiempos carretera (horas)'!E$45:E$1645,MATCH(C42&amp;D42,'Tiempos carretera (horas)'!C$45:C$1645&amp;'Tiempos carretera (horas)'!D$45:D$1645,0))</f>
        <v>1.42</v>
      </c>
      <c r="K42" s="12">
        <f t="shared" ca="1" si="0"/>
        <v>1.6304054712386538</v>
      </c>
      <c r="L42" s="12">
        <f t="shared" ca="1" si="1"/>
        <v>4.4588443380144032</v>
      </c>
      <c r="M42" s="12">
        <f t="shared" ca="1" si="2"/>
        <v>0.17534398814945587</v>
      </c>
      <c r="N42" s="13">
        <f t="shared" ca="1" si="5"/>
        <v>-2.8284388667757492</v>
      </c>
      <c r="O42" s="13">
        <f t="shared" ca="1" si="3"/>
        <v>-16.526326244457344</v>
      </c>
      <c r="P42" s="12">
        <f t="shared" ca="1" si="4"/>
        <v>1.5482166529154711</v>
      </c>
    </row>
    <row r="43" spans="1:16" x14ac:dyDescent="0.25">
      <c r="A43">
        <v>8</v>
      </c>
      <c r="B43">
        <v>7</v>
      </c>
      <c r="C43" s="2" t="s">
        <v>7</v>
      </c>
      <c r="D43" s="2" t="s">
        <v>6</v>
      </c>
      <c r="E43" s="11" cm="1">
        <f t="array" aca="1" ref="E43" ca="1">INDEX('OD flujo mercancia multimodal'!E$45:E$1645,MATCH(C43&amp;D43,'OD flujo mercancia multimodal'!C$45:C$1645&amp;'OD flujo mercancia multimodal'!D$45:D$1645,0))</f>
        <v>11914.428571428567</v>
      </c>
      <c r="F43" s="11" cm="1">
        <f t="array" aca="1" ref="F43" ca="1">INDEX('OD flujo mercancia carretera'!E$45:E$1646,MATCH(C43&amp;D43,'OD flujo mercancia carretera'!C$45:C$1646&amp;'OD flujo mercancia carretera'!D$45:D$1646,0))</f>
        <v>179316.99999999997</v>
      </c>
      <c r="G43" s="11" cm="1">
        <f t="array" aca="1" ref="G43" ca="1">INDEX('Coste Carretera'!E$46:E$1646,MATCH(C43&amp;D43,'Coste Carretera'!C$46:C$1646&amp;'Coste Carretera'!D$46:D$1646,0))</f>
        <v>91358885.131428525</v>
      </c>
      <c r="H43" s="11" cm="1">
        <f t="array" aca="1" ref="H43" ca="1">INDEX('Coste multimodal'!E$46:E$1646,MATCH(C43&amp;D43,'Coste multimodal'!C$46:C$1646&amp;'Coste multimodal'!D$46:D$1646,0))</f>
        <v>166783072.46342856</v>
      </c>
      <c r="I43" s="12" cm="1">
        <f t="array" aca="1" ref="I43" ca="1">INDEX('Tiempos intermodal (horas)'!E$45:E$1645,MATCH(C43&amp;D43,'Tiempos intermodal (horas)'!C$45:C$1645&amp;'Tiempos intermodal (horas)'!D$45:D$1645,0))</f>
        <v>17.946326244457346</v>
      </c>
      <c r="J43" s="2" cm="1">
        <f t="array" aca="1" ref="J43" ca="1">INDEX('Tiempos carretera (horas)'!E$45:E$1645,MATCH(C43&amp;D43,'Tiempos carretera (horas)'!C$45:C$1645&amp;'Tiempos carretera (horas)'!D$45:D$1645,0))</f>
        <v>1.42</v>
      </c>
      <c r="K43" s="12">
        <f t="shared" ca="1" si="0"/>
        <v>0.50948256513006873</v>
      </c>
      <c r="L43" s="12">
        <f t="shared" ca="1" si="1"/>
        <v>13.998411376889969</v>
      </c>
      <c r="M43" s="12">
        <f t="shared" ca="1" si="2"/>
        <v>6.2303715766983896E-2</v>
      </c>
      <c r="N43" s="13">
        <f t="shared" ca="1" si="5"/>
        <v>-13.4889288117599</v>
      </c>
      <c r="O43" s="13">
        <f t="shared" ca="1" si="3"/>
        <v>-16.526326244457344</v>
      </c>
      <c r="P43" s="12">
        <f t="shared" ca="1" si="4"/>
        <v>2.7114050386337243</v>
      </c>
    </row>
    <row r="44" spans="1:16" x14ac:dyDescent="0.25">
      <c r="A44">
        <v>21</v>
      </c>
      <c r="B44">
        <v>3</v>
      </c>
      <c r="C44" s="2" t="s">
        <v>20</v>
      </c>
      <c r="D44" s="2" t="s">
        <v>2</v>
      </c>
      <c r="E44" s="11" cm="1">
        <f t="array" aca="1" ref="E44" ca="1">INDEX('OD flujo mercancia multimodal'!E$45:E$1645,MATCH(C44&amp;D44,'OD flujo mercancia multimodal'!C$45:C$1645&amp;'OD flujo mercancia multimodal'!D$45:D$1645,0))</f>
        <v>39673.252747252758</v>
      </c>
      <c r="F44" s="11" cm="1">
        <f t="array" aca="1" ref="F44" ca="1">INDEX('OD flujo mercancia carretera'!E$45:E$1646,MATCH(C44&amp;D44,'OD flujo mercancia carretera'!C$45:C$1646&amp;'OD flujo mercancia carretera'!D$45:D$1646,0))</f>
        <v>151963.4615384615</v>
      </c>
      <c r="G44" s="11" cm="1">
        <f t="array" aca="1" ref="G44" ca="1">INDEX('Coste Carretera'!E$46:E$1646,MATCH(C44&amp;D44,'Coste Carretera'!C$46:C$1646&amp;'Coste Carretera'!D$46:D$1646,0))</f>
        <v>191486445.63085717</v>
      </c>
      <c r="H44" s="11" cm="1">
        <f t="array" aca="1" ref="H44" ca="1">INDEX('Coste multimodal'!E$46:E$1646,MATCH(C44&amp;D44,'Coste multimodal'!C$46:C$1646&amp;'Coste multimodal'!D$46:D$1646,0))</f>
        <v>584854501.82747746</v>
      </c>
      <c r="I44" s="12" cm="1">
        <f t="array" aca="1" ref="I44" ca="1">INDEX('Tiempos intermodal (horas)'!E$45:E$1645,MATCH(C44&amp;D44,'Tiempos intermodal (horas)'!C$45:C$1645&amp;'Tiempos intermodal (horas)'!D$45:D$1645,0))</f>
        <v>16.78316482122381</v>
      </c>
      <c r="J44" s="2" cm="1">
        <f t="array" aca="1" ref="J44" ca="1">INDEX('Tiempos carretera (horas)'!E$45:E$1645,MATCH(C44&amp;D44,'Tiempos carretera (horas)'!C$45:C$1645&amp;'Tiempos carretera (horas)'!D$45:D$1645,0))</f>
        <v>1.3</v>
      </c>
      <c r="K44" s="12">
        <f t="shared" ca="1" si="0"/>
        <v>1.2600821519348748</v>
      </c>
      <c r="L44" s="12">
        <f t="shared" ca="1" si="1"/>
        <v>14.74178347697938</v>
      </c>
      <c r="M44" s="12">
        <f t="shared" ca="1" si="2"/>
        <v>0.20702323610132067</v>
      </c>
      <c r="N44" s="13">
        <f t="shared" ca="1" si="5"/>
        <v>-13.481701325044506</v>
      </c>
      <c r="O44" s="13">
        <f t="shared" ca="1" si="3"/>
        <v>-15.483164821223809</v>
      </c>
      <c r="P44" s="12">
        <f t="shared" ca="1" si="4"/>
        <v>1.3429628810278238</v>
      </c>
    </row>
    <row r="45" spans="1:16" x14ac:dyDescent="0.25">
      <c r="A45">
        <v>36</v>
      </c>
      <c r="B45">
        <v>21</v>
      </c>
      <c r="C45" s="2" t="s">
        <v>35</v>
      </c>
      <c r="D45" s="2" t="s">
        <v>20</v>
      </c>
      <c r="E45" s="11" cm="1">
        <f t="array" aca="1" ref="E45" ca="1">INDEX('OD flujo mercancia multimodal'!E$45:E$1645,MATCH(C45&amp;D45,'OD flujo mercancia multimodal'!C$45:C$1645&amp;'OD flujo mercancia multimodal'!D$45:D$1645,0))</f>
        <v>39412.538461538468</v>
      </c>
      <c r="F45" s="11" cm="1">
        <f t="array" aca="1" ref="F45" ca="1">INDEX('OD flujo mercancia carretera'!E$45:E$1646,MATCH(C45&amp;D45,'OD flujo mercancia carretera'!C$45:C$1646&amp;'OD flujo mercancia carretera'!D$45:D$1646,0))</f>
        <v>199899.25641025609</v>
      </c>
      <c r="G45" s="11" cm="1">
        <f t="array" aca="1" ref="G45" ca="1">INDEX('Coste Carretera'!E$46:E$1646,MATCH(C45&amp;D45,'Coste Carretera'!C$46:C$1646&amp;'Coste Carretera'!D$46:D$1646,0))</f>
        <v>622690306.56000006</v>
      </c>
      <c r="H45" s="11" cm="1">
        <f t="array" aca="1" ref="H45" ca="1">INDEX('Coste multimodal'!E$46:E$1646,MATCH(C45&amp;D45,'Coste multimodal'!C$46:C$1646&amp;'Coste multimodal'!D$46:D$1646,0))</f>
        <v>413808167.2626276</v>
      </c>
      <c r="I45" s="12" cm="1">
        <f t="array" aca="1" ref="I45" ca="1">INDEX('Tiempos intermodal (horas)'!E$45:E$1645,MATCH(C45&amp;D45,'Tiempos intermodal (horas)'!C$45:C$1645&amp;'Tiempos intermodal (horas)'!D$45:D$1645,0))</f>
        <v>19.443466218965547</v>
      </c>
      <c r="J45" s="2" cm="1">
        <f t="array" aca="1" ref="J45" ca="1">INDEX('Tiempos carretera (horas)'!E$45:E$1645,MATCH(C45&amp;D45,'Tiempos carretera (horas)'!C$45:C$1645&amp;'Tiempos carretera (horas)'!D$45:D$1645,0))</f>
        <v>3.23</v>
      </c>
      <c r="K45" s="12">
        <f t="shared" ca="1" si="0"/>
        <v>3.1150206245992424</v>
      </c>
      <c r="L45" s="12">
        <f t="shared" ca="1" si="1"/>
        <v>10.499404083460666</v>
      </c>
      <c r="M45" s="12">
        <f t="shared" ca="1" si="2"/>
        <v>0.1646911656930774</v>
      </c>
      <c r="N45" s="13">
        <f t="shared" ca="1" si="5"/>
        <v>-7.3843834588614232</v>
      </c>
      <c r="O45" s="13">
        <f t="shared" ca="1" si="3"/>
        <v>-16.213466218965547</v>
      </c>
      <c r="P45" s="12">
        <f t="shared" ca="1" si="4"/>
        <v>1.6237295209485336</v>
      </c>
    </row>
    <row r="46" spans="1:16" x14ac:dyDescent="0.25">
      <c r="A46">
        <v>21</v>
      </c>
      <c r="B46">
        <v>36</v>
      </c>
      <c r="C46" s="2" t="s">
        <v>20</v>
      </c>
      <c r="D46" s="2" t="s">
        <v>35</v>
      </c>
      <c r="E46" s="11" cm="1">
        <f t="array" aca="1" ref="E46" ca="1">INDEX('OD flujo mercancia multimodal'!E$45:E$1645,MATCH(C46&amp;D46,'OD flujo mercancia multimodal'!C$45:C$1645&amp;'OD flujo mercancia multimodal'!D$45:D$1645,0))</f>
        <v>26909.38461538461</v>
      </c>
      <c r="F46" s="11" cm="1">
        <f t="array" aca="1" ref="F46" ca="1">INDEX('OD flujo mercancia carretera'!E$45:E$1646,MATCH(C46&amp;D46,'OD flujo mercancia carretera'!C$45:C$1646&amp;'OD flujo mercancia carretera'!D$45:D$1646,0))</f>
        <v>201329.92307692312</v>
      </c>
      <c r="G46" s="11" cm="1">
        <f t="array" aca="1" ref="G46" ca="1">INDEX('Coste Carretera'!E$46:E$1646,MATCH(C46&amp;D46,'Coste Carretera'!C$46:C$1646&amp;'Coste Carretera'!D$46:D$1646,0))</f>
        <v>612585862.56000006</v>
      </c>
      <c r="H46" s="11" cm="1">
        <f t="array" aca="1" ref="H46" ca="1">INDEX('Coste multimodal'!E$46:E$1646,MATCH(C46&amp;D46,'Coste multimodal'!C$46:C$1646&amp;'Coste multimodal'!D$46:D$1646,0))</f>
        <v>413808167.2626276</v>
      </c>
      <c r="I46" s="12" cm="1">
        <f t="array" aca="1" ref="I46" ca="1">INDEX('Tiempos intermodal (horas)'!E$45:E$1645,MATCH(C46&amp;D46,'Tiempos intermodal (horas)'!C$45:C$1645&amp;'Tiempos intermodal (horas)'!D$45:D$1645,0))</f>
        <v>19.443466218965547</v>
      </c>
      <c r="J46" s="2" cm="1">
        <f t="array" aca="1" ref="J46" ca="1">INDEX('Tiempos carretera (horas)'!E$45:E$1645,MATCH(C46&amp;D46,'Tiempos carretera (horas)'!C$45:C$1645&amp;'Tiempos carretera (horas)'!D$45:D$1645,0))</f>
        <v>3.23</v>
      </c>
      <c r="K46" s="12">
        <f t="shared" ca="1" si="0"/>
        <v>3.0426965510037287</v>
      </c>
      <c r="L46" s="12">
        <f t="shared" ca="1" si="1"/>
        <v>15.377838370411695</v>
      </c>
      <c r="M46" s="12">
        <f t="shared" ca="1" si="2"/>
        <v>0.11789986960379974</v>
      </c>
      <c r="N46" s="13">
        <f t="shared" ca="1" si="5"/>
        <v>-12.335141819407966</v>
      </c>
      <c r="O46" s="13">
        <f t="shared" ca="1" si="3"/>
        <v>-16.213466218965547</v>
      </c>
      <c r="P46" s="12">
        <f t="shared" ca="1" si="4"/>
        <v>2.0124698745365577</v>
      </c>
    </row>
    <row r="47" spans="1:16" x14ac:dyDescent="0.25">
      <c r="A47">
        <v>2</v>
      </c>
      <c r="B47">
        <v>34</v>
      </c>
      <c r="C47" s="2" t="s">
        <v>1</v>
      </c>
      <c r="D47" s="2" t="s">
        <v>33</v>
      </c>
      <c r="E47" s="11" cm="1">
        <f t="array" aca="1" ref="E47" ca="1">INDEX('OD flujo mercancia multimodal'!E$45:E$1645,MATCH(C47&amp;D47,'OD flujo mercancia multimodal'!C$45:C$1645&amp;'OD flujo mercancia multimodal'!D$45:D$1645,0))</f>
        <v>303197.30769230798</v>
      </c>
      <c r="F47" s="11" cm="1">
        <f t="array" aca="1" ref="F47" ca="1">INDEX('OD flujo mercancia carretera'!E$45:E$1646,MATCH(C47&amp;D47,'OD flujo mercancia carretera'!C$45:C$1646&amp;'OD flujo mercancia carretera'!D$45:D$1646,0))</f>
        <v>305658.38888888899</v>
      </c>
      <c r="G47" s="11" cm="1">
        <f t="array" aca="1" ref="G47" ca="1">INDEX('Coste Carretera'!E$46:E$1646,MATCH(C47&amp;D47,'Coste Carretera'!C$46:C$1646&amp;'Coste Carretera'!D$46:D$1646,0))</f>
        <v>633934127.51999962</v>
      </c>
      <c r="H47" s="11" cm="1">
        <f t="array" aca="1" ref="H47" ca="1">INDEX('Coste multimodal'!E$46:E$1646,MATCH(C47&amp;D47,'Coste multimodal'!C$46:C$1646&amp;'Coste multimodal'!D$46:D$1646,0))</f>
        <v>3008278747.3291211</v>
      </c>
      <c r="I47" s="12" cm="1">
        <f t="array" aca="1" ref="I47" ca="1">INDEX('Tiempos intermodal (horas)'!E$45:E$1645,MATCH(C47&amp;D47,'Tiempos intermodal (horas)'!C$45:C$1645&amp;'Tiempos intermodal (horas)'!D$45:D$1645,0))</f>
        <v>19.226977159654773</v>
      </c>
      <c r="J47" s="2" cm="1">
        <f t="array" aca="1" ref="J47" ca="1">INDEX('Tiempos carretera (horas)'!E$45:E$1645,MATCH(C47&amp;D47,'Tiempos carretera (horas)'!C$45:C$1645&amp;'Tiempos carretera (horas)'!D$45:D$1645,0))</f>
        <v>2.1</v>
      </c>
      <c r="K47" s="12">
        <f t="shared" ca="1" si="0"/>
        <v>2.0739955144841233</v>
      </c>
      <c r="L47" s="12">
        <f t="shared" ca="1" si="1"/>
        <v>9.9218517810256941</v>
      </c>
      <c r="M47" s="12">
        <f t="shared" ca="1" si="2"/>
        <v>0.4979789289889211</v>
      </c>
      <c r="N47" s="13">
        <f t="shared" ca="1" si="5"/>
        <v>-7.8478562665415712</v>
      </c>
      <c r="O47" s="13">
        <f t="shared" ca="1" si="3"/>
        <v>-17.126977159654771</v>
      </c>
      <c r="P47" s="12">
        <f t="shared" ca="1" si="4"/>
        <v>8.0843280742162425E-3</v>
      </c>
    </row>
    <row r="48" spans="1:16" x14ac:dyDescent="0.25">
      <c r="A48">
        <v>34</v>
      </c>
      <c r="B48">
        <v>2</v>
      </c>
      <c r="C48" s="2" t="s">
        <v>33</v>
      </c>
      <c r="D48" s="2" t="s">
        <v>1</v>
      </c>
      <c r="E48" s="11" cm="1">
        <f t="array" aca="1" ref="E48" ca="1">INDEX('OD flujo mercancia multimodal'!E$45:E$1645,MATCH(C48&amp;D48,'OD flujo mercancia multimodal'!C$45:C$1645&amp;'OD flujo mercancia multimodal'!D$45:D$1645,0))</f>
        <v>145891.84065934064</v>
      </c>
      <c r="F48" s="11" cm="1">
        <f t="array" aca="1" ref="F48" ca="1">INDEX('OD flujo mercancia carretera'!E$45:E$1646,MATCH(C48&amp;D48,'OD flujo mercancia carretera'!C$45:C$1646&amp;'OD flujo mercancia carretera'!D$45:D$1646,0))</f>
        <v>313545.45726495731</v>
      </c>
      <c r="G48" s="11" cm="1">
        <f t="array" aca="1" ref="G48" ca="1">INDEX('Coste Carretera'!E$46:E$1646,MATCH(C48&amp;D48,'Coste Carretera'!C$46:C$1646&amp;'Coste Carretera'!D$46:D$1646,0))</f>
        <v>461400933.21428537</v>
      </c>
      <c r="H48" s="11" cm="1">
        <f t="array" aca="1" ref="H48" ca="1">INDEX('Coste multimodal'!E$46:E$1646,MATCH(C48&amp;D48,'Coste multimodal'!C$46:C$1646&amp;'Coste multimodal'!D$46:D$1646,0))</f>
        <v>3008278747.3291211</v>
      </c>
      <c r="I48" s="12" cm="1">
        <f t="array" aca="1" ref="I48" ca="1">INDEX('Tiempos intermodal (horas)'!E$45:E$1645,MATCH(C48&amp;D48,'Tiempos intermodal (horas)'!C$45:C$1645&amp;'Tiempos intermodal (horas)'!D$45:D$1645,0))</f>
        <v>19.226977159654773</v>
      </c>
      <c r="J48" s="2" cm="1">
        <f t="array" aca="1" ref="J48" ca="1">INDEX('Tiempos carretera (horas)'!E$45:E$1645,MATCH(C48&amp;D48,'Tiempos carretera (horas)'!C$45:C$1645&amp;'Tiempos carretera (horas)'!D$45:D$1645,0))</f>
        <v>2.1</v>
      </c>
      <c r="K48" s="12">
        <f t="shared" ca="1" si="0"/>
        <v>1.471559936600787</v>
      </c>
      <c r="L48" s="12">
        <f t="shared" ca="1" si="1"/>
        <v>20.619924553241407</v>
      </c>
      <c r="M48" s="12">
        <f t="shared" ca="1" si="2"/>
        <v>0.31754461668320932</v>
      </c>
      <c r="N48" s="13">
        <f t="shared" ca="1" si="5"/>
        <v>-19.14836461664062</v>
      </c>
      <c r="O48" s="13">
        <f t="shared" ca="1" si="3"/>
        <v>-17.126977159654771</v>
      </c>
      <c r="P48" s="12">
        <f t="shared" ca="1" si="4"/>
        <v>0.76507881904611219</v>
      </c>
    </row>
    <row r="49" spans="1:16" x14ac:dyDescent="0.25">
      <c r="A49">
        <v>1</v>
      </c>
      <c r="B49">
        <v>34</v>
      </c>
      <c r="C49" s="2" t="s">
        <v>0</v>
      </c>
      <c r="D49" s="2" t="s">
        <v>33</v>
      </c>
      <c r="E49" s="11" cm="1">
        <f t="array" aca="1" ref="E49" ca="1">INDEX('OD flujo mercancia multimodal'!E$45:E$1645,MATCH(C49&amp;D49,'OD flujo mercancia multimodal'!C$45:C$1645&amp;'OD flujo mercancia multimodal'!D$45:D$1645,0))</f>
        <v>382397.3791208794</v>
      </c>
      <c r="F49" s="11" cm="1">
        <f t="array" aca="1" ref="F49" ca="1">INDEX('OD flujo mercancia carretera'!E$45:E$1646,MATCH(C49&amp;D49,'OD flujo mercancia carretera'!C$45:C$1646&amp;'OD flujo mercancia carretera'!D$45:D$1646,0))</f>
        <v>315090.38888888899</v>
      </c>
      <c r="G49" s="11" cm="1">
        <f t="array" aca="1" ref="G49" ca="1">INDEX('Coste Carretera'!E$46:E$1646,MATCH(C49&amp;D49,'Coste Carretera'!C$46:C$1646&amp;'Coste Carretera'!D$46:D$1646,0))</f>
        <v>912549365.08571422</v>
      </c>
      <c r="H49" s="11" cm="1">
        <f t="array" aca="1" ref="H49" ca="1">INDEX('Coste multimodal'!E$46:E$1646,MATCH(C49&amp;D49,'Coste multimodal'!C$46:C$1646&amp;'Coste multimodal'!D$46:D$1646,0))</f>
        <v>3131810215.8905497</v>
      </c>
      <c r="I49" s="12" cm="1">
        <f t="array" aca="1" ref="I49" ca="1">INDEX('Tiempos intermodal (horas)'!E$45:E$1645,MATCH(C49&amp;D49,'Tiempos intermodal (horas)'!C$45:C$1645&amp;'Tiempos intermodal (horas)'!D$45:D$1645,0))</f>
        <v>18.849199381876993</v>
      </c>
      <c r="J49" s="2" cm="1">
        <f t="array" aca="1" ref="J49" ca="1">INDEX('Tiempos carretera (horas)'!E$45:E$1645,MATCH(C49&amp;D49,'Tiempos carretera (horas)'!C$45:C$1645&amp;'Tiempos carretera (horas)'!D$45:D$1645,0))</f>
        <v>1.66</v>
      </c>
      <c r="K49" s="12">
        <f t="shared" ca="1" si="0"/>
        <v>2.896151064155462</v>
      </c>
      <c r="L49" s="12">
        <f t="shared" ca="1" si="1"/>
        <v>8.1899364035666018</v>
      </c>
      <c r="M49" s="12">
        <f t="shared" ca="1" si="2"/>
        <v>0.54824958466586893</v>
      </c>
      <c r="N49" s="13">
        <f t="shared" ca="1" si="5"/>
        <v>-5.2937853394111398</v>
      </c>
      <c r="O49" s="13">
        <f t="shared" ca="1" si="3"/>
        <v>-17.189199381876993</v>
      </c>
      <c r="P49" s="12">
        <f t="shared" ca="1" si="4"/>
        <v>-0.19360078087306817</v>
      </c>
    </row>
    <row r="50" spans="1:16" x14ac:dyDescent="0.25">
      <c r="A50">
        <v>34</v>
      </c>
      <c r="B50">
        <v>1</v>
      </c>
      <c r="C50" s="2" t="s">
        <v>33</v>
      </c>
      <c r="D50" s="2" t="s">
        <v>0</v>
      </c>
      <c r="E50" s="11" cm="1">
        <f t="array" aca="1" ref="E50" ca="1">INDEX('OD flujo mercancia multimodal'!E$45:E$1645,MATCH(C50&amp;D50,'OD flujo mercancia multimodal'!C$45:C$1645&amp;'OD flujo mercancia multimodal'!D$45:D$1645,0))</f>
        <v>217152.84065934064</v>
      </c>
      <c r="F50" s="11" cm="1">
        <f t="array" aca="1" ref="F50" ca="1">INDEX('OD flujo mercancia carretera'!E$45:E$1646,MATCH(C50&amp;D50,'OD flujo mercancia carretera'!C$45:C$1646&amp;'OD flujo mercancia carretera'!D$45:D$1646,0))</f>
        <v>323157.07264957268</v>
      </c>
      <c r="G50" s="11" cm="1">
        <f t="array" aca="1" ref="G50" ca="1">INDEX('Coste Carretera'!E$46:E$1646,MATCH(C50&amp;D50,'Coste Carretera'!C$46:C$1646&amp;'Coste Carretera'!D$46:D$1646,0))</f>
        <v>747141939.80571413</v>
      </c>
      <c r="H50" s="11" cm="1">
        <f t="array" aca="1" ref="H50" ca="1">INDEX('Coste multimodal'!E$46:E$1646,MATCH(C50&amp;D50,'Coste multimodal'!C$46:C$1646&amp;'Coste multimodal'!D$46:D$1646,0))</f>
        <v>3131810215.8905497</v>
      </c>
      <c r="I50" s="12" cm="1">
        <f t="array" aca="1" ref="I50" ca="1">INDEX('Tiempos intermodal (horas)'!E$45:E$1645,MATCH(C50&amp;D50,'Tiempos intermodal (horas)'!C$45:C$1645&amp;'Tiempos intermodal (horas)'!D$45:D$1645,0))</f>
        <v>18.849199381876993</v>
      </c>
      <c r="J50" s="2" cm="1">
        <f t="array" aca="1" ref="J50" ca="1">INDEX('Tiempos carretera (horas)'!E$45:E$1645,MATCH(C50&amp;D50,'Tiempos carretera (horas)'!C$45:C$1645&amp;'Tiempos carretera (horas)'!D$45:D$1645,0))</f>
        <v>1.66</v>
      </c>
      <c r="K50" s="12">
        <f t="shared" ca="1" si="0"/>
        <v>2.3120086268880926</v>
      </c>
      <c r="L50" s="12">
        <f t="shared" ca="1" si="1"/>
        <v>14.422147121729754</v>
      </c>
      <c r="M50" s="12">
        <f t="shared" ca="1" si="2"/>
        <v>0.40190423183145829</v>
      </c>
      <c r="N50" s="13">
        <f t="shared" ca="1" si="5"/>
        <v>-12.110138494841662</v>
      </c>
      <c r="O50" s="13">
        <f t="shared" ca="1" si="3"/>
        <v>-17.189199381876993</v>
      </c>
      <c r="P50" s="12">
        <f t="shared" ca="1" si="4"/>
        <v>0.39753705760449198</v>
      </c>
    </row>
    <row r="51" spans="1:16" x14ac:dyDescent="0.25">
      <c r="A51">
        <v>6</v>
      </c>
      <c r="B51">
        <v>10</v>
      </c>
      <c r="C51" s="2" t="s">
        <v>5</v>
      </c>
      <c r="D51" s="2" t="s">
        <v>9</v>
      </c>
      <c r="E51" s="11" cm="1">
        <f t="array" aca="1" ref="E51" ca="1">INDEX('OD flujo mercancia multimodal'!E$45:E$1645,MATCH(C51&amp;D51,'OD flujo mercancia multimodal'!C$45:C$1645&amp;'OD flujo mercancia multimodal'!D$45:D$1645,0))</f>
        <v>32588.428571428587</v>
      </c>
      <c r="F51" s="11" cm="1">
        <f t="array" aca="1" ref="F51" ca="1">INDEX('OD flujo mercancia carretera'!E$45:E$1646,MATCH(C51&amp;D51,'OD flujo mercancia carretera'!C$45:C$1646&amp;'OD flujo mercancia carretera'!D$45:D$1646,0))</f>
        <v>222320.62271062273</v>
      </c>
      <c r="G51" s="11" cm="1">
        <f t="array" aca="1" ref="G51" ca="1">INDEX('Coste Carretera'!E$46:E$1646,MATCH(C51&amp;D51,'Coste Carretera'!C$46:C$1646&amp;'Coste Carretera'!D$46:D$1646,0))</f>
        <v>451847686.90285736</v>
      </c>
      <c r="H51" s="11" cm="1">
        <f t="array" aca="1" ref="H51" ca="1">INDEX('Coste multimodal'!E$46:E$1646,MATCH(C51&amp;D51,'Coste multimodal'!C$46:C$1646&amp;'Coste multimodal'!D$46:D$1646,0))</f>
        <v>256448623.13571426</v>
      </c>
      <c r="I51" s="12" cm="1">
        <f t="array" aca="1" ref="I51" ca="1">INDEX('Tiempos intermodal (horas)'!E$45:E$1645,MATCH(C51&amp;D51,'Tiempos intermodal (horas)'!C$45:C$1645&amp;'Tiempos intermodal (horas)'!D$45:D$1645,0))</f>
        <v>20.186326244457348</v>
      </c>
      <c r="J51" s="2" cm="1">
        <f t="array" aca="1" ref="J51" ca="1">INDEX('Tiempos carretera (horas)'!E$45:E$1645,MATCH(C51&amp;D51,'Tiempos carretera (horas)'!C$45:C$1645&amp;'Tiempos carretera (horas)'!D$45:D$1645,0))</f>
        <v>2.91</v>
      </c>
      <c r="K51" s="12">
        <f t="shared" ca="1" si="0"/>
        <v>2.0324146333963449</v>
      </c>
      <c r="L51" s="12">
        <f t="shared" ca="1" si="1"/>
        <v>7.869315409720361</v>
      </c>
      <c r="M51" s="12">
        <f t="shared" ca="1" si="2"/>
        <v>0.12784335592450266</v>
      </c>
      <c r="N51" s="13">
        <f t="shared" ca="1" si="5"/>
        <v>-5.8369007763240166</v>
      </c>
      <c r="O51" s="13">
        <f t="shared" ca="1" si="3"/>
        <v>-17.276326244457348</v>
      </c>
      <c r="P51" s="12">
        <f t="shared" ca="1" si="4"/>
        <v>1.92016331283001</v>
      </c>
    </row>
    <row r="52" spans="1:16" x14ac:dyDescent="0.25">
      <c r="A52">
        <v>19</v>
      </c>
      <c r="B52">
        <v>10</v>
      </c>
      <c r="C52" s="2" t="s">
        <v>18</v>
      </c>
      <c r="D52" s="2" t="s">
        <v>9</v>
      </c>
      <c r="E52" s="11" cm="1">
        <f t="array" aca="1" ref="E52" ca="1">INDEX('OD flujo mercancia multimodal'!E$45:E$1645,MATCH(C52&amp;D52,'OD flujo mercancia multimodal'!C$45:C$1645&amp;'OD flujo mercancia multimodal'!D$45:D$1645,0))</f>
        <v>22888.137362637379</v>
      </c>
      <c r="F52" s="11" cm="1">
        <f t="array" aca="1" ref="F52" ca="1">INDEX('OD flujo mercancia carretera'!E$45:E$1646,MATCH(C52&amp;D52,'OD flujo mercancia carretera'!C$45:C$1646&amp;'OD flujo mercancia carretera'!D$45:D$1646,0))</f>
        <v>134533.92307692312</v>
      </c>
      <c r="G52" s="11" cm="1">
        <f t="array" aca="1" ref="G52" ca="1">INDEX('Coste Carretera'!E$46:E$1646,MATCH(C52&amp;D52,'Coste Carretera'!C$46:C$1646&amp;'Coste Carretera'!D$46:D$1646,0))</f>
        <v>1416056099.7085724</v>
      </c>
      <c r="H52" s="11" cm="1">
        <f t="array" aca="1" ref="H52" ca="1">INDEX('Coste multimodal'!E$46:E$1646,MATCH(C52&amp;D52,'Coste multimodal'!C$46:C$1646&amp;'Coste multimodal'!D$46:D$1646,0))</f>
        <v>640408742.73800099</v>
      </c>
      <c r="I52" s="12" cm="1">
        <f t="array" aca="1" ref="I52" ca="1">INDEX('Tiempos intermodal (horas)'!E$45:E$1645,MATCH(C52&amp;D52,'Tiempos intermodal (horas)'!C$45:C$1645&amp;'Tiempos intermodal (horas)'!D$45:D$1645,0))</f>
        <v>41.372091695699609</v>
      </c>
      <c r="J52" s="2" cm="1">
        <f t="array" aca="1" ref="J52" ca="1">INDEX('Tiempos carretera (horas)'!E$45:E$1645,MATCH(C52&amp;D52,'Tiempos carretera (horas)'!C$45:C$1645&amp;'Tiempos carretera (horas)'!D$45:D$1645,0))</f>
        <v>24</v>
      </c>
      <c r="K52" s="12">
        <f t="shared" ca="1" si="0"/>
        <v>10.525643401470623</v>
      </c>
      <c r="L52" s="12">
        <f t="shared" ca="1" si="1"/>
        <v>27.979941425177085</v>
      </c>
      <c r="M52" s="12">
        <f t="shared" ca="1" si="2"/>
        <v>0.14539345564864389</v>
      </c>
      <c r="N52" s="13">
        <f t="shared" ca="1" si="5"/>
        <v>-17.454298023706464</v>
      </c>
      <c r="O52" s="13">
        <f t="shared" ca="1" si="3"/>
        <v>-17.372091695699609</v>
      </c>
      <c r="P52" s="12">
        <f t="shared" ca="1" si="4"/>
        <v>1.7711976261828983</v>
      </c>
    </row>
    <row r="53" spans="1:16" x14ac:dyDescent="0.25">
      <c r="A53">
        <v>10</v>
      </c>
      <c r="B53">
        <v>19</v>
      </c>
      <c r="C53" s="2" t="s">
        <v>9</v>
      </c>
      <c r="D53" s="2" t="s">
        <v>18</v>
      </c>
      <c r="E53" s="11" cm="1">
        <f t="array" aca="1" ref="E53" ca="1">INDEX('OD flujo mercancia multimodal'!E$45:E$1645,MATCH(C53&amp;D53,'OD flujo mercancia multimodal'!C$45:C$1645&amp;'OD flujo mercancia multimodal'!D$45:D$1645,0))</f>
        <v>15339.494505494509</v>
      </c>
      <c r="F53" s="11" cm="1">
        <f t="array" aca="1" ref="F53" ca="1">INDEX('OD flujo mercancia carretera'!E$45:E$1646,MATCH(C53&amp;D53,'OD flujo mercancia carretera'!C$45:C$1646&amp;'OD flujo mercancia carretera'!D$45:D$1646,0))</f>
        <v>181974.30769230769</v>
      </c>
      <c r="G53" s="11" cm="1">
        <f t="array" aca="1" ref="G53" ca="1">INDEX('Coste Carretera'!E$46:E$1646,MATCH(C53&amp;D53,'Coste Carretera'!C$46:C$1646&amp;'Coste Carretera'!D$46:D$1646,0))</f>
        <v>949032436.18285739</v>
      </c>
      <c r="H53" s="11" cm="1">
        <f t="array" aca="1" ref="H53" ca="1">INDEX('Coste multimodal'!E$46:E$1646,MATCH(C53&amp;D53,'Coste multimodal'!C$46:C$1646&amp;'Coste multimodal'!D$46:D$1646,0))</f>
        <v>640408742.73800099</v>
      </c>
      <c r="I53" s="12" cm="1">
        <f t="array" aca="1" ref="I53" ca="1">INDEX('Tiempos intermodal (horas)'!E$45:E$1645,MATCH(C53&amp;D53,'Tiempos intermodal (horas)'!C$45:C$1645&amp;'Tiempos intermodal (horas)'!D$45:D$1645,0))</f>
        <v>41.372091695699609</v>
      </c>
      <c r="J53" s="2" cm="1">
        <f t="array" aca="1" ref="J53" ca="1">INDEX('Tiempos carretera (horas)'!E$45:E$1645,MATCH(C53&amp;D53,'Tiempos carretera (horas)'!C$45:C$1645&amp;'Tiempos carretera (horas)'!D$45:D$1645,0))</f>
        <v>24</v>
      </c>
      <c r="K53" s="12">
        <f t="shared" ca="1" si="0"/>
        <v>5.2152001467566205</v>
      </c>
      <c r="L53" s="12">
        <f t="shared" ca="1" si="1"/>
        <v>41.749012166509836</v>
      </c>
      <c r="M53" s="12">
        <f t="shared" ca="1" si="2"/>
        <v>7.7741619362831221E-2</v>
      </c>
      <c r="N53" s="13">
        <f t="shared" ca="1" si="5"/>
        <v>-36.533812019753213</v>
      </c>
      <c r="O53" s="13">
        <f t="shared" ca="1" si="3"/>
        <v>-17.372091695699609</v>
      </c>
      <c r="P53" s="12">
        <f t="shared" ca="1" si="4"/>
        <v>2.4734346678956274</v>
      </c>
    </row>
    <row r="54" spans="1:16" x14ac:dyDescent="0.25">
      <c r="A54">
        <v>3</v>
      </c>
      <c r="B54">
        <v>1</v>
      </c>
      <c r="C54" s="2" t="s">
        <v>2</v>
      </c>
      <c r="D54" s="2" t="s">
        <v>0</v>
      </c>
      <c r="E54" s="11" cm="1">
        <f t="array" aca="1" ref="E54" ca="1">INDEX('OD flujo mercancia multimodal'!E$45:E$1645,MATCH(C54&amp;D54,'OD flujo mercancia multimodal'!C$45:C$1645&amp;'OD flujo mercancia multimodal'!D$45:D$1645,0))</f>
        <v>107457.64285714287</v>
      </c>
      <c r="F54" s="11" cm="1">
        <f t="array" aca="1" ref="F54" ca="1">INDEX('OD flujo mercancia carretera'!E$45:E$1646,MATCH(C54&amp;D54,'OD flujo mercancia carretera'!C$45:C$1646&amp;'OD flujo mercancia carretera'!D$45:D$1646,0))</f>
        <v>86076.615384615434</v>
      </c>
      <c r="G54" s="11" cm="1">
        <f t="array" aca="1" ref="G54" ca="1">INDEX('Coste Carretera'!E$46:E$1646,MATCH(C54&amp;D54,'Coste Carretera'!C$46:C$1646&amp;'Coste Carretera'!D$46:D$1646,0))</f>
        <v>632091645.12</v>
      </c>
      <c r="H54" s="11" cm="1">
        <f t="array" aca="1" ref="H54" ca="1">INDEX('Coste multimodal'!E$46:E$1646,MATCH(C54&amp;D54,'Coste multimodal'!C$46:C$1646&amp;'Coste multimodal'!D$46:D$1646,0))</f>
        <v>1089912194.4411232</v>
      </c>
      <c r="I54" s="12" cm="1">
        <f t="array" aca="1" ref="I54" ca="1">INDEX('Tiempos intermodal (horas)'!E$45:E$1645,MATCH(C54&amp;D54,'Tiempos intermodal (horas)'!C$45:C$1645&amp;'Tiempos intermodal (horas)'!D$45:D$1645,0))</f>
        <v>19.54573780946474</v>
      </c>
      <c r="J54" s="2" cm="1">
        <f t="array" aca="1" ref="J54" ca="1">INDEX('Tiempos carretera (horas)'!E$45:E$1645,MATCH(C54&amp;D54,'Tiempos carretera (horas)'!C$45:C$1645&amp;'Tiempos carretera (horas)'!D$45:D$1645,0))</f>
        <v>2.13</v>
      </c>
      <c r="K54" s="12">
        <f t="shared" ca="1" si="0"/>
        <v>7.3433608221655797</v>
      </c>
      <c r="L54" s="12">
        <f t="shared" ca="1" si="1"/>
        <v>10.14271451952545</v>
      </c>
      <c r="M54" s="12">
        <f t="shared" ca="1" si="2"/>
        <v>0.55523835331990368</v>
      </c>
      <c r="N54" s="13">
        <f t="shared" ca="1" si="5"/>
        <v>-2.7993536973598703</v>
      </c>
      <c r="O54" s="13">
        <f t="shared" ca="1" si="3"/>
        <v>-17.415737809464741</v>
      </c>
      <c r="P54" s="12">
        <f t="shared" ca="1" si="4"/>
        <v>-0.22185897376410874</v>
      </c>
    </row>
    <row r="55" spans="1:16" x14ac:dyDescent="0.25">
      <c r="A55">
        <v>1</v>
      </c>
      <c r="B55">
        <v>3</v>
      </c>
      <c r="C55" s="2" t="s">
        <v>0</v>
      </c>
      <c r="D55" s="2" t="s">
        <v>2</v>
      </c>
      <c r="E55" s="11" cm="1">
        <f t="array" aca="1" ref="E55" ca="1">INDEX('OD flujo mercancia multimodal'!E$45:E$1645,MATCH(C55&amp;D55,'OD flujo mercancia multimodal'!C$45:C$1645&amp;'OD flujo mercancia multimodal'!D$45:D$1645,0))</f>
        <v>102103.78571428574</v>
      </c>
      <c r="F55" s="11" cm="1">
        <f t="array" aca="1" ref="F55" ca="1">INDEX('OD flujo mercancia carretera'!E$45:E$1646,MATCH(C55&amp;D55,'OD flujo mercancia carretera'!C$45:C$1646&amp;'OD flujo mercancia carretera'!D$45:D$1646,0))</f>
        <v>89980.461538461503</v>
      </c>
      <c r="G55" s="11" cm="1">
        <f t="array" aca="1" ref="G55" ca="1">INDEX('Coste Carretera'!E$46:E$1646,MATCH(C55&amp;D55,'Coste Carretera'!C$46:C$1646&amp;'Coste Carretera'!D$46:D$1646,0))</f>
        <v>600598972.48000014</v>
      </c>
      <c r="H55" s="11" cm="1">
        <f t="array" aca="1" ref="H55" ca="1">INDEX('Coste multimodal'!E$46:E$1646,MATCH(C55&amp;D55,'Coste multimodal'!C$46:C$1646&amp;'Coste multimodal'!D$46:D$1646,0))</f>
        <v>1089912194.4411232</v>
      </c>
      <c r="I55" s="12" cm="1">
        <f t="array" aca="1" ref="I55" ca="1">INDEX('Tiempos intermodal (horas)'!E$45:E$1645,MATCH(C55&amp;D55,'Tiempos intermodal (horas)'!C$45:C$1645&amp;'Tiempos intermodal (horas)'!D$45:D$1645,0))</f>
        <v>19.54573780946474</v>
      </c>
      <c r="J55" s="2" cm="1">
        <f t="array" aca="1" ref="J55" ca="1">INDEX('Tiempos carretera (horas)'!E$45:E$1645,MATCH(C55&amp;D55,'Tiempos carretera (horas)'!C$45:C$1645&amp;'Tiempos carretera (horas)'!D$45:D$1645,0))</f>
        <v>2.13</v>
      </c>
      <c r="K55" s="12">
        <f t="shared" ca="1" si="0"/>
        <v>6.6747709692873531</v>
      </c>
      <c r="L55" s="12">
        <f t="shared" ca="1" si="1"/>
        <v>10.67455223933611</v>
      </c>
      <c r="M55" s="12">
        <f t="shared" ca="1" si="2"/>
        <v>0.53155730974615578</v>
      </c>
      <c r="N55" s="13">
        <f t="shared" ca="1" si="5"/>
        <v>-3.9997812700487572</v>
      </c>
      <c r="O55" s="13">
        <f t="shared" ca="1" si="3"/>
        <v>-17.415737809464741</v>
      </c>
      <c r="P55" s="12">
        <f t="shared" ca="1" si="4"/>
        <v>-0.12639725023284942</v>
      </c>
    </row>
    <row r="56" spans="1:16" x14ac:dyDescent="0.25">
      <c r="A56">
        <v>39</v>
      </c>
      <c r="B56">
        <v>11</v>
      </c>
      <c r="C56" s="2" t="s">
        <v>38</v>
      </c>
      <c r="D56" s="2" t="s">
        <v>10</v>
      </c>
      <c r="E56" s="11" cm="1">
        <f t="array" aca="1" ref="E56" ca="1">INDEX('OD flujo mercancia multimodal'!E$45:E$1645,MATCH(C56&amp;D56,'OD flujo mercancia multimodal'!C$45:C$1645&amp;'OD flujo mercancia multimodal'!D$45:D$1645,0))</f>
        <v>21269.384615384599</v>
      </c>
      <c r="F56" s="11" cm="1">
        <f t="array" aca="1" ref="F56" ca="1">INDEX('OD flujo mercancia carretera'!E$45:E$1646,MATCH(C56&amp;D56,'OD flujo mercancia carretera'!C$45:C$1646&amp;'OD flujo mercancia carretera'!D$45:D$1646,0))</f>
        <v>102655.69230769231</v>
      </c>
      <c r="G56" s="11" cm="1">
        <f t="array" aca="1" ref="G56" ca="1">INDEX('Coste Carretera'!E$46:E$1646,MATCH(C56&amp;D56,'Coste Carretera'!C$46:C$1646&amp;'Coste Carretera'!D$46:D$1646,0))</f>
        <v>1105342125.4399993</v>
      </c>
      <c r="H56" s="11" cm="1">
        <f t="array" aca="1" ref="H56" ca="1">INDEX('Coste multimodal'!E$46:E$1646,MATCH(C56&amp;D56,'Coste multimodal'!C$46:C$1646&amp;'Coste multimodal'!D$46:D$1646,0))</f>
        <v>149804250.81197733</v>
      </c>
      <c r="I56" s="12" cm="1">
        <f t="array" aca="1" ref="I56" ca="1">INDEX('Tiempos intermodal (horas)'!E$45:E$1645,MATCH(C56&amp;D56,'Tiempos intermodal (horas)'!C$45:C$1645&amp;'Tiempos intermodal (horas)'!D$45:D$1645,0))</f>
        <v>34.54916179998358</v>
      </c>
      <c r="J56" s="2" cm="1">
        <f t="array" aca="1" ref="J56" ca="1">INDEX('Tiempos carretera (horas)'!E$45:E$1645,MATCH(C56&amp;D56,'Tiempos carretera (horas)'!C$45:C$1645&amp;'Tiempos carretera (horas)'!D$45:D$1645,0))</f>
        <v>7.72</v>
      </c>
      <c r="K56" s="12">
        <f t="shared" ca="1" si="0"/>
        <v>10.767470371997799</v>
      </c>
      <c r="L56" s="12">
        <f t="shared" ca="1" si="1"/>
        <v>7.0431868867339364</v>
      </c>
      <c r="M56" s="12">
        <f t="shared" ca="1" si="2"/>
        <v>0.17163099788581923</v>
      </c>
      <c r="N56" s="13">
        <f t="shared" ca="1" si="5"/>
        <v>3.7242834852638627</v>
      </c>
      <c r="O56" s="13">
        <f t="shared" ca="1" si="3"/>
        <v>-26.829161799983581</v>
      </c>
      <c r="P56" s="12">
        <f t="shared" ca="1" si="4"/>
        <v>1.5741118987373484</v>
      </c>
    </row>
    <row r="57" spans="1:16" x14ac:dyDescent="0.25">
      <c r="A57">
        <v>11</v>
      </c>
      <c r="B57">
        <v>39</v>
      </c>
      <c r="C57" s="2" t="s">
        <v>10</v>
      </c>
      <c r="D57" s="2" t="s">
        <v>38</v>
      </c>
      <c r="E57" s="11" cm="1">
        <f t="array" aca="1" ref="E57" ca="1">INDEX('OD flujo mercancia multimodal'!E$45:E$1645,MATCH(C57&amp;D57,'OD flujo mercancia multimodal'!C$45:C$1645&amp;'OD flujo mercancia multimodal'!D$45:D$1645,0))</f>
        <v>13871.153846153851</v>
      </c>
      <c r="F57" s="11" cm="1">
        <f t="array" aca="1" ref="F57" ca="1">INDEX('OD flujo mercancia carretera'!E$45:E$1646,MATCH(C57&amp;D57,'OD flujo mercancia carretera'!C$45:C$1646&amp;'OD flujo mercancia carretera'!D$45:D$1646,0))</f>
        <v>189007.07326007326</v>
      </c>
      <c r="G57" s="11" cm="1">
        <f t="array" aca="1" ref="G57" ca="1">INDEX('Coste Carretera'!E$46:E$1646,MATCH(C57&amp;D57,'Coste Carretera'!C$46:C$1646&amp;'Coste Carretera'!D$46:D$1646,0))</f>
        <v>172445945.59999996</v>
      </c>
      <c r="H57" s="11" cm="1">
        <f t="array" aca="1" ref="H57" ca="1">INDEX('Coste multimodal'!E$46:E$1646,MATCH(C57&amp;D57,'Coste multimodal'!C$46:C$1646&amp;'Coste multimodal'!D$46:D$1646,0))</f>
        <v>88916636.348492563</v>
      </c>
      <c r="I57" s="12" cm="1">
        <f t="array" aca="1" ref="I57" ca="1">INDEX('Tiempos intermodal (horas)'!E$45:E$1645,MATCH(C57&amp;D57,'Tiempos intermodal (horas)'!C$45:C$1645&amp;'Tiempos intermodal (horas)'!D$45:D$1645,0))</f>
        <v>0</v>
      </c>
      <c r="J57" s="2" cm="1">
        <f t="array" aca="1" ref="J57" ca="1">INDEX('Tiempos carretera (horas)'!E$45:E$1645,MATCH(C57&amp;D57,'Tiempos carretera (horas)'!C$45:C$1645&amp;'Tiempos carretera (horas)'!D$45:D$1645,0))</f>
        <v>3.2</v>
      </c>
      <c r="K57" s="12">
        <f t="shared" ca="1" si="0"/>
        <v>0.91237826513886489</v>
      </c>
      <c r="L57" s="12">
        <f t="shared" ca="1" si="1"/>
        <v>6.4101831278547223</v>
      </c>
      <c r="M57" s="12">
        <f t="shared" ca="1" si="2"/>
        <v>6.8371821086995757E-2</v>
      </c>
      <c r="N57" s="13">
        <f t="shared" ca="1" si="5"/>
        <v>-5.4978048627158573</v>
      </c>
      <c r="O57" s="13">
        <f t="shared" ca="1" si="3"/>
        <v>3.2</v>
      </c>
      <c r="P57" s="12">
        <f t="shared" ca="1" si="4"/>
        <v>2.6119730180876295</v>
      </c>
    </row>
    <row r="58" spans="1:16" x14ac:dyDescent="0.25">
      <c r="A58">
        <v>19</v>
      </c>
      <c r="B58">
        <v>40</v>
      </c>
      <c r="C58" s="2" t="s">
        <v>18</v>
      </c>
      <c r="D58" s="2" t="s">
        <v>39</v>
      </c>
      <c r="E58" s="11" cm="1">
        <f t="array" aca="1" ref="E58" ca="1">INDEX('OD flujo mercancia multimodal'!E$45:E$1645,MATCH(C58&amp;D58,'OD flujo mercancia multimodal'!C$45:C$1645&amp;'OD flujo mercancia multimodal'!D$45:D$1645,0))</f>
        <v>11531.692307692307</v>
      </c>
      <c r="F58" s="11" cm="1">
        <f t="array" aca="1" ref="F58" ca="1">INDEX('OD flujo mercancia carretera'!E$45:E$1646,MATCH(C58&amp;D58,'OD flujo mercancia carretera'!C$45:C$1646&amp;'OD flujo mercancia carretera'!D$45:D$1646,0))</f>
        <v>112633.1428571429</v>
      </c>
      <c r="G58" s="11" cm="1">
        <f t="array" aca="1" ref="G58" ca="1">INDEX('Coste Carretera'!E$46:E$1646,MATCH(C58&amp;D58,'Coste Carretera'!C$46:C$1646&amp;'Coste Carretera'!D$46:D$1646,0))</f>
        <v>456105003.12000042</v>
      </c>
      <c r="H58" s="11" cm="1">
        <f t="array" aca="1" ref="H58" ca="1">INDEX('Coste multimodal'!E$46:E$1646,MATCH(C58&amp;D58,'Coste multimodal'!C$46:C$1646&amp;'Coste multimodal'!D$46:D$1646,0))</f>
        <v>143960164.63494378</v>
      </c>
      <c r="I58" s="12" cm="1">
        <f t="array" aca="1" ref="I58" ca="1">INDEX('Tiempos intermodal (horas)'!E$45:E$1645,MATCH(C58&amp;D58,'Tiempos intermodal (horas)'!C$45:C$1645&amp;'Tiempos intermodal (horas)'!D$45:D$1645,0))</f>
        <v>36.325306186362141</v>
      </c>
      <c r="J58" s="2" cm="1">
        <f t="array" aca="1" ref="J58" ca="1">INDEX('Tiempos carretera (horas)'!E$45:E$1645,MATCH(C58&amp;D58,'Tiempos carretera (horas)'!C$45:C$1645&amp;'Tiempos carretera (horas)'!D$45:D$1645,0))</f>
        <v>17.28</v>
      </c>
      <c r="K58" s="12">
        <f t="shared" ca="1" si="0"/>
        <v>4.0494741738539304</v>
      </c>
      <c r="L58" s="12">
        <f t="shared" ca="1" si="1"/>
        <v>12.483871472959265</v>
      </c>
      <c r="M58" s="12">
        <f t="shared" ca="1" si="2"/>
        <v>9.2874059651296539E-2</v>
      </c>
      <c r="N58" s="13">
        <f t="shared" ca="1" si="5"/>
        <v>-8.4343972991053349</v>
      </c>
      <c r="O58" s="13">
        <f t="shared" ca="1" si="3"/>
        <v>-19.04530618636214</v>
      </c>
      <c r="P58" s="12">
        <f t="shared" ca="1" si="4"/>
        <v>2.2790369161214712</v>
      </c>
    </row>
    <row r="59" spans="1:16" x14ac:dyDescent="0.25">
      <c r="A59">
        <v>40</v>
      </c>
      <c r="B59">
        <v>19</v>
      </c>
      <c r="C59" s="2" t="s">
        <v>39</v>
      </c>
      <c r="D59" s="2" t="s">
        <v>18</v>
      </c>
      <c r="E59" s="11" cm="1">
        <f t="array" aca="1" ref="E59" ca="1">INDEX('OD flujo mercancia multimodal'!E$45:E$1645,MATCH(C59&amp;D59,'OD flujo mercancia multimodal'!C$45:C$1645&amp;'OD flujo mercancia multimodal'!D$45:D$1645,0))</f>
        <v>3990.846153846157</v>
      </c>
      <c r="F59" s="11" cm="1">
        <f t="array" aca="1" ref="F59" ca="1">INDEX('OD flujo mercancia carretera'!E$45:E$1646,MATCH(C59&amp;D59,'OD flujo mercancia carretera'!C$45:C$1646&amp;'OD flujo mercancia carretera'!D$45:D$1646,0))</f>
        <v>190979.89743589744</v>
      </c>
      <c r="G59" s="11" cm="1">
        <f t="array" aca="1" ref="G59" ca="1">INDEX('Coste Carretera'!E$46:E$1646,MATCH(C59&amp;D59,'Coste Carretera'!C$46:C$1646&amp;'Coste Carretera'!D$46:D$1646,0))</f>
        <v>105466046.28000025</v>
      </c>
      <c r="H59" s="11" cm="1">
        <f t="array" aca="1" ref="H59" ca="1">INDEX('Coste multimodal'!E$46:E$1646,MATCH(C59&amp;D59,'Coste multimodal'!C$46:C$1646&amp;'Coste multimodal'!D$46:D$1646,0))</f>
        <v>138353681.87714833</v>
      </c>
      <c r="I59" s="12" cm="1">
        <f t="array" aca="1" ref="I59" ca="1">INDEX('Tiempos intermodal (horas)'!E$45:E$1645,MATCH(C59&amp;D59,'Tiempos intermodal (horas)'!C$45:C$1645&amp;'Tiempos intermodal (horas)'!D$45:D$1645,0))</f>
        <v>57.18370453265765</v>
      </c>
      <c r="J59" s="2" cm="1">
        <f t="array" aca="1" ref="J59" ca="1">INDEX('Tiempos carretera (horas)'!E$45:E$1645,MATCH(C59&amp;D59,'Tiempos carretera (horas)'!C$45:C$1645&amp;'Tiempos carretera (horas)'!D$45:D$1645,0))</f>
        <v>15.13</v>
      </c>
      <c r="K59" s="12">
        <f t="shared" ca="1" si="0"/>
        <v>0.55223637511586798</v>
      </c>
      <c r="L59" s="12">
        <f t="shared" ca="1" si="1"/>
        <v>34.667756296195655</v>
      </c>
      <c r="M59" s="12">
        <f t="shared" ca="1" si="2"/>
        <v>2.0468948727218654E-2</v>
      </c>
      <c r="N59" s="13">
        <f t="shared" ca="1" si="5"/>
        <v>-34.115519921079787</v>
      </c>
      <c r="O59" s="13">
        <f t="shared" ca="1" si="3"/>
        <v>-42.053704532657648</v>
      </c>
      <c r="P59" s="12">
        <f t="shared" ca="1" si="4"/>
        <v>3.8681648964293274</v>
      </c>
    </row>
    <row r="60" spans="1:16" x14ac:dyDescent="0.25">
      <c r="A60">
        <v>10</v>
      </c>
      <c r="B60">
        <v>6</v>
      </c>
      <c r="C60" s="2" t="s">
        <v>9</v>
      </c>
      <c r="D60" s="2" t="s">
        <v>5</v>
      </c>
      <c r="E60" s="11" cm="1">
        <f t="array" aca="1" ref="E60" ca="1">INDEX('OD flujo mercancia multimodal'!E$45:E$1645,MATCH(C60&amp;D60,'OD flujo mercancia multimodal'!C$45:C$1645&amp;'OD flujo mercancia multimodal'!D$45:D$1645,0))</f>
        <v>27256.35714285713</v>
      </c>
      <c r="F60" s="11" cm="1">
        <f t="array" aca="1" ref="F60" ca="1">INDEX('OD flujo mercancia carretera'!E$45:E$1646,MATCH(C60&amp;D60,'OD flujo mercancia carretera'!C$45:C$1646&amp;'OD flujo mercancia carretera'!D$45:D$1646,0))</f>
        <v>219315.69597069608</v>
      </c>
      <c r="G60" s="11" cm="1">
        <f t="array" aca="1" ref="G60" ca="1">INDEX('Coste Carretera'!E$46:E$1646,MATCH(C60&amp;D60,'Coste Carretera'!C$46:C$1646&amp;'Coste Carretera'!D$46:D$1646,0))</f>
        <v>377917023.56571412</v>
      </c>
      <c r="H60" s="11" cm="1">
        <f t="array" aca="1" ref="H60" ca="1">INDEX('Coste multimodal'!E$46:E$1646,MATCH(C60&amp;D60,'Coste multimodal'!C$46:C$1646&amp;'Coste multimodal'!D$46:D$1646,0))</f>
        <v>256448623.13571426</v>
      </c>
      <c r="I60" s="12" cm="1">
        <f t="array" aca="1" ref="I60" ca="1">INDEX('Tiempos intermodal (horas)'!E$45:E$1645,MATCH(C60&amp;D60,'Tiempos intermodal (horas)'!C$45:C$1645&amp;'Tiempos intermodal (horas)'!D$45:D$1645,0))</f>
        <v>20.186326244457348</v>
      </c>
      <c r="J60" s="2" cm="1">
        <f t="array" aca="1" ref="J60" ca="1">INDEX('Tiempos carretera (horas)'!E$45:E$1645,MATCH(C60&amp;D60,'Tiempos carretera (horas)'!C$45:C$1645&amp;'Tiempos carretera (horas)'!D$45:D$1645,0))</f>
        <v>2.91</v>
      </c>
      <c r="K60" s="12">
        <f t="shared" ca="1" si="0"/>
        <v>1.7231645090108352</v>
      </c>
      <c r="L60" s="12">
        <f t="shared" ca="1" si="1"/>
        <v>9.4087636800327079</v>
      </c>
      <c r="M60" s="12">
        <f t="shared" ca="1" si="2"/>
        <v>0.11054114527044485</v>
      </c>
      <c r="N60" s="13">
        <f t="shared" ca="1" si="5"/>
        <v>-7.685599171021873</v>
      </c>
      <c r="O60" s="13">
        <f t="shared" ca="1" si="3"/>
        <v>-17.276326244457348</v>
      </c>
      <c r="P60" s="12">
        <f t="shared" ca="1" si="4"/>
        <v>2.0852254423688152</v>
      </c>
    </row>
    <row r="61" spans="1:16" x14ac:dyDescent="0.25">
      <c r="A61">
        <v>1</v>
      </c>
      <c r="B61">
        <v>21</v>
      </c>
      <c r="C61" s="2" t="s">
        <v>0</v>
      </c>
      <c r="D61" s="2" t="s">
        <v>20</v>
      </c>
      <c r="E61" s="11" cm="1">
        <f t="array" aca="1" ref="E61" ca="1">INDEX('OD flujo mercancia multimodal'!E$45:E$1645,MATCH(C61&amp;D61,'OD flujo mercancia multimodal'!C$45:C$1645&amp;'OD flujo mercancia multimodal'!D$45:D$1645,0))</f>
        <v>122924.37912087914</v>
      </c>
      <c r="F61" s="11" cm="1">
        <f t="array" aca="1" ref="F61" ca="1">INDEX('OD flujo mercancia carretera'!E$45:E$1646,MATCH(C61&amp;D61,'OD flujo mercancia carretera'!C$45:C$1646&amp;'OD flujo mercancia carretera'!D$45:D$1646,0))</f>
        <v>155302.33333333299</v>
      </c>
      <c r="G61" s="11" cm="1">
        <f t="array" aca="1" ref="G61" ca="1">INDEX('Coste Carretera'!E$46:E$1646,MATCH(C61&amp;D61,'Coste Carretera'!C$46:C$1646&amp;'Coste Carretera'!D$46:D$1646,0))</f>
        <v>1039414131.0200003</v>
      </c>
      <c r="H61" s="11" cm="1">
        <f t="array" aca="1" ref="H61" ca="1">INDEX('Coste multimodal'!E$46:E$1646,MATCH(C61&amp;D61,'Coste multimodal'!C$46:C$1646&amp;'Coste multimodal'!D$46:D$1646,0))</f>
        <v>1025531526.7900378</v>
      </c>
      <c r="I61" s="12" cm="1">
        <f t="array" aca="1" ref="I61" ca="1">INDEX('Tiempos intermodal (horas)'!E$45:E$1645,MATCH(C61&amp;D61,'Tiempos intermodal (horas)'!C$45:C$1645&amp;'Tiempos intermodal (horas)'!D$45:D$1645,0))</f>
        <v>19.785737809464738</v>
      </c>
      <c r="J61" s="2" cm="1">
        <f t="array" aca="1" ref="J61" ca="1">INDEX('Tiempos carretera (horas)'!E$45:E$1645,MATCH(C61&amp;D61,'Tiempos carretera (horas)'!C$45:C$1645&amp;'Tiempos carretera (horas)'!D$45:D$1645,0))</f>
        <v>2.7</v>
      </c>
      <c r="K61" s="12">
        <f t="shared" ca="1" si="0"/>
        <v>6.6928429773753306</v>
      </c>
      <c r="L61" s="12">
        <f t="shared" ca="1" si="1"/>
        <v>8.3427838653679043</v>
      </c>
      <c r="M61" s="12">
        <f t="shared" ca="1" si="2"/>
        <v>0.44181372103553446</v>
      </c>
      <c r="N61" s="13">
        <f t="shared" ca="1" si="5"/>
        <v>-1.6499408879925737</v>
      </c>
      <c r="O61" s="13">
        <f t="shared" ca="1" si="3"/>
        <v>-17.085737809464739</v>
      </c>
      <c r="P61" s="12">
        <f t="shared" ca="1" si="4"/>
        <v>0.23380439231746475</v>
      </c>
    </row>
    <row r="62" spans="1:16" x14ac:dyDescent="0.25">
      <c r="A62">
        <v>21</v>
      </c>
      <c r="B62">
        <v>1</v>
      </c>
      <c r="C62" s="2" t="s">
        <v>20</v>
      </c>
      <c r="D62" s="2" t="s">
        <v>0</v>
      </c>
      <c r="E62" s="11" cm="1">
        <f t="array" aca="1" ref="E62" ca="1">INDEX('OD flujo mercancia multimodal'!E$45:E$1645,MATCH(C62&amp;D62,'OD flujo mercancia multimodal'!C$45:C$1645&amp;'OD flujo mercancia multimodal'!D$45:D$1645,0))</f>
        <v>115669.60989010986</v>
      </c>
      <c r="F62" s="11" cm="1">
        <f t="array" aca="1" ref="F62" ca="1">INDEX('OD flujo mercancia carretera'!E$45:E$1646,MATCH(C62&amp;D62,'OD flujo mercancia carretera'!C$45:C$1646&amp;'OD flujo mercancia carretera'!D$45:D$1646,0))</f>
        <v>158540.84615384619</v>
      </c>
      <c r="G62" s="11" cm="1">
        <f t="array" aca="1" ref="G62" ca="1">INDEX('Coste Carretera'!E$46:E$1646,MATCH(C62&amp;D62,'Coste Carretera'!C$46:C$1646&amp;'Coste Carretera'!D$46:D$1646,0))</f>
        <v>978069833.73999977</v>
      </c>
      <c r="H62" s="11" cm="1">
        <f t="array" aca="1" ref="H62" ca="1">INDEX('Coste multimodal'!E$46:E$1646,MATCH(C62&amp;D62,'Coste multimodal'!C$46:C$1646&amp;'Coste multimodal'!D$46:D$1646,0))</f>
        <v>1025531526.7900378</v>
      </c>
      <c r="I62" s="12" cm="1">
        <f t="array" aca="1" ref="I62" ca="1">INDEX('Tiempos intermodal (horas)'!E$45:E$1645,MATCH(C62&amp;D62,'Tiempos intermodal (horas)'!C$45:C$1645&amp;'Tiempos intermodal (horas)'!D$45:D$1645,0))</f>
        <v>19.785737809464738</v>
      </c>
      <c r="J62" s="2" cm="1">
        <f t="array" aca="1" ref="J62" ca="1">INDEX('Tiempos carretera (horas)'!E$45:E$1645,MATCH(C62&amp;D62,'Tiempos carretera (horas)'!C$45:C$1645&amp;'Tiempos carretera (horas)'!D$45:D$1645,0))</f>
        <v>2.7</v>
      </c>
      <c r="K62" s="12">
        <f t="shared" ca="1" si="0"/>
        <v>6.1691977649147418</v>
      </c>
      <c r="L62" s="12">
        <f t="shared" ca="1" si="1"/>
        <v>8.8660411992772197</v>
      </c>
      <c r="M62" s="12">
        <f t="shared" ca="1" si="2"/>
        <v>0.42182786010015599</v>
      </c>
      <c r="N62" s="13">
        <f t="shared" ca="1" si="5"/>
        <v>-2.6968434343624779</v>
      </c>
      <c r="O62" s="13">
        <f t="shared" ca="1" si="3"/>
        <v>-17.085737809464739</v>
      </c>
      <c r="P62" s="12">
        <f t="shared" ca="1" si="4"/>
        <v>0.31527432786708726</v>
      </c>
    </row>
    <row r="63" spans="1:16" x14ac:dyDescent="0.25">
      <c r="A63">
        <v>3</v>
      </c>
      <c r="B63">
        <v>9</v>
      </c>
      <c r="C63" s="2" t="s">
        <v>2</v>
      </c>
      <c r="D63" s="2" t="s">
        <v>148</v>
      </c>
      <c r="E63" s="11" cm="1">
        <f t="array" aca="1" ref="E63" ca="1">INDEX('OD flujo mercancia multimodal'!E$45:E$1645,MATCH(C63&amp;D63,'OD flujo mercancia multimodal'!C$45:C$1645&amp;'OD flujo mercancia multimodal'!D$45:D$1645,0))</f>
        <v>15575.025974025973</v>
      </c>
      <c r="F63" s="11" cm="1">
        <f t="array" aca="1" ref="F63" ca="1">INDEX('OD flujo mercancia carretera'!E$45:E$1646,MATCH(C63&amp;D63,'OD flujo mercancia carretera'!C$45:C$1646&amp;'OD flujo mercancia carretera'!D$45:D$1646,0))</f>
        <v>607672.39102564123</v>
      </c>
      <c r="G63" s="11" cm="1">
        <f t="array" aca="1" ref="G63" ca="1">INDEX('Coste Carretera'!E$46:E$1646,MATCH(C63&amp;D63,'Coste Carretera'!C$46:C$1646&amp;'Coste Carretera'!D$46:D$1646,0))</f>
        <v>298570132.91688311</v>
      </c>
      <c r="H63" s="11" cm="1">
        <f t="array" aca="1" ref="H63" ca="1">INDEX('Coste multimodal'!E$46:E$1646,MATCH(C63&amp;D63,'Coste multimodal'!C$46:C$1646&amp;'Coste multimodal'!D$46:D$1646,0))</f>
        <v>0</v>
      </c>
      <c r="I63" s="12" cm="1">
        <f t="array" aca="1" ref="I63" ca="1">INDEX('Tiempos intermodal (horas)'!E$45:E$1645,MATCH(C63&amp;D63,'Tiempos intermodal (horas)'!C$45:C$1645&amp;'Tiempos intermodal (horas)'!D$45:D$1645,0))</f>
        <v>22.006848920575852</v>
      </c>
      <c r="J63" s="2" cm="1">
        <f t="array" aca="1" ref="J63" ca="1">INDEX('Tiempos carretera (horas)'!E$45:E$1645,MATCH(C63&amp;D63,'Tiempos carretera (horas)'!C$45:C$1645&amp;'Tiempos carretera (horas)'!D$45:D$1645,0))</f>
        <v>4.13</v>
      </c>
      <c r="K63" s="12">
        <f t="shared" ca="1" si="0"/>
        <v>0.49133404335344355</v>
      </c>
      <c r="L63" s="12">
        <f t="shared" ca="1" si="1"/>
        <v>0</v>
      </c>
      <c r="M63" s="12">
        <f t="shared" ca="1" si="2"/>
        <v>2.4990117165674976E-2</v>
      </c>
      <c r="N63" s="13">
        <f t="shared" ca="1" si="5"/>
        <v>0.49133404335344355</v>
      </c>
      <c r="O63" s="13">
        <f t="shared" ca="1" si="3"/>
        <v>-17.876848920575853</v>
      </c>
      <c r="P63" s="12">
        <f t="shared" ca="1" si="4"/>
        <v>3.6639671738485391</v>
      </c>
    </row>
    <row r="64" spans="1:16" x14ac:dyDescent="0.25">
      <c r="A64">
        <v>21</v>
      </c>
      <c r="B64">
        <v>9</v>
      </c>
      <c r="C64" s="2" t="s">
        <v>20</v>
      </c>
      <c r="D64" s="2" t="s">
        <v>148</v>
      </c>
      <c r="E64" s="11" cm="1">
        <f t="array" aca="1" ref="E64" ca="1">INDEX('OD flujo mercancia multimodal'!E$45:E$1645,MATCH(C64&amp;D64,'OD flujo mercancia multimodal'!C$45:C$1645&amp;'OD flujo mercancia multimodal'!D$45:D$1645,0))</f>
        <v>23786.993006993005</v>
      </c>
      <c r="F64" s="11" cm="1">
        <f t="array" aca="1" ref="F64" ca="1">INDEX('OD flujo mercancia carretera'!E$45:E$1646,MATCH(C64&amp;D64,'OD flujo mercancia carretera'!C$45:C$1646&amp;'OD flujo mercancia carretera'!D$45:D$1646,0))</f>
        <v>680136.62179487199</v>
      </c>
      <c r="G64" s="11" cm="1">
        <f t="array" aca="1" ref="G64" ca="1">INDEX('Coste Carretera'!E$46:E$1646,MATCH(C64&amp;D64,'Coste Carretera'!C$46:C$1646&amp;'Coste Carretera'!D$46:D$1646,0))</f>
        <v>1034414498.6181818</v>
      </c>
      <c r="H64" s="11" cm="1">
        <f t="array" aca="1" ref="H64" ca="1">INDEX('Coste multimodal'!E$46:E$1646,MATCH(C64&amp;D64,'Coste multimodal'!C$46:C$1646&amp;'Coste multimodal'!D$46:D$1646,0))</f>
        <v>892870900.52860916</v>
      </c>
      <c r="I64" s="12" cm="1">
        <f t="array" aca="1" ref="I64" ca="1">INDEX('Tiempos intermodal (horas)'!E$45:E$1645,MATCH(C64&amp;D64,'Tiempos intermodal (horas)'!C$45:C$1645&amp;'Tiempos intermodal (horas)'!D$45:D$1645,0))</f>
        <v>22.24684892057585</v>
      </c>
      <c r="J64" s="2" cm="1">
        <f t="array" aca="1" ref="J64" ca="1">INDEX('Tiempos carretera (horas)'!E$45:E$1645,MATCH(C64&amp;D64,'Tiempos carretera (horas)'!C$45:C$1645&amp;'Tiempos carretera (horas)'!D$45:D$1645,0))</f>
        <v>4.92</v>
      </c>
      <c r="K64" s="12">
        <f t="shared" ca="1" si="0"/>
        <v>1.5208922229307031</v>
      </c>
      <c r="L64" s="12">
        <f t="shared" ca="1" si="1"/>
        <v>37.536097995493542</v>
      </c>
      <c r="M64" s="12">
        <f t="shared" ca="1" si="2"/>
        <v>3.3792008829947248E-2</v>
      </c>
      <c r="N64" s="13">
        <f t="shared" ca="1" si="5"/>
        <v>-36.015205772562837</v>
      </c>
      <c r="O64" s="13">
        <f t="shared" ca="1" si="3"/>
        <v>-17.326848920575848</v>
      </c>
      <c r="P64" s="12">
        <f t="shared" ca="1" si="4"/>
        <v>3.3531547734198548</v>
      </c>
    </row>
    <row r="65" spans="1:16" x14ac:dyDescent="0.25">
      <c r="A65">
        <v>9</v>
      </c>
      <c r="B65">
        <v>21</v>
      </c>
      <c r="C65" s="2" t="s">
        <v>148</v>
      </c>
      <c r="D65" s="2" t="s">
        <v>20</v>
      </c>
      <c r="E65" s="11" cm="1">
        <f t="array" aca="1" ref="E65" ca="1">INDEX('OD flujo mercancia multimodal'!E$45:E$1645,MATCH(C65&amp;D65,'OD flujo mercancia multimodal'!C$45:C$1645&amp;'OD flujo mercancia multimodal'!D$45:D$1645,0))</f>
        <v>38221.807692307702</v>
      </c>
      <c r="F65" s="11" cm="1">
        <f t="array" aca="1" ref="F65" ca="1">INDEX('OD flujo mercancia carretera'!E$45:E$1646,MATCH(C65&amp;D65,'OD flujo mercancia carretera'!C$45:C$1646&amp;'OD flujo mercancia carretera'!D$45:D$1646,0))</f>
        <v>682448.63034188014</v>
      </c>
      <c r="G65" s="11" cm="1">
        <f t="array" aca="1" ref="G65" ca="1">INDEX('Coste Carretera'!E$46:E$1646,MATCH(C65&amp;D65,'Coste Carretera'!C$46:C$1646&amp;'Coste Carretera'!D$46:D$1646,0))</f>
        <v>827052648.08000028</v>
      </c>
      <c r="H65" s="11" cm="1">
        <f t="array" aca="1" ref="H65" ca="1">INDEX('Coste multimodal'!E$46:E$1646,MATCH(C65&amp;D65,'Coste multimodal'!C$46:C$1646&amp;'Coste multimodal'!D$46:D$1646,0))</f>
        <v>892870900.52860916</v>
      </c>
      <c r="I65" s="12" cm="1">
        <f t="array" aca="1" ref="I65" ca="1">INDEX('Tiempos intermodal (horas)'!E$45:E$1645,MATCH(C65&amp;D65,'Tiempos intermodal (horas)'!C$45:C$1645&amp;'Tiempos intermodal (horas)'!D$45:D$1645,0))</f>
        <v>22.24684892057585</v>
      </c>
      <c r="J65" s="2" cm="1">
        <f t="array" aca="1" ref="J65" ca="1">INDEX('Tiempos carretera (horas)'!E$45:E$1645,MATCH(C65&amp;D65,'Tiempos carretera (horas)'!C$45:C$1645&amp;'Tiempos carretera (horas)'!D$45:D$1645,0))</f>
        <v>4.92</v>
      </c>
      <c r="K65" s="12">
        <f t="shared" ca="1" si="0"/>
        <v>1.211889966964516</v>
      </c>
      <c r="L65" s="12">
        <f t="shared" ca="1" si="1"/>
        <v>23.360247838521335</v>
      </c>
      <c r="M65" s="12">
        <f t="shared" ca="1" si="2"/>
        <v>5.3036458379737923E-2</v>
      </c>
      <c r="N65" s="13">
        <f t="shared" ca="1" si="5"/>
        <v>-22.148357871556819</v>
      </c>
      <c r="O65" s="13">
        <f t="shared" ca="1" si="3"/>
        <v>-17.326848920575848</v>
      </c>
      <c r="P65" s="12">
        <f t="shared" ca="1" si="4"/>
        <v>2.8822810226090985</v>
      </c>
    </row>
    <row r="66" spans="1:16" x14ac:dyDescent="0.25">
      <c r="A66">
        <v>21</v>
      </c>
      <c r="B66">
        <v>34</v>
      </c>
      <c r="C66" s="2" t="s">
        <v>20</v>
      </c>
      <c r="D66" s="2" t="s">
        <v>33</v>
      </c>
      <c r="E66" s="11" cm="1">
        <f t="array" aca="1" ref="E66" ca="1">INDEX('OD flujo mercancia multimodal'!E$45:E$1645,MATCH(C66&amp;D66,'OD flujo mercancia multimodal'!C$45:C$1645&amp;'OD flujo mercancia multimodal'!D$45:D$1645,0))</f>
        <v>319966.84615384642</v>
      </c>
      <c r="F66" s="11" cm="1">
        <f t="array" aca="1" ref="F66" ca="1">INDEX('OD flujo mercancia carretera'!E$45:E$1646,MATCH(C66&amp;D66,'OD flujo mercancia carretera'!C$45:C$1646&amp;'OD flujo mercancia carretera'!D$45:D$1646,0))</f>
        <v>377073.38888888899</v>
      </c>
      <c r="G66" s="11" cm="1">
        <f t="array" aca="1" ref="G66" ca="1">INDEX('Coste Carretera'!E$46:E$1646,MATCH(C66&amp;D66,'Coste Carretera'!C$46:C$1646&amp;'Coste Carretera'!D$46:D$1646,0))</f>
        <v>1275451011.8399997</v>
      </c>
      <c r="H66" s="11" cm="1">
        <f t="array" aca="1" ref="H66" ca="1">INDEX('Coste multimodal'!E$46:E$1646,MATCH(C66&amp;D66,'Coste multimodal'!C$46:C$1646&amp;'Coste multimodal'!D$46:D$1646,0))</f>
        <v>3073596918.9834104</v>
      </c>
      <c r="I66" s="12" cm="1">
        <f t="array" aca="1" ref="I66" ca="1">INDEX('Tiempos intermodal (horas)'!E$45:E$1645,MATCH(C66&amp;D66,'Tiempos intermodal (horas)'!C$45:C$1645&amp;'Tiempos intermodal (horas)'!D$45:D$1645,0))</f>
        <v>21.69365599596178</v>
      </c>
      <c r="J66" s="2" cm="1">
        <f t="array" aca="1" ref="J66" ca="1">INDEX('Tiempos carretera (horas)'!E$45:E$1645,MATCH(C66&amp;D66,'Tiempos carretera (horas)'!C$45:C$1645&amp;'Tiempos carretera (horas)'!D$45:D$1645,0))</f>
        <v>3.68</v>
      </c>
      <c r="K66" s="12">
        <f t="shared" ca="1" si="0"/>
        <v>3.382500726445675</v>
      </c>
      <c r="L66" s="12">
        <f t="shared" ca="1" si="1"/>
        <v>9.6059856073512186</v>
      </c>
      <c r="M66" s="12">
        <f t="shared" ca="1" si="2"/>
        <v>0.45903640861453182</v>
      </c>
      <c r="N66" s="13">
        <f t="shared" ca="1" si="5"/>
        <v>-6.2234848809055432</v>
      </c>
      <c r="O66" s="13">
        <f t="shared" ca="1" si="3"/>
        <v>-18.013655995961781</v>
      </c>
      <c r="P66" s="12">
        <f t="shared" ca="1" si="4"/>
        <v>0.16422244933381874</v>
      </c>
    </row>
    <row r="67" spans="1:16" x14ac:dyDescent="0.25">
      <c r="A67">
        <v>34</v>
      </c>
      <c r="B67">
        <v>21</v>
      </c>
      <c r="C67" s="2" t="s">
        <v>33</v>
      </c>
      <c r="D67" s="2" t="s">
        <v>20</v>
      </c>
      <c r="E67" s="11" cm="1">
        <f t="array" aca="1" ref="E67" ca="1">INDEX('OD flujo mercancia multimodal'!E$45:E$1645,MATCH(C67&amp;D67,'OD flujo mercancia multimodal'!C$45:C$1645&amp;'OD flujo mercancia multimodal'!D$45:D$1645,0))</f>
        <v>161977.07692307694</v>
      </c>
      <c r="F67" s="11" cm="1">
        <f t="array" aca="1" ref="F67" ca="1">INDEX('OD flujo mercancia carretera'!E$45:E$1646,MATCH(C67&amp;D67,'OD flujo mercancia carretera'!C$45:C$1646&amp;'OD flujo mercancia carretera'!D$45:D$1646,0))</f>
        <v>381901.55982905952</v>
      </c>
      <c r="G67" s="11" cm="1">
        <f t="array" aca="1" ref="G67" ca="1">INDEX('Coste Carretera'!E$46:E$1646,MATCH(C67&amp;D67,'Coste Carretera'!C$46:C$1646&amp;'Coste Carretera'!D$46:D$1646,0))</f>
        <v>984967255.0400002</v>
      </c>
      <c r="H67" s="11" cm="1">
        <f t="array" aca="1" ref="H67" ca="1">INDEX('Coste multimodal'!E$46:E$1646,MATCH(C67&amp;D67,'Coste multimodal'!C$46:C$1646&amp;'Coste multimodal'!D$46:D$1646,0))</f>
        <v>3073596918.9834104</v>
      </c>
      <c r="I67" s="12" cm="1">
        <f t="array" aca="1" ref="I67" ca="1">INDEX('Tiempos intermodal (horas)'!E$45:E$1645,MATCH(C67&amp;D67,'Tiempos intermodal (horas)'!C$45:C$1645&amp;'Tiempos intermodal (horas)'!D$45:D$1645,0))</f>
        <v>21.69365599596178</v>
      </c>
      <c r="J67" s="2" cm="1">
        <f t="array" aca="1" ref="J67" ca="1">INDEX('Tiempos carretera (horas)'!E$45:E$1645,MATCH(C67&amp;D67,'Tiempos carretera (horas)'!C$45:C$1645&amp;'Tiempos carretera (horas)'!D$45:D$1645,0))</f>
        <v>3.68</v>
      </c>
      <c r="K67" s="12">
        <f t="shared" ref="K67:K130" ca="1" si="6">G67/(F67*1000)</f>
        <v>2.5791129407297393</v>
      </c>
      <c r="L67" s="12">
        <f t="shared" ref="L67:L130" ca="1" si="7">H67/(E67*1000)</f>
        <v>18.975505530594706</v>
      </c>
      <c r="M67" s="12">
        <f t="shared" ref="M67:M130" ca="1" si="8">E67/(E67+F67)</f>
        <v>0.29781842120210955</v>
      </c>
      <c r="N67" s="13">
        <f t="shared" ref="N67:N130" ca="1" si="9">K67-L67</f>
        <v>-16.396392589864966</v>
      </c>
      <c r="O67" s="13">
        <f t="shared" ref="O67:O130" ca="1" si="10">J67-I67</f>
        <v>-18.013655995961781</v>
      </c>
      <c r="P67" s="12">
        <f t="shared" ref="P67:P130" ca="1" si="11">LN(1/M67-1)</f>
        <v>0.85770805386907378</v>
      </c>
    </row>
    <row r="68" spans="1:16" x14ac:dyDescent="0.25">
      <c r="A68">
        <v>36</v>
      </c>
      <c r="B68">
        <v>34</v>
      </c>
      <c r="C68" s="2" t="s">
        <v>35</v>
      </c>
      <c r="D68" s="2" t="s">
        <v>33</v>
      </c>
      <c r="E68" s="11" cm="1">
        <f t="array" aca="1" ref="E68" ca="1">INDEX('OD flujo mercancia multimodal'!E$45:E$1645,MATCH(C68&amp;D68,'OD flujo mercancia multimodal'!C$45:C$1645&amp;'OD flujo mercancia multimodal'!D$45:D$1645,0))</f>
        <v>298885.53846153873</v>
      </c>
      <c r="F68" s="11" cm="1">
        <f t="array" aca="1" ref="F68" ca="1">INDEX('OD flujo mercancia carretera'!E$45:E$1646,MATCH(C68&amp;D68,'OD flujo mercancia carretera'!C$45:C$1646&amp;'OD flujo mercancia carretera'!D$45:D$1646,0))</f>
        <v>359687.31196581206</v>
      </c>
      <c r="G68" s="11" cm="1">
        <f t="array" aca="1" ref="G68" ca="1">INDEX('Coste Carretera'!E$46:E$1646,MATCH(C68&amp;D68,'Coste Carretera'!C$46:C$1646&amp;'Coste Carretera'!D$46:D$1646,0))</f>
        <v>415353644.31999981</v>
      </c>
      <c r="H68" s="11" cm="1">
        <f t="array" aca="1" ref="H68" ca="1">INDEX('Coste multimodal'!E$46:E$1646,MATCH(C68&amp;D68,'Coste multimodal'!C$46:C$1646&amp;'Coste multimodal'!D$46:D$1646,0))</f>
        <v>2216626453.0011215</v>
      </c>
      <c r="I68" s="12" cm="1">
        <f t="array" aca="1" ref="I68" ca="1">INDEX('Tiempos intermodal (horas)'!E$45:E$1645,MATCH(C68&amp;D68,'Tiempos intermodal (horas)'!C$45:C$1645&amp;'Tiempos intermodal (horas)'!D$45:D$1645,0))</f>
        <v>19.469199381876994</v>
      </c>
      <c r="J68" s="2" cm="1">
        <f t="array" aca="1" ref="J68" ca="1">INDEX('Tiempos carretera (horas)'!E$45:E$1645,MATCH(C68&amp;D68,'Tiempos carretera (horas)'!C$45:C$1645&amp;'Tiempos carretera (horas)'!D$45:D$1645,0))</f>
        <v>1.4</v>
      </c>
      <c r="K68" s="12">
        <f t="shared" ca="1" si="6"/>
        <v>1.1547631248095813</v>
      </c>
      <c r="L68" s="12">
        <f t="shared" ca="1" si="7"/>
        <v>7.4163054673398392</v>
      </c>
      <c r="M68" s="12">
        <f t="shared" ca="1" si="8"/>
        <v>0.45383823257759659</v>
      </c>
      <c r="N68" s="13">
        <f t="shared" ca="1" si="9"/>
        <v>-6.2615423425302579</v>
      </c>
      <c r="O68" s="13">
        <f t="shared" ca="1" si="10"/>
        <v>-18.069199381876995</v>
      </c>
      <c r="P68" s="12">
        <f t="shared" ca="1" si="11"/>
        <v>0.18517439055647958</v>
      </c>
    </row>
    <row r="69" spans="1:16" x14ac:dyDescent="0.25">
      <c r="A69">
        <v>34</v>
      </c>
      <c r="B69">
        <v>36</v>
      </c>
      <c r="C69" s="2" t="s">
        <v>33</v>
      </c>
      <c r="D69" s="2" t="s">
        <v>35</v>
      </c>
      <c r="E69" s="11" cm="1">
        <f t="array" aca="1" ref="E69" ca="1">INDEX('OD flujo mercancia multimodal'!E$45:E$1645,MATCH(C69&amp;D69,'OD flujo mercancia multimodal'!C$45:C$1645&amp;'OD flujo mercancia multimodal'!D$45:D$1645,0))</f>
        <v>128392.61538461539</v>
      </c>
      <c r="F69" s="11" cm="1">
        <f t="array" aca="1" ref="F69" ca="1">INDEX('OD flujo mercancia carretera'!E$45:E$1646,MATCH(C69&amp;D69,'OD flujo mercancia carretera'!C$45:C$1646&amp;'OD flujo mercancia carretera'!D$45:D$1646,0))</f>
        <v>365946.14957264962</v>
      </c>
      <c r="G69" s="11" cm="1">
        <f t="array" aca="1" ref="G69" ca="1">INDEX('Coste Carretera'!E$46:E$1646,MATCH(C69&amp;D69,'Coste Carretera'!C$46:C$1646&amp;'Coste Carretera'!D$46:D$1646,0))</f>
        <v>299258366.12000006</v>
      </c>
      <c r="H69" s="11" cm="1">
        <f t="array" aca="1" ref="H69" ca="1">INDEX('Coste multimodal'!E$46:E$1646,MATCH(C69&amp;D69,'Coste multimodal'!C$46:C$1646&amp;'Coste multimodal'!D$46:D$1646,0))</f>
        <v>2216626453.0011215</v>
      </c>
      <c r="I69" s="12" cm="1">
        <f t="array" aca="1" ref="I69" ca="1">INDEX('Tiempos intermodal (horas)'!E$45:E$1645,MATCH(C69&amp;D69,'Tiempos intermodal (horas)'!C$45:C$1645&amp;'Tiempos intermodal (horas)'!D$45:D$1645,0))</f>
        <v>19.469199381876994</v>
      </c>
      <c r="J69" s="2" cm="1">
        <f t="array" aca="1" ref="J69" ca="1">INDEX('Tiempos carretera (horas)'!E$45:E$1645,MATCH(C69&amp;D69,'Tiempos carretera (horas)'!C$45:C$1645&amp;'Tiempos carretera (horas)'!D$45:D$1645,0))</f>
        <v>1.4</v>
      </c>
      <c r="K69" s="12">
        <f t="shared" ca="1" si="6"/>
        <v>0.81776612889484623</v>
      </c>
      <c r="L69" s="12">
        <f t="shared" ca="1" si="7"/>
        <v>17.264438818081185</v>
      </c>
      <c r="M69" s="12">
        <f t="shared" ca="1" si="8"/>
        <v>0.25972597029835354</v>
      </c>
      <c r="N69" s="13">
        <f t="shared" ca="1" si="9"/>
        <v>-16.44667268918634</v>
      </c>
      <c r="O69" s="13">
        <f t="shared" ca="1" si="10"/>
        <v>-18.069199381876995</v>
      </c>
      <c r="P69" s="12">
        <f t="shared" ca="1" si="11"/>
        <v>1.0473933132401085</v>
      </c>
    </row>
    <row r="70" spans="1:16" x14ac:dyDescent="0.25">
      <c r="A70">
        <v>19</v>
      </c>
      <c r="B70">
        <v>5</v>
      </c>
      <c r="C70" s="2" t="s">
        <v>18</v>
      </c>
      <c r="D70" s="2" t="s">
        <v>4</v>
      </c>
      <c r="E70" s="11" cm="1">
        <f t="array" aca="1" ref="E70" ca="1">INDEX('OD flujo mercancia multimodal'!E$45:E$1645,MATCH(C70&amp;D70,'OD flujo mercancia multimodal'!C$45:C$1645&amp;'OD flujo mercancia multimodal'!D$45:D$1645,0))</f>
        <v>66684.565934065977</v>
      </c>
      <c r="F70" s="11" cm="1">
        <f t="array" aca="1" ref="F70" ca="1">INDEX('OD flujo mercancia carretera'!E$45:E$1646,MATCH(C70&amp;D70,'OD flujo mercancia carretera'!C$45:C$1646&amp;'OD flujo mercancia carretera'!D$45:D$1646,0))</f>
        <v>102891.4615384615</v>
      </c>
      <c r="G70" s="11" cm="1">
        <f t="array" aca="1" ref="G70" ca="1">INDEX('Coste Carretera'!E$46:E$1646,MATCH(C70&amp;D70,'Coste Carretera'!C$46:C$1646&amp;'Coste Carretera'!D$46:D$1646,0))</f>
        <v>3908537117.5885739</v>
      </c>
      <c r="H70" s="11" cm="1">
        <f t="array" aca="1" ref="H70" ca="1">INDEX('Coste multimodal'!E$46:E$1646,MATCH(C70&amp;D70,'Coste multimodal'!C$46:C$1646&amp;'Coste multimodal'!D$46:D$1646,0))</f>
        <v>593072965.67800093</v>
      </c>
      <c r="I70" s="12" cm="1">
        <f t="array" aca="1" ref="I70" ca="1">INDEX('Tiempos intermodal (horas)'!E$45:E$1645,MATCH(C70&amp;D70,'Tiempos intermodal (horas)'!C$45:C$1645&amp;'Tiempos intermodal (horas)'!D$45:D$1645,0))</f>
        <v>40.38431391792183</v>
      </c>
      <c r="J70" s="2" cm="1">
        <f t="array" aca="1" ref="J70" ca="1">INDEX('Tiempos carretera (horas)'!E$45:E$1645,MATCH(C70&amp;D70,'Tiempos carretera (horas)'!C$45:C$1645&amp;'Tiempos carretera (horas)'!D$45:D$1645,0))</f>
        <v>11.86</v>
      </c>
      <c r="K70" s="12">
        <f t="shared" ca="1" si="6"/>
        <v>37.986991915043767</v>
      </c>
      <c r="L70" s="12">
        <f t="shared" ca="1" si="7"/>
        <v>8.8937066226748609</v>
      </c>
      <c r="M70" s="12">
        <f t="shared" ca="1" si="8"/>
        <v>0.39324288301817517</v>
      </c>
      <c r="N70" s="13">
        <f t="shared" ca="1" si="9"/>
        <v>29.093285292368904</v>
      </c>
      <c r="O70" s="13">
        <f t="shared" ca="1" si="10"/>
        <v>-28.52431391792183</v>
      </c>
      <c r="P70" s="12">
        <f t="shared" ca="1" si="11"/>
        <v>0.43370113029668256</v>
      </c>
    </row>
    <row r="71" spans="1:16" x14ac:dyDescent="0.25">
      <c r="A71">
        <v>35</v>
      </c>
      <c r="B71">
        <v>2</v>
      </c>
      <c r="C71" s="2" t="s">
        <v>34</v>
      </c>
      <c r="D71" s="2" t="s">
        <v>1</v>
      </c>
      <c r="E71" s="11" cm="1">
        <f t="array" aca="1" ref="E71" ca="1">INDEX('OD flujo mercancia multimodal'!E$45:E$1645,MATCH(C71&amp;D71,'OD flujo mercancia multimodal'!C$45:C$1645&amp;'OD flujo mercancia multimodal'!D$45:D$1645,0))</f>
        <v>30963.37912087909</v>
      </c>
      <c r="F71" s="11" cm="1">
        <f t="array" aca="1" ref="F71" ca="1">INDEX('OD flujo mercancia carretera'!E$45:E$1646,MATCH(C71&amp;D71,'OD flujo mercancia carretera'!C$45:C$1646&amp;'OD flujo mercancia carretera'!D$45:D$1646,0))</f>
        <v>53043.615384615419</v>
      </c>
      <c r="G71" s="11" cm="1">
        <f t="array" aca="1" ref="G71" ca="1">INDEX('Coste Carretera'!E$46:E$1646,MATCH(C71&amp;D71,'Coste Carretera'!C$46:C$1646&amp;'Coste Carretera'!D$46:D$1646,0))</f>
        <v>1394527583.8</v>
      </c>
      <c r="H71" s="11" cm="1">
        <f t="array" aca="1" ref="H71" ca="1">INDEX('Coste multimodal'!E$46:E$1646,MATCH(C71&amp;D71,'Coste multimodal'!C$46:C$1646&amp;'Coste multimodal'!D$46:D$1646,0))</f>
        <v>2378544138.4011211</v>
      </c>
      <c r="I71" s="12" cm="1">
        <f t="array" aca="1" ref="I71" ca="1">INDEX('Tiempos intermodal (horas)'!E$45:E$1645,MATCH(C71&amp;D71,'Tiempos intermodal (horas)'!C$45:C$1645&amp;'Tiempos intermodal (horas)'!D$45:D$1645,0))</f>
        <v>20.151421604099216</v>
      </c>
      <c r="J71" s="2" cm="1">
        <f t="array" aca="1" ref="J71" ca="1">INDEX('Tiempos carretera (horas)'!E$45:E$1645,MATCH(C71&amp;D71,'Tiempos carretera (horas)'!C$45:C$1645&amp;'Tiempos carretera (horas)'!D$45:D$1645,0))</f>
        <v>1.98</v>
      </c>
      <c r="K71" s="12">
        <f t="shared" ca="1" si="6"/>
        <v>26.290206157487216</v>
      </c>
      <c r="L71" s="12">
        <f t="shared" ca="1" si="7"/>
        <v>76.817976782037704</v>
      </c>
      <c r="M71" s="12">
        <f t="shared" ca="1" si="8"/>
        <v>0.36858096522967404</v>
      </c>
      <c r="N71" s="13">
        <f t="shared" ca="1" si="9"/>
        <v>-50.527770624550485</v>
      </c>
      <c r="O71" s="13">
        <f t="shared" ca="1" si="10"/>
        <v>-18.171421604099216</v>
      </c>
      <c r="P71" s="12">
        <f t="shared" ca="1" si="11"/>
        <v>0.53830931941769966</v>
      </c>
    </row>
    <row r="72" spans="1:16" x14ac:dyDescent="0.25">
      <c r="A72">
        <v>2</v>
      </c>
      <c r="B72">
        <v>35</v>
      </c>
      <c r="C72" s="2" t="s">
        <v>1</v>
      </c>
      <c r="D72" s="2" t="s">
        <v>34</v>
      </c>
      <c r="E72" s="11" cm="1">
        <f t="array" aca="1" ref="E72" ca="1">INDEX('OD flujo mercancia multimodal'!E$45:E$1645,MATCH(C72&amp;D72,'OD flujo mercancia multimodal'!C$45:C$1645&amp;'OD flujo mercancia multimodal'!D$45:D$1645,0))</f>
        <v>29515.615384615401</v>
      </c>
      <c r="F72" s="11" cm="1">
        <f t="array" aca="1" ref="F72" ca="1">INDEX('OD flujo mercancia carretera'!E$45:E$1646,MATCH(C72&amp;D72,'OD flujo mercancia carretera'!C$45:C$1646&amp;'OD flujo mercancia carretera'!D$45:D$1646,0))</f>
        <v>54068.538461538497</v>
      </c>
      <c r="G72" s="11" cm="1">
        <f t="array" aca="1" ref="G72" ca="1">INDEX('Coste Carretera'!E$46:E$1646,MATCH(C72&amp;D72,'Coste Carretera'!C$46:C$1646&amp;'Coste Carretera'!D$46:D$1646,0))</f>
        <v>2898153913.2000022</v>
      </c>
      <c r="H72" s="11" cm="1">
        <f t="array" aca="1" ref="H72" ca="1">INDEX('Coste multimodal'!E$46:E$1646,MATCH(C72&amp;D72,'Coste multimodal'!C$46:C$1646&amp;'Coste multimodal'!D$46:D$1646,0))</f>
        <v>2378544138.4011211</v>
      </c>
      <c r="I72" s="12" cm="1">
        <f t="array" aca="1" ref="I72" ca="1">INDEX('Tiempos intermodal (horas)'!E$45:E$1645,MATCH(C72&amp;D72,'Tiempos intermodal (horas)'!C$45:C$1645&amp;'Tiempos intermodal (horas)'!D$45:D$1645,0))</f>
        <v>20.151421604099216</v>
      </c>
      <c r="J72" s="2" cm="1">
        <f t="array" aca="1" ref="J72" ca="1">INDEX('Tiempos carretera (horas)'!E$45:E$1645,MATCH(C72&amp;D72,'Tiempos carretera (horas)'!C$45:C$1645&amp;'Tiempos carretera (horas)'!D$45:D$1645,0))</f>
        <v>1.98</v>
      </c>
      <c r="K72" s="12">
        <f t="shared" ca="1" si="6"/>
        <v>53.601484258014409</v>
      </c>
      <c r="L72" s="12">
        <f t="shared" ca="1" si="7"/>
        <v>80.585957887258004</v>
      </c>
      <c r="M72" s="12">
        <f t="shared" ca="1" si="8"/>
        <v>0.3531245340946112</v>
      </c>
      <c r="N72" s="13">
        <f t="shared" ca="1" si="9"/>
        <v>-26.984473629243595</v>
      </c>
      <c r="O72" s="13">
        <f t="shared" ca="1" si="10"/>
        <v>-18.171421604099216</v>
      </c>
      <c r="P72" s="12">
        <f t="shared" ca="1" si="11"/>
        <v>0.60533301417194618</v>
      </c>
    </row>
    <row r="73" spans="1:16" x14ac:dyDescent="0.25">
      <c r="A73">
        <v>9</v>
      </c>
      <c r="B73">
        <v>34</v>
      </c>
      <c r="C73" s="2" t="s">
        <v>148</v>
      </c>
      <c r="D73" s="2" t="s">
        <v>33</v>
      </c>
      <c r="E73" s="11" cm="1">
        <f t="array" aca="1" ref="E73" ca="1">INDEX('OD flujo mercancia multimodal'!E$45:E$1645,MATCH(C73&amp;D73,'OD flujo mercancia multimodal'!C$45:C$1645&amp;'OD flujo mercancia multimodal'!D$45:D$1645,0))</f>
        <v>297694.80769230798</v>
      </c>
      <c r="F73" s="11" cm="1">
        <f t="array" aca="1" ref="F73" ca="1">INDEX('OD flujo mercancia carretera'!E$45:E$1646,MATCH(C73&amp;D73,'OD flujo mercancia carretera'!C$45:C$1646&amp;'OD flujo mercancia carretera'!D$45:D$1646,0))</f>
        <v>842236.68589743611</v>
      </c>
      <c r="G73" s="11" cm="1">
        <f t="array" aca="1" ref="G73" ca="1">INDEX('Coste Carretera'!E$46:E$1646,MATCH(C73&amp;D73,'Coste Carretera'!C$46:C$1646&amp;'Coste Carretera'!D$46:D$1646,0))</f>
        <v>919502745.57999945</v>
      </c>
      <c r="H73" s="11" cm="1">
        <f t="array" aca="1" ref="H73" ca="1">INDEX('Coste multimodal'!E$46:E$1646,MATCH(C73&amp;D73,'Coste multimodal'!C$46:C$1646&amp;'Coste multimodal'!D$46:D$1646,0))</f>
        <v>2999149589.6291213</v>
      </c>
      <c r="I73" s="12" cm="1">
        <f t="array" aca="1" ref="I73" ca="1">INDEX('Tiempos intermodal (horas)'!E$45:E$1645,MATCH(C73&amp;D73,'Tiempos intermodal (horas)'!C$45:C$1645&amp;'Tiempos intermodal (horas)'!D$45:D$1645,0))</f>
        <v>21.310310492988105</v>
      </c>
      <c r="J73" s="2" cm="1">
        <f t="array" aca="1" ref="J73" ca="1">INDEX('Tiempos carretera (horas)'!E$45:E$1645,MATCH(C73&amp;D73,'Tiempos carretera (horas)'!C$45:C$1645&amp;'Tiempos carretera (horas)'!D$45:D$1645,0))</f>
        <v>3</v>
      </c>
      <c r="K73" s="12">
        <f t="shared" ca="1" si="6"/>
        <v>1.0917391286515064</v>
      </c>
      <c r="L73" s="12">
        <f t="shared" ca="1" si="7"/>
        <v>10.074578098550475</v>
      </c>
      <c r="M73" s="12">
        <f t="shared" ca="1" si="8"/>
        <v>0.26115148968719248</v>
      </c>
      <c r="N73" s="13">
        <f t="shared" ca="1" si="9"/>
        <v>-8.9828389698989692</v>
      </c>
      <c r="O73" s="13">
        <f t="shared" ca="1" si="10"/>
        <v>-18.310310492988105</v>
      </c>
      <c r="P73" s="12">
        <f t="shared" ca="1" si="11"/>
        <v>1.0399922479220396</v>
      </c>
    </row>
    <row r="74" spans="1:16" x14ac:dyDescent="0.25">
      <c r="A74">
        <v>34</v>
      </c>
      <c r="B74">
        <v>9</v>
      </c>
      <c r="C74" s="2" t="s">
        <v>33</v>
      </c>
      <c r="D74" s="2" t="s">
        <v>148</v>
      </c>
      <c r="E74" s="11" cm="1">
        <f t="array" aca="1" ref="E74" ca="1">INDEX('OD flujo mercancia multimodal'!E$45:E$1645,MATCH(C74&amp;D74,'OD flujo mercancia multimodal'!C$45:C$1645&amp;'OD flujo mercancia multimodal'!D$45:D$1645,0))</f>
        <v>125270.22377622378</v>
      </c>
      <c r="F74" s="11" cm="1">
        <f t="array" aca="1" ref="F74" ca="1">INDEX('OD flujo mercancia carretera'!E$45:E$1646,MATCH(C74&amp;D74,'OD flujo mercancia carretera'!C$45:C$1646&amp;'OD flujo mercancia carretera'!D$45:D$1646,0))</f>
        <v>844752.84829059849</v>
      </c>
      <c r="G74" s="11" cm="1">
        <f t="array" aca="1" ref="G74" ca="1">INDEX('Coste Carretera'!E$46:E$1646,MATCH(C74&amp;D74,'Coste Carretera'!C$46:C$1646&amp;'Coste Carretera'!D$46:D$1646,0))</f>
        <v>434489809.48363632</v>
      </c>
      <c r="H74" s="11" cm="1">
        <f t="array" aca="1" ref="H74" ca="1">INDEX('Coste multimodal'!E$46:E$1646,MATCH(C74&amp;D74,'Coste multimodal'!C$46:C$1646&amp;'Coste multimodal'!D$46:D$1646,0))</f>
        <v>2999149589.6291213</v>
      </c>
      <c r="I74" s="12" cm="1">
        <f t="array" aca="1" ref="I74" ca="1">INDEX('Tiempos intermodal (horas)'!E$45:E$1645,MATCH(C74&amp;D74,'Tiempos intermodal (horas)'!C$45:C$1645&amp;'Tiempos intermodal (horas)'!D$45:D$1645,0))</f>
        <v>21.310310492988105</v>
      </c>
      <c r="J74" s="2" cm="1">
        <f t="array" aca="1" ref="J74" ca="1">INDEX('Tiempos carretera (horas)'!E$45:E$1645,MATCH(C74&amp;D74,'Tiempos carretera (horas)'!C$45:C$1645&amp;'Tiempos carretera (horas)'!D$45:D$1645,0))</f>
        <v>3</v>
      </c>
      <c r="K74" s="12">
        <f t="shared" ca="1" si="6"/>
        <v>0.51433956140289927</v>
      </c>
      <c r="L74" s="12">
        <f t="shared" ca="1" si="7"/>
        <v>23.94144034568539</v>
      </c>
      <c r="M74" s="12">
        <f t="shared" ca="1" si="8"/>
        <v>0.12914148888161109</v>
      </c>
      <c r="N74" s="13">
        <f t="shared" ca="1" si="9"/>
        <v>-23.427100784282491</v>
      </c>
      <c r="O74" s="13">
        <f t="shared" ca="1" si="10"/>
        <v>-18.310310492988105</v>
      </c>
      <c r="P74" s="12">
        <f t="shared" ca="1" si="11"/>
        <v>1.9085709031386042</v>
      </c>
    </row>
    <row r="75" spans="1:16" x14ac:dyDescent="0.25">
      <c r="A75">
        <v>3</v>
      </c>
      <c r="B75">
        <v>19</v>
      </c>
      <c r="C75" s="2" t="s">
        <v>2</v>
      </c>
      <c r="D75" s="2" t="s">
        <v>18</v>
      </c>
      <c r="E75" s="11" cm="1">
        <f t="array" aca="1" ref="E75" ca="1">INDEX('OD flujo mercancia multimodal'!E$45:E$1645,MATCH(C75&amp;D75,'OD flujo mercancia multimodal'!C$45:C$1645&amp;'OD flujo mercancia multimodal'!D$45:D$1645,0))</f>
        <v>16265.494505494509</v>
      </c>
      <c r="F75" s="11" cm="1">
        <f t="array" aca="1" ref="F75" ca="1">INDEX('OD flujo mercancia carretera'!E$45:E$1646,MATCH(C75&amp;D75,'OD flujo mercancia carretera'!C$45:C$1646&amp;'OD flujo mercancia carretera'!D$45:D$1646,0))</f>
        <v>128854.15384615383</v>
      </c>
      <c r="G75" s="11" cm="1">
        <f t="array" aca="1" ref="G75" ca="1">INDEX('Coste Carretera'!E$46:E$1646,MATCH(C75&amp;D75,'Coste Carretera'!C$46:C$1646&amp;'Coste Carretera'!D$46:D$1646,0))</f>
        <v>410900874.05714297</v>
      </c>
      <c r="H75" s="11" cm="1">
        <f t="array" aca="1" ref="H75" ca="1">INDEX('Coste multimodal'!E$46:E$1646,MATCH(C75&amp;D75,'Coste multimodal'!C$46:C$1646&amp;'Coste multimodal'!D$46:D$1646,0))</f>
        <v>309062565.07384074</v>
      </c>
      <c r="I75" s="12" cm="1">
        <f t="array" aca="1" ref="I75" ca="1">INDEX('Tiempos intermodal (horas)'!E$45:E$1645,MATCH(C75&amp;D75,'Tiempos intermodal (horas)'!C$45:C$1645&amp;'Tiempos intermodal (horas)'!D$45:D$1645,0))</f>
        <v>23.461803248316677</v>
      </c>
      <c r="J75" s="2" cm="1">
        <f t="array" aca="1" ref="J75" ca="1">INDEX('Tiempos carretera (horas)'!E$45:E$1645,MATCH(C75&amp;D75,'Tiempos carretera (horas)'!C$45:C$1645&amp;'Tiempos carretera (horas)'!D$45:D$1645,0))</f>
        <v>5.0599999999999996</v>
      </c>
      <c r="K75" s="12">
        <f t="shared" ca="1" si="6"/>
        <v>3.1888834142494193</v>
      </c>
      <c r="L75" s="12">
        <f t="shared" ca="1" si="7"/>
        <v>19.001117056074683</v>
      </c>
      <c r="M75" s="12">
        <f t="shared" ca="1" si="8"/>
        <v>0.11208333737193596</v>
      </c>
      <c r="N75" s="13">
        <f t="shared" ca="1" si="9"/>
        <v>-15.812233641825264</v>
      </c>
      <c r="O75" s="13">
        <f t="shared" ca="1" si="10"/>
        <v>-18.401803248316678</v>
      </c>
      <c r="P75" s="12">
        <f t="shared" ca="1" si="11"/>
        <v>2.0696352119162338</v>
      </c>
    </row>
    <row r="76" spans="1:16" x14ac:dyDescent="0.25">
      <c r="A76">
        <v>1</v>
      </c>
      <c r="B76">
        <v>35</v>
      </c>
      <c r="C76" s="2" t="s">
        <v>0</v>
      </c>
      <c r="D76" s="2" t="s">
        <v>34</v>
      </c>
      <c r="E76" s="11" cm="1">
        <f t="array" aca="1" ref="E76" ca="1">INDEX('OD flujo mercancia multimodal'!E$45:E$1645,MATCH(C76&amp;D76,'OD flujo mercancia multimodal'!C$45:C$1645&amp;'OD flujo mercancia multimodal'!D$45:D$1645,0))</f>
        <v>108715.68681318684</v>
      </c>
      <c r="F76" s="11" cm="1">
        <f t="array" aca="1" ref="F76" ca="1">INDEX('OD flujo mercancia carretera'!E$45:E$1646,MATCH(C76&amp;D76,'OD flujo mercancia carretera'!C$45:C$1646&amp;'OD flujo mercancia carretera'!D$45:D$1646,0))</f>
        <v>63500.538461538497</v>
      </c>
      <c r="G76" s="11" cm="1">
        <f t="array" aca="1" ref="G76" ca="1">INDEX('Coste Carretera'!E$46:E$1646,MATCH(C76&amp;D76,'Coste Carretera'!C$46:C$1646&amp;'Coste Carretera'!D$46:D$1646,0))</f>
        <v>2510438793.9285736</v>
      </c>
      <c r="H76" s="11" cm="1">
        <f t="array" aca="1" ref="H76" ca="1">INDEX('Coste multimodal'!E$46:E$1646,MATCH(C76&amp;D76,'Coste multimodal'!C$46:C$1646&amp;'Coste multimodal'!D$46:D$1646,0))</f>
        <v>2502075606.9625497</v>
      </c>
      <c r="I76" s="12" cm="1">
        <f t="array" aca="1" ref="I76" ca="1">INDEX('Tiempos intermodal (horas)'!E$45:E$1645,MATCH(C76&amp;D76,'Tiempos intermodal (horas)'!C$45:C$1645&amp;'Tiempos intermodal (horas)'!D$45:D$1645,0))</f>
        <v>19.77364382632144</v>
      </c>
      <c r="J76" s="2" cm="1">
        <f t="array" aca="1" ref="J76" ca="1">INDEX('Tiempos carretera (horas)'!E$45:E$1645,MATCH(C76&amp;D76,'Tiempos carretera (horas)'!C$45:C$1645&amp;'Tiempos carretera (horas)'!D$45:D$1645,0))</f>
        <v>1.38</v>
      </c>
      <c r="K76" s="12">
        <f t="shared" ca="1" si="6"/>
        <v>39.534133957763459</v>
      </c>
      <c r="L76" s="12">
        <f t="shared" ca="1" si="7"/>
        <v>23.014853516604528</v>
      </c>
      <c r="M76" s="12">
        <f t="shared" ca="1" si="8"/>
        <v>0.63127435663950815</v>
      </c>
      <c r="N76" s="13">
        <f t="shared" ca="1" si="9"/>
        <v>16.51928044115893</v>
      </c>
      <c r="O76" s="13">
        <f t="shared" ca="1" si="10"/>
        <v>-18.393643826321441</v>
      </c>
      <c r="P76" s="12">
        <f t="shared" ca="1" si="11"/>
        <v>-0.53768771105189894</v>
      </c>
    </row>
    <row r="77" spans="1:16" x14ac:dyDescent="0.25">
      <c r="A77">
        <v>35</v>
      </c>
      <c r="B77">
        <v>1</v>
      </c>
      <c r="C77" s="2" t="s">
        <v>34</v>
      </c>
      <c r="D77" s="2" t="s">
        <v>0</v>
      </c>
      <c r="E77" s="11" cm="1">
        <f t="array" aca="1" ref="E77" ca="1">INDEX('OD flujo mercancia multimodal'!E$45:E$1645,MATCH(C77&amp;D77,'OD flujo mercancia multimodal'!C$45:C$1645&amp;'OD flujo mercancia multimodal'!D$45:D$1645,0))</f>
        <v>12224.379120879092</v>
      </c>
      <c r="F77" s="11" cm="1">
        <f t="array" aca="1" ref="F77" ca="1">INDEX('OD flujo mercancia carretera'!E$45:E$1646,MATCH(C77&amp;D77,'OD flujo mercancia carretera'!C$45:C$1646&amp;'OD flujo mercancia carretera'!D$45:D$1646,0))</f>
        <v>62655.230769230817</v>
      </c>
      <c r="G77" s="11" cm="1">
        <f t="array" aca="1" ref="G77" ca="1">INDEX('Coste Carretera'!E$46:E$1646,MATCH(C77&amp;D77,'Coste Carretera'!C$46:C$1646&amp;'Coste Carretera'!D$46:D$1646,0))</f>
        <v>1425608398.9285715</v>
      </c>
      <c r="H77" s="11" cm="1">
        <f t="array" aca="1" ref="H77" ca="1">INDEX('Coste multimodal'!E$46:E$1646,MATCH(C77&amp;D77,'Coste multimodal'!C$46:C$1646&amp;'Coste multimodal'!D$46:D$1646,0))</f>
        <v>2502075606.9625497</v>
      </c>
      <c r="I77" s="12" cm="1">
        <f t="array" aca="1" ref="I77" ca="1">INDEX('Tiempos intermodal (horas)'!E$45:E$1645,MATCH(C77&amp;D77,'Tiempos intermodal (horas)'!C$45:C$1645&amp;'Tiempos intermodal (horas)'!D$45:D$1645,0))</f>
        <v>19.77364382632144</v>
      </c>
      <c r="J77" s="2" cm="1">
        <f t="array" aca="1" ref="J77" ca="1">INDEX('Tiempos carretera (horas)'!E$45:E$1645,MATCH(C77&amp;D77,'Tiempos carretera (horas)'!C$45:C$1645&amp;'Tiempos carretera (horas)'!D$45:D$1645,0))</f>
        <v>1.38</v>
      </c>
      <c r="K77" s="12">
        <f t="shared" ca="1" si="6"/>
        <v>22.753222379458052</v>
      </c>
      <c r="L77" s="12">
        <f t="shared" ca="1" si="7"/>
        <v>204.67915648076024</v>
      </c>
      <c r="M77" s="12">
        <f t="shared" ca="1" si="8"/>
        <v>0.16325377681346184</v>
      </c>
      <c r="N77" s="13">
        <f t="shared" ca="1" si="9"/>
        <v>-181.92593410130218</v>
      </c>
      <c r="O77" s="13">
        <f t="shared" ca="1" si="10"/>
        <v>-18.393643826321441</v>
      </c>
      <c r="P77" s="12">
        <f t="shared" ca="1" si="11"/>
        <v>1.6342149233708414</v>
      </c>
    </row>
    <row r="78" spans="1:16" x14ac:dyDescent="0.25">
      <c r="A78">
        <v>18</v>
      </c>
      <c r="B78">
        <v>15</v>
      </c>
      <c r="C78" s="2" t="s">
        <v>17</v>
      </c>
      <c r="D78" s="2" t="s">
        <v>14</v>
      </c>
      <c r="E78" s="11" cm="1">
        <f t="array" aca="1" ref="E78" ca="1">INDEX('OD flujo mercancia multimodal'!E$45:E$1645,MATCH(C78&amp;D78,'OD flujo mercancia multimodal'!C$45:C$1645&amp;'OD flujo mercancia multimodal'!D$45:D$1645,0))</f>
        <v>54446.384615384581</v>
      </c>
      <c r="F78" s="11" cm="1">
        <f t="array" aca="1" ref="F78" ca="1">INDEX('OD flujo mercancia carretera'!E$45:E$1646,MATCH(C78&amp;D78,'OD flujo mercancia carretera'!C$45:C$1646&amp;'OD flujo mercancia carretera'!D$45:D$1646,0))</f>
        <v>347936.0769230774</v>
      </c>
      <c r="G78" s="11" cm="1">
        <f t="array" aca="1" ref="G78" ca="1">INDEX('Coste Carretera'!E$46:E$1646,MATCH(C78&amp;D78,'Coste Carretera'!C$46:C$1646&amp;'Coste Carretera'!D$46:D$1646,0))</f>
        <v>1601333507.1999989</v>
      </c>
      <c r="H78" s="11" cm="1">
        <f t="array" aca="1" ref="H78" ca="1">INDEX('Coste multimodal'!E$46:E$1646,MATCH(C78&amp;D78,'Coste multimodal'!C$46:C$1646&amp;'Coste multimodal'!D$46:D$1646,0))</f>
        <v>407168111.44</v>
      </c>
      <c r="I78" s="12" cm="1">
        <f t="array" aca="1" ref="I78" ca="1">INDEX('Tiempos intermodal (horas)'!E$45:E$1645,MATCH(C78&amp;D78,'Tiempos intermodal (horas)'!C$45:C$1645&amp;'Tiempos intermodal (horas)'!D$45:D$1645,0))</f>
        <v>0</v>
      </c>
      <c r="J78" s="2" cm="1">
        <f t="array" aca="1" ref="J78" ca="1">INDEX('Tiempos carretera (horas)'!E$45:E$1645,MATCH(C78&amp;D78,'Tiempos carretera (horas)'!C$45:C$1645&amp;'Tiempos carretera (horas)'!D$45:D$1645,0))</f>
        <v>6.01</v>
      </c>
      <c r="K78" s="12">
        <f t="shared" ca="1" si="6"/>
        <v>4.60237846377174</v>
      </c>
      <c r="L78" s="12">
        <f t="shared" ca="1" si="7"/>
        <v>7.4783314689539369</v>
      </c>
      <c r="M78" s="12">
        <f t="shared" ca="1" si="8"/>
        <v>0.1353100341580874</v>
      </c>
      <c r="N78" s="13">
        <f t="shared" ca="1" si="9"/>
        <v>-2.8759530051821969</v>
      </c>
      <c r="O78" s="13">
        <f t="shared" ca="1" si="10"/>
        <v>6.01</v>
      </c>
      <c r="P78" s="12">
        <f t="shared" ca="1" si="11"/>
        <v>1.8548023269730083</v>
      </c>
    </row>
    <row r="79" spans="1:16" x14ac:dyDescent="0.25">
      <c r="A79">
        <v>15</v>
      </c>
      <c r="B79">
        <v>18</v>
      </c>
      <c r="C79" s="2" t="s">
        <v>14</v>
      </c>
      <c r="D79" s="2" t="s">
        <v>17</v>
      </c>
      <c r="E79" s="11" cm="1">
        <f t="array" aca="1" ref="E79" ca="1">INDEX('OD flujo mercancia multimodal'!E$45:E$1645,MATCH(C79&amp;D79,'OD flujo mercancia multimodal'!C$45:C$1645&amp;'OD flujo mercancia multimodal'!D$45:D$1645,0))</f>
        <v>50000.538461538432</v>
      </c>
      <c r="F79" s="11" cm="1">
        <f t="array" aca="1" ref="F79" ca="1">INDEX('OD flujo mercancia carretera'!E$45:E$1646,MATCH(C79&amp;D79,'OD flujo mercancia carretera'!C$45:C$1646&amp;'OD flujo mercancia carretera'!D$45:D$1646,0))</f>
        <v>348016.30769230775</v>
      </c>
      <c r="G79" s="11" cm="1">
        <f t="array" aca="1" ref="G79" ca="1">INDEX('Coste Carretera'!E$46:E$1646,MATCH(C79&amp;D79,'Coste Carretera'!C$46:C$1646&amp;'Coste Carretera'!D$46:D$1646,0))</f>
        <v>1470575836.799999</v>
      </c>
      <c r="H79" s="11" cm="1">
        <f t="array" aca="1" ref="H79" ca="1">INDEX('Coste multimodal'!E$46:E$1646,MATCH(C79&amp;D79,'Coste multimodal'!C$46:C$1646&amp;'Coste multimodal'!D$46:D$1646,0))</f>
        <v>407168111.44</v>
      </c>
      <c r="I79" s="12" cm="1">
        <f t="array" aca="1" ref="I79" ca="1">INDEX('Tiempos intermodal (horas)'!E$45:E$1645,MATCH(C79&amp;D79,'Tiempos intermodal (horas)'!C$45:C$1645&amp;'Tiempos intermodal (horas)'!D$45:D$1645,0))</f>
        <v>0</v>
      </c>
      <c r="J79" s="2" cm="1">
        <f t="array" aca="1" ref="J79" ca="1">INDEX('Tiempos carretera (horas)'!E$45:E$1645,MATCH(C79&amp;D79,'Tiempos carretera (horas)'!C$45:C$1645&amp;'Tiempos carretera (horas)'!D$45:D$1645,0))</f>
        <v>6.01</v>
      </c>
      <c r="K79" s="12">
        <f t="shared" ca="1" si="6"/>
        <v>4.2255946181124981</v>
      </c>
      <c r="L79" s="12">
        <f t="shared" ca="1" si="7"/>
        <v>8.1432745319973527</v>
      </c>
      <c r="M79" s="12">
        <f t="shared" ca="1" si="8"/>
        <v>0.125624176324968</v>
      </c>
      <c r="N79" s="13">
        <f t="shared" ca="1" si="9"/>
        <v>-3.9176799138848546</v>
      </c>
      <c r="O79" s="13">
        <f t="shared" ca="1" si="10"/>
        <v>6.01</v>
      </c>
      <c r="P79" s="12">
        <f t="shared" ca="1" si="11"/>
        <v>1.9402155652603887</v>
      </c>
    </row>
    <row r="80" spans="1:16" x14ac:dyDescent="0.25">
      <c r="A80">
        <v>37</v>
      </c>
      <c r="B80">
        <v>11</v>
      </c>
      <c r="C80" s="2" t="s">
        <v>36</v>
      </c>
      <c r="D80" s="2" t="s">
        <v>10</v>
      </c>
      <c r="E80" s="11" cm="1">
        <f t="array" aca="1" ref="E80" ca="1">INDEX('OD flujo mercancia multimodal'!E$45:E$1645,MATCH(C80&amp;D80,'OD flujo mercancia multimodal'!C$45:C$1645&amp;'OD flujo mercancia multimodal'!D$45:D$1645,0))</f>
        <v>26844.538461538446</v>
      </c>
      <c r="F80" s="11" cm="1">
        <f t="array" aca="1" ref="F80" ca="1">INDEX('OD flujo mercancia carretera'!E$45:E$1646,MATCH(C80&amp;D80,'OD flujo mercancia carretera'!C$45:C$1646&amp;'OD flujo mercancia carretera'!D$45:D$1646,0))</f>
        <v>179322.5750915751</v>
      </c>
      <c r="G80" s="11" cm="1">
        <f t="array" aca="1" ref="G80" ca="1">INDEX('Coste Carretera'!E$46:E$1646,MATCH(C80&amp;D80,'Coste Carretera'!C$46:C$1646&amp;'Coste Carretera'!D$46:D$1646,0))</f>
        <v>279673217.75999981</v>
      </c>
      <c r="H80" s="11" cm="1">
        <f t="array" aca="1" ref="H80" ca="1">INDEX('Coste multimodal'!E$46:E$1646,MATCH(C80&amp;D80,'Coste multimodal'!C$46:C$1646&amp;'Coste multimodal'!D$46:D$1646,0))</f>
        <v>141574974.02849257</v>
      </c>
      <c r="I80" s="12" cm="1">
        <f t="array" aca="1" ref="I80" ca="1">INDEX('Tiempos intermodal (horas)'!E$45:E$1645,MATCH(C80&amp;D80,'Tiempos intermodal (horas)'!C$45:C$1645&amp;'Tiempos intermodal (horas)'!D$45:D$1645,0))</f>
        <v>0</v>
      </c>
      <c r="J80" s="2" cm="1">
        <f t="array" aca="1" ref="J80" ca="1">INDEX('Tiempos carretera (horas)'!E$45:E$1645,MATCH(C80&amp;D80,'Tiempos carretera (horas)'!C$45:C$1645&amp;'Tiempos carretera (horas)'!D$45:D$1645,0))</f>
        <v>2.4300000000000002</v>
      </c>
      <c r="K80" s="12">
        <f t="shared" ca="1" si="6"/>
        <v>1.5596096454513795</v>
      </c>
      <c r="L80" s="12">
        <f t="shared" ca="1" si="7"/>
        <v>5.2738837075308389</v>
      </c>
      <c r="M80" s="12">
        <f t="shared" ca="1" si="8"/>
        <v>0.13020766502909134</v>
      </c>
      <c r="N80" s="13">
        <f t="shared" ca="1" si="9"/>
        <v>-3.7142740620794594</v>
      </c>
      <c r="O80" s="13">
        <f t="shared" ca="1" si="10"/>
        <v>2.4300000000000002</v>
      </c>
      <c r="P80" s="12">
        <f t="shared" ca="1" si="11"/>
        <v>1.8991238884877966</v>
      </c>
    </row>
    <row r="81" spans="1:16" x14ac:dyDescent="0.25">
      <c r="A81">
        <v>11</v>
      </c>
      <c r="B81">
        <v>37</v>
      </c>
      <c r="C81" s="2" t="s">
        <v>10</v>
      </c>
      <c r="D81" s="2" t="s">
        <v>36</v>
      </c>
      <c r="E81" s="11" cm="1">
        <f t="array" aca="1" ref="E81" ca="1">INDEX('OD flujo mercancia multimodal'!E$45:E$1645,MATCH(C81&amp;D81,'OD flujo mercancia multimodal'!C$45:C$1645&amp;'OD flujo mercancia multimodal'!D$45:D$1645,0))</f>
        <v>20832.61538461543</v>
      </c>
      <c r="F81" s="11" cm="1">
        <f t="array" aca="1" ref="F81" ca="1">INDEX('OD flujo mercancia carretera'!E$45:E$1646,MATCH(C81&amp;D81,'OD flujo mercancia carretera'!C$45:C$1646&amp;'OD flujo mercancia carretera'!D$45:D$1646,0))</f>
        <v>183859.65750915749</v>
      </c>
      <c r="G81" s="11" cm="1">
        <f t="array" aca="1" ref="G81" ca="1">INDEX('Coste Carretera'!E$46:E$1646,MATCH(C81&amp;D81,'Coste Carretera'!C$46:C$1646&amp;'Coste Carretera'!D$46:D$1646,0))</f>
        <v>172596702.23999995</v>
      </c>
      <c r="H81" s="11" cm="1">
        <f t="array" aca="1" ref="H81" ca="1">INDEX('Coste multimodal'!E$46:E$1646,MATCH(C81&amp;D81,'Coste multimodal'!C$46:C$1646&amp;'Coste multimodal'!D$46:D$1646,0))</f>
        <v>141574974.02849257</v>
      </c>
      <c r="I81" s="12" cm="1">
        <f t="array" aca="1" ref="I81" ca="1">INDEX('Tiempos intermodal (horas)'!E$45:E$1645,MATCH(C81&amp;D81,'Tiempos intermodal (horas)'!C$45:C$1645&amp;'Tiempos intermodal (horas)'!D$45:D$1645,0))</f>
        <v>0</v>
      </c>
      <c r="J81" s="2" cm="1">
        <f t="array" aca="1" ref="J81" ca="1">INDEX('Tiempos carretera (horas)'!E$45:E$1645,MATCH(C81&amp;D81,'Tiempos carretera (horas)'!C$45:C$1645&amp;'Tiempos carretera (horas)'!D$45:D$1645,0))</f>
        <v>2.4300000000000002</v>
      </c>
      <c r="K81" s="12">
        <f t="shared" ca="1" si="6"/>
        <v>0.93874156287604005</v>
      </c>
      <c r="L81" s="12">
        <f t="shared" ca="1" si="7"/>
        <v>6.7958329482261526</v>
      </c>
      <c r="M81" s="12">
        <f t="shared" ca="1" si="8"/>
        <v>0.10177528975618304</v>
      </c>
      <c r="N81" s="13">
        <f t="shared" ca="1" si="9"/>
        <v>-5.8570913853501123</v>
      </c>
      <c r="O81" s="13">
        <f t="shared" ca="1" si="10"/>
        <v>2.4300000000000002</v>
      </c>
      <c r="P81" s="12">
        <f t="shared" ca="1" si="11"/>
        <v>2.1776529297112917</v>
      </c>
    </row>
    <row r="82" spans="1:16" x14ac:dyDescent="0.25">
      <c r="A82">
        <v>13</v>
      </c>
      <c r="B82">
        <v>23</v>
      </c>
      <c r="C82" s="2" t="s">
        <v>12</v>
      </c>
      <c r="D82" s="2" t="s">
        <v>22</v>
      </c>
      <c r="E82" s="11" cm="1">
        <f t="array" aca="1" ref="E82" ca="1">INDEX('OD flujo mercancia multimodal'!E$45:E$1645,MATCH(C82&amp;D82,'OD flujo mercancia multimodal'!C$45:C$1645&amp;'OD flujo mercancia multimodal'!D$45:D$1645,0))</f>
        <v>8231.5384615384646</v>
      </c>
      <c r="F82" s="11" cm="1">
        <f t="array" aca="1" ref="F82" ca="1">INDEX('OD flujo mercancia carretera'!E$45:E$1646,MATCH(C82&amp;D82,'OD flujo mercancia carretera'!C$45:C$1646&amp;'OD flujo mercancia carretera'!D$45:D$1646,0))</f>
        <v>133228.97435897469</v>
      </c>
      <c r="G82" s="11" cm="1">
        <f t="array" aca="1" ref="G82" ca="1">INDEX('Coste Carretera'!E$46:E$1646,MATCH(C82&amp;D82,'Coste Carretera'!C$46:C$1646&amp;'Coste Carretera'!D$46:D$1646,0))</f>
        <v>389520680.40000015</v>
      </c>
      <c r="H82" s="11" cm="1">
        <f t="array" aca="1" ref="H82" ca="1">INDEX('Coste multimodal'!E$46:E$1646,MATCH(C82&amp;D82,'Coste multimodal'!C$46:C$1646&amp;'Coste multimodal'!D$46:D$1646,0))</f>
        <v>107034191.64022188</v>
      </c>
      <c r="I82" s="12" cm="1">
        <f t="array" aca="1" ref="I82" ca="1">INDEX('Tiempos intermodal (horas)'!E$45:E$1645,MATCH(C82&amp;D82,'Tiempos intermodal (horas)'!C$45:C$1645&amp;'Tiempos intermodal (horas)'!D$45:D$1645,0))</f>
        <v>28.282622065180416</v>
      </c>
      <c r="J82" s="2" cm="1">
        <f t="array" aca="1" ref="J82" ca="1">INDEX('Tiempos carretera (horas)'!E$45:E$1645,MATCH(C82&amp;D82,'Tiempos carretera (horas)'!C$45:C$1645&amp;'Tiempos carretera (horas)'!D$45:D$1645,0))</f>
        <v>9.32</v>
      </c>
      <c r="K82" s="12">
        <f t="shared" ca="1" si="6"/>
        <v>2.9236934553775682</v>
      </c>
      <c r="L82" s="12">
        <f t="shared" ca="1" si="7"/>
        <v>13.002938896578673</v>
      </c>
      <c r="M82" s="12">
        <f t="shared" ca="1" si="8"/>
        <v>5.8189655172413673E-2</v>
      </c>
      <c r="N82" s="13">
        <f t="shared" ca="1" si="9"/>
        <v>-10.079245441201104</v>
      </c>
      <c r="O82" s="13">
        <f t="shared" ca="1" si="10"/>
        <v>-18.962622065180415</v>
      </c>
      <c r="P82" s="12">
        <f t="shared" ca="1" si="11"/>
        <v>2.784096329091263</v>
      </c>
    </row>
    <row r="83" spans="1:16" x14ac:dyDescent="0.25">
      <c r="A83">
        <v>23</v>
      </c>
      <c r="B83">
        <v>13</v>
      </c>
      <c r="C83" s="2" t="s">
        <v>22</v>
      </c>
      <c r="D83" s="2" t="s">
        <v>12</v>
      </c>
      <c r="E83" s="11" cm="1">
        <f t="array" aca="1" ref="E83" ca="1">INDEX('OD flujo mercancia multimodal'!E$45:E$1645,MATCH(C83&amp;D83,'OD flujo mercancia multimodal'!C$45:C$1645&amp;'OD flujo mercancia multimodal'!D$45:D$1645,0))</f>
        <v>4100.9230769230817</v>
      </c>
      <c r="F83" s="11" cm="1">
        <f t="array" aca="1" ref="F83" ca="1">INDEX('OD flujo mercancia carretera'!E$45:E$1646,MATCH(C83&amp;D83,'OD flujo mercancia carretera'!C$45:C$1646&amp;'OD flujo mercancia carretera'!D$45:D$1646,0))</f>
        <v>128740.20512820517</v>
      </c>
      <c r="G83" s="11" cm="1">
        <f t="array" aca="1" ref="G83" ca="1">INDEX('Coste Carretera'!E$46:E$1646,MATCH(C83&amp;D83,'Coste Carretera'!C$46:C$1646&amp;'Coste Carretera'!D$46:D$1646,0))</f>
        <v>194057812.4800002</v>
      </c>
      <c r="H83" s="11" cm="1">
        <f t="array" aca="1" ref="H83" ca="1">INDEX('Coste multimodal'!E$46:E$1646,MATCH(C83&amp;D83,'Coste multimodal'!C$46:C$1646&amp;'Coste multimodal'!D$46:D$1646,0))</f>
        <v>107034191.64022188</v>
      </c>
      <c r="I83" s="12" cm="1">
        <f t="array" aca="1" ref="I83" ca="1">INDEX('Tiempos intermodal (horas)'!E$45:E$1645,MATCH(C83&amp;D83,'Tiempos intermodal (horas)'!C$45:C$1645&amp;'Tiempos intermodal (horas)'!D$45:D$1645,0))</f>
        <v>28.282622065180416</v>
      </c>
      <c r="J83" s="2" cm="1">
        <f t="array" aca="1" ref="J83" ca="1">INDEX('Tiempos carretera (horas)'!E$45:E$1645,MATCH(C83&amp;D83,'Tiempos carretera (horas)'!C$45:C$1645&amp;'Tiempos carretera (horas)'!D$45:D$1645,0))</f>
        <v>9.32</v>
      </c>
      <c r="K83" s="12">
        <f t="shared" ca="1" si="6"/>
        <v>1.5073598203975898</v>
      </c>
      <c r="L83" s="12">
        <f t="shared" ca="1" si="7"/>
        <v>26.10002422199285</v>
      </c>
      <c r="M83" s="12">
        <f t="shared" ca="1" si="8"/>
        <v>3.0870884133041926E-2</v>
      </c>
      <c r="N83" s="13">
        <f t="shared" ca="1" si="9"/>
        <v>-24.592664401595261</v>
      </c>
      <c r="O83" s="13">
        <f t="shared" ca="1" si="10"/>
        <v>-18.962622065180415</v>
      </c>
      <c r="P83" s="12">
        <f t="shared" ca="1" si="11"/>
        <v>3.446584370892892</v>
      </c>
    </row>
    <row r="84" spans="1:16" x14ac:dyDescent="0.25">
      <c r="A84">
        <v>19</v>
      </c>
      <c r="B84">
        <v>21</v>
      </c>
      <c r="C84" s="2" t="s">
        <v>18</v>
      </c>
      <c r="D84" s="2" t="s">
        <v>20</v>
      </c>
      <c r="E84" s="11" cm="1">
        <f t="array" aca="1" ref="E84" ca="1">INDEX('OD flujo mercancia multimodal'!E$45:E$1645,MATCH(C84&amp;D84,'OD flujo mercancia multimodal'!C$45:C$1645&amp;'OD flujo mercancia multimodal'!D$45:D$1645,0))</f>
        <v>39112.23076923078</v>
      </c>
      <c r="F84" s="11" cm="1">
        <f t="array" aca="1" ref="F84" ca="1">INDEX('OD flujo mercancia carretera'!E$45:E$1646,MATCH(C84&amp;D84,'OD flujo mercancia carretera'!C$45:C$1646&amp;'OD flujo mercancia carretera'!D$45:D$1646,0))</f>
        <v>147306.33333333299</v>
      </c>
      <c r="G84" s="11" cm="1">
        <f t="array" aca="1" ref="G84" ca="1">INDEX('Coste Carretera'!E$46:E$1646,MATCH(C84&amp;D84,'Coste Carretera'!C$46:C$1646&amp;'Coste Carretera'!D$46:D$1646,0))</f>
        <v>860699056.84000015</v>
      </c>
      <c r="H84" s="11" cm="1">
        <f t="array" aca="1" ref="H84" ca="1">INDEX('Coste multimodal'!E$46:E$1646,MATCH(C84&amp;D84,'Coste multimodal'!C$46:C$1646&amp;'Coste multimodal'!D$46:D$1646,0))</f>
        <v>569630375.8013823</v>
      </c>
      <c r="I84" s="12" cm="1">
        <f t="array" aca="1" ref="I84" ca="1">INDEX('Tiempos intermodal (horas)'!E$45:E$1645,MATCH(C84&amp;D84,'Tiempos intermodal (horas)'!C$45:C$1645&amp;'Tiempos intermodal (horas)'!D$45:D$1645,0))</f>
        <v>23.453819058071744</v>
      </c>
      <c r="J84" s="2" cm="1">
        <f t="array" aca="1" ref="J84" ca="1">INDEX('Tiempos carretera (horas)'!E$45:E$1645,MATCH(C84&amp;D84,'Tiempos carretera (horas)'!C$45:C$1645&amp;'Tiempos carretera (horas)'!D$45:D$1645,0))</f>
        <v>4.42</v>
      </c>
      <c r="K84" s="12">
        <f t="shared" ca="1" si="6"/>
        <v>5.8429195633589108</v>
      </c>
      <c r="L84" s="12">
        <f t="shared" ca="1" si="7"/>
        <v>14.563996085068741</v>
      </c>
      <c r="M84" s="12">
        <f t="shared" ca="1" si="8"/>
        <v>0.209808668774597</v>
      </c>
      <c r="N84" s="13">
        <f t="shared" ca="1" si="9"/>
        <v>-8.7210765217098292</v>
      </c>
      <c r="O84" s="13">
        <f t="shared" ca="1" si="10"/>
        <v>-19.033819058071742</v>
      </c>
      <c r="P84" s="12">
        <f t="shared" ca="1" si="11"/>
        <v>1.3260790932227569</v>
      </c>
    </row>
    <row r="85" spans="1:16" x14ac:dyDescent="0.25">
      <c r="A85">
        <v>21</v>
      </c>
      <c r="B85">
        <v>19</v>
      </c>
      <c r="C85" s="2" t="s">
        <v>20</v>
      </c>
      <c r="D85" s="2" t="s">
        <v>18</v>
      </c>
      <c r="E85" s="11" cm="1">
        <f t="array" aca="1" ref="E85" ca="1">INDEX('OD flujo mercancia multimodal'!E$45:E$1645,MATCH(C85&amp;D85,'OD flujo mercancia multimodal'!C$45:C$1645&amp;'OD flujo mercancia multimodal'!D$45:D$1645,0))</f>
        <v>24477.461538461543</v>
      </c>
      <c r="F85" s="11" cm="1">
        <f t="array" aca="1" ref="F85" ca="1">INDEX('OD flujo mercancia carretera'!E$45:E$1646,MATCH(C85&amp;D85,'OD flujo mercancia carretera'!C$45:C$1646&amp;'OD flujo mercancia carretera'!D$45:D$1646,0))</f>
        <v>201318.3846153846</v>
      </c>
      <c r="G85" s="11" cm="1">
        <f t="array" aca="1" ref="G85" ca="1">INDEX('Coste Carretera'!E$46:E$1646,MATCH(C85&amp;D85,'Coste Carretera'!C$46:C$1646&amp;'Coste Carretera'!D$46:D$1646,0))</f>
        <v>538648081.32000005</v>
      </c>
      <c r="H85" s="11" cm="1">
        <f t="array" aca="1" ref="H85" ca="1">INDEX('Coste multimodal'!E$46:E$1646,MATCH(C85&amp;D85,'Coste multimodal'!C$46:C$1646&amp;'Coste multimodal'!D$46:D$1646,0))</f>
        <v>569630375.8013823</v>
      </c>
      <c r="I85" s="12" cm="1">
        <f t="array" aca="1" ref="I85" ca="1">INDEX('Tiempos intermodal (horas)'!E$45:E$1645,MATCH(C85&amp;D85,'Tiempos intermodal (horas)'!C$45:C$1645&amp;'Tiempos intermodal (horas)'!D$45:D$1645,0))</f>
        <v>23.453819058071744</v>
      </c>
      <c r="J85" s="2" cm="1">
        <f t="array" aca="1" ref="J85" ca="1">INDEX('Tiempos carretera (horas)'!E$45:E$1645,MATCH(C85&amp;D85,'Tiempos carretera (horas)'!C$45:C$1645&amp;'Tiempos carretera (horas)'!D$45:D$1645,0))</f>
        <v>4.42</v>
      </c>
      <c r="K85" s="12">
        <f t="shared" ca="1" si="6"/>
        <v>2.675603037194433</v>
      </c>
      <c r="L85" s="12">
        <f t="shared" ca="1" si="7"/>
        <v>23.271627856766095</v>
      </c>
      <c r="M85" s="12">
        <f t="shared" ca="1" si="8"/>
        <v>0.10840527828746598</v>
      </c>
      <c r="N85" s="13">
        <f t="shared" ca="1" si="9"/>
        <v>-20.59602481957166</v>
      </c>
      <c r="O85" s="13">
        <f t="shared" ca="1" si="10"/>
        <v>-19.033819058071742</v>
      </c>
      <c r="P85" s="12">
        <f t="shared" ca="1" si="11"/>
        <v>2.1071349009679485</v>
      </c>
    </row>
    <row r="86" spans="1:16" x14ac:dyDescent="0.25">
      <c r="A86">
        <v>35</v>
      </c>
      <c r="B86">
        <v>21</v>
      </c>
      <c r="C86" s="2" t="s">
        <v>34</v>
      </c>
      <c r="D86" s="2" t="s">
        <v>20</v>
      </c>
      <c r="E86" s="11" cm="1">
        <f t="array" aca="1" ref="E86" ca="1">INDEX('OD flujo mercancia multimodal'!E$45:E$1645,MATCH(C86&amp;D86,'OD flujo mercancia multimodal'!C$45:C$1645&amp;'OD flujo mercancia multimodal'!D$45:D$1645,0))</f>
        <v>47048.61538461539</v>
      </c>
      <c r="F86" s="11" cm="1">
        <f t="array" aca="1" ref="F86" ca="1">INDEX('OD flujo mercancia carretera'!E$45:E$1646,MATCH(C86&amp;D86,'OD flujo mercancia carretera'!C$45:C$1646&amp;'OD flujo mercancia carretera'!D$45:D$1646,0))</f>
        <v>121399.7179487176</v>
      </c>
      <c r="G86" s="11" cm="1">
        <f t="array" aca="1" ref="G86" ca="1">INDEX('Coste Carretera'!E$46:E$1646,MATCH(C86&amp;D86,'Coste Carretera'!C$46:C$1646&amp;'Coste Carretera'!D$46:D$1646,0))</f>
        <v>2441519354.9599996</v>
      </c>
      <c r="H86" s="11" cm="1">
        <f t="array" aca="1" ref="H86" ca="1">INDEX('Coste multimodal'!E$46:E$1646,MATCH(C86&amp;D86,'Coste multimodal'!C$46:C$1646&amp;'Coste multimodal'!D$46:D$1646,0))</f>
        <v>2443862310.0554104</v>
      </c>
      <c r="I86" s="12" cm="1">
        <f t="array" aca="1" ref="I86" ca="1">INDEX('Tiempos intermodal (horas)'!E$45:E$1645,MATCH(C86&amp;D86,'Tiempos intermodal (horas)'!C$45:C$1645&amp;'Tiempos intermodal (horas)'!D$45:D$1645,0))</f>
        <v>22.618100440406227</v>
      </c>
      <c r="J86" s="2" cm="1">
        <f t="array" aca="1" ref="J86" ca="1">INDEX('Tiempos carretera (horas)'!E$45:E$1645,MATCH(C86&amp;D86,'Tiempos carretera (horas)'!C$45:C$1645&amp;'Tiempos carretera (horas)'!D$45:D$1645,0))</f>
        <v>3.55</v>
      </c>
      <c r="K86" s="12">
        <f t="shared" ca="1" si="6"/>
        <v>20.111408792492917</v>
      </c>
      <c r="L86" s="12">
        <f t="shared" ca="1" si="7"/>
        <v>51.943341798205999</v>
      </c>
      <c r="M86" s="12">
        <f t="shared" ca="1" si="8"/>
        <v>0.27930591210726624</v>
      </c>
      <c r="N86" s="13">
        <f t="shared" ca="1" si="9"/>
        <v>-31.831933005713083</v>
      </c>
      <c r="O86" s="13">
        <f t="shared" ca="1" si="10"/>
        <v>-19.068100440406226</v>
      </c>
      <c r="P86" s="12">
        <f t="shared" ca="1" si="11"/>
        <v>0.94790711829719365</v>
      </c>
    </row>
    <row r="87" spans="1:16" x14ac:dyDescent="0.25">
      <c r="A87">
        <v>21</v>
      </c>
      <c r="B87">
        <v>35</v>
      </c>
      <c r="C87" s="2" t="s">
        <v>20</v>
      </c>
      <c r="D87" s="2" t="s">
        <v>34</v>
      </c>
      <c r="E87" s="11" cm="1">
        <f t="array" aca="1" ref="E87" ca="1">INDEX('OD flujo mercancia multimodal'!E$45:E$1645,MATCH(C87&amp;D87,'OD flujo mercancia multimodal'!C$45:C$1645&amp;'OD flujo mercancia multimodal'!D$45:D$1645,0))</f>
        <v>46285.153846153858</v>
      </c>
      <c r="F87" s="11" cm="1">
        <f t="array" aca="1" ref="F87" ca="1">INDEX('OD flujo mercancia carretera'!E$45:E$1646,MATCH(C87&amp;D87,'OD flujo mercancia carretera'!C$45:C$1646&amp;'OD flujo mercancia carretera'!D$45:D$1646,0))</f>
        <v>125483.5384615385</v>
      </c>
      <c r="G87" s="11" cm="1">
        <f t="array" aca="1" ref="G87" ca="1">INDEX('Coste Carretera'!E$46:E$1646,MATCH(C87&amp;D87,'Coste Carretera'!C$46:C$1646&amp;'Coste Carretera'!D$46:D$1646,0))</f>
        <v>4822937064.1200037</v>
      </c>
      <c r="H87" s="11" cm="1">
        <f t="array" aca="1" ref="H87" ca="1">INDEX('Coste multimodal'!E$46:E$1646,MATCH(C87&amp;D87,'Coste multimodal'!C$46:C$1646&amp;'Coste multimodal'!D$46:D$1646,0))</f>
        <v>2443862310.0554104</v>
      </c>
      <c r="I87" s="12" cm="1">
        <f t="array" aca="1" ref="I87" ca="1">INDEX('Tiempos intermodal (horas)'!E$45:E$1645,MATCH(C87&amp;D87,'Tiempos intermodal (horas)'!C$45:C$1645&amp;'Tiempos intermodal (horas)'!D$45:D$1645,0))</f>
        <v>22.618100440406227</v>
      </c>
      <c r="J87" s="2" cm="1">
        <f t="array" aca="1" ref="J87" ca="1">INDEX('Tiempos carretera (horas)'!E$45:E$1645,MATCH(C87&amp;D87,'Tiempos carretera (horas)'!C$45:C$1645&amp;'Tiempos carretera (horas)'!D$45:D$1645,0))</f>
        <v>3.55</v>
      </c>
      <c r="K87" s="12">
        <f t="shared" ca="1" si="6"/>
        <v>38.43481880771369</v>
      </c>
      <c r="L87" s="12">
        <f t="shared" ca="1" si="7"/>
        <v>52.800133670906817</v>
      </c>
      <c r="M87" s="12">
        <f t="shared" ca="1" si="8"/>
        <v>0.26946210758385714</v>
      </c>
      <c r="N87" s="13">
        <f t="shared" ca="1" si="9"/>
        <v>-14.365314863193127</v>
      </c>
      <c r="O87" s="13">
        <f t="shared" ca="1" si="10"/>
        <v>-19.068100440406226</v>
      </c>
      <c r="P87" s="12">
        <f t="shared" ca="1" si="11"/>
        <v>0.99735332392986609</v>
      </c>
    </row>
    <row r="88" spans="1:16" x14ac:dyDescent="0.25">
      <c r="A88">
        <v>26</v>
      </c>
      <c r="B88">
        <v>18</v>
      </c>
      <c r="C88" s="2" t="s">
        <v>25</v>
      </c>
      <c r="D88" s="2" t="s">
        <v>17</v>
      </c>
      <c r="E88" s="11" cm="1">
        <f t="array" aca="1" ref="E88" ca="1">INDEX('OD flujo mercancia multimodal'!E$45:E$1645,MATCH(C88&amp;D88,'OD flujo mercancia multimodal'!C$45:C$1645&amp;'OD flujo mercancia multimodal'!D$45:D$1645,0))</f>
        <v>24906.076923076893</v>
      </c>
      <c r="F88" s="11" cm="1">
        <f t="array" aca="1" ref="F88" ca="1">INDEX('OD flujo mercancia carretera'!E$45:E$1646,MATCH(C88&amp;D88,'OD flujo mercancia carretera'!C$45:C$1646&amp;'OD flujo mercancia carretera'!D$45:D$1646,0))</f>
        <v>99904.38461538461</v>
      </c>
      <c r="G88" s="11" cm="1">
        <f t="array" aca="1" ref="G88" ca="1">INDEX('Coste Carretera'!E$46:E$1646,MATCH(C88&amp;D88,'Coste Carretera'!C$46:C$1646&amp;'Coste Carretera'!D$46:D$1646,0))</f>
        <v>1175952376.8399985</v>
      </c>
      <c r="H88" s="11" cm="1">
        <f t="array" aca="1" ref="H88" ca="1">INDEX('Coste multimodal'!E$46:E$1646,MATCH(C88&amp;D88,'Coste multimodal'!C$46:C$1646&amp;'Coste multimodal'!D$46:D$1646,0))</f>
        <v>155188871.47999999</v>
      </c>
      <c r="I88" s="12" cm="1">
        <f t="array" aca="1" ref="I88" ca="1">INDEX('Tiempos intermodal (horas)'!E$45:E$1645,MATCH(C88&amp;D88,'Tiempos intermodal (horas)'!C$45:C$1645&amp;'Tiempos intermodal (horas)'!D$45:D$1645,0))</f>
        <v>0</v>
      </c>
      <c r="J88" s="2" cm="1">
        <f t="array" aca="1" ref="J88" ca="1">INDEX('Tiempos carretera (horas)'!E$45:E$1645,MATCH(C88&amp;D88,'Tiempos carretera (horas)'!C$45:C$1645&amp;'Tiempos carretera (horas)'!D$45:D$1645,0))</f>
        <v>9.23</v>
      </c>
      <c r="K88" s="12">
        <f t="shared" ca="1" si="6"/>
        <v>11.770778443480944</v>
      </c>
      <c r="L88" s="12">
        <f t="shared" ca="1" si="7"/>
        <v>6.2309641120640995</v>
      </c>
      <c r="M88" s="12">
        <f t="shared" ca="1" si="8"/>
        <v>0.19955119639872379</v>
      </c>
      <c r="N88" s="13">
        <f t="shared" ca="1" si="9"/>
        <v>5.5398143314168449</v>
      </c>
      <c r="O88" s="13">
        <f t="shared" ca="1" si="10"/>
        <v>9.23</v>
      </c>
      <c r="P88" s="12">
        <f t="shared" ca="1" si="11"/>
        <v>1.3891017479051</v>
      </c>
    </row>
    <row r="89" spans="1:16" x14ac:dyDescent="0.25">
      <c r="A89">
        <v>18</v>
      </c>
      <c r="B89">
        <v>26</v>
      </c>
      <c r="C89" s="2" t="s">
        <v>17</v>
      </c>
      <c r="D89" s="2" t="s">
        <v>25</v>
      </c>
      <c r="E89" s="11" cm="1">
        <f t="array" aca="1" ref="E89" ca="1">INDEX('OD flujo mercancia multimodal'!E$45:E$1645,MATCH(C89&amp;D89,'OD flujo mercancia multimodal'!C$45:C$1645&amp;'OD flujo mercancia multimodal'!D$45:D$1645,0))</f>
        <v>10996.384615384613</v>
      </c>
      <c r="F89" s="11" cm="1">
        <f t="array" aca="1" ref="F89" ca="1">INDEX('OD flujo mercancia carretera'!E$45:E$1646,MATCH(C89&amp;D89,'OD flujo mercancia carretera'!C$45:C$1646&amp;'OD flujo mercancia carretera'!D$45:D$1646,0))</f>
        <v>102246.61538461538</v>
      </c>
      <c r="G89" s="11" cm="1">
        <f t="array" aca="1" ref="G89" ca="1">INDEX('Coste Carretera'!E$46:E$1646,MATCH(C89&amp;D89,'Coste Carretera'!C$46:C$1646&amp;'Coste Carretera'!D$46:D$1646,0))</f>
        <v>519199577.87999994</v>
      </c>
      <c r="H89" s="11" cm="1">
        <f t="array" aca="1" ref="H89" ca="1">INDEX('Coste multimodal'!E$46:E$1646,MATCH(C89&amp;D89,'Coste multimodal'!C$46:C$1646&amp;'Coste multimodal'!D$46:D$1646,0))</f>
        <v>155188871.47999999</v>
      </c>
      <c r="I89" s="12" cm="1">
        <f t="array" aca="1" ref="I89" ca="1">INDEX('Tiempos intermodal (horas)'!E$45:E$1645,MATCH(C89&amp;D89,'Tiempos intermodal (horas)'!C$45:C$1645&amp;'Tiempos intermodal (horas)'!D$45:D$1645,0))</f>
        <v>0</v>
      </c>
      <c r="J89" s="2" cm="1">
        <f t="array" aca="1" ref="J89" ca="1">INDEX('Tiempos carretera (horas)'!E$45:E$1645,MATCH(C89&amp;D89,'Tiempos carretera (horas)'!C$45:C$1645&amp;'Tiempos carretera (horas)'!D$45:D$1645,0))</f>
        <v>9.23</v>
      </c>
      <c r="K89" s="12">
        <f t="shared" ca="1" si="6"/>
        <v>5.0779145688779614</v>
      </c>
      <c r="L89" s="12">
        <f t="shared" ca="1" si="7"/>
        <v>14.112717671122677</v>
      </c>
      <c r="M89" s="12">
        <f t="shared" ca="1" si="8"/>
        <v>9.7104320932725335E-2</v>
      </c>
      <c r="N89" s="13">
        <f t="shared" ca="1" si="9"/>
        <v>-9.0348031022447159</v>
      </c>
      <c r="O89" s="13">
        <f t="shared" ca="1" si="10"/>
        <v>9.23</v>
      </c>
      <c r="P89" s="12">
        <f t="shared" ca="1" si="11"/>
        <v>2.2298211455566537</v>
      </c>
    </row>
    <row r="90" spans="1:16" x14ac:dyDescent="0.25">
      <c r="A90">
        <v>13</v>
      </c>
      <c r="B90">
        <v>25</v>
      </c>
      <c r="C90" s="2" t="s">
        <v>12</v>
      </c>
      <c r="D90" s="2" t="s">
        <v>24</v>
      </c>
      <c r="E90" s="11" cm="1">
        <f t="array" aca="1" ref="E90" ca="1">INDEX('OD flujo mercancia multimodal'!E$45:E$1645,MATCH(C90&amp;D90,'OD flujo mercancia multimodal'!C$45:C$1645&amp;'OD flujo mercancia multimodal'!D$45:D$1645,0))</f>
        <v>6998.5384615384646</v>
      </c>
      <c r="F90" s="11" cm="1">
        <f t="array" aca="1" ref="F90" ca="1">INDEX('OD flujo mercancia carretera'!E$45:E$1646,MATCH(C90&amp;D90,'OD flujo mercancia carretera'!C$45:C$1646&amp;'OD flujo mercancia carretera'!D$45:D$1646,0))</f>
        <v>83648.641025640987</v>
      </c>
      <c r="G90" s="11" cm="1">
        <f t="array" aca="1" ref="G90" ca="1">INDEX('Coste Carretera'!E$46:E$1646,MATCH(C90&amp;D90,'Coste Carretera'!C$46:C$1646&amp;'Coste Carretera'!D$46:D$1646,0))</f>
        <v>235608036.84000009</v>
      </c>
      <c r="H90" s="11" cm="1">
        <f t="array" aca="1" ref="H90" ca="1">INDEX('Coste multimodal'!E$46:E$1646,MATCH(C90&amp;D90,'Coste multimodal'!C$46:C$1646&amp;'Coste multimodal'!D$46:D$1646,0))</f>
        <v>39974989.140221886</v>
      </c>
      <c r="I90" s="12" cm="1">
        <f t="array" aca="1" ref="I90" ca="1">INDEX('Tiempos intermodal (horas)'!E$45:E$1645,MATCH(C90&amp;D90,'Tiempos intermodal (horas)'!C$45:C$1645&amp;'Tiempos intermodal (horas)'!D$45:D$1645,0))</f>
        <v>26.232622065180415</v>
      </c>
      <c r="J90" s="2" cm="1">
        <f t="array" aca="1" ref="J90" ca="1">INDEX('Tiempos carretera (horas)'!E$45:E$1645,MATCH(C90&amp;D90,'Tiempos carretera (horas)'!C$45:C$1645&amp;'Tiempos carretera (horas)'!D$45:D$1645,0))</f>
        <v>7.06</v>
      </c>
      <c r="K90" s="12">
        <f t="shared" ca="1" si="6"/>
        <v>2.8166391462089462</v>
      </c>
      <c r="L90" s="12">
        <f t="shared" ca="1" si="7"/>
        <v>5.7119053299357478</v>
      </c>
      <c r="M90" s="12">
        <f t="shared" ca="1" si="8"/>
        <v>7.7206356569851045E-2</v>
      </c>
      <c r="N90" s="13">
        <f t="shared" ca="1" si="9"/>
        <v>-2.8952661837268017</v>
      </c>
      <c r="O90" s="13">
        <f t="shared" ca="1" si="10"/>
        <v>-19.172622065180416</v>
      </c>
      <c r="P90" s="12">
        <f t="shared" ca="1" si="11"/>
        <v>2.4809238452965934</v>
      </c>
    </row>
    <row r="91" spans="1:16" x14ac:dyDescent="0.25">
      <c r="A91">
        <v>25</v>
      </c>
      <c r="B91">
        <v>13</v>
      </c>
      <c r="C91" s="2" t="s">
        <v>24</v>
      </c>
      <c r="D91" s="2" t="s">
        <v>12</v>
      </c>
      <c r="E91" s="11" cm="1">
        <f t="array" aca="1" ref="E91" ca="1">INDEX('OD flujo mercancia multimodal'!E$45:E$1645,MATCH(C91&amp;D91,'OD flujo mercancia multimodal'!C$45:C$1645&amp;'OD flujo mercancia multimodal'!D$45:D$1645,0))</f>
        <v>6994.6923076923122</v>
      </c>
      <c r="F91" s="11" cm="1">
        <f t="array" aca="1" ref="F91" ca="1">INDEX('OD flujo mercancia carretera'!E$45:E$1646,MATCH(C91&amp;D91,'OD flujo mercancia carretera'!C$45:C$1646&amp;'OD flujo mercancia carretera'!D$45:D$1646,0))</f>
        <v>88714.871794871826</v>
      </c>
      <c r="G91" s="11" cm="1">
        <f t="array" aca="1" ref="G91" ca="1">INDEX('Coste Carretera'!E$46:E$1646,MATCH(C91&amp;D91,'Coste Carretera'!C$46:C$1646&amp;'Coste Carretera'!D$46:D$1646,0))</f>
        <v>235478554.84000012</v>
      </c>
      <c r="H91" s="11" cm="1">
        <f t="array" aca="1" ref="H91" ca="1">INDEX('Coste multimodal'!E$46:E$1646,MATCH(C91&amp;D91,'Coste multimodal'!C$46:C$1646&amp;'Coste multimodal'!D$46:D$1646,0))</f>
        <v>39974989.140221886</v>
      </c>
      <c r="I91" s="12" cm="1">
        <f t="array" aca="1" ref="I91" ca="1">INDEX('Tiempos intermodal (horas)'!E$45:E$1645,MATCH(C91&amp;D91,'Tiempos intermodal (horas)'!C$45:C$1645&amp;'Tiempos intermodal (horas)'!D$45:D$1645,0))</f>
        <v>26.232622065180415</v>
      </c>
      <c r="J91" s="2" cm="1">
        <f t="array" aca="1" ref="J91" ca="1">INDEX('Tiempos carretera (horas)'!E$45:E$1645,MATCH(C91&amp;D91,'Tiempos carretera (horas)'!C$45:C$1645&amp;'Tiempos carretera (horas)'!D$45:D$1645,0))</f>
        <v>7.06</v>
      </c>
      <c r="K91" s="12">
        <f t="shared" ca="1" si="6"/>
        <v>2.6543301035758473</v>
      </c>
      <c r="L91" s="12">
        <f t="shared" ca="1" si="7"/>
        <v>5.7150461209365808</v>
      </c>
      <c r="M91" s="12">
        <f t="shared" ca="1" si="8"/>
        <v>7.3082480035084801E-2</v>
      </c>
      <c r="N91" s="13">
        <f t="shared" ca="1" si="9"/>
        <v>-3.0607160173607335</v>
      </c>
      <c r="O91" s="13">
        <f t="shared" ca="1" si="10"/>
        <v>-19.172622065180416</v>
      </c>
      <c r="P91" s="12">
        <f t="shared" ca="1" si="11"/>
        <v>2.5402759195533662</v>
      </c>
    </row>
    <row r="92" spans="1:16" x14ac:dyDescent="0.25">
      <c r="A92">
        <v>3</v>
      </c>
      <c r="B92">
        <v>2</v>
      </c>
      <c r="C92" s="2" t="s">
        <v>2</v>
      </c>
      <c r="D92" s="2" t="s">
        <v>1</v>
      </c>
      <c r="E92" s="11" cm="1">
        <f t="array" aca="1" ref="E92" ca="1">INDEX('OD flujo mercancia multimodal'!E$45:E$1645,MATCH(C92&amp;D92,'OD flujo mercancia multimodal'!C$45:C$1645&amp;'OD flujo mercancia multimodal'!D$45:D$1645,0))</f>
        <v>36196.642857142855</v>
      </c>
      <c r="F92" s="11" cm="1">
        <f t="array" aca="1" ref="F92" ca="1">INDEX('OD flujo mercancia carretera'!E$45:E$1646,MATCH(C92&amp;D92,'OD flujo mercancia carretera'!C$45:C$1646&amp;'OD flujo mercancia carretera'!D$45:D$1646,0))</f>
        <v>76465.000000000029</v>
      </c>
      <c r="G92" s="11" cm="1">
        <f t="array" aca="1" ref="G92" ca="1">INDEX('Coste Carretera'!E$46:E$1646,MATCH(C92&amp;D92,'Coste Carretera'!C$46:C$1646&amp;'Coste Carretera'!D$46:D$1646,0))</f>
        <v>111021184.67885713</v>
      </c>
      <c r="H92" s="11" cm="1">
        <f t="array" aca="1" ref="H92" ca="1">INDEX('Coste multimodal'!E$46:E$1646,MATCH(C92&amp;D92,'Coste multimodal'!C$46:C$1646&amp;'Coste multimodal'!D$46:D$1646,0))</f>
        <v>966380725.87969458</v>
      </c>
      <c r="I92" s="12" cm="1">
        <f t="array" aca="1" ref="I92" ca="1">INDEX('Tiempos intermodal (horas)'!E$45:E$1645,MATCH(C92&amp;D92,'Tiempos intermodal (horas)'!C$45:C$1645&amp;'Tiempos intermodal (horas)'!D$45:D$1645,0))</f>
        <v>19.923515587242516</v>
      </c>
      <c r="J92" s="2" cm="1">
        <f t="array" aca="1" ref="J92" ca="1">INDEX('Tiempos carretera (horas)'!E$45:E$1645,MATCH(C92&amp;D92,'Tiempos carretera (horas)'!C$45:C$1645&amp;'Tiempos carretera (horas)'!D$45:D$1645,0))</f>
        <v>0.71</v>
      </c>
      <c r="K92" s="12">
        <f t="shared" ca="1" si="6"/>
        <v>1.4519215939169174</v>
      </c>
      <c r="L92" s="12">
        <f t="shared" ca="1" si="7"/>
        <v>26.698076108707248</v>
      </c>
      <c r="M92" s="12">
        <f t="shared" ca="1" si="8"/>
        <v>0.32128630418642917</v>
      </c>
      <c r="N92" s="13">
        <f t="shared" ca="1" si="9"/>
        <v>-25.24615451479033</v>
      </c>
      <c r="O92" s="13">
        <f t="shared" ca="1" si="10"/>
        <v>-19.213515587242515</v>
      </c>
      <c r="P92" s="12">
        <f t="shared" ca="1" si="11"/>
        <v>0.74786674402182551</v>
      </c>
    </row>
    <row r="93" spans="1:16" x14ac:dyDescent="0.25">
      <c r="A93">
        <v>2</v>
      </c>
      <c r="B93">
        <v>3</v>
      </c>
      <c r="C93" s="2" t="s">
        <v>1</v>
      </c>
      <c r="D93" s="2" t="s">
        <v>2</v>
      </c>
      <c r="E93" s="11" cm="1">
        <f t="array" aca="1" ref="E93" ca="1">INDEX('OD flujo mercancia multimodal'!E$45:E$1645,MATCH(C93&amp;D93,'OD flujo mercancia multimodal'!C$45:C$1645&amp;'OD flujo mercancia multimodal'!D$45:D$1645,0))</f>
        <v>22903.714285714301</v>
      </c>
      <c r="F93" s="11" cm="1">
        <f t="array" aca="1" ref="F93" ca="1">INDEX('OD flujo mercancia carretera'!E$45:E$1646,MATCH(C93&amp;D93,'OD flujo mercancia carretera'!C$45:C$1646&amp;'OD flujo mercancia carretera'!D$45:D$1646,0))</f>
        <v>80548.461538461503</v>
      </c>
      <c r="G93" s="11" cm="1">
        <f t="array" aca="1" ref="G93" ca="1">INDEX('Coste Carretera'!E$46:E$1646,MATCH(C93&amp;D93,'Coste Carretera'!C$46:C$1646&amp;'Coste Carretera'!D$46:D$1646,0))</f>
        <v>70249539.538285762</v>
      </c>
      <c r="H93" s="11" cm="1">
        <f t="array" aca="1" ref="H93" ca="1">INDEX('Coste multimodal'!E$46:E$1646,MATCH(C93&amp;D93,'Coste multimodal'!C$46:C$1646&amp;'Coste multimodal'!D$46:D$1646,0))</f>
        <v>966380725.87969458</v>
      </c>
      <c r="I93" s="12" cm="1">
        <f t="array" aca="1" ref="I93" ca="1">INDEX('Tiempos intermodal (horas)'!E$45:E$1645,MATCH(C93&amp;D93,'Tiempos intermodal (horas)'!C$45:C$1645&amp;'Tiempos intermodal (horas)'!D$45:D$1645,0))</f>
        <v>19.923515587242516</v>
      </c>
      <c r="J93" s="2" cm="1">
        <f t="array" aca="1" ref="J93" ca="1">INDEX('Tiempos carretera (horas)'!E$45:E$1645,MATCH(C93&amp;D93,'Tiempos carretera (horas)'!C$45:C$1645&amp;'Tiempos carretera (horas)'!D$45:D$1645,0))</f>
        <v>0.71</v>
      </c>
      <c r="K93" s="12">
        <f t="shared" ca="1" si="6"/>
        <v>0.87214005328633049</v>
      </c>
      <c r="L93" s="12">
        <f t="shared" ca="1" si="7"/>
        <v>42.193188136408672</v>
      </c>
      <c r="M93" s="12">
        <f t="shared" ca="1" si="8"/>
        <v>0.22139422494738789</v>
      </c>
      <c r="N93" s="13">
        <f t="shared" ca="1" si="9"/>
        <v>-41.321048083122342</v>
      </c>
      <c r="O93" s="13">
        <f t="shared" ca="1" si="10"/>
        <v>-19.213515587242515</v>
      </c>
      <c r="P93" s="12">
        <f t="shared" ca="1" si="11"/>
        <v>1.2575599166895612</v>
      </c>
    </row>
    <row r="94" spans="1:16" x14ac:dyDescent="0.25">
      <c r="A94">
        <v>3</v>
      </c>
      <c r="B94">
        <v>20</v>
      </c>
      <c r="C94" s="2" t="s">
        <v>2</v>
      </c>
      <c r="D94" s="2" t="s">
        <v>19</v>
      </c>
      <c r="E94" s="11" cm="1">
        <f t="array" aca="1" ref="E94" ca="1">INDEX('OD flujo mercancia multimodal'!E$45:E$1645,MATCH(C94&amp;D94,'OD flujo mercancia multimodal'!C$45:C$1645&amp;'OD flujo mercancia multimodal'!D$45:D$1645,0))</f>
        <v>73437.263736263732</v>
      </c>
      <c r="F94" s="11" cm="1">
        <f t="array" aca="1" ref="F94" ca="1">INDEX('OD flujo mercancia carretera'!E$45:E$1646,MATCH(C94&amp;D94,'OD flujo mercancia carretera'!C$45:C$1646&amp;'OD flujo mercancia carretera'!D$45:D$1646,0))</f>
        <v>100669.43589743593</v>
      </c>
      <c r="G94" s="11" cm="1">
        <f t="array" aca="1" ref="G94" ca="1">INDEX('Coste Carretera'!E$46:E$1646,MATCH(C94&amp;D94,'Coste Carretera'!C$46:C$1646&amp;'Coste Carretera'!D$46:D$1646,0))</f>
        <v>1257357579.8057141</v>
      </c>
      <c r="H94" s="11" cm="1">
        <f t="array" aca="1" ref="H94" ca="1">INDEX('Coste multimodal'!E$46:E$1646,MATCH(C94&amp;D94,'Coste multimodal'!C$46:C$1646&amp;'Coste multimodal'!D$46:D$1646,0))</f>
        <v>980189357.80333602</v>
      </c>
      <c r="I94" s="12" cm="1">
        <f t="array" aca="1" ref="I94" ca="1">INDEX('Tiempos intermodal (horas)'!E$45:E$1645,MATCH(C94&amp;D94,'Tiempos intermodal (horas)'!C$45:C$1645&amp;'Tiempos intermodal (horas)'!D$45:D$1645,0))</f>
        <v>22.742215831676404</v>
      </c>
      <c r="J94" s="2" cm="1">
        <f t="array" aca="1" ref="J94" ca="1">INDEX('Tiempos carretera (horas)'!E$45:E$1645,MATCH(C94&amp;D94,'Tiempos carretera (horas)'!C$45:C$1645&amp;'Tiempos carretera (horas)'!D$45:D$1645,0))</f>
        <v>3.46</v>
      </c>
      <c r="K94" s="12">
        <f t="shared" ca="1" si="6"/>
        <v>12.489963498819399</v>
      </c>
      <c r="L94" s="12">
        <f t="shared" ca="1" si="7"/>
        <v>13.347302281352743</v>
      </c>
      <c r="M94" s="12">
        <f t="shared" ca="1" si="8"/>
        <v>0.42179458855269342</v>
      </c>
      <c r="N94" s="13">
        <f t="shared" ca="1" si="9"/>
        <v>-0.85733878253334339</v>
      </c>
      <c r="O94" s="13">
        <f t="shared" ca="1" si="10"/>
        <v>-19.282215831676403</v>
      </c>
      <c r="P94" s="12">
        <f t="shared" ca="1" si="11"/>
        <v>0.31541075011834402</v>
      </c>
    </row>
    <row r="95" spans="1:16" x14ac:dyDescent="0.25">
      <c r="A95">
        <v>21</v>
      </c>
      <c r="B95">
        <v>2</v>
      </c>
      <c r="C95" s="2" t="s">
        <v>20</v>
      </c>
      <c r="D95" s="2" t="s">
        <v>1</v>
      </c>
      <c r="E95" s="11" cm="1">
        <f t="array" aca="1" ref="E95" ca="1">INDEX('OD flujo mercancia multimodal'!E$45:E$1645,MATCH(C95&amp;D95,'OD flujo mercancia multimodal'!C$45:C$1645&amp;'OD flujo mercancia multimodal'!D$45:D$1645,0))</f>
        <v>44408.609890109859</v>
      </c>
      <c r="F95" s="11" cm="1">
        <f t="array" aca="1" ref="F95" ca="1">INDEX('OD flujo mercancia carretera'!E$45:E$1646,MATCH(C95&amp;D95,'OD flujo mercancia carretera'!C$45:C$1646&amp;'OD flujo mercancia carretera'!D$45:D$1646,0))</f>
        <v>148929.23076923081</v>
      </c>
      <c r="G95" s="11" cm="1">
        <f t="array" aca="1" ref="G95" ca="1">INDEX('Coste Carretera'!E$46:E$1646,MATCH(C95&amp;D95,'Coste Carretera'!C$46:C$1646&amp;'Coste Carretera'!D$46:D$1646,0))</f>
        <v>251892740.67428553</v>
      </c>
      <c r="H95" s="11" cm="1">
        <f t="array" aca="1" ref="H95" ca="1">INDEX('Coste multimodal'!E$46:E$1646,MATCH(C95&amp;D95,'Coste multimodal'!C$46:C$1646&amp;'Coste multimodal'!D$46:D$1646,0))</f>
        <v>902000058.22860909</v>
      </c>
      <c r="I95" s="12" cm="1">
        <f t="array" aca="1" ref="I95" ca="1">INDEX('Tiempos intermodal (horas)'!E$45:E$1645,MATCH(C95&amp;D95,'Tiempos intermodal (horas)'!C$45:C$1645&amp;'Tiempos intermodal (horas)'!D$45:D$1645,0))</f>
        <v>20.163515587242518</v>
      </c>
      <c r="J95" s="2" cm="1">
        <f t="array" aca="1" ref="J95" ca="1">INDEX('Tiempos carretera (horas)'!E$45:E$1645,MATCH(C95&amp;D95,'Tiempos carretera (horas)'!C$45:C$1645&amp;'Tiempos carretera (horas)'!D$45:D$1645,0))</f>
        <v>1.38</v>
      </c>
      <c r="K95" s="12">
        <f t="shared" ca="1" si="6"/>
        <v>1.6913586364022721</v>
      </c>
      <c r="L95" s="12">
        <f t="shared" ca="1" si="7"/>
        <v>20.311377916593859</v>
      </c>
      <c r="M95" s="12">
        <f t="shared" ca="1" si="8"/>
        <v>0.22969435129027527</v>
      </c>
      <c r="N95" s="13">
        <f t="shared" ca="1" si="9"/>
        <v>-18.620019280191588</v>
      </c>
      <c r="O95" s="13">
        <f t="shared" ca="1" si="10"/>
        <v>-18.783515587242519</v>
      </c>
      <c r="P95" s="12">
        <f t="shared" ca="1" si="11"/>
        <v>1.2100378647525605</v>
      </c>
    </row>
    <row r="96" spans="1:16" x14ac:dyDescent="0.25">
      <c r="A96">
        <v>2</v>
      </c>
      <c r="B96">
        <v>21</v>
      </c>
      <c r="C96" s="2" t="s">
        <v>1</v>
      </c>
      <c r="D96" s="2" t="s">
        <v>20</v>
      </c>
      <c r="E96" s="11" cm="1">
        <f t="array" aca="1" ref="E96" ca="1">INDEX('OD flujo mercancia multimodal'!E$45:E$1645,MATCH(C96&amp;D96,'OD flujo mercancia multimodal'!C$45:C$1645&amp;'OD flujo mercancia multimodal'!D$45:D$1645,0))</f>
        <v>43724.307692307702</v>
      </c>
      <c r="F96" s="11" cm="1">
        <f t="array" aca="1" ref="F96" ca="1">INDEX('OD flujo mercancia carretera'!E$45:E$1646,MATCH(C96&amp;D96,'OD flujo mercancia carretera'!C$45:C$1646&amp;'OD flujo mercancia carretera'!D$45:D$1646,0))</f>
        <v>145870.33333333299</v>
      </c>
      <c r="G96" s="11" cm="1">
        <f t="array" aca="1" ref="G96" ca="1">INDEX('Coste Carretera'!E$46:E$1646,MATCH(C96&amp;D96,'Coste Carretera'!C$46:C$1646&amp;'Coste Carretera'!D$46:D$1646,0))</f>
        <v>248011269.12000006</v>
      </c>
      <c r="H96" s="11" cm="1">
        <f t="array" aca="1" ref="H96" ca="1">INDEX('Coste multimodal'!E$46:E$1646,MATCH(C96&amp;D96,'Coste multimodal'!C$46:C$1646&amp;'Coste multimodal'!D$46:D$1646,0))</f>
        <v>902000058.22860909</v>
      </c>
      <c r="I96" s="12" cm="1">
        <f t="array" aca="1" ref="I96" ca="1">INDEX('Tiempos intermodal (horas)'!E$45:E$1645,MATCH(C96&amp;D96,'Tiempos intermodal (horas)'!C$45:C$1645&amp;'Tiempos intermodal (horas)'!D$45:D$1645,0))</f>
        <v>20.163515587242518</v>
      </c>
      <c r="J96" s="2" cm="1">
        <f t="array" aca="1" ref="J96" ca="1">INDEX('Tiempos carretera (horas)'!E$45:E$1645,MATCH(C96&amp;D96,'Tiempos carretera (horas)'!C$45:C$1645&amp;'Tiempos carretera (horas)'!D$45:D$1645,0))</f>
        <v>1.38</v>
      </c>
      <c r="K96" s="12">
        <f t="shared" ca="1" si="6"/>
        <v>1.700217333110918</v>
      </c>
      <c r="L96" s="12">
        <f t="shared" ca="1" si="7"/>
        <v>20.629258776973053</v>
      </c>
      <c r="M96" s="12">
        <f t="shared" ca="1" si="8"/>
        <v>0.23061995558405285</v>
      </c>
      <c r="N96" s="13">
        <f t="shared" ca="1" si="9"/>
        <v>-18.929041443862136</v>
      </c>
      <c r="O96" s="13">
        <f t="shared" ca="1" si="10"/>
        <v>-18.783515587242519</v>
      </c>
      <c r="P96" s="12">
        <f t="shared" ca="1" si="11"/>
        <v>1.2048139116793062</v>
      </c>
    </row>
    <row r="97" spans="1:16" x14ac:dyDescent="0.25">
      <c r="A97">
        <v>16</v>
      </c>
      <c r="B97">
        <v>26</v>
      </c>
      <c r="C97" s="2" t="s">
        <v>15</v>
      </c>
      <c r="D97" s="2" t="s">
        <v>25</v>
      </c>
      <c r="E97" s="11" cm="1">
        <f t="array" aca="1" ref="E97" ca="1">INDEX('OD flujo mercancia multimodal'!E$45:E$1645,MATCH(C97&amp;D97,'OD flujo mercancia multimodal'!C$45:C$1645&amp;'OD flujo mercancia multimodal'!D$45:D$1645,0))</f>
        <v>39587.230769230766</v>
      </c>
      <c r="F97" s="11" cm="1">
        <f t="array" aca="1" ref="F97" ca="1">INDEX('OD flujo mercancia carretera'!E$45:E$1646,MATCH(C97&amp;D97,'OD flujo mercancia carretera'!C$45:C$1646&amp;'OD flujo mercancia carretera'!D$45:D$1646,0))</f>
        <v>216093.53846153847</v>
      </c>
      <c r="G97" s="11" cm="1">
        <f t="array" aca="1" ref="G97" ca="1">INDEX('Coste Carretera'!E$46:E$1646,MATCH(C97&amp;D97,'Coste Carretera'!C$46:C$1646&amp;'Coste Carretera'!D$46:D$1646,0))</f>
        <v>1380536583.04</v>
      </c>
      <c r="H97" s="11" cm="1">
        <f t="array" aca="1" ref="H97" ca="1">INDEX('Coste multimodal'!E$46:E$1646,MATCH(C97&amp;D97,'Coste multimodal'!C$46:C$1646&amp;'Coste multimodal'!D$46:D$1646,0))</f>
        <v>161775878.57199997</v>
      </c>
      <c r="I97" s="12" cm="1">
        <f t="array" aca="1" ref="I97" ca="1">INDEX('Tiempos intermodal (horas)'!E$45:E$1645,MATCH(C97&amp;D97,'Tiempos intermodal (horas)'!C$45:C$1645&amp;'Tiempos intermodal (horas)'!D$45:D$1645,0))</f>
        <v>0</v>
      </c>
      <c r="J97" s="2" cm="1">
        <f t="array" aca="1" ref="J97" ca="1">INDEX('Tiempos carretera (horas)'!E$45:E$1645,MATCH(C97&amp;D97,'Tiempos carretera (horas)'!C$45:C$1645&amp;'Tiempos carretera (horas)'!D$45:D$1645,0))</f>
        <v>6.85</v>
      </c>
      <c r="K97" s="12">
        <f t="shared" ca="1" si="6"/>
        <v>6.3886064935982132</v>
      </c>
      <c r="L97" s="12">
        <f t="shared" ca="1" si="7"/>
        <v>4.0865671942312396</v>
      </c>
      <c r="M97" s="12">
        <f t="shared" ca="1" si="8"/>
        <v>0.15483069332250249</v>
      </c>
      <c r="N97" s="13">
        <f t="shared" ca="1" si="9"/>
        <v>2.3020392993669736</v>
      </c>
      <c r="O97" s="13">
        <f t="shared" ca="1" si="10"/>
        <v>6.85</v>
      </c>
      <c r="P97" s="12">
        <f t="shared" ca="1" si="11"/>
        <v>1.6972047514407189</v>
      </c>
    </row>
    <row r="98" spans="1:16" x14ac:dyDescent="0.25">
      <c r="A98">
        <v>26</v>
      </c>
      <c r="B98">
        <v>16</v>
      </c>
      <c r="C98" s="2" t="s">
        <v>25</v>
      </c>
      <c r="D98" s="2" t="s">
        <v>15</v>
      </c>
      <c r="E98" s="11" cm="1">
        <f t="array" aca="1" ref="E98" ca="1">INDEX('OD flujo mercancia multimodal'!E$45:E$1645,MATCH(C98&amp;D98,'OD flujo mercancia multimodal'!C$45:C$1645&amp;'OD flujo mercancia multimodal'!D$45:D$1645,0))</f>
        <v>38580.538461538497</v>
      </c>
      <c r="F98" s="11" cm="1">
        <f t="array" aca="1" ref="F98" ca="1">INDEX('OD flujo mercancia carretera'!E$45:E$1646,MATCH(C98&amp;D98,'OD flujo mercancia carretera'!C$45:C$1646&amp;'OD flujo mercancia carretera'!D$45:D$1646,0))</f>
        <v>577849.69230769202</v>
      </c>
      <c r="G98" s="11" cm="1">
        <f t="array" aca="1" ref="G98" ca="1">INDEX('Coste Carretera'!E$46:E$1646,MATCH(C98&amp;D98,'Coste Carretera'!C$46:C$1646&amp;'Coste Carretera'!D$46:D$1646,0))</f>
        <v>1345429920.3200011</v>
      </c>
      <c r="H98" s="11" cm="1">
        <f t="array" aca="1" ref="H98" ca="1">INDEX('Coste multimodal'!E$46:E$1646,MATCH(C98&amp;D98,'Coste multimodal'!C$46:C$1646&amp;'Coste multimodal'!D$46:D$1646,0))</f>
        <v>161775878.57199997</v>
      </c>
      <c r="I98" s="12" cm="1">
        <f t="array" aca="1" ref="I98" ca="1">INDEX('Tiempos intermodal (horas)'!E$45:E$1645,MATCH(C98&amp;D98,'Tiempos intermodal (horas)'!C$45:C$1645&amp;'Tiempos intermodal (horas)'!D$45:D$1645,0))</f>
        <v>0</v>
      </c>
      <c r="J98" s="2" cm="1">
        <f t="array" aca="1" ref="J98" ca="1">INDEX('Tiempos carretera (horas)'!E$45:E$1645,MATCH(C98&amp;D98,'Tiempos carretera (horas)'!C$45:C$1645&amp;'Tiempos carretera (horas)'!D$45:D$1645,0))</f>
        <v>6.85</v>
      </c>
      <c r="K98" s="12">
        <f t="shared" ca="1" si="6"/>
        <v>2.3283389058267243</v>
      </c>
      <c r="L98" s="12">
        <f t="shared" ca="1" si="7"/>
        <v>4.1931990849033047</v>
      </c>
      <c r="M98" s="12">
        <f t="shared" ca="1" si="8"/>
        <v>6.2587031809576643E-2</v>
      </c>
      <c r="N98" s="13">
        <f t="shared" ca="1" si="9"/>
        <v>-1.8648601790765804</v>
      </c>
      <c r="O98" s="13">
        <f t="shared" ca="1" si="10"/>
        <v>6.85</v>
      </c>
      <c r="P98" s="12">
        <f t="shared" ca="1" si="11"/>
        <v>2.7065658225509015</v>
      </c>
    </row>
    <row r="99" spans="1:16" x14ac:dyDescent="0.25">
      <c r="A99">
        <v>8</v>
      </c>
      <c r="B99">
        <v>6</v>
      </c>
      <c r="C99" s="2" t="s">
        <v>7</v>
      </c>
      <c r="D99" s="2" t="s">
        <v>5</v>
      </c>
      <c r="E99" s="11" cm="1">
        <f t="array" aca="1" ref="E99" ca="1">INDEX('OD flujo mercancia multimodal'!E$45:E$1645,MATCH(C99&amp;D99,'OD flujo mercancia multimodal'!C$45:C$1645&amp;'OD flujo mercancia multimodal'!D$45:D$1645,0))</f>
        <v>20164.428571428558</v>
      </c>
      <c r="F99" s="11" cm="1">
        <f t="array" aca="1" ref="F99" ca="1">INDEX('OD flujo mercancia carretera'!E$45:E$1646,MATCH(C99&amp;D99,'OD flujo mercancia carretera'!C$45:C$1646&amp;'OD flujo mercancia carretera'!D$45:D$1646,0))</f>
        <v>245770.69597069608</v>
      </c>
      <c r="G99" s="11" cm="1">
        <f t="array" aca="1" ref="G99" ca="1">INDEX('Coste Carretera'!E$46:E$1646,MATCH(C99&amp;D99,'Coste Carretera'!C$46:C$1646&amp;'Coste Carretera'!D$46:D$1646,0))</f>
        <v>379134812.30857116</v>
      </c>
      <c r="H99" s="11" cm="1">
        <f t="array" aca="1" ref="H99" ca="1">INDEX('Coste multimodal'!E$46:E$1646,MATCH(C99&amp;D99,'Coste multimodal'!C$46:C$1646&amp;'Coste multimodal'!D$46:D$1646,0))</f>
        <v>15262501524.417435</v>
      </c>
      <c r="I99" s="12" cm="1">
        <f t="array" aca="1" ref="I99" ca="1">INDEX('Tiempos intermodal (horas)'!E$45:E$1645,MATCH(C99&amp;D99,'Tiempos intermodal (horas)'!C$45:C$1645&amp;'Tiempos intermodal (horas)'!D$45:D$1645,0))</f>
        <v>20.051881800012904</v>
      </c>
      <c r="J99" s="2" cm="1">
        <f t="array" aca="1" ref="J99" ca="1">INDEX('Tiempos carretera (horas)'!E$45:E$1645,MATCH(C99&amp;D99,'Tiempos carretera (horas)'!C$45:C$1645&amp;'Tiempos carretera (horas)'!D$45:D$1645,0))</f>
        <v>4</v>
      </c>
      <c r="K99" s="12">
        <f t="shared" ca="1" si="6"/>
        <v>1.5426363619598344</v>
      </c>
      <c r="L99" s="12">
        <f t="shared" ca="1" si="7"/>
        <v>756.90225836814545</v>
      </c>
      <c r="M99" s="12">
        <f t="shared" ca="1" si="8"/>
        <v>7.582461551909242E-2</v>
      </c>
      <c r="N99" s="13">
        <f t="shared" ca="1" si="9"/>
        <v>-755.35962200618565</v>
      </c>
      <c r="O99" s="13">
        <f t="shared" ca="1" si="10"/>
        <v>-16.051881800012904</v>
      </c>
      <c r="P99" s="12">
        <f t="shared" ca="1" si="11"/>
        <v>2.500478880747635</v>
      </c>
    </row>
    <row r="100" spans="1:16" x14ac:dyDescent="0.25">
      <c r="A100">
        <v>19</v>
      </c>
      <c r="B100">
        <v>6</v>
      </c>
      <c r="C100" s="2" t="s">
        <v>18</v>
      </c>
      <c r="D100" s="2" t="s">
        <v>5</v>
      </c>
      <c r="E100" s="11" cm="1">
        <f t="array" aca="1" ref="E100" ca="1">INDEX('OD flujo mercancia multimodal'!E$45:E$1645,MATCH(C100&amp;D100,'OD flujo mercancia multimodal'!C$45:C$1645&amp;'OD flujo mercancia multimodal'!D$45:D$1645,0))</f>
        <v>15012.708791208775</v>
      </c>
      <c r="F100" s="11" cm="1">
        <f t="array" aca="1" ref="F100" ca="1">INDEX('OD flujo mercancia carretera'!E$45:E$1646,MATCH(C100&amp;D100,'OD flujo mercancia carretera'!C$45:C$1646&amp;'OD flujo mercancia carretera'!D$45:D$1646,0))</f>
        <v>168680.77289377298</v>
      </c>
      <c r="G100" s="11" cm="1">
        <f t="array" aca="1" ref="G100" ca="1">INDEX('Coste Carretera'!E$46:E$1646,MATCH(C100&amp;D100,'Coste Carretera'!C$46:C$1646&amp;'Coste Carretera'!D$46:D$1646,0))</f>
        <v>1059700273.919999</v>
      </c>
      <c r="H100" s="11" cm="1">
        <f t="array" aca="1" ref="H100" ca="1">INDEX('Coste multimodal'!E$46:E$1646,MATCH(C100&amp;D100,'Coste multimodal'!C$46:C$1646&amp;'Coste multimodal'!D$46:D$1646,0))</f>
        <v>712529739.44085801</v>
      </c>
      <c r="I100" s="12" cm="1">
        <f t="array" aca="1" ref="I100" ca="1">INDEX('Tiempos intermodal (horas)'!E$45:E$1645,MATCH(C100&amp;D100,'Tiempos intermodal (horas)'!C$45:C$1645&amp;'Tiempos intermodal (horas)'!D$45:D$1645,0))</f>
        <v>42.928758362366274</v>
      </c>
      <c r="J100" s="2" cm="1">
        <f t="array" aca="1" ref="J100" ca="1">INDEX('Tiempos carretera (horas)'!E$45:E$1645,MATCH(C100&amp;D100,'Tiempos carretera (horas)'!C$45:C$1645&amp;'Tiempos carretera (horas)'!D$45:D$1645,0))</f>
        <v>13.75</v>
      </c>
      <c r="K100" s="12">
        <f t="shared" ca="1" si="6"/>
        <v>6.2822825372477222</v>
      </c>
      <c r="L100" s="12">
        <f t="shared" ca="1" si="7"/>
        <v>47.461770513933175</v>
      </c>
      <c r="M100" s="12">
        <f t="shared" ca="1" si="8"/>
        <v>8.1726954345360259E-2</v>
      </c>
      <c r="N100" s="13">
        <f t="shared" ca="1" si="9"/>
        <v>-41.179487976685451</v>
      </c>
      <c r="O100" s="13">
        <f t="shared" ca="1" si="10"/>
        <v>-29.178758362366274</v>
      </c>
      <c r="P100" s="12">
        <f t="shared" ca="1" si="11"/>
        <v>2.4191109157463413</v>
      </c>
    </row>
    <row r="101" spans="1:16" x14ac:dyDescent="0.25">
      <c r="A101">
        <v>36</v>
      </c>
      <c r="B101">
        <v>35</v>
      </c>
      <c r="C101" s="2" t="s">
        <v>35</v>
      </c>
      <c r="D101" s="2" t="s">
        <v>34</v>
      </c>
      <c r="E101" s="11" cm="1">
        <f t="array" aca="1" ref="E101" ca="1">INDEX('OD flujo mercancia multimodal'!E$45:E$1645,MATCH(C101&amp;D101,'OD flujo mercancia multimodal'!C$45:C$1645&amp;'OD flujo mercancia multimodal'!D$45:D$1645,0))</f>
        <v>25203.846153846171</v>
      </c>
      <c r="F101" s="11" cm="1">
        <f t="array" aca="1" ref="F101" ca="1">INDEX('OD flujo mercancia carretera'!E$45:E$1646,MATCH(C101&amp;D101,'OD flujo mercancia carretera'!C$45:C$1646&amp;'OD flujo mercancia carretera'!D$45:D$1646,0))</f>
        <v>108097.46153846158</v>
      </c>
      <c r="G101" s="11" cm="1">
        <f t="array" aca="1" ref="G101" ca="1">INDEX('Coste Carretera'!E$46:E$1646,MATCH(C101&amp;D101,'Coste Carretera'!C$46:C$1646&amp;'Coste Carretera'!D$46:D$1646,0))</f>
        <v>827463683.33600068</v>
      </c>
      <c r="H101" s="11" cm="1">
        <f t="array" aca="1" ref="H101" ca="1">INDEX('Coste multimodal'!E$46:E$1646,MATCH(C101&amp;D101,'Coste multimodal'!C$46:C$1646&amp;'Coste multimodal'!D$46:D$1646,0))</f>
        <v>2409110005.1451216</v>
      </c>
      <c r="I101" s="12" cm="1">
        <f t="array" aca="1" ref="I101" ca="1">INDEX('Tiempos intermodal (horas)'!E$45:E$1645,MATCH(C101&amp;D101,'Tiempos intermodal (horas)'!C$45:C$1645&amp;'Tiempos intermodal (horas)'!D$45:D$1645,0))</f>
        <v>20.393643826321437</v>
      </c>
      <c r="J101" s="2" cm="1">
        <f t="array" aca="1" ref="J101" ca="1">INDEX('Tiempos carretera (horas)'!E$45:E$1645,MATCH(C101&amp;D101,'Tiempos carretera (horas)'!C$45:C$1645&amp;'Tiempos carretera (horas)'!D$45:D$1645,0))</f>
        <v>0.7</v>
      </c>
      <c r="K101" s="12">
        <f t="shared" ca="1" si="6"/>
        <v>7.6547929207531409</v>
      </c>
      <c r="L101" s="12">
        <f t="shared" ca="1" si="7"/>
        <v>95.585014701317135</v>
      </c>
      <c r="M101" s="12">
        <f t="shared" ca="1" si="8"/>
        <v>0.1890742603367617</v>
      </c>
      <c r="N101" s="13">
        <f t="shared" ca="1" si="9"/>
        <v>-87.930221780563997</v>
      </c>
      <c r="O101" s="13">
        <f t="shared" ca="1" si="10"/>
        <v>-19.693643826321438</v>
      </c>
      <c r="P101" s="12">
        <f t="shared" ca="1" si="11"/>
        <v>1.4560366338150537</v>
      </c>
    </row>
    <row r="102" spans="1:16" x14ac:dyDescent="0.25">
      <c r="A102">
        <v>35</v>
      </c>
      <c r="B102">
        <v>36</v>
      </c>
      <c r="C102" s="2" t="s">
        <v>34</v>
      </c>
      <c r="D102" s="2" t="s">
        <v>35</v>
      </c>
      <c r="E102" s="11" cm="1">
        <f t="array" aca="1" ref="E102" ca="1">INDEX('OD flujo mercancia multimodal'!E$45:E$1645,MATCH(C102&amp;D102,'OD flujo mercancia multimodal'!C$45:C$1645&amp;'OD flujo mercancia multimodal'!D$45:D$1645,0))</f>
        <v>13464.153846153842</v>
      </c>
      <c r="F102" s="11" cm="1">
        <f t="array" aca="1" ref="F102" ca="1">INDEX('OD flujo mercancia carretera'!E$45:E$1646,MATCH(C102&amp;D102,'OD flujo mercancia carretera'!C$45:C$1646&amp;'OD flujo mercancia carretera'!D$45:D$1646,0))</f>
        <v>105444.30769230772</v>
      </c>
      <c r="G102" s="11" cm="1">
        <f t="array" aca="1" ref="G102" ca="1">INDEX('Coste Carretera'!E$46:E$1646,MATCH(C102&amp;D102,'Coste Carretera'!C$46:C$1646&amp;'Coste Carretera'!D$46:D$1646,0))</f>
        <v>398904891.78400004</v>
      </c>
      <c r="H102" s="11" cm="1">
        <f t="array" aca="1" ref="H102" ca="1">INDEX('Coste multimodal'!E$46:E$1646,MATCH(C102&amp;D102,'Coste multimodal'!C$46:C$1646&amp;'Coste multimodal'!D$46:D$1646,0))</f>
        <v>2409110005.1451216</v>
      </c>
      <c r="I102" s="12" cm="1">
        <f t="array" aca="1" ref="I102" ca="1">INDEX('Tiempos intermodal (horas)'!E$45:E$1645,MATCH(C102&amp;D102,'Tiempos intermodal (horas)'!C$45:C$1645&amp;'Tiempos intermodal (horas)'!D$45:D$1645,0))</f>
        <v>20.393643826321437</v>
      </c>
      <c r="J102" s="2" cm="1">
        <f t="array" aca="1" ref="J102" ca="1">INDEX('Tiempos carretera (horas)'!E$45:E$1645,MATCH(C102&amp;D102,'Tiempos carretera (horas)'!C$45:C$1645&amp;'Tiempos carretera (horas)'!D$45:D$1645,0))</f>
        <v>0.7</v>
      </c>
      <c r="K102" s="12">
        <f t="shared" ca="1" si="6"/>
        <v>3.7830860718250099</v>
      </c>
      <c r="L102" s="12">
        <f t="shared" ca="1" si="7"/>
        <v>178.92769443014836</v>
      </c>
      <c r="M102" s="12">
        <f t="shared" ca="1" si="8"/>
        <v>0.11323125092993312</v>
      </c>
      <c r="N102" s="13">
        <f t="shared" ca="1" si="9"/>
        <v>-175.14460835832335</v>
      </c>
      <c r="O102" s="13">
        <f t="shared" ca="1" si="10"/>
        <v>-19.693643826321438</v>
      </c>
      <c r="P102" s="12">
        <f t="shared" ca="1" si="11"/>
        <v>2.0581520410559011</v>
      </c>
    </row>
    <row r="103" spans="1:16" x14ac:dyDescent="0.25">
      <c r="A103">
        <v>21</v>
      </c>
      <c r="B103">
        <v>20</v>
      </c>
      <c r="C103" s="2" t="s">
        <v>20</v>
      </c>
      <c r="D103" s="2" t="s">
        <v>19</v>
      </c>
      <c r="E103" s="11" cm="1">
        <f t="array" aca="1" ref="E103" ca="1">INDEX('OD flujo mercancia multimodal'!E$45:E$1645,MATCH(C103&amp;D103,'OD flujo mercancia multimodal'!C$45:C$1645&amp;'OD flujo mercancia multimodal'!D$45:D$1645,0))</f>
        <v>81649.230769230751</v>
      </c>
      <c r="F103" s="11" cm="1">
        <f t="array" aca="1" ref="F103" ca="1">INDEX('OD flujo mercancia carretera'!E$45:E$1646,MATCH(C103&amp;D103,'OD flujo mercancia carretera'!C$45:C$1646&amp;'OD flujo mercancia carretera'!D$45:D$1646,0))</f>
        <v>173133.66666666669</v>
      </c>
      <c r="G103" s="11" cm="1">
        <f t="array" aca="1" ref="G103" ca="1">INDEX('Coste Carretera'!E$46:E$1646,MATCH(C103&amp;D103,'Coste Carretera'!C$46:C$1646&amp;'Coste Carretera'!D$46:D$1646,0))</f>
        <v>1132089446.3999999</v>
      </c>
      <c r="H103" s="11" cm="1">
        <f t="array" aca="1" ref="H103" ca="1">INDEX('Coste multimodal'!E$46:E$1646,MATCH(C103&amp;D103,'Coste multimodal'!C$46:C$1646&amp;'Coste multimodal'!D$46:D$1646,0))</f>
        <v>302759213.44172782</v>
      </c>
      <c r="I103" s="12" cm="1">
        <f t="array" aca="1" ref="I103" ca="1">INDEX('Tiempos intermodal (horas)'!E$45:E$1645,MATCH(C103&amp;D103,'Tiempos intermodal (horas)'!C$45:C$1645&amp;'Tiempos intermodal (horas)'!D$45:D$1645,0))</f>
        <v>22.720284283428938</v>
      </c>
      <c r="J103" s="2" cm="1">
        <f t="array" aca="1" ref="J103" ca="1">INDEX('Tiempos carretera (horas)'!E$45:E$1645,MATCH(C103&amp;D103,'Tiempos carretera (horas)'!C$45:C$1645&amp;'Tiempos carretera (horas)'!D$45:D$1645,0))</f>
        <v>2.8</v>
      </c>
      <c r="K103" s="12">
        <f t="shared" ca="1" si="6"/>
        <v>6.5388174824461238</v>
      </c>
      <c r="L103" s="12">
        <f t="shared" ca="1" si="7"/>
        <v>3.7080473458155545</v>
      </c>
      <c r="M103" s="12">
        <f t="shared" ca="1" si="8"/>
        <v>0.32046590093345428</v>
      </c>
      <c r="N103" s="13">
        <f t="shared" ca="1" si="9"/>
        <v>2.8307701366305693</v>
      </c>
      <c r="O103" s="13">
        <f t="shared" ca="1" si="10"/>
        <v>-19.920284283428938</v>
      </c>
      <c r="P103" s="12">
        <f t="shared" ca="1" si="11"/>
        <v>0.75163153755995571</v>
      </c>
    </row>
    <row r="104" spans="1:16" x14ac:dyDescent="0.25">
      <c r="A104">
        <v>20</v>
      </c>
      <c r="B104">
        <v>21</v>
      </c>
      <c r="C104" s="2" t="s">
        <v>19</v>
      </c>
      <c r="D104" s="2" t="s">
        <v>20</v>
      </c>
      <c r="E104" s="11" cm="1">
        <f t="array" aca="1" ref="E104" ca="1">INDEX('OD flujo mercancia multimodal'!E$45:E$1645,MATCH(C104&amp;D104,'OD flujo mercancia multimodal'!C$45:C$1645&amp;'OD flujo mercancia multimodal'!D$45:D$1645,0))</f>
        <v>69275.076923076937</v>
      </c>
      <c r="F104" s="11" cm="1">
        <f t="array" aca="1" ref="F104" ca="1">INDEX('OD flujo mercancia carretera'!E$45:E$1646,MATCH(C104&amp;D104,'OD flujo mercancia carretera'!C$45:C$1646&amp;'OD flujo mercancia carretera'!D$45:D$1646,0))</f>
        <v>168872.66666666634</v>
      </c>
      <c r="G104" s="11" cm="1">
        <f t="array" aca="1" ref="G104" ca="1">INDEX('Coste Carretera'!E$46:E$1646,MATCH(C104&amp;D104,'Coste Carretera'!C$46:C$1646&amp;'Coste Carretera'!D$46:D$1646,0))</f>
        <v>960518338.56000042</v>
      </c>
      <c r="H104" s="11" cm="1">
        <f t="array" aca="1" ref="H104" ca="1">INDEX('Coste multimodal'!E$46:E$1646,MATCH(C104&amp;D104,'Coste multimodal'!C$46:C$1646&amp;'Coste multimodal'!D$46:D$1646,0))</f>
        <v>302759213.44172782</v>
      </c>
      <c r="I104" s="12" cm="1">
        <f t="array" aca="1" ref="I104" ca="1">INDEX('Tiempos intermodal (horas)'!E$45:E$1645,MATCH(C104&amp;D104,'Tiempos intermodal (horas)'!C$45:C$1645&amp;'Tiempos intermodal (horas)'!D$45:D$1645,0))</f>
        <v>22.720284283428938</v>
      </c>
      <c r="J104" s="2" cm="1">
        <f t="array" aca="1" ref="J104" ca="1">INDEX('Tiempos carretera (horas)'!E$45:E$1645,MATCH(C104&amp;D104,'Tiempos carretera (horas)'!C$45:C$1645&amp;'Tiempos carretera (horas)'!D$45:D$1645,0))</f>
        <v>2.8</v>
      </c>
      <c r="K104" s="12">
        <f t="shared" ca="1" si="6"/>
        <v>5.6878259668626203</v>
      </c>
      <c r="L104" s="12">
        <f t="shared" ca="1" si="7"/>
        <v>4.3703915879864228</v>
      </c>
      <c r="M104" s="12">
        <f t="shared" ca="1" si="8"/>
        <v>0.29089117485999361</v>
      </c>
      <c r="N104" s="13">
        <f t="shared" ca="1" si="9"/>
        <v>1.3174343788761975</v>
      </c>
      <c r="O104" s="13">
        <f t="shared" ca="1" si="10"/>
        <v>-19.920284283428938</v>
      </c>
      <c r="P104" s="12">
        <f t="shared" ca="1" si="11"/>
        <v>0.8910597781090589</v>
      </c>
    </row>
    <row r="105" spans="1:16" x14ac:dyDescent="0.25">
      <c r="A105">
        <v>3</v>
      </c>
      <c r="B105">
        <v>23</v>
      </c>
      <c r="C105" s="2" t="s">
        <v>2</v>
      </c>
      <c r="D105" s="2" t="s">
        <v>22</v>
      </c>
      <c r="E105" s="11" cm="1">
        <f t="array" aca="1" ref="E105" ca="1">INDEX('OD flujo mercancia multimodal'!E$45:E$1645,MATCH(C105&amp;D105,'OD flujo mercancia multimodal'!C$45:C$1645&amp;'OD flujo mercancia multimodal'!D$45:D$1645,0))</f>
        <v>21400.26373626374</v>
      </c>
      <c r="F105" s="11" cm="1">
        <f t="array" aca="1" ref="F105" ca="1">INDEX('OD flujo mercancia carretera'!E$45:E$1646,MATCH(C105&amp;D105,'OD flujo mercancia carretera'!C$45:C$1646&amp;'OD flujo mercancia carretera'!D$45:D$1646,0))</f>
        <v>147684.43589743623</v>
      </c>
      <c r="G105" s="11" cm="1">
        <f t="array" aca="1" ref="G105" ca="1">INDEX('Coste Carretera'!E$46:E$1646,MATCH(C105&amp;D105,'Coste Carretera'!C$46:C$1646&amp;'Coste Carretera'!D$46:D$1646,0))</f>
        <v>584449762.74285722</v>
      </c>
      <c r="H105" s="11" cm="1">
        <f t="array" aca="1" ref="H105" ca="1">INDEX('Coste multimodal'!E$46:E$1646,MATCH(C105&amp;D105,'Coste multimodal'!C$46:C$1646&amp;'Coste multimodal'!D$46:D$1646,0))</f>
        <v>523448954.33684283</v>
      </c>
      <c r="I105" s="12" cm="1">
        <f t="array" aca="1" ref="I105" ca="1">INDEX('Tiempos intermodal (horas)'!E$45:E$1645,MATCH(C105&amp;D105,'Tiempos intermodal (horas)'!C$45:C$1645&amp;'Tiempos intermodal (horas)'!D$45:D$1645,0))</f>
        <v>25.760122420760602</v>
      </c>
      <c r="J105" s="2" cm="1">
        <f t="array" aca="1" ref="J105" ca="1">INDEX('Tiempos carretera (horas)'!E$45:E$1645,MATCH(C105&amp;D105,'Tiempos carretera (horas)'!C$45:C$1645&amp;'Tiempos carretera (horas)'!D$45:D$1645,0))</f>
        <v>5.65</v>
      </c>
      <c r="K105" s="12">
        <f t="shared" ca="1" si="6"/>
        <v>3.9574228603801243</v>
      </c>
      <c r="L105" s="12">
        <f t="shared" ca="1" si="7"/>
        <v>24.459930063844695</v>
      </c>
      <c r="M105" s="12">
        <f t="shared" ca="1" si="8"/>
        <v>0.126565347323706</v>
      </c>
      <c r="N105" s="13">
        <f t="shared" ca="1" si="9"/>
        <v>-20.502507203464571</v>
      </c>
      <c r="O105" s="13">
        <f t="shared" ca="1" si="10"/>
        <v>-20.110122420760604</v>
      </c>
      <c r="P105" s="12">
        <f t="shared" ca="1" si="11"/>
        <v>1.931674561452422</v>
      </c>
    </row>
    <row r="106" spans="1:16" x14ac:dyDescent="0.25">
      <c r="A106">
        <v>19</v>
      </c>
      <c r="B106">
        <v>1</v>
      </c>
      <c r="C106" s="2" t="s">
        <v>18</v>
      </c>
      <c r="D106" s="2" t="s">
        <v>0</v>
      </c>
      <c r="E106" s="11" cm="1">
        <f t="array" aca="1" ref="E106" ca="1">INDEX('OD flujo mercancia multimodal'!E$45:E$1645,MATCH(C106&amp;D106,'OD flujo mercancia multimodal'!C$45:C$1645&amp;'OD flujo mercancia multimodal'!D$45:D$1645,0))</f>
        <v>94287.994505494484</v>
      </c>
      <c r="F106" s="11" cm="1">
        <f t="array" aca="1" ref="F106" ca="1">INDEX('OD flujo mercancia carretera'!E$45:E$1646,MATCH(C106&amp;D106,'OD flujo mercancia carretera'!C$45:C$1646&amp;'OD flujo mercancia carretera'!D$45:D$1646,0))</f>
        <v>88561.8461538462</v>
      </c>
      <c r="G106" s="11" cm="1">
        <f t="array" aca="1" ref="G106" ca="1">INDEX('Coste Carretera'!E$46:E$1646,MATCH(C106&amp;D106,'Coste Carretera'!C$46:C$1646&amp;'Coste Carretera'!D$46:D$1646,0))</f>
        <v>2723603009.2857137</v>
      </c>
      <c r="H106" s="11" cm="1">
        <f t="array" aca="1" ref="H106" ca="1">INDEX('Coste multimodal'!E$46:E$1646,MATCH(C106&amp;D106,'Coste multimodal'!C$46:C$1646&amp;'Coste multimodal'!D$46:D$1646,0))</f>
        <v>893784245.48448074</v>
      </c>
      <c r="I106" s="12" cm="1">
        <f t="array" aca="1" ref="I106" ca="1">INDEX('Tiempos intermodal (horas)'!E$45:E$1645,MATCH(C106&amp;D106,'Tiempos intermodal (horas)'!C$45:C$1645&amp;'Tiempos intermodal (horas)'!D$45:D$1645,0))</f>
        <v>26.681948319901934</v>
      </c>
      <c r="J106" s="2" cm="1">
        <f t="array" aca="1" ref="J106" ca="1">INDEX('Tiempos carretera (horas)'!E$45:E$1645,MATCH(C106&amp;D106,'Tiempos carretera (horas)'!C$45:C$1645&amp;'Tiempos carretera (horas)'!D$45:D$1645,0))</f>
        <v>6.56</v>
      </c>
      <c r="K106" s="12">
        <f t="shared" ca="1" si="6"/>
        <v>30.753683753999166</v>
      </c>
      <c r="L106" s="12">
        <f t="shared" ca="1" si="7"/>
        <v>9.4793006275300176</v>
      </c>
      <c r="M106" s="12">
        <f t="shared" ca="1" si="8"/>
        <v>0.5156580621864375</v>
      </c>
      <c r="N106" s="13">
        <f t="shared" ca="1" si="9"/>
        <v>21.274383126469147</v>
      </c>
      <c r="O106" s="13">
        <f t="shared" ca="1" si="10"/>
        <v>-20.121948319901936</v>
      </c>
      <c r="P106" s="12">
        <f t="shared" ca="1" si="11"/>
        <v>-6.2652735276500851E-2</v>
      </c>
    </row>
    <row r="107" spans="1:16" x14ac:dyDescent="0.25">
      <c r="A107">
        <v>1</v>
      </c>
      <c r="B107">
        <v>19</v>
      </c>
      <c r="C107" s="2" t="s">
        <v>0</v>
      </c>
      <c r="D107" s="2" t="s">
        <v>18</v>
      </c>
      <c r="E107" s="11" cm="1">
        <f t="array" aca="1" ref="E107" ca="1">INDEX('OD flujo mercancia multimodal'!E$45:E$1645,MATCH(C107&amp;D107,'OD flujo mercancia multimodal'!C$45:C$1645&amp;'OD flujo mercancia multimodal'!D$45:D$1645,0))</f>
        <v>86907.994505494513</v>
      </c>
      <c r="F107" s="11" cm="1">
        <f t="array" aca="1" ref="F107" ca="1">INDEX('OD flujo mercancia carretera'!E$45:E$1646,MATCH(C107&amp;D107,'OD flujo mercancia carretera'!C$45:C$1646&amp;'OD flujo mercancia carretera'!D$45:D$1646,0))</f>
        <v>139335.3846153846</v>
      </c>
      <c r="G107" s="11" cm="1">
        <f t="array" aca="1" ref="G107" ca="1">INDEX('Coste Carretera'!E$46:E$1646,MATCH(C107&amp;D107,'Coste Carretera'!C$46:C$1646&amp;'Coste Carretera'!D$46:D$1646,0))</f>
        <v>2510424329.2857146</v>
      </c>
      <c r="H107" s="11" cm="1">
        <f t="array" aca="1" ref="H107" ca="1">INDEX('Coste multimodal'!E$46:E$1646,MATCH(C107&amp;D107,'Coste multimodal'!C$46:C$1646&amp;'Coste multimodal'!D$46:D$1646,0))</f>
        <v>893784245.48448074</v>
      </c>
      <c r="I107" s="12" cm="1">
        <f t="array" aca="1" ref="I107" ca="1">INDEX('Tiempos intermodal (horas)'!E$45:E$1645,MATCH(C107&amp;D107,'Tiempos intermodal (horas)'!C$45:C$1645&amp;'Tiempos intermodal (horas)'!D$45:D$1645,0))</f>
        <v>26.681948319901934</v>
      </c>
      <c r="J107" s="2" cm="1">
        <f t="array" aca="1" ref="J107" ca="1">INDEX('Tiempos carretera (horas)'!E$45:E$1645,MATCH(C107&amp;D107,'Tiempos carretera (horas)'!C$45:C$1645&amp;'Tiempos carretera (horas)'!D$45:D$1645,0))</f>
        <v>6.56</v>
      </c>
      <c r="K107" s="12">
        <f t="shared" ca="1" si="6"/>
        <v>18.017134242069105</v>
      </c>
      <c r="L107" s="12">
        <f t="shared" ca="1" si="7"/>
        <v>10.284258088914635</v>
      </c>
      <c r="M107" s="12">
        <f t="shared" ca="1" si="8"/>
        <v>0.38413497377556682</v>
      </c>
      <c r="N107" s="13">
        <f t="shared" ca="1" si="9"/>
        <v>7.7328761531544696</v>
      </c>
      <c r="O107" s="13">
        <f t="shared" ca="1" si="10"/>
        <v>-20.121948319901936</v>
      </c>
      <c r="P107" s="12">
        <f t="shared" ca="1" si="11"/>
        <v>0.47203384121736069</v>
      </c>
    </row>
    <row r="108" spans="1:16" x14ac:dyDescent="0.25">
      <c r="A108">
        <v>23</v>
      </c>
      <c r="B108">
        <v>14</v>
      </c>
      <c r="C108" s="2" t="s">
        <v>22</v>
      </c>
      <c r="D108" s="2" t="s">
        <v>13</v>
      </c>
      <c r="E108" s="11" cm="1">
        <f t="array" aca="1" ref="E108" ca="1">INDEX('OD flujo mercancia multimodal'!E$45:E$1645,MATCH(C108&amp;D108,'OD flujo mercancia multimodal'!C$45:C$1645&amp;'OD flujo mercancia multimodal'!D$45:D$1645,0))</f>
        <v>24725.92307692306</v>
      </c>
      <c r="F108" s="11" cm="1">
        <f t="array" aca="1" ref="F108" ca="1">INDEX('OD flujo mercancia carretera'!E$45:E$1646,MATCH(C108&amp;D108,'OD flujo mercancia carretera'!C$45:C$1646&amp;'OD flujo mercancia carretera'!D$45:D$1646,0))</f>
        <v>275204.43589743564</v>
      </c>
      <c r="G108" s="11" cm="1">
        <f t="array" aca="1" ref="G108" ca="1">INDEX('Coste Carretera'!E$46:E$1646,MATCH(C108&amp;D108,'Coste Carretera'!C$46:C$1646&amp;'Coste Carretera'!D$46:D$1646,0))</f>
        <v>989537375.75999928</v>
      </c>
      <c r="H108" s="11" cm="1">
        <f t="array" aca="1" ref="H108" ca="1">INDEX('Coste multimodal'!E$46:E$1646,MATCH(C108&amp;D108,'Coste multimodal'!C$46:C$1646&amp;'Coste multimodal'!D$46:D$1646,0))</f>
        <v>147157067.03222188</v>
      </c>
      <c r="I108" s="12" cm="1">
        <f t="array" aca="1" ref="I108" ca="1">INDEX('Tiempos intermodal (horas)'!E$45:E$1645,MATCH(C108&amp;D108,'Tiempos intermodal (horas)'!C$45:C$1645&amp;'Tiempos intermodal (horas)'!D$45:D$1645,0))</f>
        <v>27.784844287402638</v>
      </c>
      <c r="J108" s="2" cm="1">
        <f t="array" aca="1" ref="J108" ca="1">INDEX('Tiempos carretera (horas)'!E$45:E$1645,MATCH(C108&amp;D108,'Tiempos carretera (horas)'!C$45:C$1645&amp;'Tiempos carretera (horas)'!D$45:D$1645,0))</f>
        <v>7.66</v>
      </c>
      <c r="K108" s="12">
        <f t="shared" ca="1" si="6"/>
        <v>3.5956447160204359</v>
      </c>
      <c r="L108" s="12">
        <f t="shared" ca="1" si="7"/>
        <v>5.9515297598561636</v>
      </c>
      <c r="M108" s="12">
        <f t="shared" ca="1" si="8"/>
        <v>8.2438880683755322E-2</v>
      </c>
      <c r="N108" s="13">
        <f t="shared" ca="1" si="9"/>
        <v>-2.3558850438357277</v>
      </c>
      <c r="O108" s="13">
        <f t="shared" ca="1" si="10"/>
        <v>-20.124844287402638</v>
      </c>
      <c r="P108" s="12">
        <f t="shared" ca="1" si="11"/>
        <v>2.4096620141825973</v>
      </c>
    </row>
    <row r="109" spans="1:16" x14ac:dyDescent="0.25">
      <c r="A109">
        <v>14</v>
      </c>
      <c r="B109">
        <v>23</v>
      </c>
      <c r="C109" s="2" t="s">
        <v>13</v>
      </c>
      <c r="D109" s="2" t="s">
        <v>22</v>
      </c>
      <c r="E109" s="11" cm="1">
        <f t="array" aca="1" ref="E109" ca="1">INDEX('OD flujo mercancia multimodal'!E$45:E$1645,MATCH(C109&amp;D109,'OD flujo mercancia multimodal'!C$45:C$1645&amp;'OD flujo mercancia multimodal'!D$45:D$1645,0))</f>
        <v>17976.769230769234</v>
      </c>
      <c r="F109" s="11" cm="1">
        <f t="array" aca="1" ref="F109" ca="1">INDEX('OD flujo mercancia carretera'!E$45:E$1646,MATCH(C109&amp;D109,'OD flujo mercancia carretera'!C$45:C$1646&amp;'OD flujo mercancia carretera'!D$45:D$1646,0))</f>
        <v>214276.28205128238</v>
      </c>
      <c r="G109" s="11" cm="1">
        <f t="array" aca="1" ref="G109" ca="1">INDEX('Coste Carretera'!E$46:E$1646,MATCH(C109&amp;D109,'Coste Carretera'!C$46:C$1646&amp;'Coste Carretera'!D$46:D$1646,0))</f>
        <v>719434619.0400002</v>
      </c>
      <c r="H109" s="11" cm="1">
        <f t="array" aca="1" ref="H109" ca="1">INDEX('Coste multimodal'!E$46:E$1646,MATCH(C109&amp;D109,'Coste multimodal'!C$46:C$1646&amp;'Coste multimodal'!D$46:D$1646,0))</f>
        <v>147157067.03222188</v>
      </c>
      <c r="I109" s="12" cm="1">
        <f t="array" aca="1" ref="I109" ca="1">INDEX('Tiempos intermodal (horas)'!E$45:E$1645,MATCH(C109&amp;D109,'Tiempos intermodal (horas)'!C$45:C$1645&amp;'Tiempos intermodal (horas)'!D$45:D$1645,0))</f>
        <v>27.784844287402638</v>
      </c>
      <c r="J109" s="2" cm="1">
        <f t="array" aca="1" ref="J109" ca="1">INDEX('Tiempos carretera (horas)'!E$45:E$1645,MATCH(C109&amp;D109,'Tiempos carretera (horas)'!C$45:C$1645&amp;'Tiempos carretera (horas)'!D$45:D$1645,0))</f>
        <v>7.66</v>
      </c>
      <c r="K109" s="12">
        <f t="shared" ca="1" si="6"/>
        <v>3.3575093433244243</v>
      </c>
      <c r="L109" s="12">
        <f t="shared" ca="1" si="7"/>
        <v>8.1859573955227862</v>
      </c>
      <c r="M109" s="12">
        <f t="shared" ca="1" si="8"/>
        <v>7.7401649328335306E-2</v>
      </c>
      <c r="N109" s="13">
        <f t="shared" ca="1" si="9"/>
        <v>-4.8284480521983619</v>
      </c>
      <c r="O109" s="13">
        <f t="shared" ca="1" si="10"/>
        <v>-20.124844287402638</v>
      </c>
      <c r="P109" s="12">
        <f t="shared" ca="1" si="11"/>
        <v>2.4781858939058523</v>
      </c>
    </row>
    <row r="110" spans="1:16" x14ac:dyDescent="0.25">
      <c r="A110">
        <v>9</v>
      </c>
      <c r="B110">
        <v>35</v>
      </c>
      <c r="C110" s="2" t="s">
        <v>148</v>
      </c>
      <c r="D110" s="2" t="s">
        <v>34</v>
      </c>
      <c r="E110" s="11" cm="1">
        <f t="array" aca="1" ref="E110" ca="1">INDEX('OD flujo mercancia multimodal'!E$45:E$1645,MATCH(C110&amp;D110,'OD flujo mercancia multimodal'!C$45:C$1645&amp;'OD flujo mercancia multimodal'!D$45:D$1645,0))</f>
        <v>24013.115384615401</v>
      </c>
      <c r="F110" s="11" cm="1">
        <f t="array" aca="1" ref="F110" ca="1">INDEX('OD flujo mercancia carretera'!E$45:E$1646,MATCH(C110&amp;D110,'OD flujo mercancia carretera'!C$45:C$1646&amp;'OD flujo mercancia carretera'!D$45:D$1646,0))</f>
        <v>590646.83547008561</v>
      </c>
      <c r="G110" s="11" cm="1">
        <f t="array" aca="1" ref="G110" ca="1">INDEX('Coste Carretera'!E$46:E$1646,MATCH(C110&amp;D110,'Coste Carretera'!C$46:C$1646&amp;'Coste Carretera'!D$46:D$1646,0))</f>
        <v>2736112977.5000019</v>
      </c>
      <c r="H110" s="11" cm="1">
        <f t="array" aca="1" ref="H110" ca="1">INDEX('Coste multimodal'!E$46:E$1646,MATCH(C110&amp;D110,'Coste multimodal'!C$46:C$1646&amp;'Coste multimodal'!D$46:D$1646,0))</f>
        <v>2369414980.7011213</v>
      </c>
      <c r="I110" s="12" cm="1">
        <f t="array" aca="1" ref="I110" ca="1">INDEX('Tiempos intermodal (horas)'!E$45:E$1645,MATCH(C110&amp;D110,'Tiempos intermodal (horas)'!C$45:C$1645&amp;'Tiempos intermodal (horas)'!D$45:D$1645,0))</f>
        <v>22.234754937432548</v>
      </c>
      <c r="J110" s="2" cm="1">
        <f t="array" aca="1" ref="J110" ca="1">INDEX('Tiempos carretera (horas)'!E$45:E$1645,MATCH(C110&amp;D110,'Tiempos carretera (horas)'!C$45:C$1645&amp;'Tiempos carretera (horas)'!D$45:D$1645,0))</f>
        <v>2.11</v>
      </c>
      <c r="K110" s="12">
        <f t="shared" ca="1" si="6"/>
        <v>4.6324009766722556</v>
      </c>
      <c r="L110" s="12">
        <f t="shared" ca="1" si="7"/>
        <v>98.671702640430638</v>
      </c>
      <c r="M110" s="12">
        <f t="shared" ca="1" si="8"/>
        <v>3.9067317386181619E-2</v>
      </c>
      <c r="N110" s="13">
        <f t="shared" ca="1" si="9"/>
        <v>-94.03930166375838</v>
      </c>
      <c r="O110" s="13">
        <f t="shared" ca="1" si="10"/>
        <v>-20.124754937432549</v>
      </c>
      <c r="P110" s="12">
        <f t="shared" ca="1" si="11"/>
        <v>3.2026181122285267</v>
      </c>
    </row>
    <row r="111" spans="1:16" x14ac:dyDescent="0.25">
      <c r="A111">
        <v>35</v>
      </c>
      <c r="B111">
        <v>9</v>
      </c>
      <c r="C111" s="2" t="s">
        <v>34</v>
      </c>
      <c r="D111" s="2" t="s">
        <v>148</v>
      </c>
      <c r="E111" s="11" cm="1">
        <f t="array" aca="1" ref="E111" ca="1">INDEX('OD flujo mercancia multimodal'!E$45:E$1645,MATCH(C111&amp;D111,'OD flujo mercancia multimodal'!C$45:C$1645&amp;'OD flujo mercancia multimodal'!D$45:D$1645,0))</f>
        <v>10341.762237762236</v>
      </c>
      <c r="F111" s="11" cm="1">
        <f t="array" aca="1" ref="F111" ca="1">INDEX('OD flujo mercancia carretera'!E$45:E$1646,MATCH(C111&amp;D111,'OD flujo mercancia carretera'!C$45:C$1646&amp;'OD flujo mercancia carretera'!D$45:D$1646,0))</f>
        <v>584251.00641025661</v>
      </c>
      <c r="G111" s="11" cm="1">
        <f t="array" aca="1" ref="G111" ca="1">INDEX('Coste Carretera'!E$46:E$1646,MATCH(C111&amp;D111,'Coste Carretera'!C$46:C$1646&amp;'Coste Carretera'!D$46:D$1646,0))</f>
        <v>1151358626.7272727</v>
      </c>
      <c r="H111" s="11" cm="1">
        <f t="array" aca="1" ref="H111" ca="1">INDEX('Coste multimodal'!E$46:E$1646,MATCH(C111&amp;D111,'Coste multimodal'!C$46:C$1646&amp;'Coste multimodal'!D$46:D$1646,0))</f>
        <v>2369414980.7011213</v>
      </c>
      <c r="I111" s="12" cm="1">
        <f t="array" aca="1" ref="I111" ca="1">INDEX('Tiempos intermodal (horas)'!E$45:E$1645,MATCH(C111&amp;D111,'Tiempos intermodal (horas)'!C$45:C$1645&amp;'Tiempos intermodal (horas)'!D$45:D$1645,0))</f>
        <v>22.234754937432548</v>
      </c>
      <c r="J111" s="2" cm="1">
        <f t="array" aca="1" ref="J111" ca="1">INDEX('Tiempos carretera (horas)'!E$45:E$1645,MATCH(C111&amp;D111,'Tiempos carretera (horas)'!C$45:C$1645&amp;'Tiempos carretera (horas)'!D$45:D$1645,0))</f>
        <v>2.11</v>
      </c>
      <c r="K111" s="12">
        <f t="shared" ca="1" si="6"/>
        <v>1.9706574983951288</v>
      </c>
      <c r="L111" s="12">
        <f t="shared" ca="1" si="7"/>
        <v>229.11133772244011</v>
      </c>
      <c r="M111" s="12">
        <f t="shared" ca="1" si="8"/>
        <v>1.7393017175902203E-2</v>
      </c>
      <c r="N111" s="13">
        <f t="shared" ca="1" si="9"/>
        <v>-227.14068022404498</v>
      </c>
      <c r="O111" s="13">
        <f t="shared" ca="1" si="10"/>
        <v>-20.124754937432549</v>
      </c>
      <c r="P111" s="12">
        <f t="shared" ca="1" si="11"/>
        <v>4.0341404122424684</v>
      </c>
    </row>
    <row r="112" spans="1:16" x14ac:dyDescent="0.25">
      <c r="A112">
        <v>16</v>
      </c>
      <c r="B112">
        <v>15</v>
      </c>
      <c r="C112" s="2" t="s">
        <v>15</v>
      </c>
      <c r="D112" s="2" t="s">
        <v>14</v>
      </c>
      <c r="E112" s="11" cm="1">
        <f t="array" aca="1" ref="E112" ca="1">INDEX('OD flujo mercancia multimodal'!E$45:E$1645,MATCH(C112&amp;D112,'OD flujo mercancia multimodal'!C$45:C$1645&amp;'OD flujo mercancia multimodal'!D$45:D$1645,0))</f>
        <v>83037.230769230737</v>
      </c>
      <c r="F112" s="11" cm="1">
        <f t="array" aca="1" ref="F112" ca="1">INDEX('OD flujo mercancia carretera'!E$45:E$1646,MATCH(C112&amp;D112,'OD flujo mercancia carretera'!C$45:C$1646&amp;'OD flujo mercancia carretera'!D$45:D$1646,0))</f>
        <v>461783.00000000047</v>
      </c>
      <c r="G112" s="11" cm="1">
        <f t="array" aca="1" ref="G112" ca="1">INDEX('Coste Carretera'!E$46:E$1646,MATCH(C112&amp;D112,'Coste Carretera'!C$46:C$1646&amp;'Coste Carretera'!D$46:D$1646,0))</f>
        <v>1413001376.6399994</v>
      </c>
      <c r="H112" s="11" cm="1">
        <f t="array" aca="1" ref="H112" ca="1">INDEX('Coste multimodal'!E$46:E$1646,MATCH(C112&amp;D112,'Coste multimodal'!C$46:C$1646&amp;'Coste multimodal'!D$46:D$1646,0))</f>
        <v>213878119.13999999</v>
      </c>
      <c r="I112" s="12" cm="1">
        <f t="array" aca="1" ref="I112" ca="1">INDEX('Tiempos intermodal (horas)'!E$45:E$1645,MATCH(C112&amp;D112,'Tiempos intermodal (horas)'!C$45:C$1645&amp;'Tiempos intermodal (horas)'!D$45:D$1645,0))</f>
        <v>0</v>
      </c>
      <c r="J112" s="2" cm="1">
        <f t="array" aca="1" ref="J112" ca="1">INDEX('Tiempos carretera (horas)'!E$45:E$1645,MATCH(C112&amp;D112,'Tiempos carretera (horas)'!C$45:C$1645&amp;'Tiempos carretera (horas)'!D$45:D$1645,0))</f>
        <v>3.85</v>
      </c>
      <c r="K112" s="12">
        <f t="shared" ca="1" si="6"/>
        <v>3.059881755369942</v>
      </c>
      <c r="L112" s="12">
        <f t="shared" ca="1" si="7"/>
        <v>2.5756894486810373</v>
      </c>
      <c r="M112" s="12">
        <f t="shared" ca="1" si="8"/>
        <v>0.15241216474650829</v>
      </c>
      <c r="N112" s="13">
        <f t="shared" ca="1" si="9"/>
        <v>0.48419230668890467</v>
      </c>
      <c r="O112" s="13">
        <f t="shared" ca="1" si="10"/>
        <v>3.85</v>
      </c>
      <c r="P112" s="12">
        <f t="shared" ca="1" si="11"/>
        <v>1.7158060130630879</v>
      </c>
    </row>
    <row r="113" spans="1:16" x14ac:dyDescent="0.25">
      <c r="A113">
        <v>15</v>
      </c>
      <c r="B113">
        <v>16</v>
      </c>
      <c r="C113" s="2" t="s">
        <v>14</v>
      </c>
      <c r="D113" s="2" t="s">
        <v>15</v>
      </c>
      <c r="E113" s="11" cm="1">
        <f t="array" aca="1" ref="E113" ca="1">INDEX('OD flujo mercancia multimodal'!E$45:E$1645,MATCH(C113&amp;D113,'OD flujo mercancia multimodal'!C$45:C$1645&amp;'OD flujo mercancia multimodal'!D$45:D$1645,0))</f>
        <v>63675.000000000029</v>
      </c>
      <c r="F113" s="11" cm="1">
        <f t="array" aca="1" ref="F113" ca="1">INDEX('OD flujo mercancia carretera'!E$45:E$1646,MATCH(C113&amp;D113,'OD flujo mercancia carretera'!C$45:C$1646&amp;'OD flujo mercancia carretera'!D$45:D$1646,0))</f>
        <v>825961.61538461514</v>
      </c>
      <c r="G113" s="11" cm="1">
        <f t="array" aca="1" ref="G113" ca="1">INDEX('Coste Carretera'!E$46:E$1646,MATCH(C113&amp;D113,'Coste Carretera'!C$46:C$1646&amp;'Coste Carretera'!D$46:D$1646,0))</f>
        <v>1083524364.0000005</v>
      </c>
      <c r="H113" s="11" cm="1">
        <f t="array" aca="1" ref="H113" ca="1">INDEX('Coste multimodal'!E$46:E$1646,MATCH(C113&amp;D113,'Coste multimodal'!C$46:C$1646&amp;'Coste multimodal'!D$46:D$1646,0))</f>
        <v>213878119.13999999</v>
      </c>
      <c r="I113" s="12" cm="1">
        <f t="array" aca="1" ref="I113" ca="1">INDEX('Tiempos intermodal (horas)'!E$45:E$1645,MATCH(C113&amp;D113,'Tiempos intermodal (horas)'!C$45:C$1645&amp;'Tiempos intermodal (horas)'!D$45:D$1645,0))</f>
        <v>0</v>
      </c>
      <c r="J113" s="2" cm="1">
        <f t="array" aca="1" ref="J113" ca="1">INDEX('Tiempos carretera (horas)'!E$45:E$1645,MATCH(C113&amp;D113,'Tiempos carretera (horas)'!C$45:C$1645&amp;'Tiempos carretera (horas)'!D$45:D$1645,0))</f>
        <v>3.85</v>
      </c>
      <c r="K113" s="12">
        <f t="shared" ca="1" si="6"/>
        <v>1.3118337993169928</v>
      </c>
      <c r="L113" s="12">
        <f t="shared" ca="1" si="7"/>
        <v>3.3589025385158995</v>
      </c>
      <c r="M113" s="12">
        <f t="shared" ca="1" si="8"/>
        <v>7.1574167360986513E-2</v>
      </c>
      <c r="N113" s="13">
        <f t="shared" ca="1" si="9"/>
        <v>-2.0470687391989069</v>
      </c>
      <c r="O113" s="13">
        <f t="shared" ca="1" si="10"/>
        <v>3.85</v>
      </c>
      <c r="P113" s="12">
        <f t="shared" ca="1" si="11"/>
        <v>2.5627562810969966</v>
      </c>
    </row>
    <row r="114" spans="1:16" x14ac:dyDescent="0.25">
      <c r="A114">
        <v>25</v>
      </c>
      <c r="B114">
        <v>14</v>
      </c>
      <c r="C114" s="2" t="s">
        <v>24</v>
      </c>
      <c r="D114" s="2" t="s">
        <v>13</v>
      </c>
      <c r="E114" s="11" cm="1">
        <f t="array" aca="1" ref="E114" ca="1">INDEX('OD flujo mercancia multimodal'!E$45:E$1645,MATCH(C114&amp;D114,'OD flujo mercancia multimodal'!C$45:C$1645&amp;'OD flujo mercancia multimodal'!D$45:D$1645,0))</f>
        <v>27619.69230769229</v>
      </c>
      <c r="F114" s="11" cm="1">
        <f t="array" aca="1" ref="F114" ca="1">INDEX('OD flujo mercancia carretera'!E$45:E$1646,MATCH(C114&amp;D114,'OD flujo mercancia carretera'!C$45:C$1646&amp;'OD flujo mercancia carretera'!D$45:D$1646,0))</f>
        <v>235179.10256410233</v>
      </c>
      <c r="G114" s="11" cm="1">
        <f t="array" aca="1" ref="G114" ca="1">INDEX('Coste Carretera'!E$46:E$1646,MATCH(C114&amp;D114,'Coste Carretera'!C$46:C$1646&amp;'Coste Carretera'!D$46:D$1646,0))</f>
        <v>728194292.47999942</v>
      </c>
      <c r="H114" s="11" cm="1">
        <f t="array" aca="1" ref="H114" ca="1">INDEX('Coste multimodal'!E$46:E$1646,MATCH(C114&amp;D114,'Coste multimodal'!C$46:C$1646&amp;'Coste multimodal'!D$46:D$1646,0))</f>
        <v>80097864.532221884</v>
      </c>
      <c r="I114" s="12" cm="1">
        <f t="array" aca="1" ref="I114" ca="1">INDEX('Tiempos intermodal (horas)'!E$45:E$1645,MATCH(C114&amp;D114,'Tiempos intermodal (horas)'!C$45:C$1645&amp;'Tiempos intermodal (horas)'!D$45:D$1645,0))</f>
        <v>25.734844287402638</v>
      </c>
      <c r="J114" s="2" cm="1">
        <f t="array" aca="1" ref="J114" ca="1">INDEX('Tiempos carretera (horas)'!E$45:E$1645,MATCH(C114&amp;D114,'Tiempos carretera (horas)'!C$45:C$1645&amp;'Tiempos carretera (horas)'!D$45:D$1645,0))</f>
        <v>5.46</v>
      </c>
      <c r="K114" s="12">
        <f t="shared" ca="1" si="6"/>
        <v>3.09633927734509</v>
      </c>
      <c r="L114" s="12">
        <f t="shared" ca="1" si="7"/>
        <v>2.9000274021848549</v>
      </c>
      <c r="M114" s="12">
        <f t="shared" ca="1" si="8"/>
        <v>0.10509824567942348</v>
      </c>
      <c r="N114" s="13">
        <f t="shared" ca="1" si="9"/>
        <v>0.19631187516023507</v>
      </c>
      <c r="O114" s="13">
        <f t="shared" ca="1" si="10"/>
        <v>-20.274844287402637</v>
      </c>
      <c r="P114" s="12">
        <f t="shared" ca="1" si="11"/>
        <v>2.1418183547150034</v>
      </c>
    </row>
    <row r="115" spans="1:16" x14ac:dyDescent="0.25">
      <c r="A115">
        <v>14</v>
      </c>
      <c r="B115">
        <v>25</v>
      </c>
      <c r="C115" s="2" t="s">
        <v>13</v>
      </c>
      <c r="D115" s="2" t="s">
        <v>24</v>
      </c>
      <c r="E115" s="11" cm="1">
        <f t="array" aca="1" ref="E115" ca="1">INDEX('OD flujo mercancia multimodal'!E$45:E$1645,MATCH(C115&amp;D115,'OD flujo mercancia multimodal'!C$45:C$1645&amp;'OD flujo mercancia multimodal'!D$45:D$1645,0))</f>
        <v>16743.769230769234</v>
      </c>
      <c r="F115" s="11" cm="1">
        <f t="array" aca="1" ref="F115" ca="1">INDEX('OD flujo mercancia carretera'!E$45:E$1646,MATCH(C115&amp;D115,'OD flujo mercancia carretera'!C$45:C$1646&amp;'OD flujo mercancia carretera'!D$45:D$1646,0))</f>
        <v>164695.94871794869</v>
      </c>
      <c r="G115" s="11" cm="1">
        <f t="array" aca="1" ref="G115" ca="1">INDEX('Coste Carretera'!E$46:E$1646,MATCH(C115&amp;D115,'Coste Carretera'!C$46:C$1646&amp;'Coste Carretera'!D$46:D$1646,0))</f>
        <v>441450145.5200001</v>
      </c>
      <c r="H115" s="11" cm="1">
        <f t="array" aca="1" ref="H115" ca="1">INDEX('Coste multimodal'!E$46:E$1646,MATCH(C115&amp;D115,'Coste multimodal'!C$46:C$1646&amp;'Coste multimodal'!D$46:D$1646,0))</f>
        <v>80097864.532221884</v>
      </c>
      <c r="I115" s="12" cm="1">
        <f t="array" aca="1" ref="I115" ca="1">INDEX('Tiempos intermodal (horas)'!E$45:E$1645,MATCH(C115&amp;D115,'Tiempos intermodal (horas)'!C$45:C$1645&amp;'Tiempos intermodal (horas)'!D$45:D$1645,0))</f>
        <v>25.734844287402638</v>
      </c>
      <c r="J115" s="2" cm="1">
        <f t="array" aca="1" ref="J115" ca="1">INDEX('Tiempos carretera (horas)'!E$45:E$1645,MATCH(C115&amp;D115,'Tiempos carretera (horas)'!C$45:C$1645&amp;'Tiempos carretera (horas)'!D$45:D$1645,0))</f>
        <v>5.46</v>
      </c>
      <c r="K115" s="12">
        <f t="shared" ca="1" si="6"/>
        <v>2.6803946846076281</v>
      </c>
      <c r="L115" s="12">
        <f t="shared" ca="1" si="7"/>
        <v>4.7837415475739968</v>
      </c>
      <c r="M115" s="12">
        <f t="shared" ca="1" si="8"/>
        <v>9.2282822196084358E-2</v>
      </c>
      <c r="N115" s="13">
        <f t="shared" ca="1" si="9"/>
        <v>-2.1033468629663687</v>
      </c>
      <c r="O115" s="13">
        <f t="shared" ca="1" si="10"/>
        <v>-20.274844287402637</v>
      </c>
      <c r="P115" s="12">
        <f t="shared" ca="1" si="11"/>
        <v>2.2860748360886594</v>
      </c>
    </row>
    <row r="116" spans="1:16" x14ac:dyDescent="0.25">
      <c r="A116">
        <v>33</v>
      </c>
      <c r="B116">
        <v>4</v>
      </c>
      <c r="C116" s="2" t="s">
        <v>32</v>
      </c>
      <c r="D116" s="2" t="s">
        <v>3</v>
      </c>
      <c r="E116" s="11" cm="1">
        <f t="array" aca="1" ref="E116" ca="1">INDEX('OD flujo mercancia multimodal'!E$45:E$1645,MATCH(C116&amp;D116,'OD flujo mercancia multimodal'!C$45:C$1645&amp;'OD flujo mercancia multimodal'!D$45:D$1645,0))</f>
        <v>61296.686813186781</v>
      </c>
      <c r="F116" s="11" cm="1">
        <f t="array" aca="1" ref="F116" ca="1">INDEX('OD flujo mercancia carretera'!E$45:E$1646,MATCH(C116&amp;D116,'OD flujo mercancia carretera'!C$45:C$1646&amp;'OD flujo mercancia carretera'!D$45:D$1646,0))</f>
        <v>123777.40512820511</v>
      </c>
      <c r="G116" s="11" cm="1">
        <f t="array" aca="1" ref="G116" ca="1">INDEX('Coste Carretera'!E$46:E$1646,MATCH(C116&amp;D116,'Coste Carretera'!C$46:C$1646&amp;'Coste Carretera'!D$46:D$1646,0))</f>
        <v>613771486.55428505</v>
      </c>
      <c r="H116" s="11" cm="1">
        <f t="array" aca="1" ref="H116" ca="1">INDEX('Coste multimodal'!E$46:E$1646,MATCH(C116&amp;D116,'Coste multimodal'!C$46:C$1646&amp;'Coste multimodal'!D$46:D$1646,0))</f>
        <v>394274348.45438027</v>
      </c>
      <c r="I116" s="12" cm="1">
        <f t="array" aca="1" ref="I116" ca="1">INDEX('Tiempos intermodal (horas)'!E$45:E$1645,MATCH(C116&amp;D116,'Tiempos intermodal (horas)'!C$45:C$1645&amp;'Tiempos intermodal (horas)'!D$45:D$1645,0))</f>
        <v>22.594700601480387</v>
      </c>
      <c r="J116" s="2" cm="1">
        <f t="array" aca="1" ref="J116" ca="1">INDEX('Tiempos carretera (horas)'!E$45:E$1645,MATCH(C116&amp;D116,'Tiempos carretera (horas)'!C$45:C$1645&amp;'Tiempos carretera (horas)'!D$45:D$1645,0))</f>
        <v>4.08</v>
      </c>
      <c r="K116" s="12">
        <f t="shared" ca="1" si="6"/>
        <v>4.9586714628454045</v>
      </c>
      <c r="L116" s="12">
        <f t="shared" ca="1" si="7"/>
        <v>6.4322293577792511</v>
      </c>
      <c r="M116" s="12">
        <f t="shared" ca="1" si="8"/>
        <v>0.33120079731417967</v>
      </c>
      <c r="N116" s="13">
        <f t="shared" ca="1" si="9"/>
        <v>-1.4735578949338466</v>
      </c>
      <c r="O116" s="13">
        <f t="shared" ca="1" si="10"/>
        <v>-18.514700601480385</v>
      </c>
      <c r="P116" s="12">
        <f t="shared" ca="1" si="11"/>
        <v>0.70275903975562881</v>
      </c>
    </row>
    <row r="117" spans="1:16" x14ac:dyDescent="0.25">
      <c r="A117">
        <v>4</v>
      </c>
      <c r="B117">
        <v>33</v>
      </c>
      <c r="C117" s="2" t="s">
        <v>3</v>
      </c>
      <c r="D117" s="2" t="s">
        <v>32</v>
      </c>
      <c r="E117" s="11" cm="1">
        <f t="array" aca="1" ref="E117" ca="1">INDEX('OD flujo mercancia multimodal'!E$45:E$1645,MATCH(C117&amp;D117,'OD flujo mercancia multimodal'!C$45:C$1645&amp;'OD flujo mercancia multimodal'!D$45:D$1645,0))</f>
        <v>93783.91208791206</v>
      </c>
      <c r="F117" s="11" cm="1">
        <f t="array" aca="1" ref="F117" ca="1">INDEX('OD flujo mercancia carretera'!E$45:E$1646,MATCH(C117&amp;D117,'OD flujo mercancia carretera'!C$45:C$1646&amp;'OD flujo mercancia carretera'!D$45:D$1646,0))</f>
        <v>130674.87692307694</v>
      </c>
      <c r="G117" s="11" cm="1">
        <f t="array" aca="1" ref="G117" ca="1">INDEX('Coste Carretera'!E$46:E$1646,MATCH(C117&amp;D117,'Coste Carretera'!C$46:C$1646&amp;'Coste Carretera'!D$46:D$1646,0))</f>
        <v>591366863.7485714</v>
      </c>
      <c r="H117" s="11" cm="1">
        <f t="array" aca="1" ref="H117" ca="1">INDEX('Coste multimodal'!E$46:E$1646,MATCH(C117&amp;D117,'Coste multimodal'!C$46:C$1646&amp;'Coste multimodal'!D$46:D$1646,0))</f>
        <v>394274348.45438027</v>
      </c>
      <c r="I117" s="12" cm="1">
        <f t="array" aca="1" ref="I117" ca="1">INDEX('Tiempos intermodal (horas)'!E$45:E$1645,MATCH(C117&amp;D117,'Tiempos intermodal (horas)'!C$45:C$1645&amp;'Tiempos intermodal (horas)'!D$45:D$1645,0))</f>
        <v>22.594700601480387</v>
      </c>
      <c r="J117" s="2" cm="1">
        <f t="array" aca="1" ref="J117" ca="1">INDEX('Tiempos carretera (horas)'!E$45:E$1645,MATCH(C117&amp;D117,'Tiempos carretera (horas)'!C$45:C$1645&amp;'Tiempos carretera (horas)'!D$45:D$1645,0))</f>
        <v>4.08</v>
      </c>
      <c r="K117" s="12">
        <f t="shared" ca="1" si="6"/>
        <v>4.5254824620702365</v>
      </c>
      <c r="L117" s="12">
        <f t="shared" ca="1" si="7"/>
        <v>4.2040723155672124</v>
      </c>
      <c r="M117" s="12">
        <f t="shared" ca="1" si="8"/>
        <v>0.41782240963315809</v>
      </c>
      <c r="N117" s="13">
        <f t="shared" ca="1" si="9"/>
        <v>0.32141014650302413</v>
      </c>
      <c r="O117" s="13">
        <f t="shared" ca="1" si="10"/>
        <v>-18.514700601480385</v>
      </c>
      <c r="P117" s="12">
        <f t="shared" ca="1" si="11"/>
        <v>0.33171905436327243</v>
      </c>
    </row>
    <row r="118" spans="1:16" x14ac:dyDescent="0.25">
      <c r="A118">
        <v>19</v>
      </c>
      <c r="B118">
        <v>36</v>
      </c>
      <c r="C118" s="2" t="s">
        <v>18</v>
      </c>
      <c r="D118" s="2" t="s">
        <v>35</v>
      </c>
      <c r="E118" s="11" cm="1">
        <f t="array" aca="1" ref="E118" ca="1">INDEX('OD flujo mercancia multimodal'!E$45:E$1645,MATCH(C118&amp;D118,'OD flujo mercancia multimodal'!C$45:C$1645&amp;'OD flujo mercancia multimodal'!D$45:D$1645,0))</f>
        <v>5527.7692307692269</v>
      </c>
      <c r="F118" s="11" cm="1">
        <f t="array" aca="1" ref="F118" ca="1">INDEX('OD flujo mercancia carretera'!E$45:E$1646,MATCH(C118&amp;D118,'OD flujo mercancia carretera'!C$45:C$1646&amp;'OD flujo mercancia carretera'!D$45:D$1646,0))</f>
        <v>131350.92307692312</v>
      </c>
      <c r="G118" s="11" cm="1">
        <f t="array" aca="1" ref="G118" ca="1">INDEX('Coste Carretera'!E$46:E$1646,MATCH(C118&amp;D118,'Coste Carretera'!C$46:C$1646&amp;'Coste Carretera'!D$46:D$1646,0))</f>
        <v>838385591.44000053</v>
      </c>
      <c r="H118" s="11" cm="1">
        <f t="array" aca="1" ref="H118" ca="1">INDEX('Coste multimodal'!E$46:E$1646,MATCH(C118&amp;D118,'Coste multimodal'!C$46:C$1646&amp;'Coste multimodal'!D$46:D$1646,0))</f>
        <v>766200502.59505224</v>
      </c>
      <c r="I118" s="12" cm="1">
        <f t="array" aca="1" ref="I118" ca="1">INDEX('Tiempos intermodal (horas)'!E$45:E$1645,MATCH(C118&amp;D118,'Tiempos intermodal (horas)'!C$45:C$1645&amp;'Tiempos intermodal (horas)'!D$45:D$1645,0))</f>
        <v>27.301948319901935</v>
      </c>
      <c r="J118" s="2" cm="1">
        <f t="array" aca="1" ref="J118" ca="1">INDEX('Tiempos carretera (horas)'!E$45:E$1645,MATCH(C118&amp;D118,'Tiempos carretera (horas)'!C$45:C$1645&amp;'Tiempos carretera (horas)'!D$45:D$1645,0))</f>
        <v>6.66</v>
      </c>
      <c r="K118" s="12">
        <f t="shared" ca="1" si="6"/>
        <v>6.3827917748930956</v>
      </c>
      <c r="L118" s="12">
        <f t="shared" ca="1" si="7"/>
        <v>138.60935046458698</v>
      </c>
      <c r="M118" s="12">
        <f t="shared" ca="1" si="8"/>
        <v>4.0384439225524191E-2</v>
      </c>
      <c r="N118" s="13">
        <f t="shared" ca="1" si="9"/>
        <v>-132.22655868969389</v>
      </c>
      <c r="O118" s="13">
        <f t="shared" ca="1" si="10"/>
        <v>-20.641948319901935</v>
      </c>
      <c r="P118" s="12">
        <f t="shared" ca="1" si="11"/>
        <v>3.1680882036448317</v>
      </c>
    </row>
    <row r="119" spans="1:16" x14ac:dyDescent="0.25">
      <c r="A119">
        <v>36</v>
      </c>
      <c r="B119">
        <v>19</v>
      </c>
      <c r="C119" s="2" t="s">
        <v>35</v>
      </c>
      <c r="D119" s="2" t="s">
        <v>18</v>
      </c>
      <c r="E119" s="11" cm="1">
        <f t="array" aca="1" ref="E119" ca="1">INDEX('OD flujo mercancia multimodal'!E$45:E$1645,MATCH(C119&amp;D119,'OD flujo mercancia multimodal'!C$45:C$1645&amp;'OD flujo mercancia multimodal'!D$45:D$1645,0))</f>
        <v>3396.1538461538494</v>
      </c>
      <c r="F119" s="11" cm="1">
        <f t="array" aca="1" ref="F119" ca="1">INDEX('OD flujo mercancia carretera'!E$45:E$1646,MATCH(C119&amp;D119,'OD flujo mercancia carretera'!C$45:C$1646&amp;'OD flujo mercancia carretera'!D$45:D$1646,0))</f>
        <v>183932.30769230769</v>
      </c>
      <c r="G119" s="11" cm="1">
        <f t="array" aca="1" ref="G119" ca="1">INDEX('Coste Carretera'!E$46:E$1646,MATCH(C119&amp;D119,'Coste Carretera'!C$46:C$1646&amp;'Coste Carretera'!D$46:D$1646,0))</f>
        <v>371403579.16000003</v>
      </c>
      <c r="H119" s="11" cm="1">
        <f t="array" aca="1" ref="H119" ca="1">INDEX('Coste multimodal'!E$46:E$1646,MATCH(C119&amp;D119,'Coste multimodal'!C$46:C$1646&amp;'Coste multimodal'!D$46:D$1646,0))</f>
        <v>766200502.59505224</v>
      </c>
      <c r="I119" s="12" cm="1">
        <f t="array" aca="1" ref="I119" ca="1">INDEX('Tiempos intermodal (horas)'!E$45:E$1645,MATCH(C119&amp;D119,'Tiempos intermodal (horas)'!C$45:C$1645&amp;'Tiempos intermodal (horas)'!D$45:D$1645,0))</f>
        <v>27.301948319901935</v>
      </c>
      <c r="J119" s="2" cm="1">
        <f t="array" aca="1" ref="J119" ca="1">INDEX('Tiempos carretera (horas)'!E$45:E$1645,MATCH(C119&amp;D119,'Tiempos carretera (horas)'!C$45:C$1645&amp;'Tiempos carretera (horas)'!D$45:D$1645,0))</f>
        <v>6.66</v>
      </c>
      <c r="K119" s="12">
        <f t="shared" ca="1" si="6"/>
        <v>2.0192405772525013</v>
      </c>
      <c r="L119" s="12">
        <f t="shared" ca="1" si="7"/>
        <v>225.60830200986794</v>
      </c>
      <c r="M119" s="12">
        <f t="shared" ca="1" si="8"/>
        <v>1.8129406595572582E-2</v>
      </c>
      <c r="N119" s="13">
        <f t="shared" ca="1" si="9"/>
        <v>-223.58906143261544</v>
      </c>
      <c r="O119" s="13">
        <f t="shared" ca="1" si="10"/>
        <v>-20.641948319901935</v>
      </c>
      <c r="P119" s="12">
        <f t="shared" ca="1" si="11"/>
        <v>3.9919242273547404</v>
      </c>
    </row>
    <row r="120" spans="1:16" x14ac:dyDescent="0.25">
      <c r="A120">
        <v>13</v>
      </c>
      <c r="B120">
        <v>30</v>
      </c>
      <c r="C120" s="2" t="s">
        <v>12</v>
      </c>
      <c r="D120" s="2" t="s">
        <v>146</v>
      </c>
      <c r="E120" s="11" cm="1">
        <f t="array" aca="1" ref="E120" ca="1">INDEX('OD flujo mercancia multimodal'!E$45:E$1645,MATCH(C120&amp;D120,'OD flujo mercancia multimodal'!C$45:C$1645&amp;'OD flujo mercancia multimodal'!D$45:D$1645,0))</f>
        <v>9564.1461538461535</v>
      </c>
      <c r="F120" s="11" cm="1">
        <f t="array" aca="1" ref="F120" ca="1">INDEX('OD flujo mercancia carretera'!E$45:E$1646,MATCH(C120&amp;D120,'OD flujo mercancia carretera'!C$45:C$1646&amp;'OD flujo mercancia carretera'!D$45:D$1646,0))</f>
        <v>252583.40769230769</v>
      </c>
      <c r="G120" s="11" cm="1">
        <f t="array" aca="1" ref="G120" ca="1">INDEX('Coste Carretera'!E$46:E$1646,MATCH(C120&amp;D120,'Coste Carretera'!C$46:C$1646&amp;'Coste Carretera'!D$46:D$1646,0))</f>
        <v>950437952.76000011</v>
      </c>
      <c r="H120" s="11" cm="1">
        <f t="array" aca="1" ref="H120" ca="1">INDEX('Coste multimodal'!E$46:E$1646,MATCH(C120&amp;D120,'Coste multimodal'!C$46:C$1646&amp;'Coste multimodal'!D$46:D$1646,0))</f>
        <v>71249690.448221877</v>
      </c>
      <c r="I120" s="12" cm="1">
        <f t="array" aca="1" ref="I120" ca="1">INDEX('Tiempos intermodal (horas)'!E$45:E$1645,MATCH(C120&amp;D120,'Tiempos intermodal (horas)'!C$45:C$1645&amp;'Tiempos intermodal (horas)'!D$45:D$1645,0))</f>
        <v>26.760399842958194</v>
      </c>
      <c r="J120" s="2" cm="1">
        <f t="array" aca="1" ref="J120" ca="1">INDEX('Tiempos carretera (horas)'!E$45:E$1645,MATCH(C120&amp;D120,'Tiempos carretera (horas)'!C$45:C$1645&amp;'Tiempos carretera (horas)'!D$45:D$1645,0))</f>
        <v>6.03</v>
      </c>
      <c r="K120" s="12">
        <f t="shared" ca="1" si="6"/>
        <v>3.7628677253329545</v>
      </c>
      <c r="L120" s="12">
        <f t="shared" ca="1" si="7"/>
        <v>7.4496655845821964</v>
      </c>
      <c r="M120" s="12">
        <f t="shared" ca="1" si="8"/>
        <v>3.6483827575438874E-2</v>
      </c>
      <c r="N120" s="13">
        <f t="shared" ca="1" si="9"/>
        <v>-3.6867978592492419</v>
      </c>
      <c r="O120" s="13">
        <f t="shared" ca="1" si="10"/>
        <v>-20.730399842958192</v>
      </c>
      <c r="P120" s="12">
        <f t="shared" ca="1" si="11"/>
        <v>3.2737201905190534</v>
      </c>
    </row>
    <row r="121" spans="1:16" x14ac:dyDescent="0.25">
      <c r="A121">
        <v>30</v>
      </c>
      <c r="B121">
        <v>13</v>
      </c>
      <c r="C121" s="2" t="s">
        <v>146</v>
      </c>
      <c r="D121" s="2" t="s">
        <v>12</v>
      </c>
      <c r="E121" s="11" cm="1">
        <f t="array" aca="1" ref="E121" ca="1">INDEX('OD flujo mercancia multimodal'!E$45:E$1645,MATCH(C121&amp;D121,'OD flujo mercancia multimodal'!C$45:C$1645&amp;'OD flujo mercancia multimodal'!D$45:D$1645,0))</f>
        <v>5129.6923076923122</v>
      </c>
      <c r="F121" s="11" cm="1">
        <f t="array" aca="1" ref="F121" ca="1">INDEX('OD flujo mercancia carretera'!E$45:E$1646,MATCH(C121&amp;D121,'OD flujo mercancia carretera'!C$45:C$1646&amp;'OD flujo mercancia carretera'!D$45:D$1646,0))</f>
        <v>248477.33846153854</v>
      </c>
      <c r="G121" s="11" cm="1">
        <f t="array" aca="1" ref="G121" ca="1">INDEX('Coste Carretera'!E$46:E$1646,MATCH(C121&amp;D121,'Coste Carretera'!C$46:C$1646&amp;'Coste Carretera'!D$46:D$1646,0))</f>
        <v>450265162.92000014</v>
      </c>
      <c r="H121" s="11" cm="1">
        <f t="array" aca="1" ref="H121" ca="1">INDEX('Coste multimodal'!E$46:E$1646,MATCH(C121&amp;D121,'Coste multimodal'!C$46:C$1646&amp;'Coste multimodal'!D$46:D$1646,0))</f>
        <v>71249690.448221877</v>
      </c>
      <c r="I121" s="12" cm="1">
        <f t="array" aca="1" ref="I121" ca="1">INDEX('Tiempos intermodal (horas)'!E$45:E$1645,MATCH(C121&amp;D121,'Tiempos intermodal (horas)'!C$45:C$1645&amp;'Tiempos intermodal (horas)'!D$45:D$1645,0))</f>
        <v>26.760399842958194</v>
      </c>
      <c r="J121" s="2" cm="1">
        <f t="array" aca="1" ref="J121" ca="1">INDEX('Tiempos carretera (horas)'!E$45:E$1645,MATCH(C121&amp;D121,'Tiempos carretera (horas)'!C$45:C$1645&amp;'Tiempos carretera (horas)'!D$45:D$1645,0))</f>
        <v>6.03</v>
      </c>
      <c r="K121" s="12">
        <f t="shared" ca="1" si="6"/>
        <v>1.8120974963263945</v>
      </c>
      <c r="L121" s="12">
        <f t="shared" ca="1" si="7"/>
        <v>13.889661635528952</v>
      </c>
      <c r="M121" s="12">
        <f t="shared" ca="1" si="8"/>
        <v>2.0226932558348763E-2</v>
      </c>
      <c r="N121" s="13">
        <f t="shared" ca="1" si="9"/>
        <v>-12.077564139202558</v>
      </c>
      <c r="O121" s="13">
        <f t="shared" ca="1" si="10"/>
        <v>-20.730399842958192</v>
      </c>
      <c r="P121" s="12">
        <f t="shared" ca="1" si="11"/>
        <v>3.8803059696880733</v>
      </c>
    </row>
    <row r="122" spans="1:16" x14ac:dyDescent="0.25">
      <c r="A122">
        <v>10</v>
      </c>
      <c r="B122">
        <v>33</v>
      </c>
      <c r="C122" s="2" t="s">
        <v>9</v>
      </c>
      <c r="D122" s="2" t="s">
        <v>32</v>
      </c>
      <c r="E122" s="11" cm="1">
        <f t="array" aca="1" ref="E122" ca="1">INDEX('OD flujo mercancia multimodal'!E$45:E$1645,MATCH(C122&amp;D122,'OD flujo mercancia multimodal'!C$45:C$1645&amp;'OD flujo mercancia multimodal'!D$45:D$1645,0))</f>
        <v>78218.340659340625</v>
      </c>
      <c r="F122" s="11" cm="1">
        <f t="array" aca="1" ref="F122" ca="1">INDEX('OD flujo mercancia carretera'!E$45:E$1646,MATCH(C122&amp;D122,'OD flujo mercancia carretera'!C$45:C$1646&amp;'OD flujo mercancia carretera'!D$45:D$1646,0))</f>
        <v>190167.64615384617</v>
      </c>
      <c r="G122" s="11" cm="1">
        <f t="array" aca="1" ref="G122" ca="1">INDEX('Coste Carretera'!E$46:E$1646,MATCH(C122&amp;D122,'Coste Carretera'!C$46:C$1646&amp;'Coste Carretera'!D$46:D$1646,0))</f>
        <v>429194348.42285711</v>
      </c>
      <c r="H122" s="11" cm="1">
        <f t="array" aca="1" ref="H122" ca="1">INDEX('Coste multimodal'!E$46:E$1646,MATCH(C122&amp;D122,'Coste multimodal'!C$46:C$1646&amp;'Coste multimodal'!D$46:D$1646,0))</f>
        <v>448560095.55172497</v>
      </c>
      <c r="I122" s="12" cm="1">
        <f t="array" aca="1" ref="I122" ca="1">INDEX('Tiempos intermodal (horas)'!E$45:E$1645,MATCH(C122&amp;D122,'Tiempos intermodal (horas)'!C$45:C$1645&amp;'Tiempos intermodal (horas)'!D$45:D$1645,0))</f>
        <v>26.884605536933417</v>
      </c>
      <c r="J122" s="2" cm="1">
        <f t="array" aca="1" ref="J122" ca="1">INDEX('Tiempos carretera (horas)'!E$45:E$1645,MATCH(C122&amp;D122,'Tiempos carretera (horas)'!C$45:C$1645&amp;'Tiempos carretera (horas)'!D$45:D$1645,0))</f>
        <v>6.15</v>
      </c>
      <c r="K122" s="12">
        <f t="shared" ca="1" si="6"/>
        <v>2.2569262285322584</v>
      </c>
      <c r="L122" s="12">
        <f t="shared" ca="1" si="7"/>
        <v>5.7347176093304038</v>
      </c>
      <c r="M122" s="12">
        <f t="shared" ca="1" si="8"/>
        <v>0.29143973419813984</v>
      </c>
      <c r="N122" s="13">
        <f t="shared" ca="1" si="9"/>
        <v>-3.4777913807981453</v>
      </c>
      <c r="O122" s="13">
        <f t="shared" ca="1" si="10"/>
        <v>-20.734605536933415</v>
      </c>
      <c r="P122" s="12">
        <f t="shared" ca="1" si="11"/>
        <v>0.88840187596044873</v>
      </c>
    </row>
    <row r="123" spans="1:16" x14ac:dyDescent="0.25">
      <c r="A123">
        <v>33</v>
      </c>
      <c r="B123">
        <v>10</v>
      </c>
      <c r="C123" s="2" t="s">
        <v>32</v>
      </c>
      <c r="D123" s="2" t="s">
        <v>9</v>
      </c>
      <c r="E123" s="11" cm="1">
        <f t="array" aca="1" ref="E123" ca="1">INDEX('OD flujo mercancia multimodal'!E$45:E$1645,MATCH(C123&amp;D123,'OD flujo mercancia multimodal'!C$45:C$1645&amp;'OD flujo mercancia multimodal'!D$45:D$1645,0))</f>
        <v>51236.82967032968</v>
      </c>
      <c r="F123" s="11" cm="1">
        <f t="array" aca="1" ref="F123" ca="1">INDEX('OD flujo mercancia carretera'!E$45:E$1646,MATCH(C123&amp;D123,'OD flujo mercancia carretera'!C$45:C$1646&amp;'OD flujo mercancia carretera'!D$45:D$1646,0))</f>
        <v>187219.94358974363</v>
      </c>
      <c r="G123" s="11" cm="1">
        <f t="array" aca="1" ref="G123" ca="1">INDEX('Coste Carretera'!E$46:E$1646,MATCH(C123&amp;D123,'Coste Carretera'!C$46:C$1646&amp;'Coste Carretera'!D$46:D$1646,0))</f>
        <v>625369172.26857185</v>
      </c>
      <c r="H123" s="11" cm="1">
        <f t="array" aca="1" ref="H123" ca="1">INDEX('Coste multimodal'!E$46:E$1646,MATCH(C123&amp;D123,'Coste multimodal'!C$46:C$1646&amp;'Coste multimodal'!D$46:D$1646,0))</f>
        <v>448560095.55172497</v>
      </c>
      <c r="I123" s="12" cm="1">
        <f t="array" aca="1" ref="I123" ca="1">INDEX('Tiempos intermodal (horas)'!E$45:E$1645,MATCH(C123&amp;D123,'Tiempos intermodal (horas)'!C$45:C$1645&amp;'Tiempos intermodal (horas)'!D$45:D$1645,0))</f>
        <v>26.884605536933417</v>
      </c>
      <c r="J123" s="2" cm="1">
        <f t="array" aca="1" ref="J123" ca="1">INDEX('Tiempos carretera (horas)'!E$45:E$1645,MATCH(C123&amp;D123,'Tiempos carretera (horas)'!C$45:C$1645&amp;'Tiempos carretera (horas)'!D$45:D$1645,0))</f>
        <v>6.15</v>
      </c>
      <c r="K123" s="12">
        <f t="shared" ca="1" si="6"/>
        <v>3.3402914255702782</v>
      </c>
      <c r="L123" s="12">
        <f t="shared" ca="1" si="7"/>
        <v>8.7546418940803044</v>
      </c>
      <c r="M123" s="12">
        <f t="shared" ca="1" si="8"/>
        <v>0.2148684181616772</v>
      </c>
      <c r="N123" s="13">
        <f t="shared" ca="1" si="9"/>
        <v>-5.4143504685100261</v>
      </c>
      <c r="O123" s="13">
        <f t="shared" ca="1" si="10"/>
        <v>-20.734605536933415</v>
      </c>
      <c r="P123" s="12">
        <f t="shared" ca="1" si="11"/>
        <v>1.2958254916882777</v>
      </c>
    </row>
    <row r="124" spans="1:16" x14ac:dyDescent="0.25">
      <c r="A124">
        <v>5</v>
      </c>
      <c r="B124">
        <v>33</v>
      </c>
      <c r="C124" s="2" t="s">
        <v>4</v>
      </c>
      <c r="D124" s="2" t="s">
        <v>32</v>
      </c>
      <c r="E124" s="11" cm="1">
        <f t="array" aca="1" ref="E124" ca="1">INDEX('OD flujo mercancia multimodal'!E$45:E$1645,MATCH(C124&amp;D124,'OD flujo mercancia multimodal'!C$45:C$1645&amp;'OD flujo mercancia multimodal'!D$45:D$1645,0))</f>
        <v>110709.84065934063</v>
      </c>
      <c r="F124" s="11" cm="1">
        <f t="array" aca="1" ref="F124" ca="1">INDEX('OD flujo mercancia carretera'!E$45:E$1646,MATCH(C124&amp;D124,'OD flujo mercancia carretera'!C$45:C$1646&amp;'OD flujo mercancia carretera'!D$45:D$1646,0))</f>
        <v>164764.80000000002</v>
      </c>
      <c r="G124" s="11" cm="1">
        <f t="array" aca="1" ref="G124" ca="1">INDEX('Coste Carretera'!E$46:E$1646,MATCH(C124&amp;D124,'Coste Carretera'!C$46:C$1646&amp;'Coste Carretera'!D$46:D$1646,0))</f>
        <v>1195549982.2514284</v>
      </c>
      <c r="H124" s="11" cm="1">
        <f t="array" aca="1" ref="H124" ca="1">INDEX('Coste multimodal'!E$46:E$1646,MATCH(C124&amp;D124,'Coste multimodal'!C$46:C$1646&amp;'Coste multimodal'!D$46:D$1646,0))</f>
        <v>401224318.49172497</v>
      </c>
      <c r="I124" s="12" cm="1">
        <f t="array" aca="1" ref="I124" ca="1">INDEX('Tiempos intermodal (horas)'!E$45:E$1645,MATCH(C124&amp;D124,'Tiempos intermodal (horas)'!C$45:C$1645&amp;'Tiempos intermodal (horas)'!D$45:D$1645,0))</f>
        <v>25.896827759155642</v>
      </c>
      <c r="J124" s="2" cm="1">
        <f t="array" aca="1" ref="J124" ca="1">INDEX('Tiempos carretera (horas)'!E$45:E$1645,MATCH(C124&amp;D124,'Tiempos carretera (horas)'!C$45:C$1645&amp;'Tiempos carretera (horas)'!D$45:D$1645,0))</f>
        <v>5.16</v>
      </c>
      <c r="K124" s="12">
        <f t="shared" ca="1" si="6"/>
        <v>7.2561007099297186</v>
      </c>
      <c r="L124" s="12">
        <f t="shared" ca="1" si="7"/>
        <v>3.6241070902297752</v>
      </c>
      <c r="M124" s="12">
        <f t="shared" ca="1" si="8"/>
        <v>0.40188759442379085</v>
      </c>
      <c r="N124" s="13">
        <f t="shared" ca="1" si="9"/>
        <v>3.6319936196999434</v>
      </c>
      <c r="O124" s="13">
        <f t="shared" ca="1" si="10"/>
        <v>-20.736827759155641</v>
      </c>
      <c r="P124" s="12">
        <f t="shared" ca="1" si="11"/>
        <v>0.39760627181962144</v>
      </c>
    </row>
    <row r="125" spans="1:16" x14ac:dyDescent="0.25">
      <c r="A125">
        <v>13</v>
      </c>
      <c r="B125">
        <v>22</v>
      </c>
      <c r="C125" s="2" t="s">
        <v>12</v>
      </c>
      <c r="D125" s="2" t="s">
        <v>21</v>
      </c>
      <c r="E125" s="11" cm="1">
        <f t="array" aca="1" ref="E125" ca="1">INDEX('OD flujo mercancia multimodal'!E$45:E$1645,MATCH(C125&amp;D125,'OD flujo mercancia multimodal'!C$45:C$1645&amp;'OD flujo mercancia multimodal'!D$45:D$1645,0))</f>
        <v>23552.999999999953</v>
      </c>
      <c r="F125" s="11" cm="1">
        <f t="array" aca="1" ref="F125" ca="1">INDEX('OD flujo mercancia carretera'!E$45:E$1646,MATCH(C125&amp;D125,'OD flujo mercancia carretera'!C$45:C$1646&amp;'OD flujo mercancia carretera'!D$45:D$1646,0))</f>
        <v>149492.64102564068</v>
      </c>
      <c r="G125" s="11" cm="1">
        <f t="array" aca="1" ref="G125" ca="1">INDEX('Coste Carretera'!E$46:E$1646,MATCH(C125&amp;D125,'Coste Carretera'!C$46:C$1646&amp;'Coste Carretera'!D$46:D$1646,0))</f>
        <v>1056401040.2399977</v>
      </c>
      <c r="H125" s="11" cm="1">
        <f t="array" aca="1" ref="H125" ca="1">INDEX('Coste multimodal'!E$46:E$1646,MATCH(C125&amp;D125,'Coste multimodal'!C$46:C$1646&amp;'Coste multimodal'!D$46:D$1646,0))</f>
        <v>463284793.11674011</v>
      </c>
      <c r="I125" s="12" cm="1">
        <f t="array" aca="1" ref="I125" ca="1">INDEX('Tiempos intermodal (horas)'!E$45:E$1645,MATCH(C125&amp;D125,'Tiempos intermodal (horas)'!C$45:C$1645&amp;'Tiempos intermodal (horas)'!D$45:D$1645,0))</f>
        <v>57.086035162573793</v>
      </c>
      <c r="J125" s="2" cm="1">
        <f t="array" aca="1" ref="J125" ca="1">INDEX('Tiempos carretera (horas)'!E$45:E$1645,MATCH(C125&amp;D125,'Tiempos carretera (horas)'!C$45:C$1645&amp;'Tiempos carretera (horas)'!D$45:D$1645,0))</f>
        <v>9.33</v>
      </c>
      <c r="K125" s="12">
        <f t="shared" ca="1" si="6"/>
        <v>7.0665755383825601</v>
      </c>
      <c r="L125" s="12">
        <f t="shared" ca="1" si="7"/>
        <v>19.669884648101775</v>
      </c>
      <c r="M125" s="12">
        <f t="shared" ca="1" si="8"/>
        <v>0.13610860036925196</v>
      </c>
      <c r="N125" s="13">
        <f t="shared" ca="1" si="9"/>
        <v>-12.603309109719214</v>
      </c>
      <c r="O125" s="13">
        <f t="shared" ca="1" si="10"/>
        <v>-47.756035162573795</v>
      </c>
      <c r="P125" s="12">
        <f t="shared" ca="1" si="11"/>
        <v>1.8479939668262206</v>
      </c>
    </row>
    <row r="126" spans="1:16" x14ac:dyDescent="0.25">
      <c r="A126">
        <v>22</v>
      </c>
      <c r="B126">
        <v>13</v>
      </c>
      <c r="C126" s="2" t="s">
        <v>21</v>
      </c>
      <c r="D126" s="2" t="s">
        <v>12</v>
      </c>
      <c r="E126" s="11" cm="1">
        <f t="array" aca="1" ref="E126" ca="1">INDEX('OD flujo mercancia multimodal'!E$45:E$1645,MATCH(C126&amp;D126,'OD flujo mercancia multimodal'!C$45:C$1645&amp;'OD flujo mercancia multimodal'!D$45:D$1645,0))</f>
        <v>11958.923076923082</v>
      </c>
      <c r="F126" s="11" cm="1">
        <f t="array" aca="1" ref="F126" ca="1">INDEX('OD flujo mercancia carretera'!E$45:E$1646,MATCH(C126&amp;D126,'OD flujo mercancia carretera'!C$45:C$1646&amp;'OD flujo mercancia carretera'!D$45:D$1646,0))</f>
        <v>150839.20512820515</v>
      </c>
      <c r="G126" s="11" cm="1">
        <f t="array" aca="1" ref="G126" ca="1">INDEX('Coste Carretera'!E$46:E$1646,MATCH(C126&amp;D126,'Coste Carretera'!C$46:C$1646&amp;'Coste Carretera'!D$46:D$1646,0))</f>
        <v>536382574.56000012</v>
      </c>
      <c r="H126" s="11" cm="1">
        <f t="array" aca="1" ref="H126" ca="1">INDEX('Coste multimodal'!E$46:E$1646,MATCH(C126&amp;D126,'Coste multimodal'!C$46:C$1646&amp;'Coste multimodal'!D$46:D$1646,0))</f>
        <v>463284793.11674011</v>
      </c>
      <c r="I126" s="12" cm="1">
        <f t="array" aca="1" ref="I126" ca="1">INDEX('Tiempos intermodal (horas)'!E$45:E$1645,MATCH(C126&amp;D126,'Tiempos intermodal (horas)'!C$45:C$1645&amp;'Tiempos intermodal (horas)'!D$45:D$1645,0))</f>
        <v>57.086035162573793</v>
      </c>
      <c r="J126" s="2" cm="1">
        <f t="array" aca="1" ref="J126" ca="1">INDEX('Tiempos carretera (horas)'!E$45:E$1645,MATCH(C126&amp;D126,'Tiempos carretera (horas)'!C$45:C$1645&amp;'Tiempos carretera (horas)'!D$45:D$1645,0))</f>
        <v>9.33</v>
      </c>
      <c r="K126" s="12">
        <f t="shared" ca="1" si="6"/>
        <v>3.5559891349474029</v>
      </c>
      <c r="L126" s="12">
        <f t="shared" ca="1" si="7"/>
        <v>38.73967498049489</v>
      </c>
      <c r="M126" s="12">
        <f t="shared" ca="1" si="8"/>
        <v>7.345860304889161E-2</v>
      </c>
      <c r="N126" s="13">
        <f t="shared" ca="1" si="9"/>
        <v>-35.183685845547487</v>
      </c>
      <c r="O126" s="13">
        <f t="shared" ca="1" si="10"/>
        <v>-47.756035162573795</v>
      </c>
      <c r="P126" s="12">
        <f t="shared" ca="1" si="11"/>
        <v>2.5347367020081539</v>
      </c>
    </row>
    <row r="127" spans="1:16" x14ac:dyDescent="0.25">
      <c r="A127">
        <v>9</v>
      </c>
      <c r="B127">
        <v>19</v>
      </c>
      <c r="C127" s="2" t="s">
        <v>148</v>
      </c>
      <c r="D127" s="2" t="s">
        <v>18</v>
      </c>
      <c r="E127" s="11" cm="1">
        <f t="array" aca="1" ref="E127" ca="1">INDEX('OD flujo mercancia multimodal'!E$45:E$1645,MATCH(C127&amp;D127,'OD flujo mercancia multimodal'!C$45:C$1645&amp;'OD flujo mercancia multimodal'!D$45:D$1645,0))</f>
        <v>2205.4230769230799</v>
      </c>
      <c r="F127" s="11" cm="1">
        <f t="array" aca="1" ref="F127" ca="1">INDEX('OD flujo mercancia carretera'!E$45:E$1646,MATCH(C127&amp;D127,'OD flujo mercancia carretera'!C$45:C$1646&amp;'OD flujo mercancia carretera'!D$45:D$1646,0))</f>
        <v>666481.68162393174</v>
      </c>
      <c r="G127" s="11" cm="1">
        <f t="array" aca="1" ref="G127" ca="1">INDEX('Coste Carretera'!E$46:E$1646,MATCH(C127&amp;D127,'Coste Carretera'!C$46:C$1646&amp;'Coste Carretera'!D$46:D$1646,0))</f>
        <v>90693966.060000122</v>
      </c>
      <c r="H127" s="11" cm="1">
        <f t="array" aca="1" ref="H127" ca="1">INDEX('Coste multimodal'!E$46:E$1646,MATCH(C127&amp;D127,'Coste multimodal'!C$46:C$1646&amp;'Coste multimodal'!D$46:D$1646,0))</f>
        <v>761123619.22305226</v>
      </c>
      <c r="I127" s="12" cm="1">
        <f t="array" aca="1" ref="I127" ca="1">INDEX('Tiempos intermodal (horas)'!E$45:E$1645,MATCH(C127&amp;D127,'Tiempos intermodal (horas)'!C$45:C$1645&amp;'Tiempos intermodal (horas)'!D$45:D$1645,0))</f>
        <v>29.143059431013047</v>
      </c>
      <c r="J127" s="2" cm="1">
        <f t="array" aca="1" ref="J127" ca="1">INDEX('Tiempos carretera (horas)'!E$45:E$1645,MATCH(C127&amp;D127,'Tiempos carretera (horas)'!C$45:C$1645&amp;'Tiempos carretera (horas)'!D$45:D$1645,0))</f>
        <v>8.35</v>
      </c>
      <c r="K127" s="12">
        <f t="shared" ca="1" si="6"/>
        <v>0.13607870787838847</v>
      </c>
      <c r="L127" s="12">
        <f t="shared" ca="1" si="7"/>
        <v>345.11456200274381</v>
      </c>
      <c r="M127" s="12">
        <f t="shared" ca="1" si="8"/>
        <v>3.2981390869047823E-3</v>
      </c>
      <c r="N127" s="13">
        <f t="shared" ca="1" si="9"/>
        <v>-344.97848329486544</v>
      </c>
      <c r="O127" s="13">
        <f t="shared" ca="1" si="10"/>
        <v>-20.793059431013049</v>
      </c>
      <c r="P127" s="12">
        <f t="shared" ca="1" si="11"/>
        <v>5.7110932926915998</v>
      </c>
    </row>
    <row r="128" spans="1:16" x14ac:dyDescent="0.25">
      <c r="A128">
        <v>19</v>
      </c>
      <c r="B128">
        <v>9</v>
      </c>
      <c r="C128" s="2" t="s">
        <v>18</v>
      </c>
      <c r="D128" s="2" t="s">
        <v>148</v>
      </c>
      <c r="E128" s="11" cm="1">
        <f t="array" aca="1" ref="E128" ca="1">INDEX('OD flujo mercancia multimodal'!E$45:E$1645,MATCH(C128&amp;D128,'OD flujo mercancia multimodal'!C$45:C$1645&amp;'OD flujo mercancia multimodal'!D$45:D$1645,0))</f>
        <v>2405.3776223776217</v>
      </c>
      <c r="F128" s="11" cm="1">
        <f t="array" aca="1" ref="F128" ca="1">INDEX('OD flujo mercancia carretera'!E$45:E$1646,MATCH(C128&amp;D128,'OD flujo mercancia carretera'!C$45:C$1646&amp;'OD flujo mercancia carretera'!D$45:D$1646,0))</f>
        <v>610157.62179487199</v>
      </c>
      <c r="G128" s="11" cm="1">
        <f t="array" aca="1" ref="G128" ca="1">INDEX('Coste Carretera'!E$46:E$1646,MATCH(C128&amp;D128,'Coste Carretera'!C$46:C$1646&amp;'Coste Carretera'!D$46:D$1646,0))</f>
        <v>79335511.752727255</v>
      </c>
      <c r="H128" s="11" cm="1">
        <f t="array" aca="1" ref="H128" ca="1">INDEX('Coste multimodal'!E$46:E$1646,MATCH(C128&amp;D128,'Coste multimodal'!C$46:C$1646&amp;'Coste multimodal'!D$46:D$1646,0))</f>
        <v>761123619.22305226</v>
      </c>
      <c r="I128" s="12" cm="1">
        <f t="array" aca="1" ref="I128" ca="1">INDEX('Tiempos intermodal (horas)'!E$45:E$1645,MATCH(C128&amp;D128,'Tiempos intermodal (horas)'!C$45:C$1645&amp;'Tiempos intermodal (horas)'!D$45:D$1645,0))</f>
        <v>29.143059431013047</v>
      </c>
      <c r="J128" s="2" cm="1">
        <f t="array" aca="1" ref="J128" ca="1">INDEX('Tiempos carretera (horas)'!E$45:E$1645,MATCH(C128&amp;D128,'Tiempos carretera (horas)'!C$45:C$1645&amp;'Tiempos carretera (horas)'!D$45:D$1645,0))</f>
        <v>8.35</v>
      </c>
      <c r="K128" s="12">
        <f t="shared" ca="1" si="6"/>
        <v>0.13002461809679555</v>
      </c>
      <c r="L128" s="12">
        <f t="shared" ca="1" si="7"/>
        <v>316.42583357481777</v>
      </c>
      <c r="M128" s="12">
        <f t="shared" ca="1" si="8"/>
        <v>3.9267432487204304E-3</v>
      </c>
      <c r="N128" s="13">
        <f t="shared" ca="1" si="9"/>
        <v>-316.29580895672098</v>
      </c>
      <c r="O128" s="13">
        <f t="shared" ca="1" si="10"/>
        <v>-20.793059431013049</v>
      </c>
      <c r="P128" s="12">
        <f t="shared" ca="1" si="11"/>
        <v>5.536010413400092</v>
      </c>
    </row>
    <row r="129" spans="1:16" x14ac:dyDescent="0.25">
      <c r="A129">
        <v>8</v>
      </c>
      <c r="B129">
        <v>33</v>
      </c>
      <c r="C129" s="2" t="s">
        <v>7</v>
      </c>
      <c r="D129" s="2" t="s">
        <v>32</v>
      </c>
      <c r="E129" s="11" cm="1">
        <f t="array" aca="1" ref="E129" ca="1">INDEX('OD flujo mercancia multimodal'!E$45:E$1645,MATCH(C129&amp;D129,'OD flujo mercancia multimodal'!C$45:C$1645&amp;'OD flujo mercancia multimodal'!D$45:D$1645,0))</f>
        <v>71126.41208791206</v>
      </c>
      <c r="F129" s="11" cm="1">
        <f t="array" aca="1" ref="F129" ca="1">INDEX('OD flujo mercancia carretera'!E$45:E$1646,MATCH(C129&amp;D129,'OD flujo mercancia carretera'!C$45:C$1646&amp;'OD flujo mercancia carretera'!D$45:D$1646,0))</f>
        <v>216622.64615384617</v>
      </c>
      <c r="G129" s="11" cm="1">
        <f t="array" aca="1" ref="G129" ca="1">INDEX('Coste Carretera'!E$46:E$1646,MATCH(C129&amp;D129,'Coste Carretera'!C$46:C$1646&amp;'Coste Carretera'!D$46:D$1646,0))</f>
        <v>140840252.22857141</v>
      </c>
      <c r="H129" s="11" cm="1">
        <f t="array" aca="1" ref="H129" ca="1">INDEX('Coste multimodal'!E$46:E$1646,MATCH(C129&amp;D129,'Coste multimodal'!C$46:C$1646&amp;'Coste multimodal'!D$46:D$1646,0))</f>
        <v>311338160.99780881</v>
      </c>
      <c r="I129" s="12" cm="1">
        <f t="array" aca="1" ref="I129" ca="1">INDEX('Tiempos intermodal (horas)'!E$45:E$1645,MATCH(C129&amp;D129,'Tiempos intermodal (horas)'!C$45:C$1645&amp;'Tiempos intermodal (horas)'!D$45:D$1645,0))</f>
        <v>22.748033934813719</v>
      </c>
      <c r="J129" s="2" cm="1">
        <f t="array" aca="1" ref="J129" ca="1">INDEX('Tiempos carretera (horas)'!E$45:E$1645,MATCH(C129&amp;D129,'Tiempos carretera (horas)'!C$45:C$1645&amp;'Tiempos carretera (horas)'!D$45:D$1645,0))</f>
        <v>3.95</v>
      </c>
      <c r="K129" s="12">
        <f t="shared" ca="1" si="6"/>
        <v>0.65016402822697572</v>
      </c>
      <c r="L129" s="12">
        <f t="shared" ca="1" si="7"/>
        <v>4.3772510359864025</v>
      </c>
      <c r="M129" s="12">
        <f t="shared" ca="1" si="8"/>
        <v>0.24718208470435288</v>
      </c>
      <c r="N129" s="13">
        <f t="shared" ca="1" si="9"/>
        <v>-3.7270870077594269</v>
      </c>
      <c r="O129" s="13">
        <f t="shared" ca="1" si="10"/>
        <v>-18.79803393481372</v>
      </c>
      <c r="P129" s="12">
        <f t="shared" ca="1" si="11"/>
        <v>1.113698136123775</v>
      </c>
    </row>
    <row r="130" spans="1:16" x14ac:dyDescent="0.25">
      <c r="A130">
        <v>33</v>
      </c>
      <c r="B130">
        <v>8</v>
      </c>
      <c r="C130" s="2" t="s">
        <v>32</v>
      </c>
      <c r="D130" s="2" t="s">
        <v>7</v>
      </c>
      <c r="E130" s="11" cm="1">
        <f t="array" aca="1" ref="E130" ca="1">INDEX('OD flujo mercancia multimodal'!E$45:E$1645,MATCH(C130&amp;D130,'OD flujo mercancia multimodal'!C$45:C$1645&amp;'OD flujo mercancia multimodal'!D$45:D$1645,0))</f>
        <v>64758.472527472484</v>
      </c>
      <c r="F130" s="11" cm="1">
        <f t="array" aca="1" ref="F130" ca="1">INDEX('OD flujo mercancia carretera'!E$45:E$1646,MATCH(C130&amp;D130,'OD flujo mercancia carretera'!C$45:C$1646&amp;'OD flujo mercancia carretera'!D$45:D$1646,0))</f>
        <v>212510.86666666652</v>
      </c>
      <c r="G130" s="11" cm="1">
        <f t="array" aca="1" ref="G130" ca="1">INDEX('Coste Carretera'!E$46:E$1646,MATCH(C130&amp;D130,'Coste Carretera'!C$46:C$1646&amp;'Coste Carretera'!D$46:D$1646,0))</f>
        <v>656248758.17142785</v>
      </c>
      <c r="H130" s="11" cm="1">
        <f t="array" aca="1" ref="H130" ca="1">INDEX('Coste multimodal'!E$46:E$1646,MATCH(C130&amp;D130,'Coste multimodal'!C$46:C$1646&amp;'Coste multimodal'!D$46:D$1646,0))</f>
        <v>311338160.99780881</v>
      </c>
      <c r="I130" s="12" cm="1">
        <f t="array" aca="1" ref="I130" ca="1">INDEX('Tiempos intermodal (horas)'!E$45:E$1645,MATCH(C130&amp;D130,'Tiempos intermodal (horas)'!C$45:C$1645&amp;'Tiempos intermodal (horas)'!D$45:D$1645,0))</f>
        <v>22.748033934813719</v>
      </c>
      <c r="J130" s="2" cm="1">
        <f t="array" aca="1" ref="J130" ca="1">INDEX('Tiempos carretera (horas)'!E$45:E$1645,MATCH(C130&amp;D130,'Tiempos carretera (horas)'!C$45:C$1645&amp;'Tiempos carretera (horas)'!D$45:D$1645,0))</f>
        <v>3.95</v>
      </c>
      <c r="K130" s="12">
        <f t="shared" ca="1" si="6"/>
        <v>3.0880715347172596</v>
      </c>
      <c r="L130" s="12">
        <f t="shared" ca="1" si="7"/>
        <v>4.8076822822794325</v>
      </c>
      <c r="M130" s="12">
        <f t="shared" ca="1" si="8"/>
        <v>0.23355800073563043</v>
      </c>
      <c r="N130" s="13">
        <f t="shared" ca="1" si="9"/>
        <v>-1.7196107475621729</v>
      </c>
      <c r="O130" s="13">
        <f t="shared" ca="1" si="10"/>
        <v>-18.79803393481372</v>
      </c>
      <c r="P130" s="12">
        <f t="shared" ca="1" si="11"/>
        <v>1.1883285824472203</v>
      </c>
    </row>
    <row r="131" spans="1:16" x14ac:dyDescent="0.25">
      <c r="A131">
        <v>1</v>
      </c>
      <c r="B131">
        <v>20</v>
      </c>
      <c r="C131" s="2" t="s">
        <v>0</v>
      </c>
      <c r="D131" s="2" t="s">
        <v>19</v>
      </c>
      <c r="E131" s="11" cm="1">
        <f t="array" aca="1" ref="E131" ca="1">INDEX('OD flujo mercancia multimodal'!E$45:E$1645,MATCH(C131&amp;D131,'OD flujo mercancia multimodal'!C$45:C$1645&amp;'OD flujo mercancia multimodal'!D$45:D$1645,0))</f>
        <v>144079.76373626373</v>
      </c>
      <c r="F131" s="11" cm="1">
        <f t="array" aca="1" ref="F131" ca="1">INDEX('OD flujo mercancia carretera'!E$45:E$1646,MATCH(C131&amp;D131,'OD flujo mercancia carretera'!C$45:C$1646&amp;'OD flujo mercancia carretera'!D$45:D$1646,0))</f>
        <v>111150.6666666667</v>
      </c>
      <c r="G131" s="11" cm="1">
        <f t="array" aca="1" ref="G131" ca="1">INDEX('Coste Carretera'!E$46:E$1646,MATCH(C131&amp;D131,'Coste Carretera'!C$46:C$1646&amp;'Coste Carretera'!D$46:D$1646,0))</f>
        <v>2988992330.6142855</v>
      </c>
      <c r="H131" s="11" cm="1">
        <f t="array" aca="1" ref="H131" ca="1">INDEX('Coste multimodal'!E$46:E$1646,MATCH(C131&amp;D131,'Coste multimodal'!C$46:C$1646&amp;'Coste multimodal'!D$46:D$1646,0))</f>
        <v>989089495.65785992</v>
      </c>
      <c r="I131" s="12" cm="1">
        <f t="array" aca="1" ref="I131" ca="1">INDEX('Tiempos intermodal (horas)'!E$45:E$1645,MATCH(C131&amp;D131,'Tiempos intermodal (horas)'!C$45:C$1645&amp;'Tiempos intermodal (horas)'!D$45:D$1645,0))</f>
        <v>25.893622900243997</v>
      </c>
      <c r="J131" s="2" cm="1">
        <f t="array" aca="1" ref="J131" ca="1">INDEX('Tiempos carretera (horas)'!E$45:E$1645,MATCH(C131&amp;D131,'Tiempos carretera (horas)'!C$45:C$1645&amp;'Tiempos carretera (horas)'!D$45:D$1645,0))</f>
        <v>5</v>
      </c>
      <c r="K131" s="12">
        <f t="shared" ref="K131:K183" ca="1" si="12">G131/(F131*1000)</f>
        <v>26.891357652204377</v>
      </c>
      <c r="L131" s="12">
        <f t="shared" ref="L131:L183" ca="1" si="13">H131/(E131*1000)</f>
        <v>6.8648744973539539</v>
      </c>
      <c r="M131" s="12">
        <f t="shared" ref="M131:M183" ca="1" si="14">E131/(E131+F131)</f>
        <v>0.56450856392322057</v>
      </c>
      <c r="N131" s="13">
        <f t="shared" ref="N131:N193" ca="1" si="15">K131-L131</f>
        <v>20.026483154850425</v>
      </c>
      <c r="O131" s="13">
        <f t="shared" ref="O131:O193" ca="1" si="16">J131-I131</f>
        <v>-20.893622900243997</v>
      </c>
      <c r="P131" s="12">
        <f t="shared" ref="P131:P183" ca="1" si="17">LN(1/M131-1)</f>
        <v>-0.25948042276401756</v>
      </c>
    </row>
    <row r="132" spans="1:16" x14ac:dyDescent="0.25">
      <c r="A132">
        <v>20</v>
      </c>
      <c r="B132">
        <v>1</v>
      </c>
      <c r="C132" s="2" t="s">
        <v>19</v>
      </c>
      <c r="D132" s="2" t="s">
        <v>0</v>
      </c>
      <c r="E132" s="11" cm="1">
        <f t="array" aca="1" ref="E132" ca="1">INDEX('OD flujo mercancia multimodal'!E$45:E$1645,MATCH(C132&amp;D132,'OD flujo mercancia multimodal'!C$45:C$1645&amp;'OD flujo mercancia multimodal'!D$45:D$1645,0))</f>
        <v>124450.84065934064</v>
      </c>
      <c r="F132" s="11" cm="1">
        <f t="array" aca="1" ref="F132" ca="1">INDEX('OD flujo mercancia carretera'!E$45:E$1646,MATCH(C132&amp;D132,'OD flujo mercancia carretera'!C$45:C$1646&amp;'OD flujo mercancia carretera'!D$45:D$1646,0))</f>
        <v>110128.17948717953</v>
      </c>
      <c r="G132" s="11" cm="1">
        <f t="array" aca="1" ref="G132" ca="1">INDEX('Coste Carretera'!E$46:E$1646,MATCH(C132&amp;D132,'Coste Carretera'!C$46:C$1646&amp;'Coste Carretera'!D$46:D$1646,0))</f>
        <v>2581782469.8142853</v>
      </c>
      <c r="H132" s="11" cm="1">
        <f t="array" aca="1" ref="H132" ca="1">INDEX('Coste multimodal'!E$46:E$1646,MATCH(C132&amp;D132,'Coste multimodal'!C$46:C$1646&amp;'Coste multimodal'!D$46:D$1646,0))</f>
        <v>989089495.65785992</v>
      </c>
      <c r="I132" s="12" cm="1">
        <f t="array" aca="1" ref="I132" ca="1">INDEX('Tiempos intermodal (horas)'!E$45:E$1645,MATCH(C132&amp;D132,'Tiempos intermodal (horas)'!C$45:C$1645&amp;'Tiempos intermodal (horas)'!D$45:D$1645,0))</f>
        <v>25.893622900243997</v>
      </c>
      <c r="J132" s="2" cm="1">
        <f t="array" aca="1" ref="J132" ca="1">INDEX('Tiempos carretera (horas)'!E$45:E$1645,MATCH(C132&amp;D132,'Tiempos carretera (horas)'!C$45:C$1645&amp;'Tiempos carretera (horas)'!D$45:D$1645,0))</f>
        <v>5</v>
      </c>
      <c r="K132" s="12">
        <f t="shared" ca="1" si="12"/>
        <v>23.443431843117327</v>
      </c>
      <c r="L132" s="12">
        <f t="shared" ca="1" si="13"/>
        <v>7.9476320964781202</v>
      </c>
      <c r="M132" s="12">
        <f t="shared" ca="1" si="14"/>
        <v>0.53052843592580246</v>
      </c>
      <c r="N132" s="13">
        <f t="shared" ca="1" si="15"/>
        <v>15.495799746639207</v>
      </c>
      <c r="O132" s="13">
        <f t="shared" ca="1" si="16"/>
        <v>-20.893622900243997</v>
      </c>
      <c r="P132" s="12">
        <f t="shared" ca="1" si="17"/>
        <v>-0.12226582832768522</v>
      </c>
    </row>
    <row r="133" spans="1:16" x14ac:dyDescent="0.25">
      <c r="A133">
        <v>13</v>
      </c>
      <c r="B133">
        <v>29</v>
      </c>
      <c r="C133" s="2" t="s">
        <v>12</v>
      </c>
      <c r="D133" s="2" t="s">
        <v>147</v>
      </c>
      <c r="E133" s="11" cm="1">
        <f t="array" aca="1" ref="E133" ca="1">INDEX('OD flujo mercancia multimodal'!E$45:E$1645,MATCH(C133&amp;D133,'OD flujo mercancia multimodal'!C$45:C$1645&amp;'OD flujo mercancia multimodal'!D$45:D$1645,0))</f>
        <v>38357.146153846159</v>
      </c>
      <c r="F133" s="11" cm="1">
        <f t="array" aca="1" ref="F133" ca="1">INDEX('OD flujo mercancia carretera'!E$45:E$1646,MATCH(C133&amp;D133,'OD flujo mercancia carretera'!C$45:C$1646&amp;'OD flujo mercancia carretera'!D$45:D$1646,0))</f>
        <v>384433.70769230771</v>
      </c>
      <c r="G133" s="11" cm="1">
        <f t="array" aca="1" ref="G133" ca="1">INDEX('Coste Carretera'!E$46:E$1646,MATCH(C133&amp;D133,'Coste Carretera'!C$46:C$1646&amp;'Coste Carretera'!D$46:D$1646,0))</f>
        <v>1867457551.9320002</v>
      </c>
      <c r="H133" s="11" cm="1">
        <f t="array" aca="1" ref="H133" ca="1">INDEX('Coste multimodal'!E$46:E$1646,MATCH(C133&amp;D133,'Coste multimodal'!C$46:C$1646&amp;'Coste multimodal'!D$46:D$1646,0))</f>
        <v>621631359.29664469</v>
      </c>
      <c r="I133" s="12" cm="1">
        <f t="array" aca="1" ref="I133" ca="1">INDEX('Tiempos intermodal (horas)'!E$45:E$1645,MATCH(C133&amp;D133,'Tiempos intermodal (horas)'!C$45:C$1645&amp;'Tiempos intermodal (horas)'!D$45:D$1645,0))</f>
        <v>57.530479607018236</v>
      </c>
      <c r="J133" s="2" cm="1">
        <f t="array" aca="1" ref="J133" ca="1">INDEX('Tiempos carretera (horas)'!E$45:E$1645,MATCH(C133&amp;D133,'Tiempos carretera (horas)'!C$45:C$1645&amp;'Tiempos carretera (horas)'!D$45:D$1645,0))</f>
        <v>9.58</v>
      </c>
      <c r="K133" s="12">
        <f t="shared" ca="1" si="12"/>
        <v>4.8576842107369842</v>
      </c>
      <c r="L133" s="12">
        <f t="shared" ca="1" si="13"/>
        <v>16.206402760084181</v>
      </c>
      <c r="M133" s="12">
        <f t="shared" ca="1" si="14"/>
        <v>9.0723689514351807E-2</v>
      </c>
      <c r="N133" s="13">
        <f t="shared" ca="1" si="15"/>
        <v>-11.348718549347197</v>
      </c>
      <c r="O133" s="13">
        <f t="shared" ca="1" si="16"/>
        <v>-47.950479607018238</v>
      </c>
      <c r="P133" s="12">
        <f t="shared" ca="1" si="17"/>
        <v>2.3048305115163976</v>
      </c>
    </row>
    <row r="134" spans="1:16" x14ac:dyDescent="0.25">
      <c r="A134">
        <v>29</v>
      </c>
      <c r="B134">
        <v>13</v>
      </c>
      <c r="C134" s="2" t="s">
        <v>147</v>
      </c>
      <c r="D134" s="2" t="s">
        <v>12</v>
      </c>
      <c r="E134" s="11" cm="1">
        <f t="array" aca="1" ref="E134" ca="1">INDEX('OD flujo mercancia multimodal'!E$45:E$1645,MATCH(C134&amp;D134,'OD flujo mercancia multimodal'!C$45:C$1645&amp;'OD flujo mercancia multimodal'!D$45:D$1645,0))</f>
        <v>26572.18461538462</v>
      </c>
      <c r="F134" s="11" cm="1">
        <f t="array" aca="1" ref="F134" ca="1">INDEX('OD flujo mercancia carretera'!E$45:E$1646,MATCH(C134&amp;D134,'OD flujo mercancia carretera'!C$45:C$1646&amp;'OD flujo mercancia carretera'!D$45:D$1646,0))</f>
        <v>386383.63846153847</v>
      </c>
      <c r="G134" s="11" cm="1">
        <f t="array" aca="1" ref="G134" ca="1">INDEX('Coste Carretera'!E$46:E$1646,MATCH(C134&amp;D134,'Coste Carretera'!C$46:C$1646&amp;'Coste Carretera'!D$46:D$1646,0))</f>
        <v>1293694443.072</v>
      </c>
      <c r="H134" s="11" cm="1">
        <f t="array" aca="1" ref="H134" ca="1">INDEX('Coste multimodal'!E$46:E$1646,MATCH(C134&amp;D134,'Coste multimodal'!C$46:C$1646&amp;'Coste multimodal'!D$46:D$1646,0))</f>
        <v>621631359.29664469</v>
      </c>
      <c r="I134" s="12" cm="1">
        <f t="array" aca="1" ref="I134" ca="1">INDEX('Tiempos intermodal (horas)'!E$45:E$1645,MATCH(C134&amp;D134,'Tiempos intermodal (horas)'!C$45:C$1645&amp;'Tiempos intermodal (horas)'!D$45:D$1645,0))</f>
        <v>57.530479607018236</v>
      </c>
      <c r="J134" s="2" cm="1">
        <f t="array" aca="1" ref="J134" ca="1">INDEX('Tiempos carretera (horas)'!E$45:E$1645,MATCH(C134&amp;D134,'Tiempos carretera (horas)'!C$45:C$1645&amp;'Tiempos carretera (horas)'!D$45:D$1645,0))</f>
        <v>9.58</v>
      </c>
      <c r="K134" s="12">
        <f t="shared" ca="1" si="12"/>
        <v>3.3482122799585814</v>
      </c>
      <c r="L134" s="12">
        <f t="shared" ca="1" si="13"/>
        <v>23.394062938157365</v>
      </c>
      <c r="M134" s="12">
        <f t="shared" ca="1" si="14"/>
        <v>6.434631292373108E-2</v>
      </c>
      <c r="N134" s="13">
        <f t="shared" ca="1" si="15"/>
        <v>-20.045850658198784</v>
      </c>
      <c r="O134" s="13">
        <f t="shared" ca="1" si="16"/>
        <v>-47.950479607018238</v>
      </c>
      <c r="P134" s="12">
        <f t="shared" ca="1" si="17"/>
        <v>2.6769657803955469</v>
      </c>
    </row>
    <row r="135" spans="1:16" x14ac:dyDescent="0.25">
      <c r="A135">
        <v>7</v>
      </c>
      <c r="B135">
        <v>33</v>
      </c>
      <c r="C135" s="2" t="s">
        <v>6</v>
      </c>
      <c r="D135" s="2" t="s">
        <v>32</v>
      </c>
      <c r="E135" s="11" cm="1">
        <f t="array" aca="1" ref="E135" ca="1">INDEX('OD flujo mercancia multimodal'!E$45:E$1645,MATCH(C135&amp;D135,'OD flujo mercancia multimodal'!C$45:C$1645&amp;'OD flujo mercancia multimodal'!D$45:D$1645,0))</f>
        <v>66969.91208791206</v>
      </c>
      <c r="F135" s="11" cm="1">
        <f t="array" aca="1" ref="F135" ca="1">INDEX('OD flujo mercancia carretera'!E$45:E$1646,MATCH(C135&amp;D135,'OD flujo mercancia carretera'!C$45:C$1646&amp;'OD flujo mercancia carretera'!D$45:D$1646,0))</f>
        <v>155626.41538461542</v>
      </c>
      <c r="G135" s="11" cm="1">
        <f t="array" aca="1" ref="G135" ca="1">INDEX('Coste Carretera'!E$46:E$1646,MATCH(C135&amp;D135,'Coste Carretera'!C$46:C$1646&amp;'Coste Carretera'!D$46:D$1646,0))</f>
        <v>86115924.342857137</v>
      </c>
      <c r="H135" s="11" cm="1">
        <f t="array" aca="1" ref="H135" ca="1">INDEX('Coste multimodal'!E$46:E$1646,MATCH(C135&amp;D135,'Coste multimodal'!C$46:C$1646&amp;'Coste multimodal'!D$46:D$1646,0))</f>
        <v>381992094.72029638</v>
      </c>
      <c r="I135" s="12" cm="1">
        <f t="array" aca="1" ref="I135" ca="1">INDEX('Tiempos intermodal (horas)'!E$45:E$1645,MATCH(C135&amp;D135,'Tiempos intermodal (horas)'!C$45:C$1645&amp;'Tiempos intermodal (horas)'!D$45:D$1645,0))</f>
        <v>26.335716648044528</v>
      </c>
      <c r="J135" s="2" cm="1">
        <f t="array" aca="1" ref="J135" ca="1">INDEX('Tiempos carretera (horas)'!E$45:E$1645,MATCH(C135&amp;D135,'Tiempos carretera (horas)'!C$45:C$1645&amp;'Tiempos carretera (horas)'!D$45:D$1645,0))</f>
        <v>5.35</v>
      </c>
      <c r="K135" s="12">
        <f t="shared" ca="1" si="12"/>
        <v>0.55335030450987432</v>
      </c>
      <c r="L135" s="12">
        <f t="shared" ca="1" si="13"/>
        <v>5.703936033525796</v>
      </c>
      <c r="M135" s="12">
        <f t="shared" ca="1" si="14"/>
        <v>0.30085811768919407</v>
      </c>
      <c r="N135" s="13">
        <f t="shared" ca="1" si="15"/>
        <v>-5.1505857290159218</v>
      </c>
      <c r="O135" s="13">
        <f t="shared" ca="1" si="16"/>
        <v>-20.98571664804453</v>
      </c>
      <c r="P135" s="12">
        <f t="shared" ca="1" si="17"/>
        <v>0.84321491680591476</v>
      </c>
    </row>
    <row r="136" spans="1:16" x14ac:dyDescent="0.25">
      <c r="A136">
        <v>33</v>
      </c>
      <c r="B136">
        <v>7</v>
      </c>
      <c r="C136" s="2" t="s">
        <v>32</v>
      </c>
      <c r="D136" s="2" t="s">
        <v>6</v>
      </c>
      <c r="E136" s="11" cm="1">
        <f t="array" aca="1" ref="E136" ca="1">INDEX('OD flujo mercancia multimodal'!E$45:E$1645,MATCH(C136&amp;D136,'OD flujo mercancia multimodal'!C$45:C$1645&amp;'OD flujo mercancia multimodal'!D$45:D$1645,0))</f>
        <v>35111.401098901093</v>
      </c>
      <c r="F136" s="11" cm="1">
        <f t="array" aca="1" ref="F136" ca="1">INDEX('OD flujo mercancia carretera'!E$45:E$1646,MATCH(C136&amp;D136,'OD flujo mercancia carretera'!C$45:C$1646&amp;'OD flujo mercancia carretera'!D$45:D$1646,0))</f>
        <v>154913.09743589742</v>
      </c>
      <c r="G136" s="11" cm="1">
        <f t="array" aca="1" ref="G136" ca="1">INDEX('Coste Carretera'!E$46:E$1646,MATCH(C136&amp;D136,'Coste Carretera'!C$46:C$1646&amp;'Coste Carretera'!D$46:D$1646,0))</f>
        <v>132392814.80571418</v>
      </c>
      <c r="H136" s="11" cm="1">
        <f t="array" aca="1" ref="H136" ca="1">INDEX('Coste multimodal'!E$46:E$1646,MATCH(C136&amp;D136,'Coste multimodal'!C$46:C$1646&amp;'Coste multimodal'!D$46:D$1646,0))</f>
        <v>381992094.72029638</v>
      </c>
      <c r="I136" s="12" cm="1">
        <f t="array" aca="1" ref="I136" ca="1">INDEX('Tiempos intermodal (horas)'!E$45:E$1645,MATCH(C136&amp;D136,'Tiempos intermodal (horas)'!C$45:C$1645&amp;'Tiempos intermodal (horas)'!D$45:D$1645,0))</f>
        <v>26.335716648044528</v>
      </c>
      <c r="J136" s="2" cm="1">
        <f t="array" aca="1" ref="J136" ca="1">INDEX('Tiempos carretera (horas)'!E$45:E$1645,MATCH(C136&amp;D136,'Tiempos carretera (horas)'!C$45:C$1645&amp;'Tiempos carretera (horas)'!D$45:D$1645,0))</f>
        <v>5.35</v>
      </c>
      <c r="K136" s="12">
        <f t="shared" ca="1" si="12"/>
        <v>0.85462634855970099</v>
      </c>
      <c r="L136" s="12">
        <f t="shared" ca="1" si="13"/>
        <v>10.879431830256751</v>
      </c>
      <c r="M136" s="12">
        <f t="shared" ca="1" si="14"/>
        <v>0.18477302331873419</v>
      </c>
      <c r="N136" s="13">
        <f t="shared" ca="1" si="15"/>
        <v>-10.024805481697049</v>
      </c>
      <c r="O136" s="13">
        <f t="shared" ca="1" si="16"/>
        <v>-20.98571664804453</v>
      </c>
      <c r="P136" s="12">
        <f t="shared" ca="1" si="17"/>
        <v>1.4843384026233113</v>
      </c>
    </row>
    <row r="137" spans="1:16" x14ac:dyDescent="0.25">
      <c r="A137">
        <v>6</v>
      </c>
      <c r="B137">
        <v>33</v>
      </c>
      <c r="C137" s="2" t="s">
        <v>5</v>
      </c>
      <c r="D137" s="2" t="s">
        <v>32</v>
      </c>
      <c r="E137" s="11" cm="1">
        <f t="array" aca="1" ref="E137" ca="1">INDEX('OD flujo mercancia multimodal'!E$45:E$1645,MATCH(C137&amp;D137,'OD flujo mercancia multimodal'!C$45:C$1645&amp;'OD flujo mercancia multimodal'!D$45:D$1645,0))</f>
        <v>75674.98351648348</v>
      </c>
      <c r="F137" s="11" cm="1">
        <f t="array" aca="1" ref="F137" ca="1">INDEX('OD flujo mercancia carretera'!E$45:E$1646,MATCH(C137&amp;D137,'OD flujo mercancia carretera'!C$45:C$1646&amp;'OD flujo mercancia carretera'!D$45:D$1646,0))</f>
        <v>227319.42271062272</v>
      </c>
      <c r="G137" s="11" cm="1">
        <f t="array" aca="1" ref="G137" ca="1">INDEX('Coste Carretera'!E$46:E$1646,MATCH(C137&amp;D137,'Coste Carretera'!C$46:C$1646&amp;'Coste Carretera'!D$46:D$1646,0))</f>
        <v>447380864.94285709</v>
      </c>
      <c r="H137" s="11" cm="1">
        <f t="array" aca="1" ref="H137" ca="1">INDEX('Coste multimodal'!E$46:E$1646,MATCH(C137&amp;D137,'Coste multimodal'!C$46:C$1646&amp;'Coste multimodal'!D$46:D$1646,0))</f>
        <v>520681092.25458211</v>
      </c>
      <c r="I137" s="12" cm="1">
        <f t="array" aca="1" ref="I137" ca="1">INDEX('Tiempos intermodal (horas)'!E$45:E$1645,MATCH(C137&amp;D137,'Tiempos intermodal (horas)'!C$45:C$1645&amp;'Tiempos intermodal (horas)'!D$45:D$1645,0))</f>
        <v>28.441272203600086</v>
      </c>
      <c r="J137" s="2" cm="1">
        <f t="array" aca="1" ref="J137" ca="1">INDEX('Tiempos carretera (horas)'!E$45:E$1645,MATCH(C137&amp;D137,'Tiempos carretera (horas)'!C$45:C$1645&amp;'Tiempos carretera (horas)'!D$45:D$1645,0))</f>
        <v>7.42</v>
      </c>
      <c r="K137" s="12">
        <f t="shared" ca="1" si="12"/>
        <v>1.9680714459334705</v>
      </c>
      <c r="L137" s="12">
        <f t="shared" ca="1" si="13"/>
        <v>6.8804916507337941</v>
      </c>
      <c r="M137" s="12">
        <f t="shared" ca="1" si="14"/>
        <v>0.24975703168513977</v>
      </c>
      <c r="N137" s="13">
        <f t="shared" ca="1" si="15"/>
        <v>-4.9124202048003234</v>
      </c>
      <c r="O137" s="13">
        <f t="shared" ca="1" si="16"/>
        <v>-21.021272203600084</v>
      </c>
      <c r="P137" s="12">
        <f t="shared" ca="1" si="17"/>
        <v>1.0999085397927446</v>
      </c>
    </row>
    <row r="138" spans="1:16" x14ac:dyDescent="0.25">
      <c r="A138">
        <v>3</v>
      </c>
      <c r="B138">
        <v>27</v>
      </c>
      <c r="C138" s="2" t="s">
        <v>2</v>
      </c>
      <c r="D138" s="2" t="s">
        <v>145</v>
      </c>
      <c r="E138" s="11" cm="1">
        <f t="array" aca="1" ref="E138" ca="1">INDEX('OD flujo mercancia multimodal'!E$45:E$1645,MATCH(C138&amp;D138,'OD flujo mercancia multimodal'!C$45:C$1645&amp;'OD flujo mercancia multimodal'!D$45:D$1645,0))</f>
        <v>74461.571428571435</v>
      </c>
      <c r="F138" s="11" cm="1">
        <f t="array" aca="1" ref="F138" ca="1">INDEX('OD flujo mercancia carretera'!E$45:E$1646,MATCH(C138&amp;D138,'OD flujo mercancia carretera'!C$45:C$1646&amp;'OD flujo mercancia carretera'!D$45:D$1646,0))</f>
        <v>454110.86923076923</v>
      </c>
      <c r="G138" s="11" cm="1">
        <f t="array" aca="1" ref="G138" ca="1">INDEX('Coste Carretera'!E$46:E$1646,MATCH(C138&amp;D138,'Coste Carretera'!C$46:C$1646&amp;'Coste Carretera'!D$46:D$1646,0))</f>
        <v>1055894867.4857143</v>
      </c>
      <c r="H138" s="11" cm="1">
        <f t="array" aca="1" ref="H138" ca="1">INDEX('Coste multimodal'!E$46:E$1646,MATCH(C138&amp;D138,'Coste multimodal'!C$46:C$1646&amp;'Coste multimodal'!D$46:D$1646,0))</f>
        <v>1390347040.963336</v>
      </c>
      <c r="I138" s="12" cm="1">
        <f t="array" aca="1" ref="I138" ca="1">INDEX('Tiempos intermodal (horas)'!E$45:E$1645,MATCH(C138&amp;D138,'Tiempos intermodal (horas)'!C$45:C$1645&amp;'Tiempos intermodal (horas)'!D$45:D$1645,0))</f>
        <v>51.703965421476155</v>
      </c>
      <c r="J138" s="2" cm="1">
        <f t="array" aca="1" ref="J138" ca="1">INDEX('Tiempos carretera (horas)'!E$45:E$1645,MATCH(C138&amp;D138,'Tiempos carretera (horas)'!C$45:C$1645&amp;'Tiempos carretera (horas)'!D$45:D$1645,0))</f>
        <v>3.16</v>
      </c>
      <c r="K138" s="12">
        <f t="shared" ca="1" si="12"/>
        <v>2.3251917957267207</v>
      </c>
      <c r="L138" s="12">
        <f t="shared" ca="1" si="13"/>
        <v>18.672007779167686</v>
      </c>
      <c r="M138" s="12">
        <f t="shared" ca="1" si="14"/>
        <v>0.14087297350517963</v>
      </c>
      <c r="N138" s="13">
        <f t="shared" ca="1" si="15"/>
        <v>-16.346815983440965</v>
      </c>
      <c r="O138" s="13">
        <f t="shared" ca="1" si="16"/>
        <v>-48.543965421476159</v>
      </c>
      <c r="P138" s="12">
        <f t="shared" ca="1" si="17"/>
        <v>1.8080582010281701</v>
      </c>
    </row>
    <row r="139" spans="1:16" x14ac:dyDescent="0.25">
      <c r="A139">
        <v>19</v>
      </c>
      <c r="B139">
        <v>4</v>
      </c>
      <c r="C139" s="2" t="s">
        <v>18</v>
      </c>
      <c r="D139" s="2" t="s">
        <v>3</v>
      </c>
      <c r="E139" s="11" cm="1">
        <f t="array" aca="1" ref="E139" ca="1">INDEX('OD flujo mercancia multimodal'!E$45:E$1645,MATCH(C139&amp;D139,'OD flujo mercancia multimodal'!C$45:C$1645&amp;'OD flujo mercancia multimodal'!D$45:D$1645,0))</f>
        <v>32947.994505494476</v>
      </c>
      <c r="F139" s="11" cm="1">
        <f t="array" aca="1" ref="F139" ca="1">INDEX('OD flujo mercancia carretera'!E$45:E$1646,MATCH(C139&amp;D139,'OD flujo mercancia carretera'!C$45:C$1646&amp;'OD flujo mercancia carretera'!D$45:D$1646,0))</f>
        <v>71091.384615384595</v>
      </c>
      <c r="G139" s="11" cm="1">
        <f t="array" aca="1" ref="G139" ca="1">INDEX('Coste Carretera'!E$46:E$1646,MATCH(C139&amp;D139,'Coste Carretera'!C$46:C$1646&amp;'Coste Carretera'!D$46:D$1646,0))</f>
        <v>1713124384.7142842</v>
      </c>
      <c r="H139" s="11" cm="1">
        <f t="array" aca="1" ref="H139" ca="1">INDEX('Coste multimodal'!E$46:E$1646,MATCH(C139&amp;D139,'Coste multimodal'!C$46:C$1646&amp;'Coste multimodal'!D$46:D$1646,0))</f>
        <v>467830484.49790776</v>
      </c>
      <c r="I139" s="12" cm="1">
        <f t="array" aca="1" ref="I139" ca="1">INDEX('Tiempos intermodal (horas)'!E$45:E$1645,MATCH(C139&amp;D139,'Tiempos intermodal (horas)'!C$45:C$1645&amp;'Tiempos intermodal (horas)'!D$45:D$1645,0))</f>
        <v>39.234595669399866</v>
      </c>
      <c r="J139" s="2" cm="1">
        <f t="array" aca="1" ref="J139" ca="1">INDEX('Tiempos carretera (horas)'!E$45:E$1645,MATCH(C139&amp;D139,'Tiempos carretera (horas)'!C$45:C$1645&amp;'Tiempos carretera (horas)'!D$45:D$1645,0))</f>
        <v>10.65</v>
      </c>
      <c r="K139" s="12">
        <f t="shared" ca="1" si="12"/>
        <v>24.097496398228177</v>
      </c>
      <c r="L139" s="12">
        <f t="shared" ca="1" si="13"/>
        <v>14.199057985756657</v>
      </c>
      <c r="M139" s="12">
        <f t="shared" ca="1" si="14"/>
        <v>0.31668772712699061</v>
      </c>
      <c r="N139" s="13">
        <f t="shared" ca="1" si="15"/>
        <v>9.8984384124715206</v>
      </c>
      <c r="O139" s="13">
        <f t="shared" ca="1" si="16"/>
        <v>-28.584595669399867</v>
      </c>
      <c r="P139" s="12">
        <f t="shared" ca="1" si="17"/>
        <v>0.76903576237173699</v>
      </c>
    </row>
    <row r="140" spans="1:16" x14ac:dyDescent="0.25">
      <c r="A140">
        <v>19</v>
      </c>
      <c r="B140">
        <v>34</v>
      </c>
      <c r="C140" s="2" t="s">
        <v>18</v>
      </c>
      <c r="D140" s="2" t="s">
        <v>33</v>
      </c>
      <c r="E140" s="11" cm="1">
        <f t="array" aca="1" ref="E140" ca="1">INDEX('OD flujo mercancia multimodal'!E$45:E$1645,MATCH(C140&amp;D140,'OD flujo mercancia multimodal'!C$45:C$1645&amp;'OD flujo mercancia multimodal'!D$45:D$1645,0))</f>
        <v>298585.23076923104</v>
      </c>
      <c r="F140" s="11" cm="1">
        <f t="array" aca="1" ref="F140" ca="1">INDEX('OD flujo mercancia carretera'!E$45:E$1646,MATCH(C140&amp;D140,'OD flujo mercancia carretera'!C$45:C$1646&amp;'OD flujo mercancia carretera'!D$45:D$1646,0))</f>
        <v>307094.38888888899</v>
      </c>
      <c r="G140" s="11" cm="1">
        <f t="array" aca="1" ref="G140" ca="1">INDEX('Coste Carretera'!E$46:E$1646,MATCH(C140&amp;D140,'Coste Carretera'!C$46:C$1646&amp;'Coste Carretera'!D$46:D$1646,0))</f>
        <v>2314613881.1199985</v>
      </c>
      <c r="H140" s="11" cm="1">
        <f t="array" aca="1" ref="H140" ca="1">INDEX('Coste multimodal'!E$46:E$1646,MATCH(C140&amp;D140,'Coste multimodal'!C$46:C$1646&amp;'Coste multimodal'!D$46:D$1646,0))</f>
        <v>3448912976.4735155</v>
      </c>
      <c r="I140" s="12" cm="1">
        <f t="array" aca="1" ref="I140" ca="1">INDEX('Tiempos intermodal (horas)'!E$45:E$1645,MATCH(C140&amp;D140,'Tiempos intermodal (horas)'!C$45:C$1645&amp;'Tiempos intermodal (horas)'!D$45:D$1645,0))</f>
        <v>28.201937775666295</v>
      </c>
      <c r="J140" s="2" cm="1">
        <f t="array" aca="1" ref="J140" ca="1">INDEX('Tiempos carretera (horas)'!E$45:E$1645,MATCH(C140&amp;D140,'Tiempos carretera (horas)'!C$45:C$1645&amp;'Tiempos carretera (horas)'!D$45:D$1645,0))</f>
        <v>7</v>
      </c>
      <c r="K140" s="12">
        <f t="shared" ca="1" si="12"/>
        <v>7.5371415592925652</v>
      </c>
      <c r="L140" s="12">
        <f t="shared" ca="1" si="13"/>
        <v>11.550849208409417</v>
      </c>
      <c r="M140" s="12">
        <f t="shared" ca="1" si="14"/>
        <v>0.49297552877504697</v>
      </c>
      <c r="N140" s="13">
        <f t="shared" ca="1" si="15"/>
        <v>-4.013707649116852</v>
      </c>
      <c r="O140" s="13">
        <f t="shared" ca="1" si="16"/>
        <v>-21.201937775666295</v>
      </c>
      <c r="P140" s="12">
        <f t="shared" ca="1" si="17"/>
        <v>2.8099733704681405E-2</v>
      </c>
    </row>
    <row r="141" spans="1:16" x14ac:dyDescent="0.25">
      <c r="A141">
        <v>34</v>
      </c>
      <c r="B141">
        <v>19</v>
      </c>
      <c r="C141" s="2" t="s">
        <v>33</v>
      </c>
      <c r="D141" s="2" t="s">
        <v>18</v>
      </c>
      <c r="E141" s="11" cm="1">
        <f t="array" aca="1" ref="E141" ca="1">INDEX('OD flujo mercancia multimodal'!E$45:E$1645,MATCH(C141&amp;D141,'OD flujo mercancia multimodal'!C$45:C$1645&amp;'OD flujo mercancia multimodal'!D$45:D$1645,0))</f>
        <v>125960.69230769231</v>
      </c>
      <c r="F141" s="11" cm="1">
        <f t="array" aca="1" ref="F141" ca="1">INDEX('OD flujo mercancia carretera'!E$45:E$1646,MATCH(C141&amp;D141,'OD flujo mercancia carretera'!C$45:C$1646&amp;'OD flujo mercancia carretera'!D$45:D$1646,0))</f>
        <v>365934.61111111112</v>
      </c>
      <c r="G141" s="11" cm="1">
        <f t="array" aca="1" ref="G141" ca="1">INDEX('Coste Carretera'!E$46:E$1646,MATCH(C141&amp;D141,'Coste Carretera'!C$46:C$1646&amp;'Coste Carretera'!D$46:D$1646,0))</f>
        <v>1103180062.8799999</v>
      </c>
      <c r="H141" s="11" cm="1">
        <f t="array" aca="1" ref="H141" ca="1">INDEX('Coste multimodal'!E$46:E$1646,MATCH(C141&amp;D141,'Coste multimodal'!C$46:C$1646&amp;'Coste multimodal'!D$46:D$1646,0))</f>
        <v>3448912976.4735155</v>
      </c>
      <c r="I141" s="12" cm="1">
        <f t="array" aca="1" ref="I141" ca="1">INDEX('Tiempos intermodal (horas)'!E$45:E$1645,MATCH(C141&amp;D141,'Tiempos intermodal (horas)'!C$45:C$1645&amp;'Tiempos intermodal (horas)'!D$45:D$1645,0))</f>
        <v>28.201937775666295</v>
      </c>
      <c r="J141" s="2" cm="1">
        <f t="array" aca="1" ref="J141" ca="1">INDEX('Tiempos carretera (horas)'!E$45:E$1645,MATCH(C141&amp;D141,'Tiempos carretera (horas)'!C$45:C$1645&amp;'Tiempos carretera (horas)'!D$45:D$1645,0))</f>
        <v>7</v>
      </c>
      <c r="K141" s="12">
        <f t="shared" ca="1" si="12"/>
        <v>3.0146917765727115</v>
      </c>
      <c r="L141" s="12">
        <f t="shared" ca="1" si="13"/>
        <v>27.38086710454586</v>
      </c>
      <c r="M141" s="12">
        <f t="shared" ca="1" si="14"/>
        <v>0.25607215891721657</v>
      </c>
      <c r="N141" s="13">
        <f t="shared" ca="1" si="15"/>
        <v>-24.366175327973149</v>
      </c>
      <c r="O141" s="13">
        <f t="shared" ca="1" si="16"/>
        <v>-21.201937775666295</v>
      </c>
      <c r="P141" s="12">
        <f t="shared" ca="1" si="17"/>
        <v>1.0664847668056765</v>
      </c>
    </row>
    <row r="142" spans="1:16" x14ac:dyDescent="0.25">
      <c r="A142">
        <v>33</v>
      </c>
      <c r="B142">
        <v>34</v>
      </c>
      <c r="C142" s="2" t="s">
        <v>32</v>
      </c>
      <c r="D142" s="2" t="s">
        <v>33</v>
      </c>
      <c r="E142" s="11" cm="1">
        <f t="array" aca="1" ref="E142" ca="1">INDEX('OD flujo mercancia multimodal'!E$45:E$1645,MATCH(C142&amp;D142,'OD flujo mercancia multimodal'!C$45:C$1645&amp;'OD flujo mercancia multimodal'!D$45:D$1645,0))</f>
        <v>326933.92307692335</v>
      </c>
      <c r="F142" s="11" cm="1">
        <f t="array" aca="1" ref="F142" ca="1">INDEX('OD flujo mercancia carretera'!E$45:E$1646,MATCH(C142&amp;D142,'OD flujo mercancia carretera'!C$45:C$1646&amp;'OD flujo mercancia carretera'!D$45:D$1646,0))</f>
        <v>359780.4094017095</v>
      </c>
      <c r="G142" s="11" cm="1">
        <f t="array" aca="1" ref="G142" ca="1">INDEX('Coste Carretera'!E$46:E$1646,MATCH(C142&amp;D142,'Coste Carretera'!C$46:C$1646&amp;'Coste Carretera'!D$46:D$1646,0))</f>
        <v>290982098.87999988</v>
      </c>
      <c r="H142" s="11" cm="1">
        <f t="array" aca="1" ref="H142" ca="1">INDEX('Coste multimodal'!E$46:E$1646,MATCH(C142&amp;D142,'Coste multimodal'!C$46:C$1646&amp;'Coste multimodal'!D$46:D$1646,0))</f>
        <v>2385234791.3178105</v>
      </c>
      <c r="I142" s="12" cm="1">
        <f t="array" aca="1" ref="I142" ca="1">INDEX('Tiempos intermodal (horas)'!E$45:E$1645,MATCH(C142&amp;D142,'Tiempos intermodal (horas)'!C$45:C$1645&amp;'Tiempos intermodal (horas)'!D$45:D$1645,0))</f>
        <v>27.698178289373356</v>
      </c>
      <c r="J142" s="2" cm="1">
        <f t="array" aca="1" ref="J142" ca="1">INDEX('Tiempos carretera (horas)'!E$45:E$1645,MATCH(C142&amp;D142,'Tiempos carretera (horas)'!C$45:C$1645&amp;'Tiempos carretera (horas)'!D$45:D$1645,0))</f>
        <v>1</v>
      </c>
      <c r="K142" s="12">
        <f t="shared" ca="1" si="12"/>
        <v>0.80877694081198981</v>
      </c>
      <c r="L142" s="12">
        <f t="shared" ca="1" si="13"/>
        <v>7.2957702549471906</v>
      </c>
      <c r="M142" s="12">
        <f t="shared" ca="1" si="14"/>
        <v>0.47608431572541249</v>
      </c>
      <c r="N142" s="13">
        <f t="shared" ca="1" si="15"/>
        <v>-6.4869933141352005</v>
      </c>
      <c r="O142" s="13">
        <f t="shared" ca="1" si="16"/>
        <v>-26.698178289373356</v>
      </c>
      <c r="P142" s="12">
        <f t="shared" ca="1" si="17"/>
        <v>9.573579107907261E-2</v>
      </c>
    </row>
    <row r="143" spans="1:16" x14ac:dyDescent="0.25">
      <c r="A143">
        <v>34</v>
      </c>
      <c r="B143">
        <v>33</v>
      </c>
      <c r="C143" s="2" t="s">
        <v>33</v>
      </c>
      <c r="D143" s="2" t="s">
        <v>32</v>
      </c>
      <c r="E143" s="11" cm="1">
        <f t="array" aca="1" ref="E143" ca="1">INDEX('OD flujo mercancia multimodal'!E$45:E$1645,MATCH(C143&amp;D143,'OD flujo mercancia multimodal'!C$45:C$1645&amp;'OD flujo mercancia multimodal'!D$45:D$1645,0))</f>
        <v>188839.53846153844</v>
      </c>
      <c r="F143" s="11" cm="1">
        <f t="array" aca="1" ref="F143" ca="1">INDEX('OD flujo mercancia carretera'!E$45:E$1646,MATCH(C143&amp;D143,'OD flujo mercancia carretera'!C$45:C$1646&amp;'OD flujo mercancia carretera'!D$45:D$1646,0))</f>
        <v>374127.94957264961</v>
      </c>
      <c r="G143" s="11" cm="1">
        <f t="array" aca="1" ref="G143" ca="1">INDEX('Coste Carretera'!E$46:E$1646,MATCH(C143&amp;D143,'Coste Carretera'!C$46:C$1646&amp;'Coste Carretera'!D$46:D$1646,0))</f>
        <v>138741306.70399997</v>
      </c>
      <c r="H143" s="11" cm="1">
        <f t="array" aca="1" ref="H143" ca="1">INDEX('Coste multimodal'!E$46:E$1646,MATCH(C143&amp;D143,'Coste multimodal'!C$46:C$1646&amp;'Coste multimodal'!D$46:D$1646,0))</f>
        <v>2385234791.3178105</v>
      </c>
      <c r="I143" s="12" cm="1">
        <f t="array" aca="1" ref="I143" ca="1">INDEX('Tiempos intermodal (horas)'!E$45:E$1645,MATCH(C143&amp;D143,'Tiempos intermodal (horas)'!C$45:C$1645&amp;'Tiempos intermodal (horas)'!D$45:D$1645,0))</f>
        <v>27.698178289373356</v>
      </c>
      <c r="J143" s="2" cm="1">
        <f t="array" aca="1" ref="J143" ca="1">INDEX('Tiempos carretera (horas)'!E$45:E$1645,MATCH(C143&amp;D143,'Tiempos carretera (horas)'!C$45:C$1645&amp;'Tiempos carretera (horas)'!D$45:D$1645,0))</f>
        <v>1</v>
      </c>
      <c r="K143" s="12">
        <f t="shared" ca="1" si="12"/>
        <v>0.37083919248074954</v>
      </c>
      <c r="L143" s="12">
        <f t="shared" ca="1" si="13"/>
        <v>12.631013667742145</v>
      </c>
      <c r="M143" s="12">
        <f t="shared" ca="1" si="14"/>
        <v>0.33543595762686484</v>
      </c>
      <c r="N143" s="13">
        <f t="shared" ca="1" si="15"/>
        <v>-12.260174475261396</v>
      </c>
      <c r="O143" s="13">
        <f t="shared" ca="1" si="16"/>
        <v>-26.698178289373356</v>
      </c>
      <c r="P143" s="12">
        <f t="shared" ca="1" si="17"/>
        <v>0.68370019846106889</v>
      </c>
    </row>
    <row r="144" spans="1:16" x14ac:dyDescent="0.25">
      <c r="A144">
        <v>36</v>
      </c>
      <c r="B144">
        <v>20</v>
      </c>
      <c r="C144" s="2" t="s">
        <v>35</v>
      </c>
      <c r="D144" s="2" t="s">
        <v>19</v>
      </c>
      <c r="E144" s="11" cm="1">
        <f t="array" aca="1" ref="E144" ca="1">INDEX('OD flujo mercancia multimodal'!E$45:E$1645,MATCH(C144&amp;D144,'OD flujo mercancia multimodal'!C$45:C$1645&amp;'OD flujo mercancia multimodal'!D$45:D$1645,0))</f>
        <v>60567.923076923063</v>
      </c>
      <c r="F144" s="11" cm="1">
        <f t="array" aca="1" ref="F144" ca="1">INDEX('OD flujo mercancia carretera'!E$45:E$1646,MATCH(C144&amp;D144,'OD flujo mercancia carretera'!C$45:C$1646&amp;'OD flujo mercancia carretera'!D$45:D$1646,0))</f>
        <v>155747.58974358978</v>
      </c>
      <c r="G144" s="11" cm="1">
        <f t="array" aca="1" ref="G144" ca="1">INDEX('Coste Carretera'!E$46:E$1646,MATCH(C144&amp;D144,'Coste Carretera'!C$46:C$1646&amp;'Coste Carretera'!D$46:D$1646,0))</f>
        <v>1737305928.7999995</v>
      </c>
      <c r="H144" s="11" cm="1">
        <f t="array" aca="1" ref="H144" ca="1">INDEX('Coste multimodal'!E$46:E$1646,MATCH(C144&amp;D144,'Coste multimodal'!C$46:C$1646&amp;'Coste multimodal'!D$46:D$1646,0))</f>
        <v>753535741.15243137</v>
      </c>
      <c r="I144" s="12" cm="1">
        <f t="array" aca="1" ref="I144" ca="1">INDEX('Tiempos intermodal (horas)'!E$45:E$1645,MATCH(C144&amp;D144,'Tiempos intermodal (horas)'!C$45:C$1645&amp;'Tiempos intermodal (horas)'!D$45:D$1645,0))</f>
        <v>26.513622900243995</v>
      </c>
      <c r="J144" s="2" cm="1">
        <f t="array" aca="1" ref="J144" ca="1">INDEX('Tiempos carretera (horas)'!E$45:E$1645,MATCH(C144&amp;D144,'Tiempos carretera (horas)'!C$45:C$1645&amp;'Tiempos carretera (horas)'!D$45:D$1645,0))</f>
        <v>5.28</v>
      </c>
      <c r="K144" s="12">
        <f t="shared" ca="1" si="12"/>
        <v>11.154624810953154</v>
      </c>
      <c r="L144" s="12">
        <f t="shared" ca="1" si="13"/>
        <v>12.441168573593295</v>
      </c>
      <c r="M144" s="12">
        <f t="shared" ca="1" si="14"/>
        <v>0.27999805602097116</v>
      </c>
      <c r="N144" s="13">
        <f t="shared" ca="1" si="15"/>
        <v>-1.2865437626401413</v>
      </c>
      <c r="O144" s="13">
        <f t="shared" ca="1" si="16"/>
        <v>-21.233622900243994</v>
      </c>
      <c r="P144" s="12">
        <f t="shared" ca="1" si="17"/>
        <v>0.94447125161442702</v>
      </c>
    </row>
    <row r="145" spans="1:16" x14ac:dyDescent="0.25">
      <c r="A145">
        <v>20</v>
      </c>
      <c r="B145">
        <v>36</v>
      </c>
      <c r="C145" s="2" t="s">
        <v>19</v>
      </c>
      <c r="D145" s="2" t="s">
        <v>35</v>
      </c>
      <c r="E145" s="11" cm="1">
        <f t="array" aca="1" ref="E145" ca="1">INDEX('OD flujo mercancia multimodal'!E$45:E$1645,MATCH(C145&amp;D145,'OD flujo mercancia multimodal'!C$45:C$1645&amp;'OD flujo mercancia multimodal'!D$45:D$1645,0))</f>
        <v>35690.615384615383</v>
      </c>
      <c r="F145" s="11" cm="1">
        <f t="array" aca="1" ref="F145" ca="1">INDEX('OD flujo mercancia carretera'!E$45:E$1646,MATCH(C145&amp;D145,'OD flujo mercancia carretera'!C$45:C$1646&amp;'OD flujo mercancia carretera'!D$45:D$1646,0))</f>
        <v>152917.25641025644</v>
      </c>
      <c r="G145" s="11" cm="1">
        <f t="array" aca="1" ref="G145" ca="1">INDEX('Coste Carretera'!E$46:E$1646,MATCH(C145&amp;D145,'Coste Carretera'!C$46:C$1646&amp;'Coste Carretera'!D$46:D$1646,0))</f>
        <v>1402661962.2000005</v>
      </c>
      <c r="H145" s="11" cm="1">
        <f t="array" aca="1" ref="H145" ca="1">INDEX('Coste multimodal'!E$46:E$1646,MATCH(C145&amp;D145,'Coste multimodal'!C$46:C$1646&amp;'Coste multimodal'!D$46:D$1646,0))</f>
        <v>753535741.15243137</v>
      </c>
      <c r="I145" s="12" cm="1">
        <f t="array" aca="1" ref="I145" ca="1">INDEX('Tiempos intermodal (horas)'!E$45:E$1645,MATCH(C145&amp;D145,'Tiempos intermodal (horas)'!C$45:C$1645&amp;'Tiempos intermodal (horas)'!D$45:D$1645,0))</f>
        <v>26.513622900243995</v>
      </c>
      <c r="J145" s="2" cm="1">
        <f t="array" aca="1" ref="J145" ca="1">INDEX('Tiempos carretera (horas)'!E$45:E$1645,MATCH(C145&amp;D145,'Tiempos carretera (horas)'!C$45:C$1645&amp;'Tiempos carretera (horas)'!D$45:D$1645,0))</f>
        <v>5.28</v>
      </c>
      <c r="K145" s="12">
        <f t="shared" ca="1" si="12"/>
        <v>9.172685903001339</v>
      </c>
      <c r="L145" s="12">
        <f t="shared" ca="1" si="13"/>
        <v>21.112993794924776</v>
      </c>
      <c r="M145" s="12">
        <f t="shared" ca="1" si="14"/>
        <v>0.18923184406339183</v>
      </c>
      <c r="N145" s="13">
        <f t="shared" ca="1" si="15"/>
        <v>-11.940307891923437</v>
      </c>
      <c r="O145" s="13">
        <f t="shared" ca="1" si="16"/>
        <v>-21.233622900243994</v>
      </c>
      <c r="P145" s="12">
        <f t="shared" ca="1" si="17"/>
        <v>1.4550091874795175</v>
      </c>
    </row>
    <row r="146" spans="1:16" x14ac:dyDescent="0.25">
      <c r="A146">
        <v>32</v>
      </c>
      <c r="B146">
        <v>4</v>
      </c>
      <c r="C146" s="2" t="s">
        <v>31</v>
      </c>
      <c r="D146" s="2" t="s">
        <v>3</v>
      </c>
      <c r="E146" s="11" cm="1">
        <f t="array" aca="1" ref="E146" ca="1">INDEX('OD flujo mercancia multimodal'!E$45:E$1645,MATCH(C146&amp;D146,'OD flujo mercancia multimodal'!C$45:C$1645&amp;'OD flujo mercancia multimodal'!D$45:D$1645,0))</f>
        <v>31247.14835164832</v>
      </c>
      <c r="F146" s="11" cm="1">
        <f t="array" aca="1" ref="F146" ca="1">INDEX('OD flujo mercancia carretera'!E$45:E$1646,MATCH(C146&amp;D146,'OD flujo mercancia carretera'!C$45:C$1646&amp;'OD flujo mercancia carretera'!D$45:D$1646,0))</f>
        <v>77666.984615384587</v>
      </c>
      <c r="G146" s="11" cm="1">
        <f t="array" aca="1" ref="G146" ca="1">INDEX('Coste Carretera'!E$46:E$1646,MATCH(C146&amp;D146,'Coste Carretera'!C$46:C$1646&amp;'Coste Carretera'!D$46:D$1646,0))</f>
        <v>426039260.21142823</v>
      </c>
      <c r="H146" s="11" cm="1">
        <f t="array" aca="1" ref="H146" ca="1">INDEX('Coste multimodal'!E$46:E$1646,MATCH(C146&amp;D146,'Coste multimodal'!C$46:C$1646&amp;'Coste multimodal'!D$46:D$1646,0))</f>
        <v>315370728.09038025</v>
      </c>
      <c r="I146" s="12" cm="1">
        <f t="array" aca="1" ref="I146" ca="1">INDEX('Tiempos intermodal (horas)'!E$45:E$1645,MATCH(C146&amp;D146,'Tiempos intermodal (horas)'!C$45:C$1645&amp;'Tiempos intermodal (horas)'!D$45:D$1645,0))</f>
        <v>23.902478379258163</v>
      </c>
      <c r="J146" s="2" cm="1">
        <f t="array" aca="1" ref="J146" ca="1">INDEX('Tiempos carretera (horas)'!E$45:E$1645,MATCH(C146&amp;D146,'Tiempos carretera (horas)'!C$45:C$1645&amp;'Tiempos carretera (horas)'!D$45:D$1645,0))</f>
        <v>2.72</v>
      </c>
      <c r="K146" s="12">
        <f t="shared" ca="1" si="12"/>
        <v>5.4854615808920775</v>
      </c>
      <c r="L146" s="12">
        <f t="shared" ca="1" si="13"/>
        <v>10.092784293186361</v>
      </c>
      <c r="M146" s="12">
        <f t="shared" ca="1" si="14"/>
        <v>0.28689709499047739</v>
      </c>
      <c r="N146" s="13">
        <f t="shared" ca="1" si="15"/>
        <v>-4.607322712294283</v>
      </c>
      <c r="O146" s="13">
        <f t="shared" ca="1" si="16"/>
        <v>-21.182478379258164</v>
      </c>
      <c r="P146" s="12">
        <f t="shared" ca="1" si="17"/>
        <v>0.91050213937815627</v>
      </c>
    </row>
    <row r="147" spans="1:16" x14ac:dyDescent="0.25">
      <c r="A147">
        <v>32</v>
      </c>
      <c r="B147">
        <v>34</v>
      </c>
      <c r="C147" s="2" t="s">
        <v>31</v>
      </c>
      <c r="D147" s="2" t="s">
        <v>33</v>
      </c>
      <c r="E147" s="11" cm="1">
        <f t="array" aca="1" ref="E147" ca="1">INDEX('OD flujo mercancia multimodal'!E$45:E$1645,MATCH(C147&amp;D147,'OD flujo mercancia multimodal'!C$45:C$1645&amp;'OD flujo mercancia multimodal'!D$45:D$1645,0))</f>
        <v>296884.38461538492</v>
      </c>
      <c r="F147" s="11" cm="1">
        <f t="array" aca="1" ref="F147" ca="1">INDEX('OD flujo mercancia carretera'!E$45:E$1646,MATCH(C147&amp;D147,'OD flujo mercancia carretera'!C$45:C$1646&amp;'OD flujo mercancia carretera'!D$45:D$1646,0))</f>
        <v>313669.98888888897</v>
      </c>
      <c r="G147" s="11" cm="1">
        <f t="array" aca="1" ref="G147" ca="1">INDEX('Coste Carretera'!E$46:E$1646,MATCH(C147&amp;D147,'Coste Carretera'!C$46:C$1646&amp;'Coste Carretera'!D$46:D$1646,0))</f>
        <v>717550819.55999959</v>
      </c>
      <c r="H147" s="11" cm="1">
        <f t="array" aca="1" ref="H147" ca="1">INDEX('Coste multimodal'!E$46:E$1646,MATCH(C147&amp;D147,'Coste multimodal'!C$46:C$1646&amp;'Coste multimodal'!D$46:D$1646,0))</f>
        <v>3312995188.2218103</v>
      </c>
      <c r="I147" s="12" cm="1">
        <f t="array" aca="1" ref="I147" ca="1">INDEX('Tiempos intermodal (horas)'!E$45:E$1645,MATCH(C147&amp;D147,'Tiempos intermodal (horas)'!C$45:C$1645&amp;'Tiempos intermodal (horas)'!D$45:D$1645,0))</f>
        <v>29.005956067151136</v>
      </c>
      <c r="J147" s="2" cm="1">
        <f t="array" aca="1" ref="J147" ca="1">INDEX('Tiempos carretera (horas)'!E$45:E$1645,MATCH(C147&amp;D147,'Tiempos carretera (horas)'!C$45:C$1645&amp;'Tiempos carretera (horas)'!D$45:D$1645,0))</f>
        <v>2.1800000000000002</v>
      </c>
      <c r="K147" s="12">
        <f t="shared" ca="1" si="12"/>
        <v>2.2875979372517432</v>
      </c>
      <c r="L147" s="12">
        <f t="shared" ca="1" si="13"/>
        <v>11.159209981736865</v>
      </c>
      <c r="M147" s="12">
        <f t="shared" ca="1" si="14"/>
        <v>0.48625380064255119</v>
      </c>
      <c r="N147" s="13">
        <f t="shared" ca="1" si="15"/>
        <v>-8.8716120444851221</v>
      </c>
      <c r="O147" s="13">
        <f t="shared" ca="1" si="16"/>
        <v>-26.825956067151136</v>
      </c>
      <c r="P147" s="12">
        <f t="shared" ca="1" si="17"/>
        <v>5.4998656805120935E-2</v>
      </c>
    </row>
    <row r="148" spans="1:16" x14ac:dyDescent="0.25">
      <c r="A148">
        <v>34</v>
      </c>
      <c r="B148">
        <v>32</v>
      </c>
      <c r="C148" s="2" t="s">
        <v>33</v>
      </c>
      <c r="D148" s="2" t="s">
        <v>31</v>
      </c>
      <c r="E148" s="11" cm="1">
        <f t="array" aca="1" ref="E148" ca="1">INDEX('OD flujo mercancia multimodal'!E$45:E$1645,MATCH(C148&amp;D148,'OD flujo mercancia multimodal'!C$45:C$1645&amp;'OD flujo mercancia multimodal'!D$45:D$1645,0))</f>
        <v>125162.15384615384</v>
      </c>
      <c r="F148" s="11" cm="1">
        <f t="array" aca="1" ref="F148" ca="1">INDEX('OD flujo mercancia carretera'!E$45:E$1646,MATCH(C148&amp;D148,'OD flujo mercancia carretera'!C$45:C$1646&amp;'OD flujo mercancia carretera'!D$45:D$1646,0))</f>
        <v>324417.7264957265</v>
      </c>
      <c r="G148" s="11" cm="1">
        <f t="array" aca="1" ref="G148" ca="1">INDEX('Coste Carretera'!E$46:E$1646,MATCH(C148&amp;D148,'Coste Carretera'!C$46:C$1646&amp;'Coste Carretera'!D$46:D$1646,0))</f>
        <v>356601499.91999996</v>
      </c>
      <c r="H148" s="11" cm="1">
        <f t="array" aca="1" ref="H148" ca="1">INDEX('Coste multimodal'!E$46:E$1646,MATCH(C148&amp;D148,'Coste multimodal'!C$46:C$1646&amp;'Coste multimodal'!D$46:D$1646,0))</f>
        <v>3312995188.2218103</v>
      </c>
      <c r="I148" s="12" cm="1">
        <f t="array" aca="1" ref="I148" ca="1">INDEX('Tiempos intermodal (horas)'!E$45:E$1645,MATCH(C148&amp;D148,'Tiempos intermodal (horas)'!C$45:C$1645&amp;'Tiempos intermodal (horas)'!D$45:D$1645,0))</f>
        <v>29.005956067151136</v>
      </c>
      <c r="J148" s="2" cm="1">
        <f t="array" aca="1" ref="J148" ca="1">INDEX('Tiempos carretera (horas)'!E$45:E$1645,MATCH(C148&amp;D148,'Tiempos carretera (horas)'!C$45:C$1645&amp;'Tiempos carretera (horas)'!D$45:D$1645,0))</f>
        <v>2.1800000000000002</v>
      </c>
      <c r="K148" s="12">
        <f t="shared" ca="1" si="12"/>
        <v>1.0992047314180824</v>
      </c>
      <c r="L148" s="12">
        <f t="shared" ca="1" si="13"/>
        <v>26.469624294689435</v>
      </c>
      <c r="M148" s="12">
        <f t="shared" ca="1" si="14"/>
        <v>0.27839803184914552</v>
      </c>
      <c r="N148" s="13">
        <f t="shared" ca="1" si="15"/>
        <v>-25.370419563271351</v>
      </c>
      <c r="O148" s="13">
        <f t="shared" ca="1" si="16"/>
        <v>-26.825956067151136</v>
      </c>
      <c r="P148" s="12">
        <f t="shared" ca="1" si="17"/>
        <v>0.95242183729858121</v>
      </c>
    </row>
    <row r="149" spans="1:16" x14ac:dyDescent="0.25">
      <c r="A149">
        <v>9</v>
      </c>
      <c r="B149">
        <v>20</v>
      </c>
      <c r="C149" s="2" t="s">
        <v>148</v>
      </c>
      <c r="D149" s="2" t="s">
        <v>19</v>
      </c>
      <c r="E149" s="11" cm="1">
        <f t="array" aca="1" ref="E149" ca="1">INDEX('OD flujo mercancia multimodal'!E$45:E$1645,MATCH(C149&amp;D149,'OD flujo mercancia multimodal'!C$45:C$1645&amp;'OD flujo mercancia multimodal'!D$45:D$1645,0))</f>
        <v>59377.192307692298</v>
      </c>
      <c r="F149" s="11" cm="1">
        <f t="array" aca="1" ref="F149" ca="1">INDEX('OD flujo mercancia carretera'!E$45:E$1646,MATCH(C149&amp;D149,'OD flujo mercancia carretera'!C$45:C$1646&amp;'OD flujo mercancia carretera'!D$45:D$1646,0))</f>
        <v>638296.96367521386</v>
      </c>
      <c r="G149" s="11" cm="1">
        <f t="array" aca="1" ref="G149" ca="1">INDEX('Coste Carretera'!E$46:E$1646,MATCH(C149&amp;D149,'Coste Carretera'!C$46:C$1646&amp;'Coste Carretera'!D$46:D$1646,0))</f>
        <v>1958411807.9199996</v>
      </c>
      <c r="H149" s="11" cm="1">
        <f t="array" aca="1" ref="H149" ca="1">INDEX('Coste multimodal'!E$46:E$1646,MATCH(C149&amp;D149,'Coste multimodal'!C$46:C$1646&amp;'Coste multimodal'!D$46:D$1646,0))</f>
        <v>856428869.39643145</v>
      </c>
      <c r="I149" s="12" cm="1">
        <f t="array" aca="1" ref="I149" ca="1">INDEX('Tiempos intermodal (horas)'!E$45:E$1645,MATCH(C149&amp;D149,'Tiempos intermodal (horas)'!C$45:C$1645&amp;'Tiempos intermodal (horas)'!D$45:D$1645,0))</f>
        <v>28.354734011355106</v>
      </c>
      <c r="J149" s="2" cm="1">
        <f t="array" aca="1" ref="J149" ca="1">INDEX('Tiempos carretera (horas)'!E$45:E$1645,MATCH(C149&amp;D149,'Tiempos carretera (horas)'!C$45:C$1645&amp;'Tiempos carretera (horas)'!D$45:D$1645,0))</f>
        <v>6.85</v>
      </c>
      <c r="K149" s="12">
        <f t="shared" ca="1" si="12"/>
        <v>3.0681828668646198</v>
      </c>
      <c r="L149" s="12">
        <f t="shared" ca="1" si="13"/>
        <v>14.423532607578034</v>
      </c>
      <c r="M149" s="12">
        <f t="shared" ca="1" si="14"/>
        <v>8.5107341010847354E-2</v>
      </c>
      <c r="N149" s="13">
        <f t="shared" ca="1" si="15"/>
        <v>-11.355349740713415</v>
      </c>
      <c r="O149" s="13">
        <f t="shared" ca="1" si="16"/>
        <v>-21.504734011355104</v>
      </c>
      <c r="P149" s="12">
        <f t="shared" ca="1" si="17"/>
        <v>2.374893450607634</v>
      </c>
    </row>
    <row r="150" spans="1:16" x14ac:dyDescent="0.25">
      <c r="A150">
        <v>20</v>
      </c>
      <c r="B150">
        <v>9</v>
      </c>
      <c r="C150" s="2" t="s">
        <v>19</v>
      </c>
      <c r="D150" s="2" t="s">
        <v>148</v>
      </c>
      <c r="E150" s="11" cm="1">
        <f t="array" aca="1" ref="E150" ca="1">INDEX('OD flujo mercancia multimodal'!E$45:E$1645,MATCH(C150&amp;D150,'OD flujo mercancia multimodal'!C$45:C$1645&amp;'OD flujo mercancia multimodal'!D$45:D$1645,0))</f>
        <v>32568.223776223775</v>
      </c>
      <c r="F150" s="11" cm="1">
        <f t="array" aca="1" ref="F150" ca="1">INDEX('OD flujo mercancia carretera'!E$45:E$1646,MATCH(C150&amp;D150,'OD flujo mercancia carretera'!C$45:C$1646&amp;'OD flujo mercancia carretera'!D$45:D$1646,0))</f>
        <v>631723.95512820536</v>
      </c>
      <c r="G150" s="11" cm="1">
        <f t="array" aca="1" ref="G150" ca="1">INDEX('Coste Carretera'!E$46:E$1646,MATCH(C150&amp;D150,'Coste Carretera'!C$46:C$1646&amp;'Coste Carretera'!D$46:D$1646,0))</f>
        <v>704719042.4436363</v>
      </c>
      <c r="H150" s="11" cm="1">
        <f t="array" aca="1" ref="H150" ca="1">INDEX('Coste multimodal'!E$46:E$1646,MATCH(C150&amp;D150,'Coste multimodal'!C$46:C$1646&amp;'Coste multimodal'!D$46:D$1646,0))</f>
        <v>856428869.39643145</v>
      </c>
      <c r="I150" s="12" cm="1">
        <f t="array" aca="1" ref="I150" ca="1">INDEX('Tiempos intermodal (horas)'!E$45:E$1645,MATCH(C150&amp;D150,'Tiempos intermodal (horas)'!C$45:C$1645&amp;'Tiempos intermodal (horas)'!D$45:D$1645,0))</f>
        <v>28.354734011355106</v>
      </c>
      <c r="J150" s="2" cm="1">
        <f t="array" aca="1" ref="J150" ca="1">INDEX('Tiempos carretera (horas)'!E$45:E$1645,MATCH(C150&amp;D150,'Tiempos carretera (horas)'!C$45:C$1645&amp;'Tiempos carretera (horas)'!D$45:D$1645,0))</f>
        <v>6.85</v>
      </c>
      <c r="K150" s="12">
        <f t="shared" ca="1" si="12"/>
        <v>1.1155490253660192</v>
      </c>
      <c r="L150" s="12">
        <f t="shared" ca="1" si="13"/>
        <v>26.296456180139057</v>
      </c>
      <c r="M150" s="12">
        <f t="shared" ca="1" si="14"/>
        <v>4.902695652677453E-2</v>
      </c>
      <c r="N150" s="13">
        <f t="shared" ca="1" si="15"/>
        <v>-25.180907154773038</v>
      </c>
      <c r="O150" s="13">
        <f t="shared" ca="1" si="16"/>
        <v>-21.504734011355104</v>
      </c>
      <c r="P150" s="12">
        <f t="shared" ca="1" si="17"/>
        <v>2.9651154366473147</v>
      </c>
    </row>
    <row r="151" spans="1:16" x14ac:dyDescent="0.25">
      <c r="A151">
        <v>38</v>
      </c>
      <c r="B151">
        <v>37</v>
      </c>
      <c r="C151" s="2" t="s">
        <v>37</v>
      </c>
      <c r="D151" s="2" t="s">
        <v>36</v>
      </c>
      <c r="E151" s="11" cm="1">
        <f t="array" aca="1" ref="E151" ca="1">INDEX('OD flujo mercancia multimodal'!E$45:E$1645,MATCH(C151&amp;D151,'OD flujo mercancia multimodal'!C$45:C$1645&amp;'OD flujo mercancia multimodal'!D$45:D$1645,0))</f>
        <v>10160.8461538462</v>
      </c>
      <c r="F151" s="11" cm="1">
        <f t="array" aca="1" ref="F151" ca="1">INDEX('OD flujo mercancia carretera'!E$45:E$1646,MATCH(C151&amp;D151,'OD flujo mercancia carretera'!C$45:C$1646&amp;'OD flujo mercancia carretera'!D$45:D$1646,0))</f>
        <v>91524.11904761901</v>
      </c>
      <c r="G151" s="11" cm="1">
        <f t="array" aca="1" ref="G151" ca="1">INDEX('Coste Carretera'!E$46:E$1646,MATCH(C151&amp;D151,'Coste Carretera'!C$46:C$1646&amp;'Coste Carretera'!D$46:D$1646,0))</f>
        <v>317085088.31999981</v>
      </c>
      <c r="H151" s="11" cm="1">
        <f t="array" aca="1" ref="H151" ca="1">INDEX('Coste multimodal'!E$46:E$1646,MATCH(C151&amp;D151,'Coste multimodal'!C$46:C$1646&amp;'Coste multimodal'!D$46:D$1646,0))</f>
        <v>168979402.61462909</v>
      </c>
      <c r="I151" s="12" cm="1">
        <f t="array" aca="1" ref="I151" ca="1">INDEX('Tiempos intermodal (horas)'!E$45:E$1645,MATCH(C151&amp;D151,'Tiempos intermodal (horas)'!C$45:C$1645&amp;'Tiempos intermodal (horas)'!D$45:D$1645,0))</f>
        <v>30.760026825702653</v>
      </c>
      <c r="J151" s="2" cm="1">
        <f t="array" aca="1" ref="J151" ca="1">INDEX('Tiempos carretera (horas)'!E$45:E$1645,MATCH(C151&amp;D151,'Tiempos carretera (horas)'!C$45:C$1645&amp;'Tiempos carretera (horas)'!D$45:D$1645,0))</f>
        <v>6.13</v>
      </c>
      <c r="K151" s="12">
        <f t="shared" ca="1" si="12"/>
        <v>3.4644975730935346</v>
      </c>
      <c r="L151" s="12">
        <f t="shared" ca="1" si="13"/>
        <v>16.630445934924925</v>
      </c>
      <c r="M151" s="12">
        <f t="shared" ca="1" si="14"/>
        <v>9.992476403679576E-2</v>
      </c>
      <c r="N151" s="13">
        <f t="shared" ca="1" si="15"/>
        <v>-13.16594836183139</v>
      </c>
      <c r="O151" s="13">
        <f t="shared" ca="1" si="16"/>
        <v>-24.630026825702654</v>
      </c>
      <c r="P151" s="12">
        <f t="shared" ca="1" si="17"/>
        <v>2.1980608121535674</v>
      </c>
    </row>
    <row r="152" spans="1:16" x14ac:dyDescent="0.25">
      <c r="A152">
        <v>37</v>
      </c>
      <c r="B152">
        <v>38</v>
      </c>
      <c r="C152" s="2" t="s">
        <v>36</v>
      </c>
      <c r="D152" s="2" t="s">
        <v>37</v>
      </c>
      <c r="E152" s="11" cm="1">
        <f t="array" aca="1" ref="E152" ca="1">INDEX('OD flujo mercancia multimodal'!E$45:E$1645,MATCH(C152&amp;D152,'OD flujo mercancia multimodal'!C$45:C$1645&amp;'OD flujo mercancia multimodal'!D$45:D$1645,0))</f>
        <v>5704.1538461538457</v>
      </c>
      <c r="F152" s="11" cm="1">
        <f t="array" aca="1" ref="F152" ca="1">INDEX('OD flujo mercancia carretera'!E$45:E$1646,MATCH(C152&amp;D152,'OD flujo mercancia carretera'!C$45:C$1646&amp;'OD flujo mercancia carretera'!D$45:D$1646,0))</f>
        <v>89167.959706959722</v>
      </c>
      <c r="G152" s="11" cm="1">
        <f t="array" aca="1" ref="G152" ca="1">INDEX('Coste Carretera'!E$46:E$1646,MATCH(C152&amp;D152,'Coste Carretera'!C$46:C$1646&amp;'Coste Carretera'!D$46:D$1646,0))</f>
        <v>416804279.04000151</v>
      </c>
      <c r="H152" s="11" cm="1">
        <f t="array" aca="1" ref="H152" ca="1">INDEX('Coste multimodal'!E$46:E$1646,MATCH(C152&amp;D152,'Coste multimodal'!C$46:C$1646&amp;'Coste multimodal'!D$46:D$1646,0))</f>
        <v>168979402.61462909</v>
      </c>
      <c r="I152" s="12" cm="1">
        <f t="array" aca="1" ref="I152" ca="1">INDEX('Tiempos intermodal (horas)'!E$45:E$1645,MATCH(C152&amp;D152,'Tiempos intermodal (horas)'!C$45:C$1645&amp;'Tiempos intermodal (horas)'!D$45:D$1645,0))</f>
        <v>30.760026825702653</v>
      </c>
      <c r="J152" s="2" cm="1">
        <f t="array" aca="1" ref="J152" ca="1">INDEX('Tiempos carretera (horas)'!E$45:E$1645,MATCH(C152&amp;D152,'Tiempos carretera (horas)'!C$45:C$1645&amp;'Tiempos carretera (horas)'!D$45:D$1645,0))</f>
        <v>6.13</v>
      </c>
      <c r="K152" s="12">
        <f t="shared" ca="1" si="12"/>
        <v>4.6743727277127451</v>
      </c>
      <c r="L152" s="12">
        <f t="shared" ca="1" si="13"/>
        <v>29.623920948164336</v>
      </c>
      <c r="M152" s="12">
        <f t="shared" ca="1" si="14"/>
        <v>6.0124662901711479E-2</v>
      </c>
      <c r="N152" s="13">
        <f t="shared" ca="1" si="15"/>
        <v>-24.949548220451589</v>
      </c>
      <c r="O152" s="13">
        <f t="shared" ca="1" si="16"/>
        <v>-24.630026825702654</v>
      </c>
      <c r="P152" s="12">
        <f t="shared" ca="1" si="17"/>
        <v>2.7493271245751552</v>
      </c>
    </row>
    <row r="153" spans="1:16" x14ac:dyDescent="0.25">
      <c r="A153">
        <v>35</v>
      </c>
      <c r="B153">
        <v>33</v>
      </c>
      <c r="C153" s="2" t="s">
        <v>34</v>
      </c>
      <c r="D153" s="2" t="s">
        <v>32</v>
      </c>
      <c r="E153" s="11" cm="1">
        <f t="array" aca="1" ref="E153" ca="1">INDEX('OD flujo mercancia multimodal'!E$45:E$1645,MATCH(C153&amp;D153,'OD flujo mercancia multimodal'!C$45:C$1645&amp;'OD flujo mercancia multimodal'!D$45:D$1645,0))</f>
        <v>73911.076923076893</v>
      </c>
      <c r="F153" s="11" cm="1">
        <f t="array" aca="1" ref="F153" ca="1">INDEX('OD flujo mercancia carretera'!E$45:E$1646,MATCH(C153&amp;D153,'OD flujo mercancia carretera'!C$45:C$1646&amp;'OD flujo mercancia carretera'!D$45:D$1646,0))</f>
        <v>113626.10769230771</v>
      </c>
      <c r="G153" s="11" cm="1">
        <f t="array" aca="1" ref="G153" ca="1">INDEX('Coste Carretera'!E$46:E$1646,MATCH(C153&amp;D153,'Coste Carretera'!C$46:C$1646&amp;'Coste Carretera'!D$46:D$1646,0))</f>
        <v>926865801.11999989</v>
      </c>
      <c r="H153" s="11" cm="1">
        <f t="array" aca="1" ref="H153" ca="1">INDEX('Coste multimodal'!E$46:E$1646,MATCH(C153&amp;D153,'Coste multimodal'!C$46:C$1646&amp;'Coste multimodal'!D$46:D$1646,0))</f>
        <v>1755500182.3898108</v>
      </c>
      <c r="I153" s="12" cm="1">
        <f t="array" aca="1" ref="I153" ca="1">INDEX('Tiempos intermodal (horas)'!E$45:E$1645,MATCH(C153&amp;D153,'Tiempos intermodal (horas)'!C$45:C$1645&amp;'Tiempos intermodal (horas)'!D$45:D$1645,0))</f>
        <v>28.622622733817803</v>
      </c>
      <c r="J153" s="2" cm="1">
        <f t="array" aca="1" ref="J153" ca="1">INDEX('Tiempos carretera (horas)'!E$45:E$1645,MATCH(C153&amp;D153,'Tiempos carretera (horas)'!C$45:C$1645&amp;'Tiempos carretera (horas)'!D$45:D$1645,0))</f>
        <v>1.58</v>
      </c>
      <c r="K153" s="12">
        <f t="shared" ca="1" si="12"/>
        <v>8.1571552519416901</v>
      </c>
      <c r="L153" s="12">
        <f t="shared" ca="1" si="13"/>
        <v>23.751516761375985</v>
      </c>
      <c r="M153" s="12">
        <f t="shared" ca="1" si="14"/>
        <v>0.39411425032672481</v>
      </c>
      <c r="N153" s="13">
        <f t="shared" ca="1" si="15"/>
        <v>-15.594361509434295</v>
      </c>
      <c r="O153" s="13">
        <f t="shared" ca="1" si="16"/>
        <v>-27.042622733817801</v>
      </c>
      <c r="P153" s="12">
        <f t="shared" ca="1" si="17"/>
        <v>0.43005059369093845</v>
      </c>
    </row>
    <row r="154" spans="1:16" x14ac:dyDescent="0.25">
      <c r="A154">
        <v>33</v>
      </c>
      <c r="B154">
        <v>35</v>
      </c>
      <c r="C154" s="2" t="s">
        <v>32</v>
      </c>
      <c r="D154" s="2" t="s">
        <v>34</v>
      </c>
      <c r="E154" s="11" cm="1">
        <f t="array" aca="1" ref="E154" ca="1">INDEX('OD flujo mercancia multimodal'!E$45:E$1645,MATCH(C154&amp;D154,'OD flujo mercancia multimodal'!C$45:C$1645&amp;'OD flujo mercancia multimodal'!D$45:D$1645,0))</f>
        <v>53252.23076923078</v>
      </c>
      <c r="F154" s="11" cm="1">
        <f t="array" aca="1" ref="F154" ca="1">INDEX('OD flujo mercancia carretera'!E$45:E$1646,MATCH(C154&amp;D154,'OD flujo mercancia carretera'!C$45:C$1646&amp;'OD flujo mercancia carretera'!D$45:D$1646,0))</f>
        <v>108190.55897435901</v>
      </c>
      <c r="G154" s="11" cm="1">
        <f t="array" aca="1" ref="G154" ca="1">INDEX('Coste Carretera'!E$46:E$1646,MATCH(C154&amp;D154,'Coste Carretera'!C$46:C$1646&amp;'Coste Carretera'!D$46:D$1646,0))</f>
        <v>2198523871.0800023</v>
      </c>
      <c r="H154" s="11" cm="1">
        <f t="array" aca="1" ref="H154" ca="1">INDEX('Coste multimodal'!E$46:E$1646,MATCH(C154&amp;D154,'Coste multimodal'!C$46:C$1646&amp;'Coste multimodal'!D$46:D$1646,0))</f>
        <v>1755500182.3898108</v>
      </c>
      <c r="I154" s="12" cm="1">
        <f t="array" aca="1" ref="I154" ca="1">INDEX('Tiempos intermodal (horas)'!E$45:E$1645,MATCH(C154&amp;D154,'Tiempos intermodal (horas)'!C$45:C$1645&amp;'Tiempos intermodal (horas)'!D$45:D$1645,0))</f>
        <v>28.622622733817803</v>
      </c>
      <c r="J154" s="2" cm="1">
        <f t="array" aca="1" ref="J154" ca="1">INDEX('Tiempos carretera (horas)'!E$45:E$1645,MATCH(C154&amp;D154,'Tiempos carretera (horas)'!C$45:C$1645&amp;'Tiempos carretera (horas)'!D$45:D$1645,0))</f>
        <v>1.58</v>
      </c>
      <c r="K154" s="12">
        <f t="shared" ca="1" si="12"/>
        <v>20.32084769615664</v>
      </c>
      <c r="L154" s="12">
        <f t="shared" ca="1" si="13"/>
        <v>32.965758561313478</v>
      </c>
      <c r="M154" s="12">
        <f t="shared" ca="1" si="14"/>
        <v>0.32985202283612791</v>
      </c>
      <c r="N154" s="13">
        <f t="shared" ca="1" si="15"/>
        <v>-12.644910865156838</v>
      </c>
      <c r="O154" s="13">
        <f t="shared" ca="1" si="16"/>
        <v>-27.042622733817801</v>
      </c>
      <c r="P154" s="12">
        <f t="shared" ca="1" si="17"/>
        <v>0.70885441119326342</v>
      </c>
    </row>
    <row r="155" spans="1:16" x14ac:dyDescent="0.25">
      <c r="A155">
        <v>37</v>
      </c>
      <c r="B155">
        <v>41</v>
      </c>
      <c r="C155" s="2" t="s">
        <v>36</v>
      </c>
      <c r="D155" s="2" t="s">
        <v>40</v>
      </c>
      <c r="E155" s="11" cm="1">
        <f t="array" aca="1" ref="E155" ca="1">INDEX('OD flujo mercancia multimodal'!E$45:E$1645,MATCH(C155&amp;D155,'OD flujo mercancia multimodal'!C$45:C$1645&amp;'OD flujo mercancia multimodal'!D$45:D$1645,0))</f>
        <v>27679.846153846149</v>
      </c>
      <c r="F155" s="11" cm="1">
        <f t="array" aca="1" ref="F155" ca="1">INDEX('OD flujo mercancia carretera'!E$45:E$1646,MATCH(C155&amp;D155,'OD flujo mercancia carretera'!C$45:C$1646&amp;'OD flujo mercancia carretera'!D$45:D$1646,0))</f>
        <v>102836.0677655678</v>
      </c>
      <c r="G155" s="11" cm="1">
        <f t="array" aca="1" ref="G155" ca="1">INDEX('Coste Carretera'!E$46:E$1646,MATCH(C155&amp;D155,'Coste Carretera'!C$46:C$1646&amp;'Coste Carretera'!D$46:D$1646,0))</f>
        <v>307601236.79999995</v>
      </c>
      <c r="H155" s="11" cm="1">
        <f t="array" aca="1" ref="H155" ca="1">INDEX('Coste multimodal'!E$46:E$1646,MATCH(C155&amp;D155,'Coste multimodal'!C$46:C$1646&amp;'Coste multimodal'!D$46:D$1646,0))</f>
        <v>325945619.57462907</v>
      </c>
      <c r="I155" s="12" cm="1">
        <f t="array" aca="1" ref="I155" ca="1">INDEX('Tiempos intermodal (horas)'!E$45:E$1645,MATCH(C155&amp;D155,'Tiempos intermodal (horas)'!C$45:C$1645&amp;'Tiempos intermodal (horas)'!D$45:D$1645,0))</f>
        <v>30.160026825702651</v>
      </c>
      <c r="J155" s="2" cm="1">
        <f t="array" aca="1" ref="J155" ca="1">INDEX('Tiempos carretera (horas)'!E$45:E$1645,MATCH(C155&amp;D155,'Tiempos carretera (horas)'!C$45:C$1645&amp;'Tiempos carretera (horas)'!D$45:D$1645,0))</f>
        <v>5.45</v>
      </c>
      <c r="K155" s="12">
        <f t="shared" ca="1" si="12"/>
        <v>2.9911804630767191</v>
      </c>
      <c r="L155" s="12">
        <f t="shared" ca="1" si="13"/>
        <v>11.775557485507864</v>
      </c>
      <c r="M155" s="12">
        <f t="shared" ca="1" si="14"/>
        <v>0.21208023851357205</v>
      </c>
      <c r="N155" s="13">
        <f t="shared" ca="1" si="15"/>
        <v>-8.7843770224311442</v>
      </c>
      <c r="O155" s="13">
        <f t="shared" ca="1" si="16"/>
        <v>-24.710026825702652</v>
      </c>
      <c r="P155" s="12">
        <f t="shared" ca="1" si="17"/>
        <v>1.3124315725287063</v>
      </c>
    </row>
    <row r="156" spans="1:16" x14ac:dyDescent="0.25">
      <c r="A156">
        <v>41</v>
      </c>
      <c r="B156">
        <v>37</v>
      </c>
      <c r="C156" s="2" t="s">
        <v>40</v>
      </c>
      <c r="D156" s="2" t="s">
        <v>36</v>
      </c>
      <c r="E156" s="11" cm="1">
        <f t="array" aca="1" ref="E156" ca="1">INDEX('OD flujo mercancia multimodal'!E$45:E$1645,MATCH(C156&amp;D156,'OD flujo mercancia multimodal'!C$45:C$1645&amp;'OD flujo mercancia multimodal'!D$45:D$1645,0))</f>
        <v>17818.000000000044</v>
      </c>
      <c r="F156" s="11" cm="1">
        <f t="array" aca="1" ref="F156" ca="1">INDEX('OD flujo mercancia carretera'!E$45:E$1646,MATCH(C156&amp;D156,'OD flujo mercancia carretera'!C$45:C$1646&amp;'OD flujo mercancia carretera'!D$45:D$1646,0))</f>
        <v>152803.92673992668</v>
      </c>
      <c r="G156" s="11" cm="1">
        <f t="array" aca="1" ref="G156" ca="1">INDEX('Coste Carretera'!E$46:E$1646,MATCH(C156&amp;D156,'Coste Carretera'!C$46:C$1646&amp;'Coste Carretera'!D$46:D$1646,0))</f>
        <v>137290802.87999994</v>
      </c>
      <c r="H156" s="11" cm="1">
        <f t="array" aca="1" ref="H156" ca="1">INDEX('Coste multimodal'!E$46:E$1646,MATCH(C156&amp;D156,'Coste multimodal'!C$46:C$1646&amp;'Coste multimodal'!D$46:D$1646,0))</f>
        <v>171784175.07336694</v>
      </c>
      <c r="I156" s="12" cm="1">
        <f t="array" aca="1" ref="I156" ca="1">INDEX('Tiempos intermodal (horas)'!E$45:E$1645,MATCH(C156&amp;D156,'Tiempos intermodal (horas)'!C$45:C$1645&amp;'Tiempos intermodal (horas)'!D$45:D$1645,0))</f>
        <v>28.711137936813763</v>
      </c>
      <c r="J156" s="2" cm="1">
        <f t="array" aca="1" ref="J156" ca="1">INDEX('Tiempos carretera (horas)'!E$45:E$1645,MATCH(C156&amp;D156,'Tiempos carretera (horas)'!C$45:C$1645&amp;'Tiempos carretera (horas)'!D$45:D$1645,0))</f>
        <v>4.16</v>
      </c>
      <c r="K156" s="12">
        <f t="shared" ca="1" si="12"/>
        <v>0.89847692928513412</v>
      </c>
      <c r="L156" s="12">
        <f t="shared" ca="1" si="13"/>
        <v>9.6410469790866831</v>
      </c>
      <c r="M156" s="12">
        <f t="shared" ca="1" si="14"/>
        <v>0.10442971979304524</v>
      </c>
      <c r="N156" s="13">
        <f t="shared" ca="1" si="15"/>
        <v>-8.7425700498015484</v>
      </c>
      <c r="O156" s="13">
        <f t="shared" ca="1" si="16"/>
        <v>-24.551137936813763</v>
      </c>
      <c r="P156" s="12">
        <f t="shared" ca="1" si="17"/>
        <v>2.1489463926634929</v>
      </c>
    </row>
    <row r="157" spans="1:16" x14ac:dyDescent="0.25">
      <c r="A157">
        <v>21</v>
      </c>
      <c r="B157">
        <v>27</v>
      </c>
      <c r="C157" s="2" t="s">
        <v>20</v>
      </c>
      <c r="D157" s="2" t="s">
        <v>145</v>
      </c>
      <c r="E157" s="11" cm="1">
        <f t="array" aca="1" ref="E157" ca="1">INDEX('OD flujo mercancia multimodal'!E$45:E$1645,MATCH(C157&amp;D157,'OD flujo mercancia multimodal'!C$45:C$1645&amp;'OD flujo mercancia multimodal'!D$45:D$1645,0))</f>
        <v>82673.538461538468</v>
      </c>
      <c r="F157" s="11" cm="1">
        <f t="array" aca="1" ref="F157" ca="1">INDEX('OD flujo mercancia carretera'!E$45:E$1646,MATCH(C157&amp;D157,'OD flujo mercancia carretera'!C$45:C$1646&amp;'OD flujo mercancia carretera'!D$45:D$1646,0))</f>
        <v>526575.1</v>
      </c>
      <c r="G157" s="11" cm="1">
        <f t="array" aca="1" ref="G157" ca="1">INDEX('Coste Carretera'!E$46:E$1646,MATCH(C157&amp;D157,'Coste Carretera'!C$46:C$1646&amp;'Coste Carretera'!D$46:D$1646,0))</f>
        <v>903138961.91999996</v>
      </c>
      <c r="H157" s="11" cm="1">
        <f t="array" aca="1" ref="H157" ca="1">INDEX('Coste multimodal'!E$46:E$1646,MATCH(C157&amp;D157,'Coste multimodal'!C$46:C$1646&amp;'Coste multimodal'!D$46:D$1646,0))</f>
        <v>939695005.20972776</v>
      </c>
      <c r="I157" s="12" cm="1">
        <f t="array" aca="1" ref="I157" ca="1">INDEX('Tiempos intermodal (horas)'!E$45:E$1645,MATCH(C157&amp;D157,'Tiempos intermodal (horas)'!C$45:C$1645&amp;'Tiempos intermodal (horas)'!D$45:D$1645,0))</f>
        <v>24.166950950095604</v>
      </c>
      <c r="J157" s="2" cm="1">
        <f t="array" aca="1" ref="J157" ca="1">INDEX('Tiempos carretera (horas)'!E$45:E$1645,MATCH(C157&amp;D157,'Tiempos carretera (horas)'!C$45:C$1645&amp;'Tiempos carretera (horas)'!D$45:D$1645,0))</f>
        <v>2.4300000000000002</v>
      </c>
      <c r="K157" s="12">
        <f t="shared" ca="1" si="12"/>
        <v>1.7151190056650987</v>
      </c>
      <c r="L157" s="12">
        <f t="shared" ca="1" si="13"/>
        <v>11.366333444732071</v>
      </c>
      <c r="M157" s="12">
        <f t="shared" ca="1" si="14"/>
        <v>0.13569753503315807</v>
      </c>
      <c r="N157" s="13">
        <f t="shared" ca="1" si="15"/>
        <v>-9.6512144390669725</v>
      </c>
      <c r="O157" s="13">
        <f t="shared" ca="1" si="16"/>
        <v>-21.736950950095604</v>
      </c>
      <c r="P157" s="12">
        <f t="shared" ca="1" si="17"/>
        <v>1.8514943808849544</v>
      </c>
    </row>
    <row r="158" spans="1:16" x14ac:dyDescent="0.25">
      <c r="A158">
        <v>27</v>
      </c>
      <c r="B158">
        <v>21</v>
      </c>
      <c r="C158" s="2" t="s">
        <v>145</v>
      </c>
      <c r="D158" s="2" t="s">
        <v>20</v>
      </c>
      <c r="E158" s="11" cm="1">
        <f t="array" aca="1" ref="E158" ca="1">INDEX('OD flujo mercancia multimodal'!E$45:E$1645,MATCH(C158&amp;D158,'OD flujo mercancia multimodal'!C$45:C$1645&amp;'OD flujo mercancia multimodal'!D$45:D$1645,0))</f>
        <v>70569.307692307702</v>
      </c>
      <c r="F158" s="11" cm="1">
        <f t="array" aca="1" ref="F158" ca="1">INDEX('OD flujo mercancia carretera'!E$45:E$1646,MATCH(C158&amp;D158,'OD flujo mercancia carretera'!C$45:C$1646&amp;'OD flujo mercancia carretera'!D$45:D$1646,0))</f>
        <v>527042.53333333298</v>
      </c>
      <c r="G158" s="11" cm="1">
        <f t="array" aca="1" ref="G158" ca="1">INDEX('Coste Carretera'!E$46:E$1646,MATCH(C158&amp;D158,'Coste Carretera'!C$46:C$1646&amp;'Coste Carretera'!D$46:D$1646,0))</f>
        <v>770910408.32000005</v>
      </c>
      <c r="H158" s="11" cm="1">
        <f t="array" aca="1" ref="H158" ca="1">INDEX('Coste multimodal'!E$46:E$1646,MATCH(C158&amp;D158,'Coste multimodal'!C$46:C$1646&amp;'Coste multimodal'!D$46:D$1646,0))</f>
        <v>939695005.20972776</v>
      </c>
      <c r="I158" s="12" cm="1">
        <f t="array" aca="1" ref="I158" ca="1">INDEX('Tiempos intermodal (horas)'!E$45:E$1645,MATCH(C158&amp;D158,'Tiempos intermodal (horas)'!C$45:C$1645&amp;'Tiempos intermodal (horas)'!D$45:D$1645,0))</f>
        <v>24.166950950095604</v>
      </c>
      <c r="J158" s="2" cm="1">
        <f t="array" aca="1" ref="J158" ca="1">INDEX('Tiempos carretera (horas)'!E$45:E$1645,MATCH(C158&amp;D158,'Tiempos carretera (horas)'!C$45:C$1645&amp;'Tiempos carretera (horas)'!D$45:D$1645,0))</f>
        <v>2.4300000000000002</v>
      </c>
      <c r="K158" s="12">
        <f t="shared" ca="1" si="12"/>
        <v>1.4627100462733063</v>
      </c>
      <c r="L158" s="12">
        <f t="shared" ca="1" si="13"/>
        <v>13.315916450632232</v>
      </c>
      <c r="M158" s="12">
        <f t="shared" ca="1" si="14"/>
        <v>0.11808552449562308</v>
      </c>
      <c r="N158" s="13">
        <f t="shared" ca="1" si="15"/>
        <v>-11.853206404358925</v>
      </c>
      <c r="O158" s="13">
        <f t="shared" ca="1" si="16"/>
        <v>-21.736950950095604</v>
      </c>
      <c r="P158" s="12">
        <f t="shared" ca="1" si="17"/>
        <v>2.0106859389590079</v>
      </c>
    </row>
    <row r="159" spans="1:16" x14ac:dyDescent="0.25">
      <c r="A159">
        <v>30</v>
      </c>
      <c r="B159">
        <v>14</v>
      </c>
      <c r="C159" s="2" t="s">
        <v>146</v>
      </c>
      <c r="D159" s="2" t="s">
        <v>13</v>
      </c>
      <c r="E159" s="11" cm="1">
        <f t="array" aca="1" ref="E159" ca="1">INDEX('OD flujo mercancia multimodal'!E$45:E$1645,MATCH(C159&amp;D159,'OD flujo mercancia multimodal'!C$45:C$1645&amp;'OD flujo mercancia multimodal'!D$45:D$1645,0))</f>
        <v>25754.69230769229</v>
      </c>
      <c r="F159" s="11" cm="1">
        <f t="array" aca="1" ref="F159" ca="1">INDEX('OD flujo mercancia carretera'!E$45:E$1646,MATCH(C159&amp;D159,'OD flujo mercancia carretera'!C$45:C$1646&amp;'OD flujo mercancia carretera'!D$45:D$1646,0))</f>
        <v>394941.56923076906</v>
      </c>
      <c r="G159" s="11" cm="1">
        <f t="array" aca="1" ref="G159" ca="1">INDEX('Coste Carretera'!E$46:E$1646,MATCH(C159&amp;D159,'Coste Carretera'!C$46:C$1646&amp;'Coste Carretera'!D$46:D$1646,0))</f>
        <v>750486816.5399996</v>
      </c>
      <c r="H159" s="11" cm="1">
        <f t="array" aca="1" ref="H159" ca="1">INDEX('Coste multimodal'!E$46:E$1646,MATCH(C159&amp;D159,'Coste multimodal'!C$46:C$1646&amp;'Coste multimodal'!D$46:D$1646,0))</f>
        <v>111372565.84022188</v>
      </c>
      <c r="I159" s="12" cm="1">
        <f t="array" aca="1" ref="I159" ca="1">INDEX('Tiempos intermodal (horas)'!E$45:E$1645,MATCH(C159&amp;D159,'Tiempos intermodal (horas)'!C$45:C$1645&amp;'Tiempos intermodal (horas)'!D$45:D$1645,0))</f>
        <v>26.262622065180416</v>
      </c>
      <c r="J159" s="2" cm="1">
        <f t="array" aca="1" ref="J159" ca="1">INDEX('Tiempos carretera (horas)'!E$45:E$1645,MATCH(C159&amp;D159,'Tiempos carretera (horas)'!C$45:C$1645&amp;'Tiempos carretera (horas)'!D$45:D$1645,0))</f>
        <v>4.45</v>
      </c>
      <c r="K159" s="12">
        <f t="shared" ca="1" si="12"/>
        <v>1.9002477201924552</v>
      </c>
      <c r="L159" s="12">
        <f t="shared" ca="1" si="13"/>
        <v>4.3243601790947297</v>
      </c>
      <c r="M159" s="12">
        <f t="shared" ca="1" si="14"/>
        <v>6.1219208874138557E-2</v>
      </c>
      <c r="N159" s="13">
        <f t="shared" ca="1" si="15"/>
        <v>-2.4241124589022744</v>
      </c>
      <c r="O159" s="13">
        <f t="shared" ca="1" si="16"/>
        <v>-21.812622065180417</v>
      </c>
      <c r="P159" s="12">
        <f t="shared" ca="1" si="17"/>
        <v>2.7301209919108032</v>
      </c>
    </row>
    <row r="160" spans="1:16" x14ac:dyDescent="0.25">
      <c r="A160">
        <v>14</v>
      </c>
      <c r="B160">
        <v>30</v>
      </c>
      <c r="C160" s="2" t="s">
        <v>13</v>
      </c>
      <c r="D160" s="2" t="s">
        <v>146</v>
      </c>
      <c r="E160" s="11" cm="1">
        <f t="array" aca="1" ref="E160" ca="1">INDEX('OD flujo mercancia multimodal'!E$45:E$1645,MATCH(C160&amp;D160,'OD flujo mercancia multimodal'!C$45:C$1645&amp;'OD flujo mercancia multimodal'!D$45:D$1645,0))</f>
        <v>19309.376923076925</v>
      </c>
      <c r="F160" s="11" cm="1">
        <f t="array" aca="1" ref="F160" ca="1">INDEX('OD flujo mercancia carretera'!E$45:E$1646,MATCH(C160&amp;D160,'OD flujo mercancia carretera'!C$45:C$1646&amp;'OD flujo mercancia carretera'!D$45:D$1646,0))</f>
        <v>333630.71538461535</v>
      </c>
      <c r="G160" s="11" cm="1">
        <f t="array" aca="1" ref="G160" ca="1">INDEX('Coste Carretera'!E$46:E$1646,MATCH(C160&amp;D160,'Coste Carretera'!C$46:C$1646&amp;'Coste Carretera'!D$46:D$1646,0))</f>
        <v>897350746.8599999</v>
      </c>
      <c r="H160" s="11" cm="1">
        <f t="array" aca="1" ref="H160" ca="1">INDEX('Coste multimodal'!E$46:E$1646,MATCH(C160&amp;D160,'Coste multimodal'!C$46:C$1646&amp;'Coste multimodal'!D$46:D$1646,0))</f>
        <v>111372565.84022188</v>
      </c>
      <c r="I160" s="12" cm="1">
        <f t="array" aca="1" ref="I160" ca="1">INDEX('Tiempos intermodal (horas)'!E$45:E$1645,MATCH(C160&amp;D160,'Tiempos intermodal (horas)'!C$45:C$1645&amp;'Tiempos intermodal (horas)'!D$45:D$1645,0))</f>
        <v>26.262622065180416</v>
      </c>
      <c r="J160" s="2" cm="1">
        <f t="array" aca="1" ref="J160" ca="1">INDEX('Tiempos carretera (horas)'!E$45:E$1645,MATCH(C160&amp;D160,'Tiempos carretera (horas)'!C$45:C$1645&amp;'Tiempos carretera (horas)'!D$45:D$1645,0))</f>
        <v>4.45</v>
      </c>
      <c r="K160" s="12">
        <f t="shared" ca="1" si="12"/>
        <v>2.6896526772887746</v>
      </c>
      <c r="L160" s="12">
        <f t="shared" ca="1" si="13"/>
        <v>5.7677969767692954</v>
      </c>
      <c r="M160" s="12">
        <f t="shared" ca="1" si="14"/>
        <v>5.4710069340161725E-2</v>
      </c>
      <c r="N160" s="13">
        <f t="shared" ca="1" si="15"/>
        <v>-3.0781442994805208</v>
      </c>
      <c r="O160" s="13">
        <f t="shared" ca="1" si="16"/>
        <v>-21.812622065180417</v>
      </c>
      <c r="P160" s="12">
        <f t="shared" ca="1" si="17"/>
        <v>2.8494439098819124</v>
      </c>
    </row>
    <row r="161" spans="1:16" x14ac:dyDescent="0.25">
      <c r="A161">
        <v>14</v>
      </c>
      <c r="B161">
        <v>22</v>
      </c>
      <c r="C161" s="2" t="s">
        <v>13</v>
      </c>
      <c r="D161" s="2" t="s">
        <v>21</v>
      </c>
      <c r="E161" s="11" cm="1">
        <f t="array" aca="1" ref="E161" ca="1">INDEX('OD flujo mercancia multimodal'!E$45:E$1645,MATCH(C161&amp;D161,'OD flujo mercancia multimodal'!C$45:C$1645&amp;'OD flujo mercancia multimodal'!D$45:D$1645,0))</f>
        <v>33298.230769230722</v>
      </c>
      <c r="F161" s="11" cm="1">
        <f t="array" aca="1" ref="F161" ca="1">INDEX('OD flujo mercancia carretera'!E$45:E$1646,MATCH(C161&amp;D161,'OD flujo mercancia carretera'!C$45:C$1646&amp;'OD flujo mercancia carretera'!D$45:D$1646,0))</f>
        <v>230539.94871794837</v>
      </c>
      <c r="G161" s="11" cm="1">
        <f t="array" aca="1" ref="G161" ca="1">INDEX('Coste Carretera'!E$46:E$1646,MATCH(C161&amp;D161,'Coste Carretera'!C$46:C$1646&amp;'Coste Carretera'!D$46:D$1646,0))</f>
        <v>1250408502.1999981</v>
      </c>
      <c r="H161" s="11" cm="1">
        <f t="array" aca="1" ref="H161" ca="1">INDEX('Coste multimodal'!E$46:E$1646,MATCH(C161&amp;D161,'Coste multimodal'!C$46:C$1646&amp;'Coste multimodal'!D$46:D$1646,0))</f>
        <v>503407668.50874007</v>
      </c>
      <c r="I161" s="12" cm="1">
        <f t="array" aca="1" ref="I161" ca="1">INDEX('Tiempos intermodal (horas)'!E$45:E$1645,MATCH(C161&amp;D161,'Tiempos intermodal (horas)'!C$45:C$1645&amp;'Tiempos intermodal (horas)'!D$45:D$1645,0))</f>
        <v>56.588257384796016</v>
      </c>
      <c r="J161" s="2" cm="1">
        <f t="array" aca="1" ref="J161" ca="1">INDEX('Tiempos carretera (horas)'!E$45:E$1645,MATCH(C161&amp;D161,'Tiempos carretera (horas)'!C$45:C$1645&amp;'Tiempos carretera (horas)'!D$45:D$1645,0))</f>
        <v>7.73</v>
      </c>
      <c r="K161" s="12">
        <f t="shared" ca="1" si="12"/>
        <v>5.4238257150382081</v>
      </c>
      <c r="L161" s="12">
        <f t="shared" ca="1" si="13"/>
        <v>15.118150630811131</v>
      </c>
      <c r="M161" s="12">
        <f t="shared" ca="1" si="14"/>
        <v>0.12620702141726539</v>
      </c>
      <c r="N161" s="13">
        <f t="shared" ca="1" si="15"/>
        <v>-9.6943249157729241</v>
      </c>
      <c r="O161" s="13">
        <f t="shared" ca="1" si="16"/>
        <v>-48.858257384796019</v>
      </c>
      <c r="P161" s="12">
        <f t="shared" ca="1" si="17"/>
        <v>1.9349198952078424</v>
      </c>
    </row>
    <row r="162" spans="1:16" x14ac:dyDescent="0.25">
      <c r="A162">
        <v>22</v>
      </c>
      <c r="B162">
        <v>14</v>
      </c>
      <c r="C162" s="2" t="s">
        <v>21</v>
      </c>
      <c r="D162" s="2" t="s">
        <v>13</v>
      </c>
      <c r="E162" s="11" cm="1">
        <f t="array" aca="1" ref="E162" ca="1">INDEX('OD flujo mercancia multimodal'!E$45:E$1645,MATCH(C162&amp;D162,'OD flujo mercancia multimodal'!C$45:C$1645&amp;'OD flujo mercancia multimodal'!D$45:D$1645,0))</f>
        <v>32583.92307692306</v>
      </c>
      <c r="F162" s="11" cm="1">
        <f t="array" aca="1" ref="F162" ca="1">INDEX('OD flujo mercancia carretera'!E$45:E$1646,MATCH(C162&amp;D162,'OD flujo mercancia carretera'!C$45:C$1646&amp;'OD flujo mercancia carretera'!D$45:D$1646,0))</f>
        <v>297303.43589743564</v>
      </c>
      <c r="G162" s="11" cm="1">
        <f t="array" aca="1" ref="G162" ca="1">INDEX('Coste Carretera'!E$46:E$1646,MATCH(C162&amp;D162,'Coste Carretera'!C$46:C$1646&amp;'Coste Carretera'!D$46:D$1646,0))</f>
        <v>1223584962.5999994</v>
      </c>
      <c r="H162" s="11" cm="1">
        <f t="array" aca="1" ref="H162" ca="1">INDEX('Coste multimodal'!E$46:E$1646,MATCH(C162&amp;D162,'Coste multimodal'!C$46:C$1646&amp;'Coste multimodal'!D$46:D$1646,0))</f>
        <v>503407668.50874007</v>
      </c>
      <c r="I162" s="12" cm="1">
        <f t="array" aca="1" ref="I162" ca="1">INDEX('Tiempos intermodal (horas)'!E$45:E$1645,MATCH(C162&amp;D162,'Tiempos intermodal (horas)'!C$45:C$1645&amp;'Tiempos intermodal (horas)'!D$45:D$1645,0))</f>
        <v>56.588257384796016</v>
      </c>
      <c r="J162" s="2" cm="1">
        <f t="array" aca="1" ref="J162" ca="1">INDEX('Tiempos carretera (horas)'!E$45:E$1645,MATCH(C162&amp;D162,'Tiempos carretera (horas)'!C$45:C$1645&amp;'Tiempos carretera (horas)'!D$45:D$1645,0))</f>
        <v>7.73</v>
      </c>
      <c r="K162" s="12">
        <f t="shared" ca="1" si="12"/>
        <v>4.1156098950101407</v>
      </c>
      <c r="L162" s="12">
        <f t="shared" ca="1" si="13"/>
        <v>15.449572088674273</v>
      </c>
      <c r="M162" s="12">
        <f t="shared" ca="1" si="14"/>
        <v>9.8772875621025921E-2</v>
      </c>
      <c r="N162" s="13">
        <f t="shared" ca="1" si="15"/>
        <v>-11.333962193664131</v>
      </c>
      <c r="O162" s="13">
        <f t="shared" ca="1" si="16"/>
        <v>-48.858257384796019</v>
      </c>
      <c r="P162" s="12">
        <f t="shared" ca="1" si="17"/>
        <v>2.2109342773606815</v>
      </c>
    </row>
    <row r="163" spans="1:16" x14ac:dyDescent="0.25">
      <c r="A163">
        <v>19</v>
      </c>
      <c r="B163">
        <v>2</v>
      </c>
      <c r="C163" s="2" t="s">
        <v>18</v>
      </c>
      <c r="D163" s="2" t="s">
        <v>1</v>
      </c>
      <c r="E163" s="11" cm="1">
        <f t="array" aca="1" ref="E163" ca="1">INDEX('OD flujo mercancia multimodal'!E$45:E$1645,MATCH(C163&amp;D163,'OD flujo mercancia multimodal'!C$45:C$1645&amp;'OD flujo mercancia multimodal'!D$45:D$1645,0))</f>
        <v>23026.994505494476</v>
      </c>
      <c r="F163" s="11" cm="1">
        <f t="array" aca="1" ref="F163" ca="1">INDEX('OD flujo mercancia carretera'!E$45:E$1646,MATCH(C163&amp;D163,'OD flujo mercancia carretera'!C$45:C$1646&amp;'OD flujo mercancia carretera'!D$45:D$1646,0))</f>
        <v>78950.23076923081</v>
      </c>
      <c r="G163" s="11" cm="1">
        <f t="array" aca="1" ref="G163" ca="1">INDEX('Coste Carretera'!E$46:E$1646,MATCH(C163&amp;D163,'Coste Carretera'!C$46:C$1646&amp;'Coste Carretera'!D$46:D$1646,0))</f>
        <v>599851364.7085706</v>
      </c>
      <c r="H163" s="11" cm="1">
        <f t="array" aca="1" ref="H163" ca="1">INDEX('Coste multimodal'!E$46:E$1646,MATCH(C163&amp;D163,'Coste multimodal'!C$46:C$1646&amp;'Coste multimodal'!D$46:D$1646,0))</f>
        <v>770252776.92305219</v>
      </c>
      <c r="I163" s="12" cm="1">
        <f t="array" aca="1" ref="I163" ca="1">INDEX('Tiempos intermodal (horas)'!E$45:E$1645,MATCH(C163&amp;D163,'Tiempos intermodal (horas)'!C$45:C$1645&amp;'Tiempos intermodal (horas)'!D$45:D$1645,0))</f>
        <v>27.059726097679711</v>
      </c>
      <c r="J163" s="2" cm="1">
        <f t="array" aca="1" ref="J163" ca="1">INDEX('Tiempos carretera (horas)'!E$45:E$1645,MATCH(C163&amp;D163,'Tiempos carretera (horas)'!C$45:C$1645&amp;'Tiempos carretera (horas)'!D$45:D$1645,0))</f>
        <v>5.15</v>
      </c>
      <c r="K163" s="12">
        <f t="shared" ca="1" si="12"/>
        <v>7.5978418158386187</v>
      </c>
      <c r="L163" s="12">
        <f t="shared" ca="1" si="13"/>
        <v>33.449991779833098</v>
      </c>
      <c r="M163" s="12">
        <f t="shared" ca="1" si="14"/>
        <v>0.22580526625881472</v>
      </c>
      <c r="N163" s="13">
        <f t="shared" ca="1" si="15"/>
        <v>-25.852149963994478</v>
      </c>
      <c r="O163" s="13">
        <f t="shared" ca="1" si="16"/>
        <v>-21.909726097679709</v>
      </c>
      <c r="P163" s="12">
        <f t="shared" ca="1" si="17"/>
        <v>1.2321504618128518</v>
      </c>
    </row>
    <row r="164" spans="1:16" x14ac:dyDescent="0.25">
      <c r="A164">
        <v>2</v>
      </c>
      <c r="B164">
        <v>19</v>
      </c>
      <c r="C164" s="2" t="s">
        <v>1</v>
      </c>
      <c r="D164" s="2" t="s">
        <v>18</v>
      </c>
      <c r="E164" s="11" cm="1">
        <f t="array" aca="1" ref="E164" ca="1">INDEX('OD flujo mercancia multimodal'!E$45:E$1645,MATCH(C164&amp;D164,'OD flujo mercancia multimodal'!C$45:C$1645&amp;'OD flujo mercancia multimodal'!D$45:D$1645,0))</f>
        <v>7707.9230769230799</v>
      </c>
      <c r="F164" s="11" cm="1">
        <f t="array" aca="1" ref="F164" ca="1">INDEX('OD flujo mercancia carretera'!E$45:E$1646,MATCH(C164&amp;D164,'OD flujo mercancia carretera'!C$45:C$1646&amp;'OD flujo mercancia carretera'!D$45:D$1646,0))</f>
        <v>129903.3846153846</v>
      </c>
      <c r="G164" s="11" cm="1">
        <f t="array" aca="1" ref="G164" ca="1">INDEX('Coste Carretera'!E$46:E$1646,MATCH(C164&amp;D164,'Coste Carretera'!C$46:C$1646&amp;'Coste Carretera'!D$46:D$1646,0))</f>
        <v>200790779.52000004</v>
      </c>
      <c r="H164" s="11" cm="1">
        <f t="array" aca="1" ref="H164" ca="1">INDEX('Coste multimodal'!E$46:E$1646,MATCH(C164&amp;D164,'Coste multimodal'!C$46:C$1646&amp;'Coste multimodal'!D$46:D$1646,0))</f>
        <v>770252776.92305219</v>
      </c>
      <c r="I164" s="12" cm="1">
        <f t="array" aca="1" ref="I164" ca="1">INDEX('Tiempos intermodal (horas)'!E$45:E$1645,MATCH(C164&amp;D164,'Tiempos intermodal (horas)'!C$45:C$1645&amp;'Tiempos intermodal (horas)'!D$45:D$1645,0))</f>
        <v>27.059726097679711</v>
      </c>
      <c r="J164" s="2" cm="1">
        <f t="array" aca="1" ref="J164" ca="1">INDEX('Tiempos carretera (horas)'!E$45:E$1645,MATCH(C164&amp;D164,'Tiempos carretera (horas)'!C$45:C$1645&amp;'Tiempos carretera (horas)'!D$45:D$1645,0))</f>
        <v>5.15</v>
      </c>
      <c r="K164" s="12">
        <f t="shared" ca="1" si="12"/>
        <v>1.5456932097227294</v>
      </c>
      <c r="L164" s="12">
        <f t="shared" ca="1" si="13"/>
        <v>99.930003093716508</v>
      </c>
      <c r="M164" s="12">
        <f t="shared" ca="1" si="14"/>
        <v>5.6012279849542802E-2</v>
      </c>
      <c r="N164" s="13">
        <f t="shared" ca="1" si="15"/>
        <v>-98.38430988399378</v>
      </c>
      <c r="O164" s="13">
        <f t="shared" ca="1" si="16"/>
        <v>-21.909726097679709</v>
      </c>
      <c r="P164" s="12">
        <f t="shared" ca="1" si="17"/>
        <v>2.8245422080220077</v>
      </c>
    </row>
    <row r="165" spans="1:16" x14ac:dyDescent="0.25">
      <c r="A165">
        <v>9</v>
      </c>
      <c r="B165">
        <v>3</v>
      </c>
      <c r="C165" s="2" t="s">
        <v>148</v>
      </c>
      <c r="D165" s="2" t="s">
        <v>2</v>
      </c>
      <c r="E165" s="11" cm="1">
        <f t="array" aca="1" ref="E165" ca="1">INDEX('OD flujo mercancia multimodal'!E$45:E$1645,MATCH(C165&amp;D165,'OD flujo mercancia multimodal'!C$45:C$1645&amp;'OD flujo mercancia multimodal'!D$45:D$1645,0))</f>
        <v>17401.214285714301</v>
      </c>
      <c r="F165" s="11" cm="1">
        <f t="array" aca="1" ref="F165" ca="1">INDEX('OD flujo mercancia carretera'!E$45:E$1646,MATCH(C165&amp;D165,'OD flujo mercancia carretera'!C$45:C$1646&amp;'OD flujo mercancia carretera'!D$45:D$1646,0))</f>
        <v>617126.75854700862</v>
      </c>
      <c r="G165" s="11" cm="1">
        <f t="array" aca="1" ref="G165" ca="1">INDEX('Coste Carretera'!E$46:E$1646,MATCH(C165&amp;D165,'Coste Carretera'!C$46:C$1646&amp;'Coste Carretera'!D$46:D$1646,0))</f>
        <v>333577797.61428601</v>
      </c>
      <c r="H165" s="11" cm="1">
        <f t="array" aca="1" ref="H165" ca="1">INDEX('Coste multimodal'!E$46:E$1646,MATCH(C165&amp;D165,'Coste multimodal'!C$46:C$1646&amp;'Coste multimodal'!D$46:D$1646,0))</f>
        <v>0</v>
      </c>
      <c r="I165" s="12" cm="1">
        <f t="array" aca="1" ref="I165" ca="1">INDEX('Tiempos intermodal (horas)'!E$45:E$1645,MATCH(C165&amp;D165,'Tiempos intermodal (horas)'!C$45:C$1645&amp;'Tiempos intermodal (horas)'!D$45:D$1645,0))</f>
        <v>22.006848920575852</v>
      </c>
      <c r="J165" s="2" cm="1">
        <f t="array" aca="1" ref="J165" ca="1">INDEX('Tiempos carretera (horas)'!E$45:E$1645,MATCH(C165&amp;D165,'Tiempos carretera (horas)'!C$45:C$1645&amp;'Tiempos carretera (horas)'!D$45:D$1645,0))</f>
        <v>4.13</v>
      </c>
      <c r="K165" s="12">
        <f t="shared" ca="1" si="12"/>
        <v>0.54053367966036148</v>
      </c>
      <c r="L165" s="12">
        <f t="shared" ca="1" si="13"/>
        <v>0</v>
      </c>
      <c r="M165" s="12">
        <f t="shared" ca="1" si="14"/>
        <v>2.7423872596238852E-2</v>
      </c>
      <c r="N165" s="13">
        <f t="shared" ca="1" si="15"/>
        <v>0.54053367966036148</v>
      </c>
      <c r="O165" s="13">
        <f t="shared" ca="1" si="16"/>
        <v>-17.876848920575853</v>
      </c>
      <c r="P165" s="12">
        <f t="shared" ca="1" si="17"/>
        <v>3.5685344558340666</v>
      </c>
    </row>
    <row r="166" spans="1:16" x14ac:dyDescent="0.25">
      <c r="A166">
        <v>14</v>
      </c>
      <c r="B166">
        <v>29</v>
      </c>
      <c r="C166" s="2" t="s">
        <v>13</v>
      </c>
      <c r="D166" s="2" t="s">
        <v>147</v>
      </c>
      <c r="E166" s="11" cm="1">
        <f t="array" aca="1" ref="E166" ca="1">INDEX('OD flujo mercancia multimodal'!E$45:E$1645,MATCH(C166&amp;D166,'OD flujo mercancia multimodal'!C$45:C$1645&amp;'OD flujo mercancia multimodal'!D$45:D$1645,0))</f>
        <v>48102.376923076925</v>
      </c>
      <c r="F166" s="11" cm="1">
        <f t="array" aca="1" ref="F166" ca="1">INDEX('OD flujo mercancia carretera'!E$45:E$1646,MATCH(C166&amp;D166,'OD flujo mercancia carretera'!C$45:C$1646&amp;'OD flujo mercancia carretera'!D$45:D$1646,0))</f>
        <v>465481.0153846154</v>
      </c>
      <c r="G166" s="11" cm="1">
        <f t="array" aca="1" ref="G166" ca="1">INDEX('Coste Carretera'!E$46:E$1646,MATCH(C166&amp;D166,'Coste Carretera'!C$46:C$1646&amp;'Coste Carretera'!D$46:D$1646,0))</f>
        <v>1990753426.7680001</v>
      </c>
      <c r="H166" s="11" cm="1">
        <f t="array" aca="1" ref="H166" ca="1">INDEX('Coste multimodal'!E$46:E$1646,MATCH(C166&amp;D166,'Coste multimodal'!C$46:C$1646&amp;'Coste multimodal'!D$46:D$1646,0))</f>
        <v>661754234.68864465</v>
      </c>
      <c r="I166" s="12" cm="1">
        <f t="array" aca="1" ref="I166" ca="1">INDEX('Tiempos intermodal (horas)'!E$45:E$1645,MATCH(C166&amp;D166,'Tiempos intermodal (horas)'!C$45:C$1645&amp;'Tiempos intermodal (horas)'!D$45:D$1645,0))</f>
        <v>57.032701829240459</v>
      </c>
      <c r="J166" s="2" cm="1">
        <f t="array" aca="1" ref="J166" ca="1">INDEX('Tiempos carretera (horas)'!E$45:E$1645,MATCH(C166&amp;D166,'Tiempos carretera (horas)'!C$45:C$1645&amp;'Tiempos carretera (horas)'!D$45:D$1645,0))</f>
        <v>7.98</v>
      </c>
      <c r="K166" s="12">
        <f t="shared" ca="1" si="12"/>
        <v>4.2767660999516597</v>
      </c>
      <c r="L166" s="12">
        <f t="shared" ca="1" si="13"/>
        <v>13.757204467190698</v>
      </c>
      <c r="M166" s="12">
        <f t="shared" ca="1" si="14"/>
        <v>9.3660304526082427E-2</v>
      </c>
      <c r="N166" s="13">
        <f t="shared" ca="1" si="15"/>
        <v>-9.4804383672390387</v>
      </c>
      <c r="O166" s="13">
        <f t="shared" ca="1" si="16"/>
        <v>-49.052701829240462</v>
      </c>
      <c r="P166" s="12">
        <f t="shared" ca="1" si="17"/>
        <v>2.2697397204376308</v>
      </c>
    </row>
    <row r="167" spans="1:16" x14ac:dyDescent="0.25">
      <c r="A167">
        <v>29</v>
      </c>
      <c r="B167">
        <v>14</v>
      </c>
      <c r="C167" s="2" t="s">
        <v>147</v>
      </c>
      <c r="D167" s="2" t="s">
        <v>13</v>
      </c>
      <c r="E167" s="11" cm="1">
        <f t="array" aca="1" ref="E167" ca="1">INDEX('OD flujo mercancia multimodal'!E$45:E$1645,MATCH(C167&amp;D167,'OD flujo mercancia multimodal'!C$45:C$1645&amp;'OD flujo mercancia multimodal'!D$45:D$1645,0))</f>
        <v>47197.184615384598</v>
      </c>
      <c r="F167" s="11" cm="1">
        <f t="array" aca="1" ref="F167" ca="1">INDEX('OD flujo mercancia carretera'!E$45:E$1646,MATCH(C167&amp;D167,'OD flujo mercancia carretera'!C$45:C$1646&amp;'OD flujo mercancia carretera'!D$45:D$1646,0))</f>
        <v>532847.86923076899</v>
      </c>
      <c r="G167" s="11" cm="1">
        <f t="array" aca="1" ref="G167" ca="1">INDEX('Coste Carretera'!E$46:E$1646,MATCH(C167&amp;D167,'Coste Carretera'!C$46:C$1646&amp;'Coste Carretera'!D$46:D$1646,0))</f>
        <v>1953291355.1679995</v>
      </c>
      <c r="H167" s="11" cm="1">
        <f t="array" aca="1" ref="H167" ca="1">INDEX('Coste multimodal'!E$46:E$1646,MATCH(C167&amp;D167,'Coste multimodal'!C$46:C$1646&amp;'Coste multimodal'!D$46:D$1646,0))</f>
        <v>661754234.68864465</v>
      </c>
      <c r="I167" s="12" cm="1">
        <f t="array" aca="1" ref="I167" ca="1">INDEX('Tiempos intermodal (horas)'!E$45:E$1645,MATCH(C167&amp;D167,'Tiempos intermodal (horas)'!C$45:C$1645&amp;'Tiempos intermodal (horas)'!D$45:D$1645,0))</f>
        <v>57.032701829240459</v>
      </c>
      <c r="J167" s="2" cm="1">
        <f t="array" aca="1" ref="J167" ca="1">INDEX('Tiempos carretera (horas)'!E$45:E$1645,MATCH(C167&amp;D167,'Tiempos carretera (horas)'!C$45:C$1645&amp;'Tiempos carretera (horas)'!D$45:D$1645,0))</f>
        <v>7.98</v>
      </c>
      <c r="K167" s="12">
        <f t="shared" ca="1" si="12"/>
        <v>3.6657580295625736</v>
      </c>
      <c r="L167" s="12">
        <f t="shared" ca="1" si="13"/>
        <v>14.021053164110478</v>
      </c>
      <c r="M167" s="12">
        <f t="shared" ca="1" si="14"/>
        <v>8.1368135634344696E-2</v>
      </c>
      <c r="N167" s="13">
        <f t="shared" ca="1" si="15"/>
        <v>-10.355295134547905</v>
      </c>
      <c r="O167" s="13">
        <f t="shared" ca="1" si="16"/>
        <v>-49.052701829240462</v>
      </c>
      <c r="P167" s="12">
        <f t="shared" ca="1" si="17"/>
        <v>2.4239017170093762</v>
      </c>
    </row>
    <row r="168" spans="1:16" x14ac:dyDescent="0.25">
      <c r="A168">
        <v>20</v>
      </c>
      <c r="B168">
        <v>34</v>
      </c>
      <c r="C168" s="2" t="s">
        <v>19</v>
      </c>
      <c r="D168" s="2" t="s">
        <v>33</v>
      </c>
      <c r="E168" s="11" cm="1">
        <f t="array" aca="1" ref="E168" ca="1">INDEX('OD flujo mercancia multimodal'!E$45:E$1645,MATCH(C168&amp;D168,'OD flujo mercancia multimodal'!C$45:C$1645&amp;'OD flujo mercancia multimodal'!D$45:D$1645,0))</f>
        <v>328748.07692307723</v>
      </c>
      <c r="F168" s="11" cm="1">
        <f t="array" aca="1" ref="F168" ca="1">INDEX('OD flujo mercancia carretera'!E$45:E$1646,MATCH(C168&amp;D168,'OD flujo mercancia carretera'!C$45:C$1646&amp;'OD flujo mercancia carretera'!D$45:D$1646,0))</f>
        <v>328660.72222222231</v>
      </c>
      <c r="G168" s="11" cm="1">
        <f t="array" aca="1" ref="G168" ca="1">INDEX('Coste Carretera'!E$46:E$1646,MATCH(C168&amp;D168,'Coste Carretera'!C$46:C$1646&amp;'Coste Carretera'!D$46:D$1646,0))</f>
        <v>2585161482.2399988</v>
      </c>
      <c r="H168" s="11" cm="1">
        <f t="array" aca="1" ref="H168" ca="1">INDEX('Coste multimodal'!E$46:E$1646,MATCH(C168&amp;D168,'Coste multimodal'!C$46:C$1646&amp;'Coste multimodal'!D$46:D$1646,0))</f>
        <v>3019405349.3079367</v>
      </c>
      <c r="I168" s="12" cm="1">
        <f t="array" aca="1" ref="I168" ca="1">INDEX('Tiempos intermodal (horas)'!E$45:E$1645,MATCH(C168&amp;D168,'Tiempos intermodal (horas)'!C$45:C$1645&amp;'Tiempos intermodal (horas)'!D$45:D$1645,0))</f>
        <v>27.733101110143345</v>
      </c>
      <c r="J168" s="2" cm="1">
        <f t="array" aca="1" ref="J168" ca="1">INDEX('Tiempos carretera (horas)'!E$45:E$1645,MATCH(C168&amp;D168,'Tiempos carretera (horas)'!C$45:C$1645&amp;'Tiempos carretera (horas)'!D$45:D$1645,0))</f>
        <v>5.6</v>
      </c>
      <c r="K168" s="12">
        <f t="shared" ca="1" si="12"/>
        <v>7.8657451512932983</v>
      </c>
      <c r="L168" s="12">
        <f t="shared" ca="1" si="13"/>
        <v>9.1845566902416831</v>
      </c>
      <c r="M168" s="12">
        <f t="shared" ca="1" si="14"/>
        <v>0.50006643864591449</v>
      </c>
      <c r="N168" s="13">
        <f t="shared" ca="1" si="15"/>
        <v>-1.3188115389483848</v>
      </c>
      <c r="O168" s="13">
        <f t="shared" ca="1" si="16"/>
        <v>-22.133101110143343</v>
      </c>
      <c r="P168" s="12">
        <f t="shared" ca="1" si="17"/>
        <v>-2.6575458522196739E-4</v>
      </c>
    </row>
    <row r="169" spans="1:16" x14ac:dyDescent="0.25">
      <c r="A169">
        <v>34</v>
      </c>
      <c r="B169">
        <v>20</v>
      </c>
      <c r="C169" s="2" t="s">
        <v>33</v>
      </c>
      <c r="D169" s="2" t="s">
        <v>19</v>
      </c>
      <c r="E169" s="11" cm="1">
        <f t="array" aca="1" ref="E169" ca="1">INDEX('OD flujo mercancia multimodal'!E$45:E$1645,MATCH(C169&amp;D169,'OD flujo mercancia multimodal'!C$45:C$1645&amp;'OD flujo mercancia multimodal'!D$45:D$1645,0))</f>
        <v>183132.46153846153</v>
      </c>
      <c r="F169" s="11" cm="1">
        <f t="array" aca="1" ref="F169" ca="1">INDEX('OD flujo mercancia carretera'!E$45:E$1646,MATCH(C169&amp;D169,'OD flujo mercancia carretera'!C$45:C$1646&amp;'OD flujo mercancia carretera'!D$45:D$1646,0))</f>
        <v>337749.89316239319</v>
      </c>
      <c r="G169" s="11" cm="1">
        <f t="array" aca="1" ref="G169" ca="1">INDEX('Coste Carretera'!E$46:E$1646,MATCH(C169&amp;D169,'Coste Carretera'!C$46:C$1646&amp;'Coste Carretera'!D$46:D$1646,0))</f>
        <v>2382913781.7599993</v>
      </c>
      <c r="H169" s="11" cm="1">
        <f t="array" aca="1" ref="H169" ca="1">INDEX('Coste multimodal'!E$46:E$1646,MATCH(C169&amp;D169,'Coste multimodal'!C$46:C$1646&amp;'Coste multimodal'!D$46:D$1646,0))</f>
        <v>3019405349.3079367</v>
      </c>
      <c r="I169" s="12">
        <f ca="1">'Tiempos intermodal (horas)'!E839</f>
        <v>28.657545554587788</v>
      </c>
      <c r="J169" s="2" cm="1">
        <f t="array" aca="1" ref="J169" ca="1">INDEX('Tiempos carretera (horas)'!E$45:E$1645,MATCH(C169&amp;D169,'Tiempos carretera (horas)'!C$45:C$1645&amp;'Tiempos carretera (horas)'!D$45:D$1645,0))</f>
        <v>5.6</v>
      </c>
      <c r="K169" s="12">
        <f t="shared" ca="1" si="12"/>
        <v>7.0552613931228478</v>
      </c>
      <c r="L169" s="12">
        <f t="shared" ca="1" si="13"/>
        <v>16.487548542418299</v>
      </c>
      <c r="M169" s="12">
        <f t="shared" ca="1" si="14"/>
        <v>0.35158123496741484</v>
      </c>
      <c r="N169" s="13">
        <f t="shared" ca="1" si="15"/>
        <v>-9.4322871492954512</v>
      </c>
      <c r="O169" s="13">
        <f t="shared" ca="1" si="16"/>
        <v>-23.05754555458779</v>
      </c>
      <c r="P169" s="12">
        <f t="shared" ca="1" si="17"/>
        <v>0.61209593597492595</v>
      </c>
    </row>
    <row r="170" spans="1:16" x14ac:dyDescent="0.25">
      <c r="A170">
        <v>13</v>
      </c>
      <c r="B170">
        <v>24</v>
      </c>
      <c r="C170" s="2" t="s">
        <v>12</v>
      </c>
      <c r="D170" s="2" t="s">
        <v>23</v>
      </c>
      <c r="E170" s="11" cm="1">
        <f t="array" aca="1" ref="E170" ca="1">INDEX('OD flujo mercancia multimodal'!E$45:E$1645,MATCH(C170&amp;D170,'OD flujo mercancia multimodal'!C$45:C$1645&amp;'OD flujo mercancia multimodal'!D$45:D$1645,0))</f>
        <v>9393.9230769230744</v>
      </c>
      <c r="F170" s="11" cm="1">
        <f t="array" aca="1" ref="F170" ca="1">INDEX('OD flujo mercancia carretera'!E$45:E$1646,MATCH(C170&amp;D170,'OD flujo mercancia carretera'!C$45:C$1646&amp;'OD flujo mercancia carretera'!D$45:D$1646,0))</f>
        <v>90700.974358974388</v>
      </c>
      <c r="G170" s="11" cm="1">
        <f t="array" aca="1" ref="G170" ca="1">INDEX('Coste Carretera'!E$46:E$1646,MATCH(C170&amp;D170,'Coste Carretera'!C$46:C$1646&amp;'Coste Carretera'!D$46:D$1646,0))</f>
        <v>235830305.51999989</v>
      </c>
      <c r="H170" s="11" cm="1">
        <f t="array" aca="1" ref="H170" ca="1">INDEX('Coste multimodal'!E$46:E$1646,MATCH(C170&amp;D170,'Coste multimodal'!C$46:C$1646&amp;'Coste multimodal'!D$46:D$1646,0))</f>
        <v>98686602.240221873</v>
      </c>
      <c r="I170" s="12" cm="1">
        <f t="array" aca="1" ref="I170" ca="1">INDEX('Tiempos intermodal (horas)'!E$45:E$1645,MATCH(C170&amp;D170,'Tiempos intermodal (horas)'!C$45:C$1645&amp;'Tiempos intermodal (horas)'!D$45:D$1645,0))</f>
        <v>27.571510954069304</v>
      </c>
      <c r="J170" s="2" cm="1">
        <f t="array" aca="1" ref="J170" ca="1">INDEX('Tiempos carretera (horas)'!E$45:E$1645,MATCH(C170&amp;D170,'Tiempos carretera (horas)'!C$45:C$1645&amp;'Tiempos carretera (horas)'!D$45:D$1645,0))</f>
        <v>5.42</v>
      </c>
      <c r="K170" s="12">
        <f t="shared" ca="1" si="12"/>
        <v>2.6000856902224196</v>
      </c>
      <c r="L170" s="12">
        <f t="shared" ca="1" si="13"/>
        <v>10.50536622794511</v>
      </c>
      <c r="M170" s="12">
        <f t="shared" ca="1" si="14"/>
        <v>9.385016936491801E-2</v>
      </c>
      <c r="N170" s="13">
        <f t="shared" ca="1" si="15"/>
        <v>-7.9052805377226907</v>
      </c>
      <c r="O170" s="13">
        <f t="shared" ca="1" si="16"/>
        <v>-22.151510954069302</v>
      </c>
      <c r="P170" s="12">
        <f t="shared" ca="1" si="17"/>
        <v>2.2675051006817197</v>
      </c>
    </row>
    <row r="171" spans="1:16" x14ac:dyDescent="0.25">
      <c r="A171">
        <v>24</v>
      </c>
      <c r="B171">
        <v>13</v>
      </c>
      <c r="C171" s="2" t="s">
        <v>23</v>
      </c>
      <c r="D171" s="2" t="s">
        <v>12</v>
      </c>
      <c r="E171" s="11" cm="1">
        <f t="array" aca="1" ref="E171" ca="1">INDEX('OD flujo mercancia multimodal'!E$45:E$1645,MATCH(C171&amp;D171,'OD flujo mercancia multimodal'!C$45:C$1645&amp;'OD flujo mercancia multimodal'!D$45:D$1645,0))</f>
        <v>7032.8461538461579</v>
      </c>
      <c r="F171" s="11" cm="1">
        <f t="array" aca="1" ref="F171" ca="1">INDEX('OD flujo mercancia carretera'!E$45:E$1646,MATCH(C171&amp;D171,'OD flujo mercancia carretera'!C$45:C$1646&amp;'OD flujo mercancia carretera'!D$45:D$1646,0))</f>
        <v>105760.5384615385</v>
      </c>
      <c r="G171" s="11" cm="1">
        <f t="array" aca="1" ref="G171" ca="1">INDEX('Coste Carretera'!E$46:E$1646,MATCH(C171&amp;D171,'Coste Carretera'!C$46:C$1646&amp;'Coste Carretera'!D$46:D$1646,0))</f>
        <v>176556508.24000007</v>
      </c>
      <c r="H171" s="11" cm="1">
        <f t="array" aca="1" ref="H171" ca="1">INDEX('Coste multimodal'!E$46:E$1646,MATCH(C171&amp;D171,'Coste multimodal'!C$46:C$1646&amp;'Coste multimodal'!D$46:D$1646,0))</f>
        <v>98686602.240221873</v>
      </c>
      <c r="I171" s="12" cm="1">
        <f t="array" aca="1" ref="I171" ca="1">INDEX('Tiempos intermodal (horas)'!E$45:E$1645,MATCH(C171&amp;D171,'Tiempos intermodal (horas)'!C$45:C$1645&amp;'Tiempos intermodal (horas)'!D$45:D$1645,0))</f>
        <v>27.571510954069304</v>
      </c>
      <c r="J171" s="2" cm="1">
        <f t="array" aca="1" ref="J171" ca="1">INDEX('Tiempos carretera (horas)'!E$45:E$1645,MATCH(C171&amp;D171,'Tiempos carretera (horas)'!C$45:C$1645&amp;'Tiempos carretera (horas)'!D$45:D$1645,0))</f>
        <v>5.42</v>
      </c>
      <c r="K171" s="12">
        <f t="shared" ca="1" si="12"/>
        <v>1.6693987266735377</v>
      </c>
      <c r="L171" s="12">
        <f t="shared" ca="1" si="13"/>
        <v>14.032242435198395</v>
      </c>
      <c r="M171" s="12">
        <f t="shared" ca="1" si="14"/>
        <v>6.2351583630791234E-2</v>
      </c>
      <c r="N171" s="13">
        <f t="shared" ca="1" si="15"/>
        <v>-12.362843708524856</v>
      </c>
      <c r="O171" s="13">
        <f t="shared" ca="1" si="16"/>
        <v>-22.151510954069302</v>
      </c>
      <c r="P171" s="12">
        <f t="shared" ca="1" si="17"/>
        <v>2.7105859852546814</v>
      </c>
    </row>
    <row r="172" spans="1:16" x14ac:dyDescent="0.25">
      <c r="A172">
        <v>19</v>
      </c>
      <c r="B172">
        <v>35</v>
      </c>
      <c r="C172" s="2" t="s">
        <v>18</v>
      </c>
      <c r="D172" s="2" t="s">
        <v>34</v>
      </c>
      <c r="E172" s="11" cm="1">
        <f t="array" aca="1" ref="E172" ca="1">INDEX('OD flujo mercancia multimodal'!E$45:E$1645,MATCH(C172&amp;D172,'OD flujo mercancia multimodal'!C$45:C$1645&amp;'OD flujo mercancia multimodal'!D$45:D$1645,0))</f>
        <v>24903.538461538479</v>
      </c>
      <c r="F172" s="11" cm="1">
        <f t="array" aca="1" ref="F172" ca="1">INDEX('OD flujo mercancia carretera'!E$45:E$1646,MATCH(C172&amp;D172,'OD flujo mercancia carretera'!C$45:C$1646&amp;'OD flujo mercancia carretera'!D$45:D$1646,0))</f>
        <v>55504.538461538497</v>
      </c>
      <c r="G172" s="11" cm="1">
        <f t="array" aca="1" ref="G172" ca="1">INDEX('Coste Carretera'!E$46:E$1646,MATCH(C172&amp;D172,'Coste Carretera'!C$46:C$1646&amp;'Coste Carretera'!D$46:D$1646,0))</f>
        <v>10600826712.320009</v>
      </c>
      <c r="H172" s="11" cm="1">
        <f t="array" aca="1" ref="H172" ca="1">INDEX('Coste multimodal'!E$46:E$1646,MATCH(C172&amp;D172,'Coste multimodal'!C$46:C$1646&amp;'Coste multimodal'!D$46:D$1646,0))</f>
        <v>2819178367.5455155</v>
      </c>
      <c r="I172" s="12" cm="1">
        <f t="array" aca="1" ref="I172" ca="1">INDEX('Tiempos intermodal (horas)'!E$45:E$1645,MATCH(C172&amp;D172,'Tiempos intermodal (horas)'!C$45:C$1645&amp;'Tiempos intermodal (horas)'!D$45:D$1645,0))</f>
        <v>29.126382220110738</v>
      </c>
      <c r="J172" s="2" cm="1">
        <f t="array" aca="1" ref="J172" ca="1">INDEX('Tiempos carretera (horas)'!E$45:E$1645,MATCH(C172&amp;D172,'Tiempos carretera (horas)'!C$45:C$1645&amp;'Tiempos carretera (horas)'!D$45:D$1645,0))</f>
        <v>6.95</v>
      </c>
      <c r="K172" s="12">
        <f t="shared" ca="1" si="12"/>
        <v>190.9902686546215</v>
      </c>
      <c r="L172" s="12">
        <f t="shared" ca="1" si="13"/>
        <v>113.20392770286483</v>
      </c>
      <c r="M172" s="12">
        <f t="shared" ca="1" si="14"/>
        <v>0.30971438958007469</v>
      </c>
      <c r="N172" s="13">
        <f t="shared" ca="1" si="15"/>
        <v>77.786340951756671</v>
      </c>
      <c r="O172" s="13">
        <f t="shared" ca="1" si="16"/>
        <v>-22.176382220110739</v>
      </c>
      <c r="P172" s="12">
        <f t="shared" ca="1" si="17"/>
        <v>0.80145489122731584</v>
      </c>
    </row>
    <row r="173" spans="1:16" x14ac:dyDescent="0.25">
      <c r="A173">
        <v>35</v>
      </c>
      <c r="B173">
        <v>19</v>
      </c>
      <c r="C173" s="2" t="s">
        <v>34</v>
      </c>
      <c r="D173" s="2" t="s">
        <v>18</v>
      </c>
      <c r="E173" s="11" cm="1">
        <f t="array" aca="1" ref="E173" ca="1">INDEX('OD flujo mercancia multimodal'!E$45:E$1645,MATCH(C173&amp;D173,'OD flujo mercancia multimodal'!C$45:C$1645&amp;'OD flujo mercancia multimodal'!D$45:D$1645,0))</f>
        <v>11032.230769230771</v>
      </c>
      <c r="F173" s="11" cm="1">
        <f t="array" aca="1" ref="F173" ca="1">INDEX('OD flujo mercancia carretera'!E$45:E$1646,MATCH(C173&amp;D173,'OD flujo mercancia carretera'!C$45:C$1646&amp;'OD flujo mercancia carretera'!D$45:D$1646,0))</f>
        <v>105432.76923076921</v>
      </c>
      <c r="G173" s="11" cm="1">
        <f t="array" aca="1" ref="G173" ca="1">INDEX('Coste Carretera'!E$46:E$1646,MATCH(C173&amp;D173,'Coste Carretera'!C$46:C$1646&amp;'Coste Carretera'!D$46:D$1646,0))</f>
        <v>4472047958.5600004</v>
      </c>
      <c r="H173" s="11" cm="1">
        <f t="array" aca="1" ref="H173" ca="1">INDEX('Coste multimodal'!E$46:E$1646,MATCH(C173&amp;D173,'Coste multimodal'!C$46:C$1646&amp;'Coste multimodal'!D$46:D$1646,0))</f>
        <v>2819178367.5455155</v>
      </c>
      <c r="I173" s="12" cm="1">
        <f t="array" aca="1" ref="I173" ca="1">INDEX('Tiempos intermodal (horas)'!E$45:E$1645,MATCH(C173&amp;D173,'Tiempos intermodal (horas)'!C$45:C$1645&amp;'Tiempos intermodal (horas)'!D$45:D$1645,0))</f>
        <v>29.126382220110738</v>
      </c>
      <c r="J173" s="2" cm="1">
        <f t="array" aca="1" ref="J173" ca="1">INDEX('Tiempos carretera (horas)'!E$45:E$1645,MATCH(C173&amp;D173,'Tiempos carretera (horas)'!C$45:C$1645&amp;'Tiempos carretera (horas)'!D$45:D$1645,0))</f>
        <v>6.95</v>
      </c>
      <c r="K173" s="12">
        <f t="shared" ca="1" si="12"/>
        <v>42.416110201674286</v>
      </c>
      <c r="L173" s="12">
        <f t="shared" ca="1" si="13"/>
        <v>255.54019187200925</v>
      </c>
      <c r="M173" s="12">
        <f t="shared" ca="1" si="14"/>
        <v>9.4725718191995656E-2</v>
      </c>
      <c r="N173" s="13">
        <f t="shared" ca="1" si="15"/>
        <v>-213.12408167033496</v>
      </c>
      <c r="O173" s="13">
        <f t="shared" ca="1" si="16"/>
        <v>-22.176382220110739</v>
      </c>
      <c r="P173" s="12">
        <f t="shared" ca="1" si="17"/>
        <v>2.2572524328641674</v>
      </c>
    </row>
    <row r="174" spans="1:16" x14ac:dyDescent="0.25">
      <c r="A174">
        <v>32</v>
      </c>
      <c r="B174">
        <v>35</v>
      </c>
      <c r="C174" s="2" t="s">
        <v>31</v>
      </c>
      <c r="D174" s="2" t="s">
        <v>34</v>
      </c>
      <c r="E174" s="11" cm="1">
        <f t="array" aca="1" ref="E174" ca="1">INDEX('OD flujo mercancia multimodal'!E$45:E$1645,MATCH(C174&amp;D174,'OD flujo mercancia multimodal'!C$45:C$1645&amp;'OD flujo mercancia multimodal'!D$45:D$1645,0))</f>
        <v>23202.692307692323</v>
      </c>
      <c r="F174" s="11" cm="1">
        <f t="array" aca="1" ref="F174" ca="1">INDEX('OD flujo mercancia carretera'!E$45:E$1646,MATCH(C174&amp;D174,'OD flujo mercancia carretera'!C$45:C$1646&amp;'OD flujo mercancia carretera'!D$45:D$1646,0))</f>
        <v>62080.138461538489</v>
      </c>
      <c r="G174" s="11" cm="1">
        <f t="array" aca="1" ref="G174" ca="1">INDEX('Coste Carretera'!E$46:E$1646,MATCH(C174&amp;D174,'Coste Carretera'!C$46:C$1646&amp;'Coste Carretera'!D$46:D$1646,0))</f>
        <v>3120943777.4400029</v>
      </c>
      <c r="H174" s="11" cm="1">
        <f t="array" aca="1" ref="H174" ca="1">INDEX('Coste multimodal'!E$46:E$1646,MATCH(C174&amp;D174,'Coste multimodal'!C$46:C$1646&amp;'Coste multimodal'!D$46:D$1646,0))</f>
        <v>2683260579.2938104</v>
      </c>
      <c r="I174" s="12" cm="1">
        <f t="array" aca="1" ref="I174" ca="1">INDEX('Tiempos intermodal (horas)'!E$45:E$1645,MATCH(C174&amp;D174,'Tiempos intermodal (horas)'!C$45:C$1645&amp;'Tiempos intermodal (horas)'!D$45:D$1645,0))</f>
        <v>29.930400511595579</v>
      </c>
      <c r="J174" s="2" cm="1">
        <f t="array" aca="1" ref="J174" ca="1">INDEX('Tiempos carretera (horas)'!E$45:E$1645,MATCH(C174&amp;D174,'Tiempos carretera (horas)'!C$45:C$1645&amp;'Tiempos carretera (horas)'!D$45:D$1645,0))</f>
        <v>2.16</v>
      </c>
      <c r="K174" s="12">
        <f t="shared" ca="1" si="12"/>
        <v>50.272822432146661</v>
      </c>
      <c r="L174" s="12">
        <f t="shared" ca="1" si="13"/>
        <v>115.64436332262341</v>
      </c>
      <c r="M174" s="12">
        <f t="shared" ca="1" si="14"/>
        <v>0.2720675673920479</v>
      </c>
      <c r="N174" s="13">
        <f t="shared" ca="1" si="15"/>
        <v>-65.371540890476751</v>
      </c>
      <c r="O174" s="13">
        <f t="shared" ca="1" si="16"/>
        <v>-27.770400511595579</v>
      </c>
      <c r="P174" s="12">
        <f t="shared" ca="1" si="17"/>
        <v>0.98415778656059227</v>
      </c>
    </row>
    <row r="175" spans="1:16" x14ac:dyDescent="0.25">
      <c r="A175">
        <v>24</v>
      </c>
      <c r="B175">
        <v>22</v>
      </c>
      <c r="C175" s="2" t="s">
        <v>23</v>
      </c>
      <c r="D175" s="2" t="s">
        <v>21</v>
      </c>
      <c r="E175" s="11" cm="1">
        <f t="array" aca="1" ref="E175" ca="1">INDEX('OD flujo mercancia multimodal'!E$45:E$1645,MATCH(C175&amp;D175,'OD flujo mercancia multimodal'!C$45:C$1645&amp;'OD flujo mercancia multimodal'!D$45:D$1645,0))</f>
        <v>25482.615384615339</v>
      </c>
      <c r="F175" s="11" cm="1">
        <f t="array" aca="1" ref="F175" ca="1">INDEX('OD flujo mercancia carretera'!E$45:E$1646,MATCH(C175&amp;D175,'OD flujo mercancia carretera'!C$45:C$1646&amp;'OD flujo mercancia carretera'!D$45:D$1646,0))</f>
        <v>208481.33333333299</v>
      </c>
      <c r="G175" s="11" cm="1">
        <f t="array" aca="1" ref="G175" ca="1">INDEX('Coste Carretera'!E$46:E$1646,MATCH(C175&amp;D175,'Coste Carretera'!C$46:C$1646&amp;'Coste Carretera'!D$46:D$1646,0))</f>
        <v>542030518.799999</v>
      </c>
      <c r="H175" s="11" cm="1">
        <f t="array" aca="1" ref="H175" ca="1">INDEX('Coste multimodal'!E$46:E$1646,MATCH(C175&amp;D175,'Coste multimodal'!C$46:C$1646&amp;'Coste multimodal'!D$46:D$1646,0))</f>
        <v>323400347.86722231</v>
      </c>
      <c r="I175" s="12" cm="1">
        <f t="array" aca="1" ref="I175" ca="1">INDEX('Tiempos intermodal (horas)'!E$45:E$1645,MATCH(C175&amp;D175,'Tiempos intermodal (horas)'!C$45:C$1645&amp;'Tiempos intermodal (horas)'!D$45:D$1645,0))</f>
        <v>30.865104480457017</v>
      </c>
      <c r="J175" s="2" cm="1">
        <f t="array" aca="1" ref="J175" ca="1">INDEX('Tiempos carretera (horas)'!E$45:E$1645,MATCH(C175&amp;D175,'Tiempos carretera (horas)'!C$45:C$1645&amp;'Tiempos carretera (horas)'!D$45:D$1645,0))</f>
        <v>4.5599999999999996</v>
      </c>
      <c r="K175" s="12">
        <f t="shared" ca="1" si="12"/>
        <v>2.5998995216198408</v>
      </c>
      <c r="L175" s="12">
        <f t="shared" ca="1" si="13"/>
        <v>12.691018680228142</v>
      </c>
      <c r="M175" s="12">
        <f t="shared" ca="1" si="14"/>
        <v>0.10891684605364357</v>
      </c>
      <c r="N175" s="13">
        <f t="shared" ca="1" si="15"/>
        <v>-10.091119158608301</v>
      </c>
      <c r="O175" s="13">
        <f t="shared" ca="1" si="16"/>
        <v>-26.305104480457018</v>
      </c>
      <c r="P175" s="12">
        <f t="shared" ca="1" si="17"/>
        <v>2.1018530388091494</v>
      </c>
    </row>
    <row r="176" spans="1:16" x14ac:dyDescent="0.25">
      <c r="A176">
        <v>22</v>
      </c>
      <c r="B176">
        <v>24</v>
      </c>
      <c r="C176" s="2" t="s">
        <v>21</v>
      </c>
      <c r="D176" s="2" t="s">
        <v>23</v>
      </c>
      <c r="E176" s="11" cm="1">
        <f t="array" aca="1" ref="E176" ca="1">INDEX('OD flujo mercancia multimodal'!E$45:E$1645,MATCH(C176&amp;D176,'OD flujo mercancia multimodal'!C$45:C$1645&amp;'OD flujo mercancia multimodal'!D$45:D$1645,0))</f>
        <v>16249.615384615381</v>
      </c>
      <c r="F176" s="11" cm="1">
        <f t="array" aca="1" ref="F176" ca="1">INDEX('OD flujo mercancia carretera'!E$45:E$1646,MATCH(C176&amp;D176,'OD flujo mercancia carretera'!C$45:C$1646&amp;'OD flujo mercancia carretera'!D$45:D$1646,0))</f>
        <v>194768.33333333337</v>
      </c>
      <c r="G176" s="11" cm="1">
        <f t="array" aca="1" ref="G176" ca="1">INDEX('Coste Carretera'!E$46:E$1646,MATCH(C176&amp;D176,'Coste Carretera'!C$46:C$1646&amp;'Coste Carretera'!D$46:D$1646,0))</f>
        <v>345639068.99999994</v>
      </c>
      <c r="H176" s="11" cm="1">
        <f t="array" aca="1" ref="H176" ca="1">INDEX('Coste multimodal'!E$46:E$1646,MATCH(C176&amp;D176,'Coste multimodal'!C$46:C$1646&amp;'Coste multimodal'!D$46:D$1646,0))</f>
        <v>323400347.86722231</v>
      </c>
      <c r="I176" s="12" cm="1">
        <f t="array" aca="1" ref="I176" ca="1">INDEX('Tiempos intermodal (horas)'!E$45:E$1645,MATCH(C176&amp;D176,'Tiempos intermodal (horas)'!C$45:C$1645&amp;'Tiempos intermodal (horas)'!D$45:D$1645,0))</f>
        <v>30.865104480457017</v>
      </c>
      <c r="J176" s="2" cm="1">
        <f t="array" aca="1" ref="J176" ca="1">INDEX('Tiempos carretera (horas)'!E$45:E$1645,MATCH(C176&amp;D176,'Tiempos carretera (horas)'!C$45:C$1645&amp;'Tiempos carretera (horas)'!D$45:D$1645,0))</f>
        <v>4.5599999999999996</v>
      </c>
      <c r="K176" s="12">
        <f t="shared" ca="1" si="12"/>
        <v>1.7746163510495367</v>
      </c>
      <c r="L176" s="12">
        <f t="shared" ca="1" si="13"/>
        <v>19.902030922738483</v>
      </c>
      <c r="M176" s="12">
        <f t="shared" ca="1" si="14"/>
        <v>7.7005844684496366E-2</v>
      </c>
      <c r="N176" s="13">
        <f t="shared" ca="1" si="15"/>
        <v>-18.127414571688945</v>
      </c>
      <c r="O176" s="13">
        <f t="shared" ca="1" si="16"/>
        <v>-26.305104480457018</v>
      </c>
      <c r="P176" s="12">
        <f t="shared" ca="1" si="17"/>
        <v>2.4837415782470718</v>
      </c>
    </row>
    <row r="177" spans="1:16" x14ac:dyDescent="0.25">
      <c r="A177">
        <v>25</v>
      </c>
      <c r="B177">
        <v>22</v>
      </c>
      <c r="C177" s="2" t="s">
        <v>24</v>
      </c>
      <c r="D177" s="2" t="s">
        <v>21</v>
      </c>
      <c r="E177" s="11" cm="1">
        <f t="array" aca="1" ref="E177" ca="1">INDEX('OD flujo mercancia multimodal'!E$45:E$1645,MATCH(C177&amp;D177,'OD flujo mercancia multimodal'!C$45:C$1645&amp;'OD flujo mercancia multimodal'!D$45:D$1645,0))</f>
        <v>25444.461538461492</v>
      </c>
      <c r="F177" s="11" cm="1">
        <f t="array" aca="1" ref="F177" ca="1">INDEX('OD flujo mercancia carretera'!E$45:E$1646,MATCH(C177&amp;D177,'OD flujo mercancia carretera'!C$45:C$1646&amp;'OD flujo mercancia carretera'!D$45:D$1646,0))</f>
        <v>191435.66666666634</v>
      </c>
      <c r="G177" s="11" cm="1">
        <f t="array" aca="1" ref="G177" ca="1">INDEX('Coste Carretera'!E$46:E$1646,MATCH(C177&amp;D177,'Coste Carretera'!C$46:C$1646&amp;'Coste Carretera'!D$46:D$1646,0))</f>
        <v>352794583.67999935</v>
      </c>
      <c r="H177" s="11" cm="1">
        <f t="array" aca="1" ref="H177" ca="1">INDEX('Coste multimodal'!E$46:E$1646,MATCH(C177&amp;D177,'Coste multimodal'!C$46:C$1646&amp;'Coste multimodal'!D$46:D$1646,0))</f>
        <v>264688734.76722229</v>
      </c>
      <c r="I177" s="12" cm="1">
        <f t="array" aca="1" ref="I177" ca="1">INDEX('Tiempos intermodal (horas)'!E$45:E$1645,MATCH(C177&amp;D177,'Tiempos intermodal (horas)'!C$45:C$1645&amp;'Tiempos intermodal (horas)'!D$45:D$1645,0))</f>
        <v>29.526215591568128</v>
      </c>
      <c r="J177" s="2" cm="1">
        <f t="array" aca="1" ref="J177" ca="1">INDEX('Tiempos carretera (horas)'!E$45:E$1645,MATCH(C177&amp;D177,'Tiempos carretera (horas)'!C$45:C$1645&amp;'Tiempos carretera (horas)'!D$45:D$1645,0))</f>
        <v>3.16</v>
      </c>
      <c r="K177" s="12">
        <f t="shared" ca="1" si="12"/>
        <v>1.8428884743525673</v>
      </c>
      <c r="L177" s="12">
        <f t="shared" ca="1" si="13"/>
        <v>10.402607041501842</v>
      </c>
      <c r="M177" s="12">
        <f t="shared" ca="1" si="14"/>
        <v>0.11732039144866151</v>
      </c>
      <c r="N177" s="13">
        <f t="shared" ca="1" si="15"/>
        <v>-8.5597185671492753</v>
      </c>
      <c r="O177" s="13">
        <f t="shared" ca="1" si="16"/>
        <v>-26.366215591568128</v>
      </c>
      <c r="P177" s="12">
        <f t="shared" ca="1" si="17"/>
        <v>2.0180537098443225</v>
      </c>
    </row>
    <row r="178" spans="1:16" x14ac:dyDescent="0.25">
      <c r="A178">
        <v>22</v>
      </c>
      <c r="B178">
        <v>25</v>
      </c>
      <c r="C178" s="2" t="s">
        <v>21</v>
      </c>
      <c r="D178" s="2" t="s">
        <v>24</v>
      </c>
      <c r="E178" s="11" cm="1">
        <f t="array" aca="1" ref="E178" ca="1">INDEX('OD flujo mercancia multimodal'!E$45:E$1645,MATCH(C178&amp;D178,'OD flujo mercancia multimodal'!C$45:C$1645&amp;'OD flujo mercancia multimodal'!D$45:D$1645,0))</f>
        <v>13854.230769230771</v>
      </c>
      <c r="F178" s="11" cm="1">
        <f t="array" aca="1" ref="F178" ca="1">INDEX('OD flujo mercancia carretera'!E$45:E$1646,MATCH(C178&amp;D178,'OD flujo mercancia carretera'!C$45:C$1646&amp;'OD flujo mercancia carretera'!D$45:D$1646,0))</f>
        <v>187715.99999999994</v>
      </c>
      <c r="G178" s="11" cm="1">
        <f t="array" aca="1" ref="G178" ca="1">INDEX('Coste Carretera'!E$46:E$1646,MATCH(C178&amp;D178,'Coste Carretera'!C$46:C$1646&amp;'Coste Carretera'!D$46:D$1646,0))</f>
        <v>192092788.80000004</v>
      </c>
      <c r="H178" s="11" cm="1">
        <f t="array" aca="1" ref="H178" ca="1">INDEX('Coste multimodal'!E$46:E$1646,MATCH(C178&amp;D178,'Coste multimodal'!C$46:C$1646&amp;'Coste multimodal'!D$46:D$1646,0))</f>
        <v>264688734.76722229</v>
      </c>
      <c r="I178" s="12" cm="1">
        <f t="array" aca="1" ref="I178" ca="1">INDEX('Tiempos intermodal (horas)'!E$45:E$1645,MATCH(C178&amp;D178,'Tiempos intermodal (horas)'!C$45:C$1645&amp;'Tiempos intermodal (horas)'!D$45:D$1645,0))</f>
        <v>29.526215591568128</v>
      </c>
      <c r="J178" s="2" cm="1">
        <f t="array" aca="1" ref="J178" ca="1">INDEX('Tiempos carretera (horas)'!E$45:E$1645,MATCH(C178&amp;D178,'Tiempos carretera (horas)'!C$45:C$1645&amp;'Tiempos carretera (horas)'!D$45:D$1645,0))</f>
        <v>3.16</v>
      </c>
      <c r="K178" s="12">
        <f t="shared" ca="1" si="12"/>
        <v>1.0233160135523882</v>
      </c>
      <c r="L178" s="12">
        <f t="shared" ca="1" si="13"/>
        <v>19.105263884811023</v>
      </c>
      <c r="M178" s="12">
        <f t="shared" ca="1" si="14"/>
        <v>6.8731532014228325E-2</v>
      </c>
      <c r="N178" s="13">
        <f t="shared" ca="1" si="15"/>
        <v>-18.081947871258635</v>
      </c>
      <c r="O178" s="13">
        <f t="shared" ca="1" si="16"/>
        <v>-26.366215591568128</v>
      </c>
      <c r="P178" s="12">
        <f t="shared" ca="1" si="17"/>
        <v>2.6063395256783788</v>
      </c>
    </row>
    <row r="179" spans="1:16" x14ac:dyDescent="0.25">
      <c r="A179">
        <v>30</v>
      </c>
      <c r="B179">
        <v>22</v>
      </c>
      <c r="C179" s="2" t="s">
        <v>146</v>
      </c>
      <c r="D179" s="2" t="s">
        <v>21</v>
      </c>
      <c r="E179" s="11" cm="1">
        <f t="array" aca="1" ref="E179" ca="1">INDEX('OD flujo mercancia multimodal'!E$45:E$1645,MATCH(C179&amp;D179,'OD flujo mercancia multimodal'!C$45:C$1645&amp;'OD flujo mercancia multimodal'!D$45:D$1645,0))</f>
        <v>23579.461538461492</v>
      </c>
      <c r="F179" s="11" cm="1">
        <f t="array" aca="1" ref="F179" ca="1">INDEX('OD flujo mercancia carretera'!E$45:E$1646,MATCH(C179&amp;D179,'OD flujo mercancia carretera'!C$45:C$1646&amp;'OD flujo mercancia carretera'!D$45:D$1646,0))</f>
        <v>351198.13333333307</v>
      </c>
      <c r="G179" s="11" cm="1">
        <f t="array" aca="1" ref="G179" ca="1">INDEX('Coste Carretera'!E$46:E$1646,MATCH(C179&amp;D179,'Coste Carretera'!C$46:C$1646&amp;'Coste Carretera'!D$46:D$1646,0))</f>
        <v>607724766.89999926</v>
      </c>
      <c r="H179" s="11" cm="1">
        <f t="array" aca="1" ref="H179" ca="1">INDEX('Coste multimodal'!E$46:E$1646,MATCH(C179&amp;D179,'Coste multimodal'!C$46:C$1646&amp;'Coste multimodal'!D$46:D$1646,0))</f>
        <v>295963436.07522225</v>
      </c>
      <c r="I179" s="12" cm="1">
        <f t="array" aca="1" ref="I179" ca="1">INDEX('Tiempos intermodal (horas)'!E$45:E$1645,MATCH(C179&amp;D179,'Tiempos intermodal (horas)'!C$45:C$1645&amp;'Tiempos intermodal (horas)'!D$45:D$1645,0))</f>
        <v>30.053993369345907</v>
      </c>
      <c r="J179" s="2" cm="1">
        <f t="array" aca="1" ref="J179" ca="1">INDEX('Tiempos carretera (horas)'!E$45:E$1645,MATCH(C179&amp;D179,'Tiempos carretera (horas)'!C$45:C$1645&amp;'Tiempos carretera (horas)'!D$45:D$1645,0))</f>
        <v>3.66</v>
      </c>
      <c r="K179" s="12">
        <f t="shared" ca="1" si="12"/>
        <v>1.7304327933975343</v>
      </c>
      <c r="L179" s="12">
        <f t="shared" ca="1" si="13"/>
        <v>12.551747019009037</v>
      </c>
      <c r="M179" s="12">
        <f t="shared" ca="1" si="14"/>
        <v>6.2915878273159975E-2</v>
      </c>
      <c r="N179" s="13">
        <f t="shared" ca="1" si="15"/>
        <v>-10.821314225611502</v>
      </c>
      <c r="O179" s="13">
        <f t="shared" ca="1" si="16"/>
        <v>-26.393993369345907</v>
      </c>
      <c r="P179" s="12">
        <f t="shared" ca="1" si="17"/>
        <v>2.7009744873072674</v>
      </c>
    </row>
    <row r="180" spans="1:16" x14ac:dyDescent="0.25">
      <c r="A180">
        <v>22</v>
      </c>
      <c r="B180">
        <v>30</v>
      </c>
      <c r="C180" s="2" t="s">
        <v>21</v>
      </c>
      <c r="D180" s="2" t="s">
        <v>146</v>
      </c>
      <c r="E180" s="11" cm="1">
        <f t="array" aca="1" ref="E180" ca="1">INDEX('OD flujo mercancia multimodal'!E$45:E$1645,MATCH(C180&amp;D180,'OD flujo mercancia multimodal'!C$45:C$1645&amp;'OD flujo mercancia multimodal'!D$45:D$1645,0))</f>
        <v>16419.83846153846</v>
      </c>
      <c r="F180" s="11" cm="1">
        <f t="array" aca="1" ref="F180" ca="1">INDEX('OD flujo mercancia carretera'!E$45:E$1646,MATCH(C180&amp;D180,'OD flujo mercancia carretera'!C$45:C$1646&amp;'OD flujo mercancia carretera'!D$45:D$1646,0))</f>
        <v>356650.76666666666</v>
      </c>
      <c r="G180" s="11" cm="1">
        <f t="array" aca="1" ref="G180" ca="1">INDEX('Coste Carretera'!E$46:E$1646,MATCH(C180&amp;D180,'Coste Carretera'!C$46:C$1646&amp;'Coste Carretera'!D$46:D$1646,0))</f>
        <v>721603414.25999999</v>
      </c>
      <c r="H180" s="11" cm="1">
        <f t="array" aca="1" ref="H180" ca="1">INDEX('Coste multimodal'!E$46:E$1646,MATCH(C180&amp;D180,'Coste multimodal'!C$46:C$1646&amp;'Coste multimodal'!D$46:D$1646,0))</f>
        <v>295963436.07522225</v>
      </c>
      <c r="I180" s="12" cm="1">
        <f t="array" aca="1" ref="I180" ca="1">INDEX('Tiempos intermodal (horas)'!E$45:E$1645,MATCH(C180&amp;D180,'Tiempos intermodal (horas)'!C$45:C$1645&amp;'Tiempos intermodal (horas)'!D$45:D$1645,0))</f>
        <v>30.053993369345907</v>
      </c>
      <c r="J180" s="2" cm="1">
        <f t="array" aca="1" ref="J180" ca="1">INDEX('Tiempos carretera (horas)'!E$45:E$1645,MATCH(C180&amp;D180,'Tiempos carretera (horas)'!C$45:C$1645&amp;'Tiempos carretera (horas)'!D$45:D$1645,0))</f>
        <v>3.66</v>
      </c>
      <c r="K180" s="12">
        <f t="shared" ca="1" si="12"/>
        <v>2.0232773393542871</v>
      </c>
      <c r="L180" s="12">
        <f t="shared" ca="1" si="13"/>
        <v>18.024747123333874</v>
      </c>
      <c r="M180" s="12">
        <f t="shared" ca="1" si="14"/>
        <v>4.4012683486268793E-2</v>
      </c>
      <c r="N180" s="13">
        <f t="shared" ca="1" si="15"/>
        <v>-16.001469783979587</v>
      </c>
      <c r="O180" s="13">
        <f t="shared" ca="1" si="16"/>
        <v>-26.393993369345907</v>
      </c>
      <c r="P180" s="12">
        <f t="shared" ca="1" si="17"/>
        <v>3.0782667922877494</v>
      </c>
    </row>
    <row r="181" spans="1:16" x14ac:dyDescent="0.25">
      <c r="A181">
        <v>24</v>
      </c>
      <c r="B181">
        <v>29</v>
      </c>
      <c r="C181" s="2" t="s">
        <v>23</v>
      </c>
      <c r="D181" s="2" t="s">
        <v>147</v>
      </c>
      <c r="E181" s="11" cm="1">
        <f t="array" aca="1" ref="E181" ca="1">INDEX('OD flujo mercancia multimodal'!E$45:E$1645,MATCH(C181&amp;D181,'OD flujo mercancia multimodal'!C$45:C$1645&amp;'OD flujo mercancia multimodal'!D$45:D$1645,0))</f>
        <v>40286.761538461542</v>
      </c>
      <c r="F181" s="11" cm="1">
        <f t="array" aca="1" ref="F181" ca="1">INDEX('OD flujo mercancia carretera'!E$45:E$1646,MATCH(C181&amp;D181,'OD flujo mercancia carretera'!C$45:C$1646&amp;'OD flujo mercancia carretera'!D$45:D$1646,0))</f>
        <v>443422.4</v>
      </c>
      <c r="G181" s="11" cm="1">
        <f t="array" aca="1" ref="G181" ca="1">INDEX('Coste Carretera'!E$46:E$1646,MATCH(C181&amp;D181,'Coste Carretera'!C$46:C$1646&amp;'Coste Carretera'!D$46:D$1646,0))</f>
        <v>1011381422.248</v>
      </c>
      <c r="H181" s="11" cm="1">
        <f t="array" aca="1" ref="H181" ca="1">INDEX('Coste multimodal'!E$46:E$1646,MATCH(C181&amp;D181,'Coste multimodal'!C$46:C$1646&amp;'Coste multimodal'!D$46:D$1646,0))</f>
        <v>595641432.91467559</v>
      </c>
      <c r="I181" s="12" cm="1">
        <f t="array" aca="1" ref="I181" ca="1">INDEX('Tiempos intermodal (horas)'!E$45:E$1645,MATCH(C181&amp;D181,'Tiempos intermodal (horas)'!C$45:C$1645&amp;'Tiempos intermodal (horas)'!D$45:D$1645,0))</f>
        <v>31.309548924901463</v>
      </c>
      <c r="J181" s="2" cm="1">
        <f t="array" aca="1" ref="J181" ca="1">INDEX('Tiempos carretera (horas)'!E$45:E$1645,MATCH(C181&amp;D181,'Tiempos carretera (horas)'!C$45:C$1645&amp;'Tiempos carretera (horas)'!D$45:D$1645,0))</f>
        <v>4.88</v>
      </c>
      <c r="K181" s="12">
        <f t="shared" ca="1" si="12"/>
        <v>2.2808532501921417</v>
      </c>
      <c r="L181" s="12">
        <f t="shared" ca="1" si="13"/>
        <v>14.785041293180642</v>
      </c>
      <c r="M181" s="12">
        <f t="shared" ca="1" si="14"/>
        <v>8.3287158362532254E-2</v>
      </c>
      <c r="N181" s="13">
        <f t="shared" ca="1" si="15"/>
        <v>-12.504188042988501</v>
      </c>
      <c r="O181" s="13">
        <f t="shared" ca="1" si="16"/>
        <v>-26.429548924901464</v>
      </c>
      <c r="P181" s="12">
        <f t="shared" ca="1" si="17"/>
        <v>2.3984998974446836</v>
      </c>
    </row>
    <row r="182" spans="1:16" x14ac:dyDescent="0.25">
      <c r="A182">
        <v>29</v>
      </c>
      <c r="B182">
        <v>24</v>
      </c>
      <c r="C182" s="2" t="s">
        <v>147</v>
      </c>
      <c r="D182" s="2" t="s">
        <v>23</v>
      </c>
      <c r="E182" s="11" cm="1">
        <f t="array" aca="1" ref="E182" ca="1">INDEX('OD flujo mercancia multimodal'!E$45:E$1645,MATCH(C182&amp;D182,'OD flujo mercancia multimodal'!C$45:C$1645&amp;'OD flujo mercancia multimodal'!D$45:D$1645,0))</f>
        <v>30862.876923076918</v>
      </c>
      <c r="F182" s="11" cm="1">
        <f t="array" aca="1" ref="F182" ca="1">INDEX('OD flujo mercancia carretera'!E$45:E$1646,MATCH(C182&amp;D182,'OD flujo mercancia carretera'!C$45:C$1646&amp;'OD flujo mercancia carretera'!D$45:D$1646,0))</f>
        <v>430312.76666666666</v>
      </c>
      <c r="G182" s="11" cm="1">
        <f t="array" aca="1" ref="G182" ca="1">INDEX('Coste Carretera'!E$46:E$1646,MATCH(C182&amp;D182,'Coste Carretera'!C$46:C$1646&amp;'Coste Carretera'!D$46:D$1646,0))</f>
        <v>774798945.4879998</v>
      </c>
      <c r="H182" s="11" cm="1">
        <f t="array" aca="1" ref="H182" ca="1">INDEX('Coste multimodal'!E$46:E$1646,MATCH(C182&amp;D182,'Coste multimodal'!C$46:C$1646&amp;'Coste multimodal'!D$46:D$1646,0))</f>
        <v>595641432.91467559</v>
      </c>
      <c r="I182" s="12" cm="1">
        <f t="array" aca="1" ref="I182" ca="1">INDEX('Tiempos intermodal (horas)'!E$45:E$1645,MATCH(C182&amp;D182,'Tiempos intermodal (horas)'!C$45:C$1645&amp;'Tiempos intermodal (horas)'!D$45:D$1645,0))</f>
        <v>31.309548924901463</v>
      </c>
      <c r="J182" s="2" cm="1">
        <f t="array" aca="1" ref="J182" ca="1">INDEX('Tiempos carretera (horas)'!E$45:E$1645,MATCH(C182&amp;D182,'Tiempos carretera (horas)'!C$45:C$1645&amp;'Tiempos carretera (horas)'!D$45:D$1645,0))</f>
        <v>4.88</v>
      </c>
      <c r="K182" s="12">
        <f t="shared" ca="1" si="12"/>
        <v>1.800548358092714</v>
      </c>
      <c r="L182" s="12">
        <f t="shared" ca="1" si="13"/>
        <v>19.299608212133332</v>
      </c>
      <c r="M182" s="12">
        <f t="shared" ca="1" si="14"/>
        <v>6.6922174559878034E-2</v>
      </c>
      <c r="N182" s="13">
        <f t="shared" ca="1" si="15"/>
        <v>-17.499059854040617</v>
      </c>
      <c r="O182" s="13">
        <f t="shared" ca="1" si="16"/>
        <v>-26.429548924901464</v>
      </c>
      <c r="P182" s="12">
        <f t="shared" ca="1" si="17"/>
        <v>2.6349582410513279</v>
      </c>
    </row>
    <row r="183" spans="1:16" x14ac:dyDescent="0.25">
      <c r="A183">
        <v>38</v>
      </c>
      <c r="B183">
        <v>39</v>
      </c>
      <c r="C183" s="2" t="s">
        <v>37</v>
      </c>
      <c r="D183" s="2" t="s">
        <v>38</v>
      </c>
      <c r="E183" s="11" cm="1">
        <f t="array" aca="1" ref="E183" ca="1">INDEX('OD flujo mercancia multimodal'!E$45:E$1645,MATCH(C183&amp;D183,'OD flujo mercancia multimodal'!C$45:C$1645&amp;'OD flujo mercancia multimodal'!D$45:D$1645,0))</f>
        <v>3199.3846153846198</v>
      </c>
      <c r="F183" s="11" cm="1">
        <f t="array" aca="1" ref="F183" ca="1">INDEX('OD flujo mercancia carretera'!E$45:E$1646,MATCH(C183&amp;D183,'OD flujo mercancia carretera'!C$45:C$1646&amp;'OD flujo mercancia carretera'!D$45:D$1646,0))</f>
        <v>96671.534798534805</v>
      </c>
      <c r="G183" s="11" cm="1">
        <f t="array" aca="1" ref="G183" ca="1">INDEX('Coste Carretera'!E$46:E$1646,MATCH(C183&amp;D183,'Coste Carretera'!C$46:C$1646&amp;'Coste Carretera'!D$46:D$1646,0))</f>
        <v>50629385.039999999</v>
      </c>
      <c r="H183" s="11" cm="1">
        <f t="array" aca="1" ref="H183" ca="1">INDEX('Coste multimodal'!E$46:E$1646,MATCH(C183&amp;D183,'Coste multimodal'!C$46:C$1646&amp;'Coste multimodal'!D$46:D$1646,0))</f>
        <v>214172318.3270098</v>
      </c>
      <c r="I183" s="12" cm="1">
        <f t="array" aca="1" ref="I183" ca="1">INDEX('Tiempos intermodal (horas)'!E$45:E$1645,MATCH(C183&amp;D183,'Tiempos intermodal (horas)'!C$45:C$1645&amp;'Tiempos intermodal (horas)'!D$45:D$1645,0))</f>
        <v>30.482249047924874</v>
      </c>
      <c r="J183" s="2" cm="1">
        <f t="array" aca="1" ref="J183" ca="1">INDEX('Tiempos carretera (horas)'!E$45:E$1645,MATCH(C183&amp;D183,'Tiempos carretera (horas)'!C$45:C$1645&amp;'Tiempos carretera (horas)'!D$45:D$1645,0))</f>
        <v>4.92</v>
      </c>
      <c r="K183" s="12">
        <f t="shared" ca="1" si="12"/>
        <v>0.52372588420689226</v>
      </c>
      <c r="L183" s="12">
        <f t="shared" ca="1" si="13"/>
        <v>66.94172288543767</v>
      </c>
      <c r="M183" s="12">
        <f t="shared" ca="1" si="14"/>
        <v>3.20351973743691E-2</v>
      </c>
      <c r="N183" s="13">
        <f t="shared" ca="1" si="15"/>
        <v>-66.417997001230773</v>
      </c>
      <c r="O183" s="13">
        <f t="shared" ca="1" si="16"/>
        <v>-25.562249047924873</v>
      </c>
      <c r="P183" s="12">
        <f t="shared" ca="1" si="17"/>
        <v>3.4083605094093521</v>
      </c>
    </row>
    <row r="184" spans="1:16" x14ac:dyDescent="0.25">
      <c r="A184">
        <v>39</v>
      </c>
      <c r="B184">
        <v>41</v>
      </c>
      <c r="C184" s="2" t="s">
        <v>38</v>
      </c>
      <c r="D184" s="2" t="s">
        <v>40</v>
      </c>
      <c r="E184" s="11" cm="1">
        <f t="array" aca="1" ref="E184" ca="1">INDEX('OD flujo mercancia multimodal'!E$45:E$1645,MATCH(C184&amp;D184,'OD flujo mercancia multimodal'!C$45:C$1645&amp;'OD flujo mercancia multimodal'!D$45:D$1645,0))</f>
        <v>22104.692307692301</v>
      </c>
      <c r="F184" s="11" cm="1">
        <f t="array" aca="1" ref="F184" ca="1">INDEX('OD flujo mercancia carretera'!E$45:E$1646,MATCH(C184&amp;D184,'OD flujo mercancia carretera'!C$45:C$1646&amp;'OD flujo mercancia carretera'!D$45:D$1646,0))</f>
        <v>26169.184981685008</v>
      </c>
      <c r="G184" s="11" cm="1">
        <f t="array" aca="1" ref="G184" ca="1">INDEX('Coste Carretera'!E$46:E$1646,MATCH(C184&amp;D184,'Coste Carretera'!C$46:C$1646&amp;'Coste Carretera'!D$46:D$1646,0))</f>
        <v>135986674.71999997</v>
      </c>
      <c r="H184" s="11" cm="1">
        <f t="array" aca="1" ref="H184" ca="1">INDEX('Coste multimodal'!E$46:E$1646,MATCH(C184&amp;D184,'Coste multimodal'!C$46:C$1646&amp;'Coste multimodal'!D$46:D$1646,0))</f>
        <v>0</v>
      </c>
      <c r="I184" s="12" cm="1">
        <f t="array" aca="1" ref="I184" ca="1">INDEX('Tiempos intermodal (horas)'!E$45:E$1645,MATCH(C184&amp;D184,'Tiempos intermodal (horas)'!C$45:C$1645&amp;'Tiempos intermodal (horas)'!D$45:D$1645,0))</f>
        <v>0</v>
      </c>
      <c r="J184" s="2" cm="1">
        <f t="array" aca="1" ref="J184" ca="1">INDEX('Tiempos carretera (horas)'!E$45:E$1645,MATCH(C184&amp;D184,'Tiempos carretera (horas)'!C$45:C$1645&amp;'Tiempos carretera (horas)'!D$45:D$1645,0))</f>
        <v>1.85</v>
      </c>
      <c r="K184" s="12">
        <f t="shared" ref="K184:K245" ca="1" si="18">G184/(F184*1000)</f>
        <v>5.1964428703137973</v>
      </c>
      <c r="L184" s="12">
        <f t="shared" ref="L184:L245" ca="1" si="19">H184/(E184*1000)</f>
        <v>0</v>
      </c>
      <c r="M184" s="12">
        <f t="shared" ref="M184:M245" ca="1" si="20">E184/(E184+F184)</f>
        <v>0.4579017379355283</v>
      </c>
      <c r="N184" s="13">
        <f t="shared" ca="1" si="15"/>
        <v>5.1964428703137973</v>
      </c>
      <c r="O184" s="13">
        <f t="shared" ca="1" si="16"/>
        <v>1.85</v>
      </c>
      <c r="P184" s="12">
        <f t="shared" ref="P184:P245" ca="1" si="21">LN(1/M184-1)</f>
        <v>0.16879266522593397</v>
      </c>
    </row>
    <row r="185" spans="1:16" x14ac:dyDescent="0.25">
      <c r="A185">
        <v>41</v>
      </c>
      <c r="B185">
        <v>39</v>
      </c>
      <c r="C185" s="2" t="s">
        <v>40</v>
      </c>
      <c r="D185" s="2" t="s">
        <v>38</v>
      </c>
      <c r="E185" s="11" cm="1">
        <f t="array" aca="1" ref="E185" ca="1">INDEX('OD flujo mercancia multimodal'!E$45:E$1645,MATCH(C185&amp;D185,'OD flujo mercancia multimodal'!C$45:C$1645&amp;'OD flujo mercancia multimodal'!D$45:D$1645,0))</f>
        <v>10856.538461538465</v>
      </c>
      <c r="F185" s="11" cm="1">
        <f t="array" aca="1" ref="F185" ca="1">INDEX('OD flujo mercancia carretera'!E$45:E$1646,MATCH(C185&amp;D185,'OD flujo mercancia carretera'!C$45:C$1646&amp;'OD flujo mercancia carretera'!D$45:D$1646,0))</f>
        <v>157951.34249084251</v>
      </c>
      <c r="G185" s="11" cm="1">
        <f t="array" aca="1" ref="G185" ca="1">INDEX('Coste Carretera'!E$46:E$1646,MATCH(C185&amp;D185,'Coste Carretera'!C$46:C$1646&amp;'Coste Carretera'!D$46:D$1646,0))</f>
        <v>43830416.519999996</v>
      </c>
      <c r="H185" s="11" cm="1">
        <f t="array" aca="1" ref="H185" ca="1">INDEX('Coste multimodal'!E$46:E$1646,MATCH(C185&amp;D185,'Coste multimodal'!C$46:C$1646&amp;'Coste multimodal'!D$46:D$1646,0))</f>
        <v>2828407.2319999998</v>
      </c>
      <c r="I185" s="12" cm="1">
        <f t="array" aca="1" ref="I185" ca="1">INDEX('Tiempos intermodal (horas)'!E$45:E$1645,MATCH(C185&amp;D185,'Tiempos intermodal (horas)'!C$45:C$1645&amp;'Tiempos intermodal (horas)'!D$45:D$1645,0))</f>
        <v>28.433360159035985</v>
      </c>
      <c r="J185" s="2" cm="1">
        <f t="array" aca="1" ref="J185" ca="1">INDEX('Tiempos carretera (horas)'!E$45:E$1645,MATCH(C185&amp;D185,'Tiempos carretera (horas)'!C$45:C$1645&amp;'Tiempos carretera (horas)'!D$45:D$1645,0))</f>
        <v>2.96</v>
      </c>
      <c r="K185" s="12">
        <f t="shared" ca="1" si="18"/>
        <v>0.27749315598593999</v>
      </c>
      <c r="L185" s="12">
        <f t="shared" ca="1" si="19"/>
        <v>0.26052569536968145</v>
      </c>
      <c r="M185" s="12">
        <f t="shared" ca="1" si="20"/>
        <v>6.4312983495130691E-2</v>
      </c>
      <c r="N185" s="13">
        <f t="shared" ca="1" si="15"/>
        <v>1.6967460616258534E-2</v>
      </c>
      <c r="O185" s="13">
        <f t="shared" ca="1" si="16"/>
        <v>-25.473360159035984</v>
      </c>
      <c r="P185" s="12">
        <f t="shared" ca="1" si="21"/>
        <v>2.6775195050138607</v>
      </c>
    </row>
    <row r="186" spans="1:16" x14ac:dyDescent="0.25">
      <c r="A186">
        <v>25</v>
      </c>
      <c r="B186">
        <v>29</v>
      </c>
      <c r="C186" s="2" t="s">
        <v>24</v>
      </c>
      <c r="D186" s="2" t="s">
        <v>147</v>
      </c>
      <c r="E186" s="11" cm="1">
        <f t="array" aca="1" ref="E186" ca="1">INDEX('OD flujo mercancia multimodal'!E$45:E$1645,MATCH(C186&amp;D186,'OD flujo mercancia multimodal'!C$45:C$1645&amp;'OD flujo mercancia multimodal'!D$45:D$1645,0))</f>
        <v>40248.607692307698</v>
      </c>
      <c r="F186" s="11" cm="1">
        <f t="array" aca="1" ref="F186" ca="1">INDEX('OD flujo mercancia carretera'!E$45:E$1646,MATCH(C186&amp;D186,'OD flujo mercancia carretera'!C$45:C$1646&amp;'OD flujo mercancia carretera'!D$45:D$1646,0))</f>
        <v>426376.73333333334</v>
      </c>
      <c r="G186" s="11" cm="1">
        <f t="array" aca="1" ref="G186" ca="1">INDEX('Coste Carretera'!E$46:E$1646,MATCH(C186&amp;D186,'Coste Carretera'!C$46:C$1646&amp;'Coste Carretera'!D$46:D$1646,0))</f>
        <v>710255910.33600008</v>
      </c>
      <c r="H186" s="11" cm="1">
        <f t="array" aca="1" ref="H186" ca="1">INDEX('Coste multimodal'!E$46:E$1646,MATCH(C186&amp;D186,'Coste multimodal'!C$46:C$1646&amp;'Coste multimodal'!D$46:D$1646,0))</f>
        <v>571123466.77467561</v>
      </c>
      <c r="I186" s="12" cm="1">
        <f t="array" aca="1" ref="I186" ca="1">INDEX('Tiempos intermodal (horas)'!E$45:E$1645,MATCH(C186&amp;D186,'Tiempos intermodal (horas)'!C$45:C$1645&amp;'Tiempos intermodal (horas)'!D$45:D$1645,0))</f>
        <v>29.970660036012571</v>
      </c>
      <c r="J186" s="2" cm="1">
        <f t="array" aca="1" ref="J186" ca="1">INDEX('Tiempos carretera (horas)'!E$45:E$1645,MATCH(C186&amp;D186,'Tiempos carretera (horas)'!C$45:C$1645&amp;'Tiempos carretera (horas)'!D$45:D$1645,0))</f>
        <v>3.33</v>
      </c>
      <c r="K186" s="12">
        <f t="shared" ca="1" si="18"/>
        <v>1.6657942490983328</v>
      </c>
      <c r="L186" s="12">
        <f t="shared" ca="1" si="19"/>
        <v>14.189893750879452</v>
      </c>
      <c r="M186" s="12">
        <f t="shared" ca="1" si="20"/>
        <v>8.6254654759729474E-2</v>
      </c>
      <c r="N186" s="13">
        <f t="shared" ca="1" si="15"/>
        <v>-12.524099501781119</v>
      </c>
      <c r="O186" s="13">
        <f t="shared" ca="1" si="16"/>
        <v>-26.640660036012569</v>
      </c>
      <c r="P186" s="12">
        <f t="shared" ca="1" si="21"/>
        <v>2.3602478942387339</v>
      </c>
    </row>
    <row r="187" spans="1:16" x14ac:dyDescent="0.25">
      <c r="A187">
        <v>29</v>
      </c>
      <c r="B187">
        <v>25</v>
      </c>
      <c r="C187" s="2" t="s">
        <v>147</v>
      </c>
      <c r="D187" s="2" t="s">
        <v>24</v>
      </c>
      <c r="E187" s="11" cm="1">
        <f t="array" aca="1" ref="E187" ca="1">INDEX('OD flujo mercancia multimodal'!E$45:E$1645,MATCH(C187&amp;D187,'OD flujo mercancia multimodal'!C$45:C$1645&amp;'OD flujo mercancia multimodal'!D$45:D$1645,0))</f>
        <v>28467.492307692308</v>
      </c>
      <c r="F187" s="11" cm="1">
        <f t="array" aca="1" ref="F187" ca="1">INDEX('OD flujo mercancia carretera'!E$45:E$1646,MATCH(C187&amp;D187,'OD flujo mercancia carretera'!C$45:C$1646&amp;'OD flujo mercancia carretera'!D$45:D$1646,0))</f>
        <v>423260.43333333329</v>
      </c>
      <c r="G187" s="11" cm="1">
        <f t="array" aca="1" ref="G187" ca="1">INDEX('Coste Carretera'!E$46:E$1646,MATCH(C187&amp;D187,'Coste Carretera'!C$46:C$1646&amp;'Coste Carretera'!D$46:D$1646,0))</f>
        <v>502357865.85600001</v>
      </c>
      <c r="H187" s="11" cm="1">
        <f t="array" aca="1" ref="H187" ca="1">INDEX('Coste multimodal'!E$46:E$1646,MATCH(C187&amp;D187,'Coste multimodal'!C$46:C$1646&amp;'Coste multimodal'!D$46:D$1646,0))</f>
        <v>571123466.77467561</v>
      </c>
      <c r="I187" s="12" cm="1">
        <f t="array" aca="1" ref="I187" ca="1">INDEX('Tiempos intermodal (horas)'!E$45:E$1645,MATCH(C187&amp;D187,'Tiempos intermodal (horas)'!C$45:C$1645&amp;'Tiempos intermodal (horas)'!D$45:D$1645,0))</f>
        <v>29.970660036012571</v>
      </c>
      <c r="J187" s="2" cm="1">
        <f t="array" aca="1" ref="J187" ca="1">INDEX('Tiempos carretera (horas)'!E$45:E$1645,MATCH(C187&amp;D187,'Tiempos carretera (horas)'!C$45:C$1645&amp;'Tiempos carretera (horas)'!D$45:D$1645,0))</f>
        <v>3.33</v>
      </c>
      <c r="K187" s="12">
        <f t="shared" ca="1" si="18"/>
        <v>1.1868765098115717</v>
      </c>
      <c r="L187" s="12">
        <f t="shared" ca="1" si="19"/>
        <v>20.062303367000478</v>
      </c>
      <c r="M187" s="12">
        <f t="shared" ca="1" si="20"/>
        <v>6.3019111044099047E-2</v>
      </c>
      <c r="N187" s="13">
        <f t="shared" ca="1" si="15"/>
        <v>-18.875426857188906</v>
      </c>
      <c r="O187" s="13">
        <f t="shared" ca="1" si="16"/>
        <v>-26.640660036012569</v>
      </c>
      <c r="P187" s="12">
        <f t="shared" ca="1" si="21"/>
        <v>2.6992248557422669</v>
      </c>
    </row>
    <row r="188" spans="1:16" x14ac:dyDescent="0.25">
      <c r="A188">
        <v>30</v>
      </c>
      <c r="B188">
        <v>29</v>
      </c>
      <c r="C188" s="2" t="s">
        <v>146</v>
      </c>
      <c r="D188" s="2" t="s">
        <v>147</v>
      </c>
      <c r="E188" s="11" cm="1">
        <f t="array" aca="1" ref="E188" ca="1">INDEX('OD flujo mercancia multimodal'!E$45:E$1645,MATCH(C188&amp;D188,'OD flujo mercancia multimodal'!C$45:C$1645&amp;'OD flujo mercancia multimodal'!D$45:D$1645,0))</f>
        <v>38383.607692307698</v>
      </c>
      <c r="F188" s="11" cm="1">
        <f t="array" aca="1" ref="F188" ca="1">INDEX('OD flujo mercancia carretera'!E$45:E$1646,MATCH(C188&amp;D188,'OD flujo mercancia carretera'!C$45:C$1646&amp;'OD flujo mercancia carretera'!D$45:D$1646,0))</f>
        <v>586139.20000000007</v>
      </c>
      <c r="G188" s="11" cm="1">
        <f t="array" aca="1" ref="G188" ca="1">INDEX('Coste Carretera'!E$46:E$1646,MATCH(C188&amp;D188,'Coste Carretera'!C$46:C$1646&amp;'Coste Carretera'!D$46:D$1646,0))</f>
        <v>1054017787.6799999</v>
      </c>
      <c r="H188" s="11" cm="1">
        <f t="array" aca="1" ref="H188" ca="1">INDEX('Coste multimodal'!E$46:E$1646,MATCH(C188&amp;D188,'Coste multimodal'!C$46:C$1646&amp;'Coste multimodal'!D$46:D$1646,0))</f>
        <v>217493244.28322232</v>
      </c>
      <c r="I188" s="12" cm="1">
        <f t="array" aca="1" ref="I188" ca="1">INDEX('Tiempos intermodal (horas)'!E$45:E$1645,MATCH(C188&amp;D188,'Tiempos intermodal (horas)'!C$45:C$1645&amp;'Tiempos intermodal (horas)'!D$45:D$1645,0))</f>
        <v>47.802862798833992</v>
      </c>
      <c r="J188" s="2" cm="1">
        <f t="array" aca="1" ref="J188" ca="1">INDEX('Tiempos carretera (horas)'!E$45:E$1645,MATCH(C188&amp;D188,'Tiempos carretera (horas)'!C$45:C$1645&amp;'Tiempos carretera (horas)'!D$45:D$1645,0))</f>
        <v>3.8</v>
      </c>
      <c r="K188" s="12">
        <f t="shared" ca="1" si="18"/>
        <v>1.798238008445775</v>
      </c>
      <c r="L188" s="12">
        <f t="shared" ca="1" si="19"/>
        <v>5.6663054194045772</v>
      </c>
      <c r="M188" s="12">
        <f t="shared" ca="1" si="20"/>
        <v>6.1460698023407784E-2</v>
      </c>
      <c r="N188" s="13">
        <f t="shared" ca="1" si="15"/>
        <v>-3.868067410958802</v>
      </c>
      <c r="O188" s="13">
        <f t="shared" ca="1" si="16"/>
        <v>-44.002862798833995</v>
      </c>
      <c r="P188" s="12">
        <f t="shared" ca="1" si="21"/>
        <v>2.7259268185899685</v>
      </c>
    </row>
    <row r="189" spans="1:16" x14ac:dyDescent="0.25">
      <c r="A189">
        <v>29</v>
      </c>
      <c r="B189">
        <v>30</v>
      </c>
      <c r="C189" s="2" t="s">
        <v>147</v>
      </c>
      <c r="D189" s="2" t="s">
        <v>146</v>
      </c>
      <c r="E189" s="11" cm="1">
        <f t="array" aca="1" ref="E189" ca="1">INDEX('OD flujo mercancia multimodal'!E$45:E$1645,MATCH(C189&amp;D189,'OD flujo mercancia multimodal'!C$45:C$1645&amp;'OD flujo mercancia multimodal'!D$45:D$1645,0))</f>
        <v>31033.1</v>
      </c>
      <c r="F189" s="11" cm="1">
        <f t="array" aca="1" ref="F189" ca="1">INDEX('OD flujo mercancia carretera'!E$45:E$1646,MATCH(C189&amp;D189,'OD flujo mercancia carretera'!C$45:C$1646&amp;'OD flujo mercancia carretera'!D$45:D$1646,0))</f>
        <v>592195.19999999995</v>
      </c>
      <c r="G189" s="11" cm="1">
        <f t="array" aca="1" ref="G189" ca="1">INDEX('Coste Carretera'!E$46:E$1646,MATCH(C189&amp;D189,'Coste Carretera'!C$46:C$1646&amp;'Coste Carretera'!D$46:D$1646,0))</f>
        <v>1188458614.98</v>
      </c>
      <c r="H189" s="11" cm="1">
        <f t="array" aca="1" ref="H189" ca="1">INDEX('Coste multimodal'!E$46:E$1646,MATCH(C189&amp;D189,'Coste multimodal'!C$46:C$1646&amp;'Coste multimodal'!D$46:D$1646,0))</f>
        <v>217493244.28322232</v>
      </c>
      <c r="I189" s="12" cm="1">
        <f t="array" aca="1" ref="I189" ca="1">INDEX('Tiempos intermodal (horas)'!E$45:E$1645,MATCH(C189&amp;D189,'Tiempos intermodal (horas)'!C$45:C$1645&amp;'Tiempos intermodal (horas)'!D$45:D$1645,0))</f>
        <v>47.802862798833992</v>
      </c>
      <c r="J189" s="2" cm="1">
        <f t="array" aca="1" ref="J189" ca="1">INDEX('Tiempos carretera (horas)'!E$45:E$1645,MATCH(C189&amp;D189,'Tiempos carretera (horas)'!C$45:C$1645&amp;'Tiempos carretera (horas)'!D$45:D$1645,0))</f>
        <v>3.8</v>
      </c>
      <c r="K189" s="12">
        <f t="shared" ca="1" si="18"/>
        <v>2.0068697196127223</v>
      </c>
      <c r="L189" s="12">
        <f t="shared" ca="1" si="19"/>
        <v>7.0084279135253107</v>
      </c>
      <c r="M189" s="12">
        <f t="shared" ca="1" si="20"/>
        <v>4.979411236620674E-2</v>
      </c>
      <c r="N189" s="13">
        <f t="shared" ca="1" si="15"/>
        <v>-5.0015581939125884</v>
      </c>
      <c r="O189" s="13">
        <f t="shared" ca="1" si="16"/>
        <v>-44.002862798833995</v>
      </c>
      <c r="P189" s="12">
        <f t="shared" ca="1" si="21"/>
        <v>2.9487819334751815</v>
      </c>
    </row>
    <row r="190" spans="1:16" x14ac:dyDescent="0.25">
      <c r="A190">
        <v>1</v>
      </c>
      <c r="B190">
        <v>27</v>
      </c>
      <c r="C190" s="2" t="s">
        <v>0</v>
      </c>
      <c r="D190" s="2" t="s">
        <v>145</v>
      </c>
      <c r="E190" s="11" cm="1">
        <f t="array" aca="1" ref="E190" ca="1">INDEX('OD flujo mercancia multimodal'!E$45:E$1645,MATCH(C190&amp;D190,'OD flujo mercancia multimodal'!C$45:C$1645&amp;'OD flujo mercancia multimodal'!D$45:D$1645,0))</f>
        <v>145104.07142857142</v>
      </c>
      <c r="F190" s="11" cm="1">
        <f t="array" aca="1" ref="F190" ca="1">INDEX('OD flujo mercancia carretera'!E$45:E$1646,MATCH(C190&amp;D190,'OD flujo mercancia carretera'!C$45:C$1646&amp;'OD flujo mercancia carretera'!D$45:D$1646,0))</f>
        <v>464592.1</v>
      </c>
      <c r="G190" s="11" cm="1">
        <f t="array" aca="1" ref="G190" ca="1">INDEX('Coste Carretera'!E$46:E$1646,MATCH(C190&amp;D190,'Coste Carretera'!C$46:C$1646&amp;'Coste Carretera'!D$46:D$1646,0))</f>
        <v>2591094382.6857142</v>
      </c>
      <c r="H190" s="11" cm="1">
        <f t="array" aca="1" ref="H190" ca="1">INDEX('Coste multimodal'!E$46:E$1646,MATCH(C190&amp;D190,'Coste multimodal'!C$46:C$1646&amp;'Coste multimodal'!D$46:D$1646,0))</f>
        <v>1399247178.8178599</v>
      </c>
      <c r="I190" s="12" cm="1">
        <f t="array" aca="1" ref="I190" ca="1">INDEX('Tiempos intermodal (horas)'!E$45:E$1645,MATCH(C190&amp;D190,'Tiempos intermodal (horas)'!C$45:C$1645&amp;'Tiempos intermodal (horas)'!D$45:D$1645,0))</f>
        <v>27.340289566910663</v>
      </c>
      <c r="J190" s="2" cm="1">
        <f t="array" aca="1" ref="J190" ca="1">INDEX('Tiempos carretera (horas)'!E$45:E$1645,MATCH(C190&amp;D190,'Tiempos carretera (horas)'!C$45:C$1645&amp;'Tiempos carretera (horas)'!D$45:D$1645,0))</f>
        <v>4.63</v>
      </c>
      <c r="K190" s="12">
        <f t="shared" ca="1" si="18"/>
        <v>5.577138273951955</v>
      </c>
      <c r="L190" s="12">
        <f t="shared" ca="1" si="19"/>
        <v>9.64305939207674</v>
      </c>
      <c r="M190" s="12">
        <f t="shared" ca="1" si="20"/>
        <v>0.23799406692776157</v>
      </c>
      <c r="N190" s="13">
        <f t="shared" ca="1" si="15"/>
        <v>-4.065921118124785</v>
      </c>
      <c r="O190" s="13">
        <f t="shared" ca="1" si="16"/>
        <v>-22.710289566910664</v>
      </c>
      <c r="P190" s="12">
        <f t="shared" ca="1" si="21"/>
        <v>1.1637085973545804</v>
      </c>
    </row>
    <row r="191" spans="1:16" x14ac:dyDescent="0.25">
      <c r="A191">
        <v>27</v>
      </c>
      <c r="B191">
        <v>1</v>
      </c>
      <c r="C191" s="2" t="s">
        <v>145</v>
      </c>
      <c r="D191" s="2" t="s">
        <v>0</v>
      </c>
      <c r="E191" s="11" cm="1">
        <f t="array" aca="1" ref="E191" ca="1">INDEX('OD flujo mercancia multimodal'!E$45:E$1645,MATCH(C191&amp;D191,'OD flujo mercancia multimodal'!C$45:C$1645&amp;'OD flujo mercancia multimodal'!D$45:D$1645,0))</f>
        <v>125745.07142857141</v>
      </c>
      <c r="F191" s="11" cm="1">
        <f t="array" aca="1" ref="F191" ca="1">INDEX('OD flujo mercancia carretera'!E$45:E$1646,MATCH(C191&amp;D191,'OD flujo mercancia carretera'!C$45:C$1646&amp;'OD flujo mercancia carretera'!D$45:D$1646,0))</f>
        <v>468298.04615384614</v>
      </c>
      <c r="G191" s="11" cm="1">
        <f t="array" aca="1" ref="G191" ca="1">INDEX('Coste Carretera'!E$46:E$1646,MATCH(C191&amp;D191,'Coste Carretera'!C$46:C$1646&amp;'Coste Carretera'!D$46:D$1646,0))</f>
        <v>2245404591.485714</v>
      </c>
      <c r="H191" s="11" cm="1">
        <f t="array" aca="1" ref="H191" ca="1">INDEX('Coste multimodal'!E$46:E$1646,MATCH(C191&amp;D191,'Coste multimodal'!C$46:C$1646&amp;'Coste multimodal'!D$46:D$1646,0))</f>
        <v>1399247178.8178599</v>
      </c>
      <c r="I191" s="12" cm="1">
        <f t="array" aca="1" ref="I191" ca="1">INDEX('Tiempos intermodal (horas)'!E$45:E$1645,MATCH(C191&amp;D191,'Tiempos intermodal (horas)'!C$45:C$1645&amp;'Tiempos intermodal (horas)'!D$45:D$1645,0))</f>
        <v>27.340289566910663</v>
      </c>
      <c r="J191" s="2" cm="1">
        <f t="array" aca="1" ref="J191" ca="1">INDEX('Tiempos carretera (horas)'!E$45:E$1645,MATCH(C191&amp;D191,'Tiempos carretera (horas)'!C$45:C$1645&amp;'Tiempos carretera (horas)'!D$45:D$1645,0))</f>
        <v>4.63</v>
      </c>
      <c r="K191" s="12">
        <f t="shared" ca="1" si="18"/>
        <v>4.7948194743226615</v>
      </c>
      <c r="L191" s="12">
        <f t="shared" ca="1" si="19"/>
        <v>11.127650276239194</v>
      </c>
      <c r="M191" s="12">
        <f t="shared" ca="1" si="20"/>
        <v>0.21167667414499677</v>
      </c>
      <c r="N191" s="13">
        <f t="shared" ca="1" si="15"/>
        <v>-6.3328308019165327</v>
      </c>
      <c r="O191" s="13">
        <f t="shared" ca="1" si="16"/>
        <v>-22.710289566910664</v>
      </c>
      <c r="P191" s="12">
        <f t="shared" ca="1" si="21"/>
        <v>1.3148483291695385</v>
      </c>
    </row>
    <row r="192" spans="1:16" x14ac:dyDescent="0.25">
      <c r="A192">
        <v>2</v>
      </c>
      <c r="B192">
        <v>20</v>
      </c>
      <c r="C192" s="2" t="s">
        <v>1</v>
      </c>
      <c r="D192" s="2" t="s">
        <v>19</v>
      </c>
      <c r="E192" s="11" cm="1">
        <f t="array" aca="1" ref="E192" ca="1">INDEX('OD flujo mercancia multimodal'!E$45:E$1645,MATCH(C192&amp;D192,'OD flujo mercancia multimodal'!C$45:C$1645&amp;'OD flujo mercancia multimodal'!D$45:D$1645,0))</f>
        <v>64879.692307692298</v>
      </c>
      <c r="F192" s="11" cm="1">
        <f t="array" aca="1" ref="F192" ca="1">INDEX('OD flujo mercancia carretera'!E$45:E$1646,MATCH(C192&amp;D192,'OD flujo mercancia carretera'!C$45:C$1646&amp;'OD flujo mercancia carretera'!D$45:D$1646,0))</f>
        <v>101718.6666666667</v>
      </c>
      <c r="G192" s="11" cm="1">
        <f t="array" aca="1" ref="G192" ca="1">INDEX('Coste Carretera'!E$46:E$1646,MATCH(C192&amp;D192,'Coste Carretera'!C$46:C$1646&amp;'Coste Carretera'!D$46:D$1646,0))</f>
        <v>1161951171.04</v>
      </c>
      <c r="H192" s="11" cm="1">
        <f t="array" aca="1" ref="H192" ca="1">INDEX('Coste multimodal'!E$46:E$1646,MATCH(C192&amp;D192,'Coste multimodal'!C$46:C$1646&amp;'Coste multimodal'!D$46:D$1646,0))</f>
        <v>865558027.09643137</v>
      </c>
      <c r="I192" s="12" cm="1">
        <f t="array" aca="1" ref="I192" ca="1">INDEX('Tiempos intermodal (horas)'!E$45:E$1645,MATCH(C192&amp;D192,'Tiempos intermodal (horas)'!C$45:C$1645&amp;'Tiempos intermodal (horas)'!D$45:D$1645,0))</f>
        <v>26.271400678021774</v>
      </c>
      <c r="J192" s="2" cm="1">
        <f t="array" aca="1" ref="J192" ca="1">INDEX('Tiempos carretera (horas)'!E$45:E$1645,MATCH(C192&amp;D192,'Tiempos carretera (horas)'!C$45:C$1645&amp;'Tiempos carretera (horas)'!D$45:D$1645,0))</f>
        <v>3.55</v>
      </c>
      <c r="K192" s="12">
        <f t="shared" ca="1" si="18"/>
        <v>11.4231852335199</v>
      </c>
      <c r="L192" s="12">
        <f t="shared" ca="1" si="19"/>
        <v>13.340969975497382</v>
      </c>
      <c r="M192" s="12">
        <f t="shared" ca="1" si="20"/>
        <v>0.38943776341565206</v>
      </c>
      <c r="N192" s="13">
        <f t="shared" ca="1" si="15"/>
        <v>-1.9177847419774814</v>
      </c>
      <c r="O192" s="13">
        <f t="shared" ca="1" si="16"/>
        <v>-22.721400678021773</v>
      </c>
      <c r="P192" s="12">
        <f t="shared" ca="1" si="21"/>
        <v>0.4496761652774281</v>
      </c>
    </row>
    <row r="193" spans="1:16" x14ac:dyDescent="0.25">
      <c r="A193">
        <v>20</v>
      </c>
      <c r="B193">
        <v>2</v>
      </c>
      <c r="C193" s="2" t="s">
        <v>19</v>
      </c>
      <c r="D193" s="2" t="s">
        <v>1</v>
      </c>
      <c r="E193" s="11" cm="1">
        <f t="array" aca="1" ref="E193" ca="1">INDEX('OD flujo mercancia multimodal'!E$45:E$1645,MATCH(C193&amp;D193,'OD flujo mercancia multimodal'!C$45:C$1645&amp;'OD flujo mercancia multimodal'!D$45:D$1645,0))</f>
        <v>53189.840659340625</v>
      </c>
      <c r="F193" s="11" cm="1">
        <f t="array" aca="1" ref="F193" ca="1">INDEX('OD flujo mercancia carretera'!E$45:E$1646,MATCH(C193&amp;D193,'OD flujo mercancia carretera'!C$45:C$1646&amp;'OD flujo mercancia carretera'!D$45:D$1646,0))</f>
        <v>100516.56410256414</v>
      </c>
      <c r="G193" s="11" cm="1">
        <f t="array" aca="1" ref="G193" ca="1">INDEX('Coste Carretera'!E$46:E$1646,MATCH(C193&amp;D193,'Coste Carretera'!C$46:C$1646&amp;'Coste Carretera'!D$46:D$1646,0))</f>
        <v>952593877.1171422</v>
      </c>
      <c r="H193" s="11" cm="1">
        <f t="array" aca="1" ref="H193" ca="1">INDEX('Coste multimodal'!E$46:E$1646,MATCH(C193&amp;D193,'Coste multimodal'!C$46:C$1646&amp;'Coste multimodal'!D$46:D$1646,0))</f>
        <v>865558027.09643137</v>
      </c>
      <c r="I193" s="12" cm="1">
        <f t="array" aca="1" ref="I193" ca="1">INDEX('Tiempos intermodal (horas)'!E$45:E$1645,MATCH(C193&amp;D193,'Tiempos intermodal (horas)'!C$45:C$1645&amp;'Tiempos intermodal (horas)'!D$45:D$1645,0))</f>
        <v>26.271400678021774</v>
      </c>
      <c r="J193" s="2" cm="1">
        <f t="array" aca="1" ref="J193" ca="1">INDEX('Tiempos carretera (horas)'!E$45:E$1645,MATCH(C193&amp;D193,'Tiempos carretera (horas)'!C$45:C$1645&amp;'Tiempos carretera (horas)'!D$45:D$1645,0))</f>
        <v>3.55</v>
      </c>
      <c r="K193" s="12">
        <f t="shared" ca="1" si="18"/>
        <v>9.4769840734422974</v>
      </c>
      <c r="L193" s="12">
        <f t="shared" ca="1" si="19"/>
        <v>16.272995300737591</v>
      </c>
      <c r="M193" s="12">
        <f t="shared" ca="1" si="20"/>
        <v>0.34604830385391605</v>
      </c>
      <c r="N193" s="13">
        <f t="shared" ca="1" si="15"/>
        <v>-6.7960112272952937</v>
      </c>
      <c r="O193" s="13">
        <f t="shared" ca="1" si="16"/>
        <v>-22.721400678021773</v>
      </c>
      <c r="P193" s="12">
        <f t="shared" ca="1" si="21"/>
        <v>0.63645511779778374</v>
      </c>
    </row>
    <row r="194" spans="1:16" x14ac:dyDescent="0.25">
      <c r="A194">
        <v>1</v>
      </c>
      <c r="B194">
        <v>33</v>
      </c>
      <c r="C194" s="2" t="s">
        <v>0</v>
      </c>
      <c r="D194" s="2" t="s">
        <v>32</v>
      </c>
      <c r="E194" s="11" cm="1">
        <f t="array" aca="1" ref="E194" ca="1">INDEX('OD flujo mercancia multimodal'!E$45:E$1645,MATCH(C194&amp;D194,'OD flujo mercancia multimodal'!C$45:C$1645&amp;'OD flujo mercancia multimodal'!D$45:D$1645,0))</f>
        <v>149786.84065934064</v>
      </c>
      <c r="F194" s="11" cm="1">
        <f t="array" aca="1" ref="F194" ca="1">INDEX('OD flujo mercancia carretera'!E$45:E$1646,MATCH(C194&amp;D194,'OD flujo mercancia carretera'!C$45:C$1646&amp;'OD flujo mercancia carretera'!D$45:D$1646,0))</f>
        <v>147528.72307692311</v>
      </c>
      <c r="G194" s="11" cm="1">
        <f t="array" aca="1" ref="G194" ca="1">INDEX('Coste Carretera'!E$46:E$1646,MATCH(C194&amp;D194,'Coste Carretera'!C$46:C$1646&amp;'Coste Carretera'!D$46:D$1646,0))</f>
        <v>850224102.70857143</v>
      </c>
      <c r="H194" s="11" cm="1">
        <f t="array" aca="1" ref="H194" ca="1">INDEX('Coste multimodal'!E$46:E$1646,MATCH(C194&amp;D194,'Coste multimodal'!C$46:C$1646&amp;'Coste multimodal'!D$46:D$1646,0))</f>
        <v>570196985.0772934</v>
      </c>
      <c r="I194" s="12" cm="1">
        <f t="array" aca="1" ref="I194" ca="1">INDEX('Tiempos intermodal (horas)'!E$45:E$1645,MATCH(C194&amp;D194,'Tiempos intermodal (horas)'!C$45:C$1645&amp;'Tiempos intermodal (horas)'!D$45:D$1645,0))</f>
        <v>25.052679142765811</v>
      </c>
      <c r="J194" s="2" cm="1">
        <f t="array" aca="1" ref="J194" ca="1">INDEX('Tiempos carretera (horas)'!E$45:E$1645,MATCH(C194&amp;D194,'Tiempos carretera (horas)'!C$45:C$1645&amp;'Tiempos carretera (horas)'!D$45:D$1645,0))</f>
        <v>2.33</v>
      </c>
      <c r="K194" s="12">
        <f t="shared" ca="1" si="18"/>
        <v>5.7631089388962939</v>
      </c>
      <c r="L194" s="12">
        <f t="shared" ca="1" si="19"/>
        <v>3.8067228240302438</v>
      </c>
      <c r="M194" s="12">
        <f t="shared" ca="1" si="20"/>
        <v>0.50379750988148841</v>
      </c>
      <c r="N194" s="13">
        <f t="shared" ref="N194:N256" ca="1" si="22">K194-L194</f>
        <v>1.9563861148660502</v>
      </c>
      <c r="O194" s="13">
        <f t="shared" ref="O194:O256" ca="1" si="23">J194-I194</f>
        <v>-22.722679142765813</v>
      </c>
      <c r="P194" s="12">
        <f t="shared" ca="1" si="21"/>
        <v>-1.5190331611789665E-2</v>
      </c>
    </row>
    <row r="195" spans="1:16" x14ac:dyDescent="0.25">
      <c r="A195">
        <v>33</v>
      </c>
      <c r="B195">
        <v>1</v>
      </c>
      <c r="C195" s="2" t="s">
        <v>32</v>
      </c>
      <c r="D195" s="2" t="s">
        <v>0</v>
      </c>
      <c r="E195" s="11" cm="1">
        <f t="array" aca="1" ref="E195" ca="1">INDEX('OD flujo mercancia multimodal'!E$45:E$1645,MATCH(C195&amp;D195,'OD flujo mercancia multimodal'!C$45:C$1645&amp;'OD flujo mercancia multimodal'!D$45:D$1645,0))</f>
        <v>122636.6868131868</v>
      </c>
      <c r="F195" s="11" cm="1">
        <f t="array" aca="1" ref="F195" ca="1">INDEX('OD flujo mercancia carretera'!E$45:E$1646,MATCH(C195&amp;D195,'OD flujo mercancia carretera'!C$45:C$1646&amp;'OD flujo mercancia carretera'!D$45:D$1646,0))</f>
        <v>141247.8666666667</v>
      </c>
      <c r="G195" s="11" cm="1">
        <f t="array" aca="1" ref="G195" ca="1">INDEX('Coste Carretera'!E$46:E$1646,MATCH(C195&amp;D195,'Coste Carretera'!C$46:C$1646&amp;'Coste Carretera'!D$46:D$1646,0))</f>
        <v>914183281.90857124</v>
      </c>
      <c r="H195" s="11" cm="1">
        <f t="array" aca="1" ref="H195" ca="1">INDEX('Coste multimodal'!E$46:E$1646,MATCH(C195&amp;D195,'Coste multimodal'!C$46:C$1646&amp;'Coste multimodal'!D$46:D$1646,0))</f>
        <v>570196985.0772934</v>
      </c>
      <c r="I195" s="12" cm="1">
        <f t="array" aca="1" ref="I195" ca="1">INDEX('Tiempos intermodal (horas)'!E$45:E$1645,MATCH(C195&amp;D195,'Tiempos intermodal (horas)'!C$45:C$1645&amp;'Tiempos intermodal (horas)'!D$45:D$1645,0))</f>
        <v>25.052679142765811</v>
      </c>
      <c r="J195" s="2" cm="1">
        <f t="array" aca="1" ref="J195" ca="1">INDEX('Tiempos carretera (horas)'!E$45:E$1645,MATCH(C195&amp;D195,'Tiempos carretera (horas)'!C$45:C$1645&amp;'Tiempos carretera (horas)'!D$45:D$1645,0))</f>
        <v>2.33</v>
      </c>
      <c r="K195" s="12">
        <f t="shared" ca="1" si="18"/>
        <v>6.472191782308248</v>
      </c>
      <c r="L195" s="12">
        <f t="shared" ca="1" si="19"/>
        <v>4.6494813248329017</v>
      </c>
      <c r="M195" s="12">
        <f t="shared" ca="1" si="20"/>
        <v>0.46473613250936119</v>
      </c>
      <c r="N195" s="13">
        <f t="shared" ca="1" si="22"/>
        <v>1.8227104574753463</v>
      </c>
      <c r="O195" s="13">
        <f t="shared" ca="1" si="23"/>
        <v>-22.722679142765813</v>
      </c>
      <c r="P195" s="12">
        <f t="shared" ca="1" si="21"/>
        <v>0.14129004801707837</v>
      </c>
    </row>
    <row r="196" spans="1:16" x14ac:dyDescent="0.25">
      <c r="A196">
        <v>20</v>
      </c>
      <c r="B196">
        <v>3</v>
      </c>
      <c r="C196" s="2" t="s">
        <v>19</v>
      </c>
      <c r="D196" s="2" t="s">
        <v>2</v>
      </c>
      <c r="E196" s="11" cm="1">
        <f t="array" aca="1" ref="E196" ca="1">INDEX('OD flujo mercancia multimodal'!E$45:E$1645,MATCH(C196&amp;D196,'OD flujo mercancia multimodal'!C$45:C$1645&amp;'OD flujo mercancia multimodal'!D$45:D$1645,0))</f>
        <v>48454.483516483531</v>
      </c>
      <c r="F196" s="11" cm="1">
        <f t="array" aca="1" ref="F196" ca="1">INDEX('OD flujo mercancia carretera'!E$45:E$1646,MATCH(C196&amp;D196,'OD flujo mercancia carretera'!C$45:C$1646&amp;'OD flujo mercancia carretera'!D$45:D$1646,0))</f>
        <v>103550.79487179485</v>
      </c>
      <c r="G196" s="11" cm="1">
        <f t="array" aca="1" ref="G196" ca="1">INDEX('Coste Carretera'!E$46:E$1646,MATCH(C196&amp;D196,'Coste Carretera'!C$46:C$1646&amp;'Coste Carretera'!D$46:D$1646,0))</f>
        <v>829614408.61714303</v>
      </c>
      <c r="H196" s="11" cm="1">
        <f t="array" aca="1" ref="H196" ca="1">INDEX('Coste multimodal'!E$46:E$1646,MATCH(C196&amp;D196,'Coste multimodal'!C$46:C$1646&amp;'Coste multimodal'!D$46:D$1646,0))</f>
        <v>980189357.80333602</v>
      </c>
      <c r="I196" s="12" cm="1">
        <f t="array" aca="1" ref="I196" ca="1">INDEX('Tiempos intermodal (horas)'!E$45:E$1645,MATCH(C196&amp;D196,'Tiempos intermodal (horas)'!C$45:C$1645&amp;'Tiempos intermodal (horas)'!D$45:D$1645,0))</f>
        <v>22.742215831676404</v>
      </c>
      <c r="J196" s="2" cm="1">
        <f t="array" aca="1" ref="J196" ca="1">INDEX('Tiempos carretera (horas)'!E$45:E$1645,MATCH(C196&amp;D196,'Tiempos carretera (horas)'!C$45:C$1645&amp;'Tiempos carretera (horas)'!D$45:D$1645,0))</f>
        <v>3.46</v>
      </c>
      <c r="K196" s="12">
        <f t="shared" ca="1" si="18"/>
        <v>8.0116662517586654</v>
      </c>
      <c r="L196" s="12">
        <f t="shared" ca="1" si="19"/>
        <v>20.229074518354725</v>
      </c>
      <c r="M196" s="12">
        <f t="shared" ca="1" si="20"/>
        <v>0.31876842719048637</v>
      </c>
      <c r="N196" s="13">
        <f t="shared" ca="1" si="22"/>
        <v>-12.21740826659606</v>
      </c>
      <c r="O196" s="13">
        <f t="shared" ca="1" si="23"/>
        <v>-19.282215831676403</v>
      </c>
      <c r="P196" s="12">
        <f t="shared" ca="1" si="21"/>
        <v>0.75943739092932916</v>
      </c>
    </row>
    <row r="197" spans="1:16" x14ac:dyDescent="0.25">
      <c r="A197">
        <v>5</v>
      </c>
      <c r="B197">
        <v>34</v>
      </c>
      <c r="C197" s="2" t="s">
        <v>4</v>
      </c>
      <c r="D197" s="2" t="s">
        <v>33</v>
      </c>
      <c r="E197" s="11" cm="1">
        <f t="array" aca="1" ref="E197" ca="1">INDEX('OD flujo mercancia multimodal'!E$45:E$1645,MATCH(C197&amp;D197,'OD flujo mercancia multimodal'!C$45:C$1645&amp;'OD flujo mercancia multimodal'!D$45:D$1645,0))</f>
        <v>343320.3791208794</v>
      </c>
      <c r="F197" s="11" cm="1">
        <f t="array" aca="1" ref="F197" ca="1">INDEX('OD flujo mercancia carretera'!E$45:E$1646,MATCH(C197&amp;D197,'OD flujo mercancia carretera'!C$45:C$1646&amp;'OD flujo mercancia carretera'!D$45:D$1646,0))</f>
        <v>332326.46581196593</v>
      </c>
      <c r="G197" s="11" cm="1">
        <f t="array" aca="1" ref="G197" ca="1">INDEX('Coste Carretera'!E$46:E$1646,MATCH(C197&amp;D197,'Coste Carretera'!C$46:C$1646&amp;'Coste Carretera'!D$46:D$1646,0))</f>
        <v>2878168011.5571413</v>
      </c>
      <c r="H197" s="11" cm="1">
        <f t="array" aca="1" ref="H197" ca="1">INDEX('Coste multimodal'!E$46:E$1646,MATCH(C197&amp;D197,'Coste multimodal'!C$46:C$1646&amp;'Coste multimodal'!D$46:D$1646,0))</f>
        <v>3196057914.0632415</v>
      </c>
      <c r="I197" s="12" cm="1">
        <f t="array" aca="1" ref="I197" ca="1">INDEX('Tiempos intermodal (horas)'!E$45:E$1645,MATCH(C197&amp;D197,'Tiempos intermodal (horas)'!C$45:C$1645&amp;'Tiempos intermodal (horas)'!D$45:D$1645,0))</f>
        <v>28.039069681253519</v>
      </c>
      <c r="J197" s="2" cm="1">
        <f t="array" aca="1" ref="J197" ca="1">INDEX('Tiempos carretera (horas)'!E$45:E$1645,MATCH(C197&amp;D197,'Tiempos carretera (horas)'!C$45:C$1645&amp;'Tiempos carretera (horas)'!D$45:D$1645,0))</f>
        <v>5.3</v>
      </c>
      <c r="K197" s="12">
        <f t="shared" ca="1" si="18"/>
        <v>8.6606644599459646</v>
      </c>
      <c r="L197" s="12">
        <f t="shared" ca="1" si="19"/>
        <v>9.3092577907760727</v>
      </c>
      <c r="M197" s="12">
        <f t="shared" ca="1" si="20"/>
        <v>0.50813584300094394</v>
      </c>
      <c r="N197" s="13">
        <f t="shared" ca="1" si="22"/>
        <v>-0.64859333083010817</v>
      </c>
      <c r="O197" s="13">
        <f t="shared" ca="1" si="23"/>
        <v>-22.739069681253518</v>
      </c>
      <c r="P197" s="12">
        <f t="shared" ca="1" si="21"/>
        <v>-3.2546244605427113E-2</v>
      </c>
    </row>
    <row r="198" spans="1:16" x14ac:dyDescent="0.25">
      <c r="A198">
        <v>2</v>
      </c>
      <c r="B198">
        <v>33</v>
      </c>
      <c r="C198" s="2" t="s">
        <v>1</v>
      </c>
      <c r="D198" s="2" t="s">
        <v>32</v>
      </c>
      <c r="E198" s="11" cm="1">
        <f t="array" aca="1" ref="E198" ca="1">INDEX('OD flujo mercancia multimodal'!E$45:E$1645,MATCH(C198&amp;D198,'OD flujo mercancia multimodal'!C$45:C$1645&amp;'OD flujo mercancia multimodal'!D$45:D$1645,0))</f>
        <v>70586.76923076919</v>
      </c>
      <c r="F198" s="11" cm="1">
        <f t="array" aca="1" ref="F198" ca="1">INDEX('OD flujo mercancia carretera'!E$45:E$1646,MATCH(C198&amp;D198,'OD flujo mercancia carretera'!C$45:C$1646&amp;'OD flujo mercancia carretera'!D$45:D$1646,0))</f>
        <v>138096.72307692311</v>
      </c>
      <c r="G198" s="11" cm="1">
        <f t="array" aca="1" ref="G198" ca="1">INDEX('Coste Carretera'!E$46:E$1646,MATCH(C198&amp;D198,'Coste Carretera'!C$46:C$1646&amp;'Coste Carretera'!D$46:D$1646,0))</f>
        <v>88542934.720000014</v>
      </c>
      <c r="H198" s="11" cm="1">
        <f t="array" aca="1" ref="H198" ca="1">INDEX('Coste multimodal'!E$46:E$1646,MATCH(C198&amp;D198,'Coste multimodal'!C$46:C$1646&amp;'Coste multimodal'!D$46:D$1646,0))</f>
        <v>446665516.51586485</v>
      </c>
      <c r="I198" s="12" cm="1">
        <f t="array" aca="1" ref="I198" ca="1">INDEX('Tiempos intermodal (horas)'!E$45:E$1645,MATCH(C198&amp;D198,'Tiempos intermodal (horas)'!C$45:C$1645&amp;'Tiempos intermodal (horas)'!D$45:D$1645,0))</f>
        <v>25.430456920543591</v>
      </c>
      <c r="J198" s="2" cm="1">
        <f t="array" aca="1" ref="J198" ca="1">INDEX('Tiempos carretera (horas)'!E$45:E$1645,MATCH(C198&amp;D198,'Tiempos carretera (horas)'!C$45:C$1645&amp;'Tiempos carretera (horas)'!D$45:D$1645,0))</f>
        <v>2.68</v>
      </c>
      <c r="K198" s="12">
        <f t="shared" ca="1" si="18"/>
        <v>0.64116608089736882</v>
      </c>
      <c r="L198" s="12">
        <f t="shared" ca="1" si="19"/>
        <v>6.3278929094428751</v>
      </c>
      <c r="M198" s="12">
        <f t="shared" ca="1" si="20"/>
        <v>0.3382479775961047</v>
      </c>
      <c r="N198" s="13">
        <f t="shared" ca="1" si="22"/>
        <v>-5.6867268285455062</v>
      </c>
      <c r="O198" s="13">
        <f t="shared" ca="1" si="23"/>
        <v>-22.750456920543591</v>
      </c>
      <c r="P198" s="12">
        <f t="shared" ca="1" si="21"/>
        <v>0.67111160923555357</v>
      </c>
    </row>
    <row r="199" spans="1:16" x14ac:dyDescent="0.25">
      <c r="A199">
        <v>33</v>
      </c>
      <c r="B199">
        <v>2</v>
      </c>
      <c r="C199" s="2" t="s">
        <v>32</v>
      </c>
      <c r="D199" s="2" t="s">
        <v>1</v>
      </c>
      <c r="E199" s="11" cm="1">
        <f t="array" aca="1" ref="E199" ca="1">INDEX('OD flujo mercancia multimodal'!E$45:E$1645,MATCH(C199&amp;D199,'OD flujo mercancia multimodal'!C$45:C$1645&amp;'OD flujo mercancia multimodal'!D$45:D$1645,0))</f>
        <v>51375.686813186781</v>
      </c>
      <c r="F199" s="11" cm="1">
        <f t="array" aca="1" ref="F199" ca="1">INDEX('OD flujo mercancia carretera'!E$45:E$1646,MATCH(C199&amp;D199,'OD flujo mercancia carretera'!C$45:C$1646&amp;'OD flujo mercancia carretera'!D$45:D$1646,0))</f>
        <v>131636.25128205132</v>
      </c>
      <c r="G199" s="11" cm="1">
        <f t="array" aca="1" ref="G199" ca="1">INDEX('Coste Carretera'!E$46:E$1646,MATCH(C199&amp;D199,'Coste Carretera'!C$46:C$1646&amp;'Coste Carretera'!D$46:D$1646,0))</f>
        <v>273292031.98857105</v>
      </c>
      <c r="H199" s="11" cm="1">
        <f t="array" aca="1" ref="H199" ca="1">INDEX('Coste multimodal'!E$46:E$1646,MATCH(C199&amp;D199,'Coste multimodal'!C$46:C$1646&amp;'Coste multimodal'!D$46:D$1646,0))</f>
        <v>446665516.51586485</v>
      </c>
      <c r="I199" s="12" cm="1">
        <f t="array" aca="1" ref="I199" ca="1">INDEX('Tiempos intermodal (horas)'!E$45:E$1645,MATCH(C199&amp;D199,'Tiempos intermodal (horas)'!C$45:C$1645&amp;'Tiempos intermodal (horas)'!D$45:D$1645,0))</f>
        <v>25.430456920543591</v>
      </c>
      <c r="J199" s="2" cm="1">
        <f t="array" aca="1" ref="J199" ca="1">INDEX('Tiempos carretera (horas)'!E$45:E$1645,MATCH(C199&amp;D199,'Tiempos carretera (horas)'!C$45:C$1645&amp;'Tiempos carretera (horas)'!D$45:D$1645,0))</f>
        <v>2.68</v>
      </c>
      <c r="K199" s="12">
        <f t="shared" ca="1" si="18"/>
        <v>2.0761152746821998</v>
      </c>
      <c r="L199" s="12">
        <f t="shared" ca="1" si="19"/>
        <v>8.6941030713621057</v>
      </c>
      <c r="M199" s="12">
        <f t="shared" ca="1" si="20"/>
        <v>0.28072314488277389</v>
      </c>
      <c r="N199" s="13">
        <f t="shared" ca="1" si="22"/>
        <v>-6.6179877966799054</v>
      </c>
      <c r="O199" s="13">
        <f t="shared" ca="1" si="23"/>
        <v>-22.750456920543591</v>
      </c>
      <c r="P199" s="12">
        <f t="shared" ca="1" si="21"/>
        <v>0.94087740527305264</v>
      </c>
    </row>
    <row r="200" spans="1:16" x14ac:dyDescent="0.25">
      <c r="A200">
        <v>10</v>
      </c>
      <c r="B200">
        <v>34</v>
      </c>
      <c r="C200" s="2" t="s">
        <v>9</v>
      </c>
      <c r="D200" s="2" t="s">
        <v>33</v>
      </c>
      <c r="E200" s="11" cm="1">
        <f t="array" aca="1" ref="E200" ca="1">INDEX('OD flujo mercancia multimodal'!E$45:E$1645,MATCH(C200&amp;D200,'OD flujo mercancia multimodal'!C$45:C$1645&amp;'OD flujo mercancia multimodal'!D$45:D$1645,0))</f>
        <v>310828.8791208794</v>
      </c>
      <c r="F200" s="11" cm="1">
        <f t="array" aca="1" ref="F200" ca="1">INDEX('OD flujo mercancia carretera'!E$45:E$1646,MATCH(C200&amp;D200,'OD flujo mercancia carretera'!C$45:C$1646&amp;'OD flujo mercancia carretera'!D$45:D$1646,0))</f>
        <v>357729.31196581206</v>
      </c>
      <c r="G200" s="11" cm="1">
        <f t="array" aca="1" ref="G200" ca="1">INDEX('Coste Carretera'!E$46:E$1646,MATCH(C200&amp;D200,'Coste Carretera'!C$46:C$1646&amp;'Coste Carretera'!D$46:D$1646,0))</f>
        <v>2358007642.3199987</v>
      </c>
      <c r="H200" s="11" cm="1">
        <f t="array" aca="1" ref="H200" ca="1">INDEX('Coste multimodal'!E$46:E$1646,MATCH(C200&amp;D200,'Coste multimodal'!C$46:C$1646&amp;'Coste multimodal'!D$46:D$1646,0))</f>
        <v>3243393691.1232414</v>
      </c>
      <c r="I200" s="12" cm="1">
        <f t="array" aca="1" ref="I200" ca="1">INDEX('Tiempos intermodal (horas)'!E$45:E$1645,MATCH(C200&amp;D200,'Tiempos intermodal (horas)'!C$45:C$1645&amp;'Tiempos intermodal (horas)'!D$45:D$1645,0))</f>
        <v>29.026847459031295</v>
      </c>
      <c r="J200" s="2" cm="1">
        <f t="array" aca="1" ref="J200" ca="1">INDEX('Tiempos carretera (horas)'!E$45:E$1645,MATCH(C200&amp;D200,'Tiempos carretera (horas)'!C$45:C$1645&amp;'Tiempos carretera (horas)'!D$45:D$1645,0))</f>
        <v>6.25</v>
      </c>
      <c r="K200" s="12">
        <f t="shared" ca="1" si="18"/>
        <v>6.591597510872556</v>
      </c>
      <c r="L200" s="12">
        <f t="shared" ca="1" si="19"/>
        <v>10.434660062142765</v>
      </c>
      <c r="M200" s="12">
        <f t="shared" ca="1" si="20"/>
        <v>0.46492419547750996</v>
      </c>
      <c r="N200" s="13">
        <f t="shared" ca="1" si="22"/>
        <v>-3.8430625512702088</v>
      </c>
      <c r="O200" s="13">
        <f t="shared" ca="1" si="23"/>
        <v>-22.776847459031295</v>
      </c>
      <c r="P200" s="12">
        <f t="shared" ca="1" si="21"/>
        <v>0.14053405573547045</v>
      </c>
    </row>
    <row r="201" spans="1:16" x14ac:dyDescent="0.25">
      <c r="A201">
        <v>34</v>
      </c>
      <c r="B201">
        <v>10</v>
      </c>
      <c r="C201" s="2" t="s">
        <v>33</v>
      </c>
      <c r="D201" s="2" t="s">
        <v>9</v>
      </c>
      <c r="E201" s="11" cm="1">
        <f t="array" aca="1" ref="E201" ca="1">INDEX('OD flujo mercancia multimodal'!E$45:E$1645,MATCH(C201&amp;D201,'OD flujo mercancia multimodal'!C$45:C$1645&amp;'OD flujo mercancia multimodal'!D$45:D$1645,0))</f>
        <v>145752.98351648354</v>
      </c>
      <c r="F201" s="11" cm="1">
        <f t="array" aca="1" ref="F201" ca="1">INDEX('OD flujo mercancia carretera'!E$45:E$1646,MATCH(C201&amp;D201,'OD flujo mercancia carretera'!C$45:C$1646&amp;'OD flujo mercancia carretera'!D$45:D$1646,0))</f>
        <v>369129.14957264962</v>
      </c>
      <c r="G201" s="11" cm="1">
        <f t="array" aca="1" ref="G201" ca="1">INDEX('Coste Carretera'!E$46:E$1646,MATCH(C201&amp;D201,'Coste Carretera'!C$46:C$1646&amp;'Coste Carretera'!D$46:D$1646,0))</f>
        <v>1544610060.9200003</v>
      </c>
      <c r="H201" s="11" cm="1">
        <f t="array" aca="1" ref="H201" ca="1">INDEX('Coste multimodal'!E$46:E$1646,MATCH(C201&amp;D201,'Coste multimodal'!C$46:C$1646&amp;'Coste multimodal'!D$46:D$1646,0))</f>
        <v>3243393691.1232414</v>
      </c>
      <c r="I201" s="12" cm="1">
        <f t="array" aca="1" ref="I201" ca="1">INDEX('Tiempos intermodal (horas)'!E$45:E$1645,MATCH(C201&amp;D201,'Tiempos intermodal (horas)'!C$45:C$1645&amp;'Tiempos intermodal (horas)'!D$45:D$1645,0))</f>
        <v>29.026847459031295</v>
      </c>
      <c r="J201" s="2" cm="1">
        <f t="array" aca="1" ref="J201" ca="1">INDEX('Tiempos carretera (horas)'!E$45:E$1645,MATCH(C201&amp;D201,'Tiempos carretera (horas)'!C$45:C$1645&amp;'Tiempos carretera (horas)'!D$45:D$1645,0))</f>
        <v>6.25</v>
      </c>
      <c r="K201" s="12">
        <f t="shared" ca="1" si="18"/>
        <v>4.1844705645930036</v>
      </c>
      <c r="L201" s="12">
        <f t="shared" ca="1" si="19"/>
        <v>22.252674441867864</v>
      </c>
      <c r="M201" s="12">
        <f t="shared" ca="1" si="20"/>
        <v>0.28308028993356366</v>
      </c>
      <c r="N201" s="13">
        <f t="shared" ca="1" si="22"/>
        <v>-18.068203877274861</v>
      </c>
      <c r="O201" s="13">
        <f t="shared" ca="1" si="23"/>
        <v>-22.776847459031295</v>
      </c>
      <c r="P201" s="12">
        <f t="shared" ca="1" si="21"/>
        <v>0.9292332865300551</v>
      </c>
    </row>
    <row r="202" spans="1:16" x14ac:dyDescent="0.25">
      <c r="A202">
        <v>39</v>
      </c>
      <c r="B202">
        <v>12</v>
      </c>
      <c r="C202" s="2" t="s">
        <v>38</v>
      </c>
      <c r="D202" s="2" t="s">
        <v>11</v>
      </c>
      <c r="E202" s="11" cm="1">
        <f t="array" aca="1" ref="E202" ca="1">INDEX('OD flujo mercancia multimodal'!E$45:E$1645,MATCH(C202&amp;D202,'OD flujo mercancia multimodal'!C$45:C$1645&amp;'OD flujo mercancia multimodal'!D$45:D$1645,0))</f>
        <v>18238</v>
      </c>
      <c r="F202" s="11" cm="1">
        <f t="array" aca="1" ref="F202" ca="1">INDEX('OD flujo mercancia carretera'!E$45:E$1646,MATCH(C202&amp;D202,'OD flujo mercancia carretera'!C$45:C$1646&amp;'OD flujo mercancia carretera'!D$45:D$1646,0))</f>
        <v>47381.769230769205</v>
      </c>
      <c r="G202" s="11" cm="1">
        <f t="array" aca="1" ref="G202" ca="1">INDEX('Coste Carretera'!E$46:E$1646,MATCH(C202&amp;D202,'Coste Carretera'!C$46:C$1646&amp;'Coste Carretera'!D$46:D$1646,0))</f>
        <v>1210645501.1199999</v>
      </c>
      <c r="H202" s="11" cm="1">
        <f t="array" aca="1" ref="H202" ca="1">INDEX('Coste multimodal'!E$46:E$1646,MATCH(C202&amp;D202,'Coste multimodal'!C$46:C$1646&amp;'Coste multimodal'!D$46:D$1646,0))</f>
        <v>119565089.88541269</v>
      </c>
      <c r="I202" s="12" cm="1">
        <f t="array" aca="1" ref="I202" ca="1">INDEX('Tiempos intermodal (horas)'!E$45:E$1645,MATCH(C202&amp;D202,'Tiempos intermodal (horas)'!C$45:C$1645&amp;'Tiempos intermodal (horas)'!D$45:D$1645,0))</f>
        <v>40.555188476562492</v>
      </c>
      <c r="J202" s="2" cm="1">
        <f t="array" aca="1" ref="J202" ca="1">INDEX('Tiempos carretera (horas)'!E$45:E$1645,MATCH(C202&amp;D202,'Tiempos carretera (horas)'!C$45:C$1645&amp;'Tiempos carretera (horas)'!D$45:D$1645,0))</f>
        <v>9.2799999999999994</v>
      </c>
      <c r="K202" s="12">
        <f t="shared" ca="1" si="18"/>
        <v>25.550871585728377</v>
      </c>
      <c r="L202" s="12">
        <f t="shared" ca="1" si="19"/>
        <v>6.5558224523200295</v>
      </c>
      <c r="M202" s="12">
        <f t="shared" ca="1" si="20"/>
        <v>0.27793453426910525</v>
      </c>
      <c r="N202" s="13">
        <f t="shared" ca="1" si="22"/>
        <v>18.995049133408347</v>
      </c>
      <c r="O202" s="13">
        <f t="shared" ca="1" si="23"/>
        <v>-31.275188476562491</v>
      </c>
      <c r="P202" s="12">
        <f t="shared" ca="1" si="21"/>
        <v>0.95473020982147327</v>
      </c>
    </row>
    <row r="203" spans="1:16" x14ac:dyDescent="0.25">
      <c r="A203">
        <v>12</v>
      </c>
      <c r="B203">
        <v>39</v>
      </c>
      <c r="C203" s="2" t="s">
        <v>11</v>
      </c>
      <c r="D203" s="2" t="s">
        <v>38</v>
      </c>
      <c r="E203" s="11" cm="1">
        <f t="array" aca="1" ref="E203" ca="1">INDEX('OD flujo mercancia multimodal'!E$45:E$1645,MATCH(C203&amp;D203,'OD flujo mercancia multimodal'!C$45:C$1645&amp;'OD flujo mercancia multimodal'!D$45:D$1645,0))</f>
        <v>8533.7692307692341</v>
      </c>
      <c r="F203" s="11" cm="1">
        <f t="array" aca="1" ref="F203" ca="1">INDEX('OD flujo mercancia carretera'!E$45:E$1646,MATCH(C203&amp;D203,'OD flujo mercancia carretera'!C$45:C$1646&amp;'OD flujo mercancia carretera'!D$45:D$1646,0))</f>
        <v>132762.07326007326</v>
      </c>
      <c r="G203" s="11" cm="1">
        <f t="array" aca="1" ref="G203" ca="1">INDEX('Coste Carretera'!E$46:E$1646,MATCH(C203&amp;D203,'Coste Carretera'!C$46:C$1646&amp;'Coste Carretera'!D$46:D$1646,0))</f>
        <v>151215777.91999999</v>
      </c>
      <c r="H203" s="11" cm="1">
        <f t="array" aca="1" ref="H203" ca="1">INDEX('Coste multimodal'!E$46:E$1646,MATCH(C203&amp;D203,'Coste multimodal'!C$46:C$1646&amp;'Coste multimodal'!D$46:D$1646,0))</f>
        <v>191088326.137936</v>
      </c>
      <c r="I203" s="12" cm="1">
        <f t="array" aca="1" ref="I203" ca="1">INDEX('Tiempos intermodal (horas)'!E$45:E$1645,MATCH(C203&amp;D203,'Tiempos intermodal (horas)'!C$45:C$1645&amp;'Tiempos intermodal (horas)'!D$45:D$1645,0))</f>
        <v>28.101034438491229</v>
      </c>
      <c r="J203" s="2" cm="1">
        <f t="array" aca="1" ref="J203" ca="1">INDEX('Tiempos carretera (horas)'!E$45:E$1645,MATCH(C203&amp;D203,'Tiempos carretera (horas)'!C$45:C$1645&amp;'Tiempos carretera (horas)'!D$45:D$1645,0))</f>
        <v>5.16</v>
      </c>
      <c r="K203" s="12">
        <f t="shared" ca="1" si="18"/>
        <v>1.1389983163623618</v>
      </c>
      <c r="L203" s="12">
        <f t="shared" ca="1" si="19"/>
        <v>22.392019396183191</v>
      </c>
      <c r="M203" s="12">
        <f t="shared" ca="1" si="20"/>
        <v>6.0396463762352484E-2</v>
      </c>
      <c r="N203" s="13">
        <f t="shared" ca="1" si="22"/>
        <v>-21.253021079820829</v>
      </c>
      <c r="O203" s="13">
        <f t="shared" ca="1" si="23"/>
        <v>-22.941034438491229</v>
      </c>
      <c r="P203" s="12">
        <f t="shared" ca="1" si="21"/>
        <v>2.7445274600882246</v>
      </c>
    </row>
    <row r="204" spans="1:16" x14ac:dyDescent="0.25">
      <c r="A204">
        <v>7</v>
      </c>
      <c r="B204">
        <v>34</v>
      </c>
      <c r="C204" s="2" t="s">
        <v>6</v>
      </c>
      <c r="D204" s="2" t="s">
        <v>33</v>
      </c>
      <c r="E204" s="11" cm="1">
        <f t="array" aca="1" ref="E204" ca="1">INDEX('OD flujo mercancia multimodal'!E$45:E$1645,MATCH(C204&amp;D204,'OD flujo mercancia multimodal'!C$45:C$1645&amp;'OD flujo mercancia multimodal'!D$45:D$1645,0))</f>
        <v>299580.45054945082</v>
      </c>
      <c r="F204" s="11" cm="1">
        <f t="array" aca="1" ref="F204" ca="1">INDEX('OD flujo mercancia carretera'!E$45:E$1646,MATCH(C204&amp;D204,'OD flujo mercancia carretera'!C$45:C$1646&amp;'OD flujo mercancia carretera'!D$45:D$1646,0))</f>
        <v>323188.0811965813</v>
      </c>
      <c r="G204" s="11" cm="1">
        <f t="array" aca="1" ref="G204" ca="1">INDEX('Coste Carretera'!E$46:E$1646,MATCH(C204&amp;D204,'Coste Carretera'!C$46:C$1646&amp;'Coste Carretera'!D$46:D$1646,0))</f>
        <v>1793802489.2571423</v>
      </c>
      <c r="H204" s="11" cm="1">
        <f t="array" aca="1" ref="H204" ca="1">INDEX('Coste multimodal'!E$46:E$1646,MATCH(C204&amp;D204,'Coste multimodal'!C$46:C$1646&amp;'Coste multimodal'!D$46:D$1646,0))</f>
        <v>3176825690.2918129</v>
      </c>
      <c r="I204" s="12" cm="1">
        <f t="array" aca="1" ref="I204" ca="1">INDEX('Tiempos intermodal (horas)'!E$45:E$1645,MATCH(C204&amp;D204,'Tiempos intermodal (horas)'!C$45:C$1645&amp;'Tiempos intermodal (horas)'!D$45:D$1645,0))</f>
        <v>28.477958570142405</v>
      </c>
      <c r="J204" s="2" cm="1">
        <f t="array" aca="1" ref="J204" ca="1">INDEX('Tiempos carretera (horas)'!E$45:E$1645,MATCH(C204&amp;D204,'Tiempos carretera (horas)'!C$45:C$1645&amp;'Tiempos carretera (horas)'!D$45:D$1645,0))</f>
        <v>5.48</v>
      </c>
      <c r="K204" s="12">
        <f t="shared" ca="1" si="18"/>
        <v>5.5503361467282888</v>
      </c>
      <c r="L204" s="12">
        <f t="shared" ca="1" si="19"/>
        <v>10.604248990430783</v>
      </c>
      <c r="M204" s="12">
        <f t="shared" ca="1" si="20"/>
        <v>0.48104622388277812</v>
      </c>
      <c r="N204" s="13">
        <f t="shared" ca="1" si="22"/>
        <v>-5.0539128437024941</v>
      </c>
      <c r="O204" s="13">
        <f t="shared" ca="1" si="23"/>
        <v>-22.997958570142405</v>
      </c>
      <c r="P204" s="12">
        <f t="shared" ca="1" si="21"/>
        <v>7.5851450804667792E-2</v>
      </c>
    </row>
    <row r="205" spans="1:16" x14ac:dyDescent="0.25">
      <c r="A205">
        <v>34</v>
      </c>
      <c r="B205">
        <v>7</v>
      </c>
      <c r="C205" s="2" t="s">
        <v>33</v>
      </c>
      <c r="D205" s="2" t="s">
        <v>6</v>
      </c>
      <c r="E205" s="11" cm="1">
        <f t="array" aca="1" ref="E205" ca="1">INDEX('OD flujo mercancia multimodal'!E$45:E$1645,MATCH(C205&amp;D205,'OD flujo mercancia multimodal'!C$45:C$1645&amp;'OD flujo mercancia multimodal'!D$45:D$1645,0))</f>
        <v>129627.55494505494</v>
      </c>
      <c r="F205" s="11" cm="1">
        <f t="array" aca="1" ref="F205" ca="1">INDEX('OD flujo mercancia carretera'!E$45:E$1646,MATCH(C205&amp;D205,'OD flujo mercancia carretera'!C$45:C$1646&amp;'OD flujo mercancia carretera'!D$45:D$1646,0))</f>
        <v>336822.30341880338</v>
      </c>
      <c r="G205" s="11" cm="1">
        <f t="array" aca="1" ref="G205" ca="1">INDEX('Coste Carretera'!E$46:E$1646,MATCH(C205&amp;D205,'Coste Carretera'!C$46:C$1646&amp;'Coste Carretera'!D$46:D$1646,0))</f>
        <v>940465900.71428549</v>
      </c>
      <c r="H205" s="11" cm="1">
        <f t="array" aca="1" ref="H205" ca="1">INDEX('Coste multimodal'!E$46:E$1646,MATCH(C205&amp;D205,'Coste multimodal'!C$46:C$1646&amp;'Coste multimodal'!D$46:D$1646,0))</f>
        <v>3176825690.2918129</v>
      </c>
      <c r="I205" s="12" cm="1">
        <f t="array" aca="1" ref="I205" ca="1">INDEX('Tiempos intermodal (horas)'!E$45:E$1645,MATCH(C205&amp;D205,'Tiempos intermodal (horas)'!C$45:C$1645&amp;'Tiempos intermodal (horas)'!D$45:D$1645,0))</f>
        <v>28.477958570142405</v>
      </c>
      <c r="J205" s="2" cm="1">
        <f t="array" aca="1" ref="J205" ca="1">INDEX('Tiempos carretera (horas)'!E$45:E$1645,MATCH(C205&amp;D205,'Tiempos carretera (horas)'!C$45:C$1645&amp;'Tiempos carretera (horas)'!D$45:D$1645,0))</f>
        <v>5.48</v>
      </c>
      <c r="K205" s="12">
        <f t="shared" ca="1" si="18"/>
        <v>2.7921722854110236</v>
      </c>
      <c r="L205" s="12">
        <f t="shared" ca="1" si="19"/>
        <v>24.507333272145491</v>
      </c>
      <c r="M205" s="12">
        <f t="shared" ca="1" si="20"/>
        <v>0.27790244250420126</v>
      </c>
      <c r="N205" s="13">
        <f t="shared" ca="1" si="22"/>
        <v>-21.715160986734467</v>
      </c>
      <c r="O205" s="13">
        <f t="shared" ca="1" si="23"/>
        <v>-22.997958570142405</v>
      </c>
      <c r="P205" s="12">
        <f t="shared" ca="1" si="21"/>
        <v>0.95489012509236482</v>
      </c>
    </row>
    <row r="206" spans="1:16" x14ac:dyDescent="0.25">
      <c r="A206">
        <v>35</v>
      </c>
      <c r="B206">
        <v>20</v>
      </c>
      <c r="C206" s="2" t="s">
        <v>34</v>
      </c>
      <c r="D206" s="2" t="s">
        <v>19</v>
      </c>
      <c r="E206" s="11" cm="1">
        <f t="array" aca="1" ref="E206" ca="1">INDEX('OD flujo mercancia multimodal'!E$45:E$1645,MATCH(C206&amp;D206,'OD flujo mercancia multimodal'!C$45:C$1645&amp;'OD flujo mercancia multimodal'!D$45:D$1645,0))</f>
        <v>68203.999999999985</v>
      </c>
      <c r="F206" s="11" cm="1">
        <f t="array" aca="1" ref="F206" ca="1">INDEX('OD flujo mercancia carretera'!E$45:E$1646,MATCH(C206&amp;D206,'OD flujo mercancia carretera'!C$45:C$1646&amp;'OD flujo mercancia carretera'!D$45:D$1646,0))</f>
        <v>77248.05128205131</v>
      </c>
      <c r="G206" s="11" cm="1">
        <f t="array" aca="1" ref="G206" ca="1">INDEX('Coste Carretera'!E$46:E$1646,MATCH(C206&amp;D206,'Coste Carretera'!C$46:C$1646&amp;'Coste Carretera'!D$46:D$1646,0))</f>
        <v>5001420777.5999994</v>
      </c>
      <c r="H206" s="11" cm="1">
        <f t="array" aca="1" ref="H206" ca="1">INDEX('Coste multimodal'!E$46:E$1646,MATCH(C206&amp;D206,'Coste multimodal'!C$46:C$1646&amp;'Coste multimodal'!D$46:D$1646,0))</f>
        <v>2389670740.3799367</v>
      </c>
      <c r="I206" s="12">
        <f ca="1">'Tiempos intermodal (horas)'!E839</f>
        <v>28.657545554587788</v>
      </c>
      <c r="J206" s="2" cm="1">
        <f t="array" aca="1" ref="J206" ca="1">INDEX('Tiempos carretera (horas)'!E$45:E$1645,MATCH(C206&amp;D206,'Tiempos carretera (horas)'!C$45:C$1645&amp;'Tiempos carretera (horas)'!D$45:D$1645,0))</f>
        <v>5.56</v>
      </c>
      <c r="K206" s="12">
        <f t="shared" ca="1" si="18"/>
        <v>64.744944300777291</v>
      </c>
      <c r="L206" s="12">
        <f t="shared" ca="1" si="19"/>
        <v>35.037105453931403</v>
      </c>
      <c r="M206" s="12">
        <f t="shared" ca="1" si="20"/>
        <v>0.46891054061343662</v>
      </c>
      <c r="N206" s="13">
        <f t="shared" ca="1" si="22"/>
        <v>29.707838846845888</v>
      </c>
      <c r="O206" s="13">
        <f t="shared" ca="1" si="23"/>
        <v>-23.097545554587789</v>
      </c>
      <c r="P206" s="12">
        <f t="shared" ca="1" si="21"/>
        <v>0.12451847518145277</v>
      </c>
    </row>
    <row r="207" spans="1:16" x14ac:dyDescent="0.25">
      <c r="A207">
        <v>20</v>
      </c>
      <c r="B207">
        <v>35</v>
      </c>
      <c r="C207" s="2" t="s">
        <v>19</v>
      </c>
      <c r="D207" s="2" t="s">
        <v>34</v>
      </c>
      <c r="E207" s="11" cm="1">
        <f t="array" aca="1" ref="E207" ca="1">INDEX('OD flujo mercancia multimodal'!E$45:E$1645,MATCH(C207&amp;D207,'OD flujo mercancia multimodal'!C$45:C$1645&amp;'OD flujo mercancia multimodal'!D$45:D$1645,0))</f>
        <v>55066.384615384632</v>
      </c>
      <c r="F207" s="11" cm="1">
        <f t="array" aca="1" ref="F207" ca="1">INDEX('OD flujo mercancia carretera'!E$45:E$1646,MATCH(C207&amp;D207,'OD flujo mercancia carretera'!C$45:C$1646&amp;'OD flujo mercancia carretera'!D$45:D$1646,0))</f>
        <v>77070.87179487184</v>
      </c>
      <c r="G207" s="11" cm="1">
        <f t="array" aca="1" ref="G207" ca="1">INDEX('Coste Carretera'!E$46:E$1646,MATCH(C207&amp;D207,'Coste Carretera'!C$46:C$1646&amp;'Coste Carretera'!D$46:D$1646,0))</f>
        <v>8978241480.0000076</v>
      </c>
      <c r="H207" s="11" cm="1">
        <f t="array" aca="1" ref="H207" ca="1">INDEX('Coste multimodal'!E$46:E$1646,MATCH(C207&amp;D207,'Coste multimodal'!C$46:C$1646&amp;'Coste multimodal'!D$46:D$1646,0))</f>
        <v>2389670740.3799367</v>
      </c>
      <c r="I207" s="12" cm="1">
        <f t="array" aca="1" ref="I207" ca="1">INDEX('Tiempos intermodal (horas)'!E$45:E$1645,MATCH(C207&amp;D207,'Tiempos intermodal (horas)'!C$45:C$1645&amp;'Tiempos intermodal (horas)'!D$45:D$1645,0))</f>
        <v>28.657545554587788</v>
      </c>
      <c r="J207" s="2" cm="1">
        <f t="array" aca="1" ref="J207" ca="1">INDEX('Tiempos carretera (horas)'!E$45:E$1645,MATCH(C207&amp;D207,'Tiempos carretera (horas)'!C$45:C$1645&amp;'Tiempos carretera (horas)'!D$45:D$1645,0))</f>
        <v>5.56</v>
      </c>
      <c r="K207" s="12">
        <f t="shared" ca="1" si="18"/>
        <v>116.49331674742265</v>
      </c>
      <c r="L207" s="12">
        <f t="shared" ca="1" si="19"/>
        <v>43.396180030172211</v>
      </c>
      <c r="M207" s="12">
        <f t="shared" ca="1" si="20"/>
        <v>0.41673624919542668</v>
      </c>
      <c r="N207" s="13">
        <f t="shared" ca="1" si="22"/>
        <v>73.097136717250436</v>
      </c>
      <c r="O207" s="13">
        <f t="shared" ca="1" si="23"/>
        <v>-23.097545554587789</v>
      </c>
      <c r="P207" s="12">
        <f t="shared" ca="1" si="21"/>
        <v>0.3361859610448551</v>
      </c>
    </row>
    <row r="208" spans="1:16" x14ac:dyDescent="0.25">
      <c r="A208">
        <v>6</v>
      </c>
      <c r="B208">
        <v>34</v>
      </c>
      <c r="C208" s="2" t="s">
        <v>5</v>
      </c>
      <c r="D208" s="2" t="s">
        <v>33</v>
      </c>
      <c r="E208" s="11" cm="1">
        <f t="array" aca="1" ref="E208" ca="1">INDEX('OD flujo mercancia multimodal'!E$45:E$1645,MATCH(C208&amp;D208,'OD flujo mercancia multimodal'!C$45:C$1645&amp;'OD flujo mercancia multimodal'!D$45:D$1645,0))</f>
        <v>308285.52197802224</v>
      </c>
      <c r="F208" s="11" cm="1">
        <f t="array" aca="1" ref="F208" ca="1">INDEX('OD flujo mercancia carretera'!E$45:E$1646,MATCH(C208&amp;D208,'OD flujo mercancia carretera'!C$45:C$1646&amp;'OD flujo mercancia carretera'!D$45:D$1646,0))</f>
        <v>394881.0885225886</v>
      </c>
      <c r="G208" s="11" cm="1">
        <f t="array" aca="1" ref="G208" ca="1">INDEX('Coste Carretera'!E$46:E$1646,MATCH(C208&amp;D208,'Coste Carretera'!C$46:C$1646&amp;'Coste Carretera'!D$46:D$1646,0))</f>
        <v>2865578546.8199987</v>
      </c>
      <c r="H208" s="11" cm="1">
        <f t="array" aca="1" ref="H208" ca="1">INDEX('Coste multimodal'!E$46:E$1646,MATCH(C208&amp;D208,'Coste multimodal'!C$46:C$1646&amp;'Coste multimodal'!D$46:D$1646,0))</f>
        <v>3315514687.8260989</v>
      </c>
      <c r="I208" s="12" cm="1">
        <f t="array" aca="1" ref="I208" ca="1">INDEX('Tiempos intermodal (horas)'!E$45:E$1645,MATCH(C208&amp;D208,'Tiempos intermodal (horas)'!C$45:C$1645&amp;'Tiempos intermodal (horas)'!D$45:D$1645,0))</f>
        <v>30.583514125697963</v>
      </c>
      <c r="J208" s="2" cm="1">
        <f t="array" aca="1" ref="J208" ca="1">INDEX('Tiempos carretera (horas)'!E$45:E$1645,MATCH(C208&amp;D208,'Tiempos carretera (horas)'!C$45:C$1645&amp;'Tiempos carretera (horas)'!D$45:D$1645,0))</f>
        <v>7.48</v>
      </c>
      <c r="K208" s="12">
        <f t="shared" ca="1" si="18"/>
        <v>7.25681383613811</v>
      </c>
      <c r="L208" s="12">
        <f t="shared" ca="1" si="19"/>
        <v>10.754688272589275</v>
      </c>
      <c r="M208" s="12">
        <f t="shared" ca="1" si="20"/>
        <v>0.43842457445262101</v>
      </c>
      <c r="N208" s="13">
        <f t="shared" ca="1" si="22"/>
        <v>-3.4978744364511654</v>
      </c>
      <c r="O208" s="13">
        <f t="shared" ca="1" si="23"/>
        <v>-23.103514125697963</v>
      </c>
      <c r="P208" s="12">
        <f t="shared" ca="1" si="21"/>
        <v>0.24755830489839342</v>
      </c>
    </row>
    <row r="209" spans="1:16" x14ac:dyDescent="0.25">
      <c r="A209">
        <v>32</v>
      </c>
      <c r="B209">
        <v>1</v>
      </c>
      <c r="C209" s="2" t="s">
        <v>31</v>
      </c>
      <c r="D209" s="2" t="s">
        <v>0</v>
      </c>
      <c r="E209" s="11" cm="1">
        <f t="array" aca="1" ref="E209" ca="1">INDEX('OD flujo mercancia multimodal'!E$45:E$1645,MATCH(C209&amp;D209,'OD flujo mercancia multimodal'!C$45:C$1645&amp;'OD flujo mercancia multimodal'!D$45:D$1645,0))</f>
        <v>92587.148351648328</v>
      </c>
      <c r="F209" s="11" cm="1">
        <f t="array" aca="1" ref="F209" ca="1">INDEX('OD flujo mercancia carretera'!E$45:E$1646,MATCH(C209&amp;D209,'OD flujo mercancia carretera'!C$45:C$1646&amp;'OD flujo mercancia carretera'!D$45:D$1646,0))</f>
        <v>95137.446153846191</v>
      </c>
      <c r="G209" s="11" cm="1">
        <f t="array" aca="1" ref="G209" ca="1">INDEX('Coste Carretera'!E$46:E$1646,MATCH(C209&amp;D209,'Coste Carretera'!C$46:C$1646&amp;'Coste Carretera'!D$46:D$1646,0))</f>
        <v>1386964239.1999996</v>
      </c>
      <c r="H209" s="11" cm="1">
        <f t="array" aca="1" ref="H209" ca="1">INDEX('Coste multimodal'!E$46:E$1646,MATCH(C209&amp;D209,'Coste multimodal'!C$46:C$1646&amp;'Coste multimodal'!D$46:D$1646,0))</f>
        <v>491293364.71329337</v>
      </c>
      <c r="I209" s="12" cm="1">
        <f t="array" aca="1" ref="I209" ca="1">INDEX('Tiempos intermodal (horas)'!E$45:E$1645,MATCH(C209&amp;D209,'Tiempos intermodal (horas)'!C$45:C$1645&amp;'Tiempos intermodal (horas)'!D$45:D$1645,0))</f>
        <v>26.360456920543591</v>
      </c>
      <c r="J209" s="2" cm="1">
        <f t="array" aca="1" ref="J209" ca="1">INDEX('Tiempos carretera (horas)'!E$45:E$1645,MATCH(C209&amp;D209,'Tiempos carretera (horas)'!C$45:C$1645&amp;'Tiempos carretera (horas)'!D$45:D$1645,0))</f>
        <v>3.25</v>
      </c>
      <c r="K209" s="12">
        <f t="shared" ca="1" si="18"/>
        <v>14.578531327792298</v>
      </c>
      <c r="L209" s="12">
        <f t="shared" ca="1" si="19"/>
        <v>5.3062803365252025</v>
      </c>
      <c r="M209" s="12">
        <f t="shared" ca="1" si="20"/>
        <v>0.49320734235991859</v>
      </c>
      <c r="N209" s="13">
        <f t="shared" ca="1" si="22"/>
        <v>9.2722509912670965</v>
      </c>
      <c r="O209" s="13">
        <f t="shared" ca="1" si="23"/>
        <v>-23.110456920543591</v>
      </c>
      <c r="P209" s="12">
        <f t="shared" ca="1" si="21"/>
        <v>2.7172302289809453E-2</v>
      </c>
    </row>
    <row r="210" spans="1:16" x14ac:dyDescent="0.25">
      <c r="A210">
        <v>1</v>
      </c>
      <c r="B210">
        <v>32</v>
      </c>
      <c r="C210" s="2" t="s">
        <v>0</v>
      </c>
      <c r="D210" s="2" t="s">
        <v>31</v>
      </c>
      <c r="E210" s="11" cm="1">
        <f t="array" aca="1" ref="E210" ca="1">INDEX('OD flujo mercancia multimodal'!E$45:E$1645,MATCH(C210&amp;D210,'OD flujo mercancia multimodal'!C$45:C$1645&amp;'OD flujo mercancia multimodal'!D$45:D$1645,0))</f>
        <v>86109.456043956045</v>
      </c>
      <c r="F210" s="11" cm="1">
        <f t="array" aca="1" ref="F210" ca="1">INDEX('OD flujo mercancia carretera'!E$45:E$1646,MATCH(C210&amp;D210,'OD flujo mercancia carretera'!C$45:C$1646&amp;'OD flujo mercancia carretera'!D$45:D$1646,0))</f>
        <v>97818.5</v>
      </c>
      <c r="G210" s="11" cm="1">
        <f t="array" aca="1" ref="G210" ca="1">INDEX('Coste Carretera'!E$46:E$1646,MATCH(C210&amp;D210,'Coste Carretera'!C$46:C$1646&amp;'Coste Carretera'!D$46:D$1646,0))</f>
        <v>1297982916.0000002</v>
      </c>
      <c r="H210" s="11" cm="1">
        <f t="array" aca="1" ref="H210" ca="1">INDEX('Coste multimodal'!E$46:E$1646,MATCH(C210&amp;D210,'Coste multimodal'!C$46:C$1646&amp;'Coste multimodal'!D$46:D$1646,0))</f>
        <v>491293364.71329337</v>
      </c>
      <c r="I210" s="12" cm="1">
        <f t="array" aca="1" ref="I210" ca="1">INDEX('Tiempos intermodal (horas)'!E$45:E$1645,MATCH(C210&amp;D210,'Tiempos intermodal (horas)'!C$45:C$1645&amp;'Tiempos intermodal (horas)'!D$45:D$1645,0))</f>
        <v>26.360456920543591</v>
      </c>
      <c r="J210" s="2" cm="1">
        <f t="array" aca="1" ref="J210" ca="1">INDEX('Tiempos carretera (horas)'!E$45:E$1645,MATCH(C210&amp;D210,'Tiempos carretera (horas)'!C$45:C$1645&amp;'Tiempos carretera (horas)'!D$45:D$1645,0))</f>
        <v>3.25</v>
      </c>
      <c r="K210" s="12">
        <f t="shared" ca="1" si="18"/>
        <v>13.269298915849253</v>
      </c>
      <c r="L210" s="12">
        <f t="shared" ca="1" si="19"/>
        <v>5.7054519594515183</v>
      </c>
      <c r="M210" s="12">
        <f t="shared" ca="1" si="20"/>
        <v>0.46816948274778397</v>
      </c>
      <c r="N210" s="13">
        <f t="shared" ca="1" si="22"/>
        <v>7.5638469563977351</v>
      </c>
      <c r="O210" s="13">
        <f t="shared" ca="1" si="23"/>
        <v>-23.110456920543591</v>
      </c>
      <c r="P210" s="12">
        <f t="shared" ca="1" si="21"/>
        <v>0.12749448900845825</v>
      </c>
    </row>
    <row r="211" spans="1:16" x14ac:dyDescent="0.25">
      <c r="A211">
        <v>32</v>
      </c>
      <c r="B211">
        <v>2</v>
      </c>
      <c r="C211" s="2" t="s">
        <v>31</v>
      </c>
      <c r="D211" s="2" t="s">
        <v>1</v>
      </c>
      <c r="E211" s="11" cm="1">
        <f t="array" aca="1" ref="E211" ca="1">INDEX('OD flujo mercancia multimodal'!E$45:E$1645,MATCH(C211&amp;D211,'OD flujo mercancia multimodal'!C$45:C$1645&amp;'OD flujo mercancia multimodal'!D$45:D$1645,0))</f>
        <v>21326.14835164832</v>
      </c>
      <c r="F211" s="11" cm="1">
        <f t="array" aca="1" ref="F211" ca="1">INDEX('OD flujo mercancia carretera'!E$45:E$1646,MATCH(C211&amp;D211,'OD flujo mercancia carretera'!C$45:C$1646&amp;'OD flujo mercancia carretera'!D$45:D$1646,0))</f>
        <v>85525.830769230786</v>
      </c>
      <c r="G211" s="11" cm="1">
        <f t="array" aca="1" ref="G211" ca="1">INDEX('Coste Carretera'!E$46:E$1646,MATCH(C211&amp;D211,'Coste Carretera'!C$46:C$1646&amp;'Coste Carretera'!D$46:D$1646,0))</f>
        <v>405623357.12857085</v>
      </c>
      <c r="H211" s="11" cm="1">
        <f t="array" aca="1" ref="H211" ca="1">INDEX('Coste multimodal'!E$46:E$1646,MATCH(C211&amp;D211,'Coste multimodal'!C$46:C$1646&amp;'Coste multimodal'!D$46:D$1646,0))</f>
        <v>367761896.15186483</v>
      </c>
      <c r="I211" s="12" cm="1">
        <f t="array" aca="1" ref="I211" ca="1">INDEX('Tiempos intermodal (horas)'!E$45:E$1645,MATCH(C211&amp;D211,'Tiempos intermodal (horas)'!C$45:C$1645&amp;'Tiempos intermodal (horas)'!D$45:D$1645,0))</f>
        <v>26.738234698321367</v>
      </c>
      <c r="J211" s="2" cm="1">
        <f t="array" aca="1" ref="J211" ca="1">INDEX('Tiempos carretera (horas)'!E$45:E$1645,MATCH(C211&amp;D211,'Tiempos carretera (horas)'!C$45:C$1645&amp;'Tiempos carretera (horas)'!D$45:D$1645,0))</f>
        <v>3.61</v>
      </c>
      <c r="K211" s="12">
        <f t="shared" ca="1" si="18"/>
        <v>4.7426999946137913</v>
      </c>
      <c r="L211" s="12">
        <f t="shared" ca="1" si="19"/>
        <v>17.244646810470122</v>
      </c>
      <c r="M211" s="12">
        <f t="shared" ca="1" si="20"/>
        <v>0.19958589936385318</v>
      </c>
      <c r="N211" s="13">
        <f t="shared" ca="1" si="22"/>
        <v>-12.501946815856332</v>
      </c>
      <c r="O211" s="13">
        <f t="shared" ca="1" si="23"/>
        <v>-23.128234698321368</v>
      </c>
      <c r="P211" s="12">
        <f t="shared" ca="1" si="21"/>
        <v>1.388884502628839</v>
      </c>
    </row>
    <row r="212" spans="1:16" x14ac:dyDescent="0.25">
      <c r="A212">
        <v>2</v>
      </c>
      <c r="B212">
        <v>32</v>
      </c>
      <c r="C212" s="2" t="s">
        <v>1</v>
      </c>
      <c r="D212" s="2" t="s">
        <v>31</v>
      </c>
      <c r="E212" s="11" cm="1">
        <f t="array" aca="1" ref="E212" ca="1">INDEX('OD flujo mercancia multimodal'!E$45:E$1645,MATCH(C212&amp;D212,'OD flujo mercancia multimodal'!C$45:C$1645&amp;'OD flujo mercancia multimodal'!D$45:D$1645,0))</f>
        <v>6909.3846153846152</v>
      </c>
      <c r="F212" s="11" cm="1">
        <f t="array" aca="1" ref="F212" ca="1">INDEX('OD flujo mercancia carretera'!E$45:E$1646,MATCH(C212&amp;D212,'OD flujo mercancia carretera'!C$45:C$1646&amp;'OD flujo mercancia carretera'!D$45:D$1646,0))</f>
        <v>88386.5</v>
      </c>
      <c r="G212" s="11" cm="1">
        <f t="array" aca="1" ref="G212" ca="1">INDEX('Coste Carretera'!E$46:E$1646,MATCH(C212&amp;D212,'Coste Carretera'!C$46:C$1646&amp;'Coste Carretera'!D$46:D$1646,0))</f>
        <v>159481949.20000002</v>
      </c>
      <c r="H212" s="11" cm="1">
        <f t="array" aca="1" ref="H212" ca="1">INDEX('Coste multimodal'!E$46:E$1646,MATCH(C212&amp;D212,'Coste multimodal'!C$46:C$1646&amp;'Coste multimodal'!D$46:D$1646,0))</f>
        <v>367761896.15186483</v>
      </c>
      <c r="I212" s="12" cm="1">
        <f t="array" aca="1" ref="I212" ca="1">INDEX('Tiempos intermodal (horas)'!E$45:E$1645,MATCH(C212&amp;D212,'Tiempos intermodal (horas)'!C$45:C$1645&amp;'Tiempos intermodal (horas)'!D$45:D$1645,0))</f>
        <v>26.738234698321367</v>
      </c>
      <c r="J212" s="2" cm="1">
        <f t="array" aca="1" ref="J212" ca="1">INDEX('Tiempos carretera (horas)'!E$45:E$1645,MATCH(C212&amp;D212,'Tiempos carretera (horas)'!C$45:C$1645&amp;'Tiempos carretera (horas)'!D$45:D$1645,0))</f>
        <v>3.61</v>
      </c>
      <c r="K212" s="12">
        <f t="shared" ca="1" si="18"/>
        <v>1.8043700022062195</v>
      </c>
      <c r="L212" s="12">
        <f t="shared" ca="1" si="19"/>
        <v>53.226432833540144</v>
      </c>
      <c r="M212" s="12">
        <f t="shared" ca="1" si="20"/>
        <v>7.2504543541108607E-2</v>
      </c>
      <c r="N212" s="13">
        <f t="shared" ca="1" si="22"/>
        <v>-51.422062831333925</v>
      </c>
      <c r="O212" s="13">
        <f t="shared" ca="1" si="23"/>
        <v>-23.128234698321368</v>
      </c>
      <c r="P212" s="12">
        <f t="shared" ca="1" si="21"/>
        <v>2.5488386663434701</v>
      </c>
    </row>
    <row r="213" spans="1:16" x14ac:dyDescent="0.25">
      <c r="A213">
        <v>36</v>
      </c>
      <c r="B213">
        <v>27</v>
      </c>
      <c r="C213" s="2" t="s">
        <v>35</v>
      </c>
      <c r="D213" s="2" t="s">
        <v>145</v>
      </c>
      <c r="E213" s="11" cm="1">
        <f t="array" aca="1" ref="E213" ca="1">INDEX('OD flujo mercancia multimodal'!E$45:E$1645,MATCH(C213&amp;D213,'OD flujo mercancia multimodal'!C$45:C$1645&amp;'OD flujo mercancia multimodal'!D$45:D$1645,0))</f>
        <v>61592.230769230766</v>
      </c>
      <c r="F213" s="11" cm="1">
        <f t="array" aca="1" ref="F213" ca="1">INDEX('OD flujo mercancia carretera'!E$45:E$1646,MATCH(C213&amp;D213,'OD flujo mercancia carretera'!C$45:C$1646&amp;'OD flujo mercancia carretera'!D$45:D$1646,0))</f>
        <v>509189.02307692304</v>
      </c>
      <c r="G213" s="11" cm="1">
        <f t="array" aca="1" ref="G213" ca="1">INDEX('Coste Carretera'!E$46:E$1646,MATCH(C213&amp;D213,'Coste Carretera'!C$46:C$1646&amp;'Coste Carretera'!D$46:D$1646,0))</f>
        <v>1563424409.5999997</v>
      </c>
      <c r="H213" s="11" cm="1">
        <f t="array" aca="1" ref="H213" ca="1">INDEX('Coste multimodal'!E$46:E$1646,MATCH(C213&amp;D213,'Coste multimodal'!C$46:C$1646&amp;'Coste multimodal'!D$46:D$1646,0))</f>
        <v>645034411.76443136</v>
      </c>
      <c r="I213" s="12" cm="1">
        <f t="array" aca="1" ref="I213" ca="1">INDEX('Tiempos intermodal (horas)'!E$45:E$1645,MATCH(C213&amp;D213,'Tiempos intermodal (horas)'!C$45:C$1645&amp;'Tiempos intermodal (horas)'!D$45:D$1645,0))</f>
        <v>27.96028956691066</v>
      </c>
      <c r="J213" s="2" cm="1">
        <f t="array" aca="1" ref="J213" ca="1">INDEX('Tiempos carretera (horas)'!E$45:E$1645,MATCH(C213&amp;D213,'Tiempos carretera (horas)'!C$45:C$1645&amp;'Tiempos carretera (horas)'!D$45:D$1645,0))</f>
        <v>4.82</v>
      </c>
      <c r="K213" s="12">
        <f t="shared" ca="1" si="18"/>
        <v>3.0704204897280625</v>
      </c>
      <c r="L213" s="12">
        <f t="shared" ca="1" si="19"/>
        <v>10.472658705627968</v>
      </c>
      <c r="M213" s="12">
        <f t="shared" ca="1" si="20"/>
        <v>0.10790864337992448</v>
      </c>
      <c r="N213" s="13">
        <f t="shared" ca="1" si="22"/>
        <v>-7.4022382158999047</v>
      </c>
      <c r="O213" s="13">
        <f t="shared" ca="1" si="23"/>
        <v>-23.14028956691066</v>
      </c>
      <c r="P213" s="12">
        <f t="shared" ca="1" si="21"/>
        <v>2.1122835705480387</v>
      </c>
    </row>
    <row r="214" spans="1:16" x14ac:dyDescent="0.25">
      <c r="A214">
        <v>27</v>
      </c>
      <c r="B214">
        <v>36</v>
      </c>
      <c r="C214" s="2" t="s">
        <v>145</v>
      </c>
      <c r="D214" s="2" t="s">
        <v>35</v>
      </c>
      <c r="E214" s="11" cm="1">
        <f t="array" aca="1" ref="E214" ca="1">INDEX('OD flujo mercancia multimodal'!E$45:E$1645,MATCH(C214&amp;D214,'OD flujo mercancia multimodal'!C$45:C$1645&amp;'OD flujo mercancia multimodal'!D$45:D$1645,0))</f>
        <v>36984.846153846149</v>
      </c>
      <c r="F214" s="11" cm="1">
        <f t="array" aca="1" ref="F214" ca="1">INDEX('OD flujo mercancia carretera'!E$45:E$1646,MATCH(C214&amp;D214,'OD flujo mercancia carretera'!C$45:C$1646&amp;'OD flujo mercancia carretera'!D$45:D$1646,0))</f>
        <v>511087.12307692308</v>
      </c>
      <c r="G214" s="11" cm="1">
        <f t="array" aca="1" ref="G214" ca="1">INDEX('Coste Carretera'!E$46:E$1646,MATCH(C214&amp;D214,'Coste Carretera'!C$46:C$1646&amp;'Coste Carretera'!D$46:D$1646,0))</f>
        <v>1272825593.6000006</v>
      </c>
      <c r="H214" s="11" cm="1">
        <f t="array" aca="1" ref="H214" ca="1">INDEX('Coste multimodal'!E$46:E$1646,MATCH(C214&amp;D214,'Coste multimodal'!C$46:C$1646&amp;'Coste multimodal'!D$46:D$1646,0))</f>
        <v>645034411.76443136</v>
      </c>
      <c r="I214" s="12" cm="1">
        <f t="array" aca="1" ref="I214" ca="1">INDEX('Tiempos intermodal (horas)'!E$45:E$1645,MATCH(C214&amp;D214,'Tiempos intermodal (horas)'!C$45:C$1645&amp;'Tiempos intermodal (horas)'!D$45:D$1645,0))</f>
        <v>27.96028956691066</v>
      </c>
      <c r="J214" s="2" cm="1">
        <f t="array" aca="1" ref="J214" ca="1">INDEX('Tiempos carretera (horas)'!E$45:E$1645,MATCH(C214&amp;D214,'Tiempos carretera (horas)'!C$45:C$1645&amp;'Tiempos carretera (horas)'!D$45:D$1645,0))</f>
        <v>4.82</v>
      </c>
      <c r="K214" s="12">
        <f t="shared" ca="1" si="18"/>
        <v>2.4904278275240936</v>
      </c>
      <c r="L214" s="12">
        <f t="shared" ca="1" si="19"/>
        <v>17.4405054730058</v>
      </c>
      <c r="M214" s="12">
        <f t="shared" ca="1" si="20"/>
        <v>6.748173274717037E-2</v>
      </c>
      <c r="N214" s="13">
        <f t="shared" ca="1" si="22"/>
        <v>-14.950077645481706</v>
      </c>
      <c r="O214" s="13">
        <f t="shared" ca="1" si="23"/>
        <v>-23.14028956691066</v>
      </c>
      <c r="P214" s="12">
        <f t="shared" ca="1" si="21"/>
        <v>2.6260318055885459</v>
      </c>
    </row>
    <row r="215" spans="1:16" x14ac:dyDescent="0.25">
      <c r="A215">
        <v>24</v>
      </c>
      <c r="B215">
        <v>14</v>
      </c>
      <c r="C215" s="2" t="s">
        <v>23</v>
      </c>
      <c r="D215" s="2" t="s">
        <v>13</v>
      </c>
      <c r="E215" s="11" cm="1">
        <f t="array" aca="1" ref="E215" ca="1">INDEX('OD flujo mercancia multimodal'!E$45:E$1645,MATCH(C215&amp;D215,'OD flujo mercancia multimodal'!C$45:C$1645&amp;'OD flujo mercancia multimodal'!D$45:D$1645,0))</f>
        <v>27657.846153846138</v>
      </c>
      <c r="F215" s="11" cm="1">
        <f t="array" aca="1" ref="F215" ca="1">INDEX('OD flujo mercancia carretera'!E$45:E$1646,MATCH(C215&amp;D215,'OD flujo mercancia carretera'!C$45:C$1646&amp;'OD flujo mercancia carretera'!D$45:D$1646,0))</f>
        <v>252224.76923076899</v>
      </c>
      <c r="G215" s="11" cm="1">
        <f t="array" aca="1" ref="G215" ca="1">INDEX('Coste Carretera'!E$46:E$1646,MATCH(C215&amp;D215,'Coste Carretera'!C$46:C$1646&amp;'Coste Carretera'!D$46:D$1646,0))</f>
        <v>492428037.11999971</v>
      </c>
      <c r="H215" s="11" cm="1">
        <f t="array" aca="1" ref="H215" ca="1">INDEX('Coste multimodal'!E$46:E$1646,MATCH(C215&amp;D215,'Coste multimodal'!C$46:C$1646&amp;'Coste multimodal'!D$46:D$1646,0))</f>
        <v>138809477.63222188</v>
      </c>
      <c r="I215" s="12" cm="1">
        <f t="array" aca="1" ref="I215" ca="1">INDEX('Tiempos intermodal (horas)'!E$45:E$1645,MATCH(C215&amp;D215,'Tiempos intermodal (horas)'!C$45:C$1645&amp;'Tiempos intermodal (horas)'!D$45:D$1645,0))</f>
        <v>27.073733176291526</v>
      </c>
      <c r="J215" s="2" cm="1">
        <f t="array" aca="1" ref="J215" ca="1">INDEX('Tiempos carretera (horas)'!E$45:E$1645,MATCH(C215&amp;D215,'Tiempos carretera (horas)'!C$45:C$1645&amp;'Tiempos carretera (horas)'!D$45:D$1645,0))</f>
        <v>3.93</v>
      </c>
      <c r="K215" s="12">
        <f t="shared" ca="1" si="18"/>
        <v>1.9523381411817673</v>
      </c>
      <c r="L215" s="12">
        <f t="shared" ca="1" si="19"/>
        <v>5.0188101003996239</v>
      </c>
      <c r="M215" s="12">
        <f t="shared" ca="1" si="20"/>
        <v>9.8819450132115849E-2</v>
      </c>
      <c r="N215" s="13">
        <f t="shared" ca="1" si="22"/>
        <v>-3.0664719592178566</v>
      </c>
      <c r="O215" s="13">
        <f t="shared" ca="1" si="23"/>
        <v>-23.143733176291526</v>
      </c>
      <c r="P215" s="12">
        <f t="shared" ca="1" si="21"/>
        <v>2.2104111767798269</v>
      </c>
    </row>
    <row r="216" spans="1:16" x14ac:dyDescent="0.25">
      <c r="A216">
        <v>14</v>
      </c>
      <c r="B216">
        <v>24</v>
      </c>
      <c r="C216" s="2" t="s">
        <v>13</v>
      </c>
      <c r="D216" s="2" t="s">
        <v>23</v>
      </c>
      <c r="E216" s="11" cm="1">
        <f t="array" aca="1" ref="E216" ca="1">INDEX('OD flujo mercancia multimodal'!E$45:E$1645,MATCH(C216&amp;D216,'OD flujo mercancia multimodal'!C$45:C$1645&amp;'OD flujo mercancia multimodal'!D$45:D$1645,0))</f>
        <v>19139.153846153844</v>
      </c>
      <c r="F216" s="11" cm="1">
        <f t="array" aca="1" ref="F216" ca="1">INDEX('OD flujo mercancia carretera'!E$45:E$1646,MATCH(C216&amp;D216,'OD flujo mercancia carretera'!C$45:C$1646&amp;'OD flujo mercancia carretera'!D$45:D$1646,0))</f>
        <v>171748.28205128206</v>
      </c>
      <c r="G216" s="11" cm="1">
        <f t="array" aca="1" ref="G216" ca="1">INDEX('Coste Carretera'!E$46:E$1646,MATCH(C216&amp;D216,'Coste Carretera'!C$46:C$1646&amp;'Coste Carretera'!D$46:D$1646,0))</f>
        <v>340758854.03999996</v>
      </c>
      <c r="H216" s="11" cm="1">
        <f t="array" aca="1" ref="H216" ca="1">INDEX('Coste multimodal'!E$46:E$1646,MATCH(C216&amp;D216,'Coste multimodal'!C$46:C$1646&amp;'Coste multimodal'!D$46:D$1646,0))</f>
        <v>138809477.63222188</v>
      </c>
      <c r="I216" s="12" cm="1">
        <f t="array" aca="1" ref="I216" ca="1">INDEX('Tiempos intermodal (horas)'!E$45:E$1645,MATCH(C216&amp;D216,'Tiempos intermodal (horas)'!C$45:C$1645&amp;'Tiempos intermodal (horas)'!D$45:D$1645,0))</f>
        <v>27.073733176291526</v>
      </c>
      <c r="J216" s="2" cm="1">
        <f t="array" aca="1" ref="J216" ca="1">INDEX('Tiempos carretera (horas)'!E$45:E$1645,MATCH(C216&amp;D216,'Tiempos carretera (horas)'!C$45:C$1645&amp;'Tiempos carretera (horas)'!D$45:D$1645,0))</f>
        <v>3.93</v>
      </c>
      <c r="K216" s="12">
        <f t="shared" ca="1" si="18"/>
        <v>1.9840597528553636</v>
      </c>
      <c r="L216" s="12">
        <f t="shared" ca="1" si="19"/>
        <v>7.2526444349637051</v>
      </c>
      <c r="M216" s="12">
        <f t="shared" ca="1" si="20"/>
        <v>0.10026408367933308</v>
      </c>
      <c r="N216" s="13">
        <f t="shared" ca="1" si="22"/>
        <v>-5.268584682108342</v>
      </c>
      <c r="O216" s="13">
        <f t="shared" ca="1" si="23"/>
        <v>-23.143733176291526</v>
      </c>
      <c r="P216" s="12">
        <f t="shared" ca="1" si="21"/>
        <v>2.1942937520571317</v>
      </c>
    </row>
    <row r="217" spans="1:16" x14ac:dyDescent="0.25">
      <c r="A217">
        <v>33</v>
      </c>
      <c r="B217">
        <v>5</v>
      </c>
      <c r="C217" s="2" t="s">
        <v>32</v>
      </c>
      <c r="D217" s="2" t="s">
        <v>4</v>
      </c>
      <c r="E217" s="11" cm="1">
        <f t="array" aca="1" ref="E217" ca="1">INDEX('OD flujo mercancia multimodal'!E$45:E$1645,MATCH(C217&amp;D217,'OD flujo mercancia multimodal'!C$45:C$1645&amp;'OD flujo mercancia multimodal'!D$45:D$1645,0))</f>
        <v>95033.258241758274</v>
      </c>
      <c r="F217" s="11" cm="1">
        <f t="array" aca="1" ref="F217" ca="1">INDEX('OD flujo mercancia carretera'!E$45:E$1646,MATCH(C217&amp;D217,'OD flujo mercancia carretera'!C$45:C$1646&amp;'OD flujo mercancia carretera'!D$45:D$1646,0))</f>
        <v>155577.48205128202</v>
      </c>
      <c r="G217" s="11" cm="1">
        <f t="array" aca="1" ref="G217" ca="1">INDEX('Coste Carretera'!E$46:E$1646,MATCH(C217&amp;D217,'Coste Carretera'!C$46:C$1646&amp;'Coste Carretera'!D$46:D$1646,0))</f>
        <v>1651865362.0228581</v>
      </c>
      <c r="H217" s="11" cm="1">
        <f t="array" aca="1" ref="H217" ca="1">INDEX('Coste multimodal'!E$46:E$1646,MATCH(C217&amp;D217,'Coste multimodal'!C$46:C$1646&amp;'Coste multimodal'!D$46:D$1646,0))</f>
        <v>401224318.49172497</v>
      </c>
      <c r="I217" s="12" cm="1">
        <f t="array" aca="1" ref="I217" ca="1">INDEX('Tiempos intermodal (horas)'!E$45:E$1645,MATCH(C217&amp;D217,'Tiempos intermodal (horas)'!C$45:C$1645&amp;'Tiempos intermodal (horas)'!D$45:D$1645,0))</f>
        <v>25.896827759155642</v>
      </c>
      <c r="J217" s="2" cm="1">
        <f t="array" aca="1" ref="J217" ca="1">INDEX('Tiempos carretera (horas)'!E$45:E$1645,MATCH(C217&amp;D217,'Tiempos carretera (horas)'!C$45:C$1645&amp;'Tiempos carretera (horas)'!D$45:D$1645,0))</f>
        <v>5.16</v>
      </c>
      <c r="K217" s="12">
        <f t="shared" ca="1" si="18"/>
        <v>10.617637849919465</v>
      </c>
      <c r="L217" s="12">
        <f t="shared" ca="1" si="19"/>
        <v>4.2219358350424763</v>
      </c>
      <c r="M217" s="12">
        <f t="shared" ca="1" si="20"/>
        <v>0.37920664585498393</v>
      </c>
      <c r="N217" s="13">
        <f t="shared" ca="1" si="22"/>
        <v>6.3957020148769885</v>
      </c>
      <c r="O217" s="13">
        <f t="shared" ca="1" si="23"/>
        <v>-20.736827759155641</v>
      </c>
      <c r="P217" s="12">
        <f t="shared" ca="1" si="21"/>
        <v>0.49291696728789514</v>
      </c>
    </row>
    <row r="218" spans="1:16" x14ac:dyDescent="0.25">
      <c r="A218">
        <v>40</v>
      </c>
      <c r="B218">
        <v>37</v>
      </c>
      <c r="C218" s="2" t="s">
        <v>39</v>
      </c>
      <c r="D218" s="2" t="s">
        <v>36</v>
      </c>
      <c r="E218" s="11" cm="1">
        <f t="array" aca="1" ref="E218" ca="1">INDEX('OD flujo mercancia multimodal'!E$45:E$1645,MATCH(C218&amp;D218,'OD flujo mercancia multimodal'!C$45:C$1645&amp;'OD flujo mercancia multimodal'!D$45:D$1645,0))</f>
        <v>12841.769230769278</v>
      </c>
      <c r="F218" s="11" cm="1">
        <f t="array" aca="1" ref="F218" ca="1">INDEX('OD flujo mercancia carretera'!E$45:E$1646,MATCH(C218&amp;D218,'OD flujo mercancia carretera'!C$45:C$1646&amp;'OD flujo mercancia carretera'!D$45:D$1646,0))</f>
        <v>185806.93956043952</v>
      </c>
      <c r="G218" s="11" cm="1">
        <f t="array" aca="1" ref="G218" ca="1">INDEX('Coste Carretera'!E$46:E$1646,MATCH(C218&amp;D218,'Coste Carretera'!C$46:C$1646&amp;'Coste Carretera'!D$46:D$1646,0))</f>
        <v>27709568.15999997</v>
      </c>
      <c r="H218" s="11" cm="1">
        <f t="array" aca="1" ref="H218" ca="1">INDEX('Coste multimodal'!E$46:E$1646,MATCH(C218&amp;D218,'Coste multimodal'!C$46:C$1646&amp;'Coste multimodal'!D$46:D$1646,0))</f>
        <v>0</v>
      </c>
      <c r="I218" s="12" cm="1">
        <f t="array" aca="1" ref="I218" ca="1">INDEX('Tiempos intermodal (horas)'!E$45:E$1645,MATCH(C218&amp;D218,'Tiempos intermodal (horas)'!C$45:C$1645&amp;'Tiempos intermodal (horas)'!D$45:D$1645,0))</f>
        <v>0</v>
      </c>
      <c r="J218" s="2" cm="1">
        <f t="array" aca="1" ref="J218" ca="1">INDEX('Tiempos carretera (horas)'!E$45:E$1645,MATCH(C218&amp;D218,'Tiempos carretera (horas)'!C$45:C$1645&amp;'Tiempos carretera (horas)'!D$45:D$1645,0))</f>
        <v>1.5</v>
      </c>
      <c r="K218" s="12">
        <f t="shared" ca="1" si="18"/>
        <v>0.14913096478286575</v>
      </c>
      <c r="L218" s="12">
        <f t="shared" ca="1" si="19"/>
        <v>0</v>
      </c>
      <c r="M218" s="12">
        <f t="shared" ca="1" si="20"/>
        <v>6.4645621453632077E-2</v>
      </c>
      <c r="N218" s="13">
        <f t="shared" ca="1" si="22"/>
        <v>0.14913096478286575</v>
      </c>
      <c r="O218" s="13">
        <f t="shared" ca="1" si="23"/>
        <v>1.5</v>
      </c>
      <c r="P218" s="12">
        <f t="shared" ca="1" si="21"/>
        <v>2.6720050959799515</v>
      </c>
    </row>
    <row r="219" spans="1:16" x14ac:dyDescent="0.25">
      <c r="A219">
        <v>37</v>
      </c>
      <c r="B219">
        <v>40</v>
      </c>
      <c r="C219" s="2" t="s">
        <v>36</v>
      </c>
      <c r="D219" s="2" t="s">
        <v>39</v>
      </c>
      <c r="E219" s="11" cm="1">
        <f t="array" aca="1" ref="E219" ca="1">INDEX('OD flujo mercancia multimodal'!E$45:E$1645,MATCH(C219&amp;D219,'OD flujo mercancia multimodal'!C$45:C$1645&amp;'OD flujo mercancia multimodal'!D$45:D$1645,0))</f>
        <v>15320.923076923076</v>
      </c>
      <c r="F219" s="11" cm="1">
        <f t="array" aca="1" ref="F219" ca="1">INDEX('OD flujo mercancia carretera'!E$45:E$1646,MATCH(C219&amp;D219,'OD flujo mercancia carretera'!C$45:C$1646&amp;'OD flujo mercancia carretera'!D$45:D$1646,0))</f>
        <v>154657.717948718</v>
      </c>
      <c r="G219" s="11" cm="1">
        <f t="array" aca="1" ref="G219" ca="1">INDEX('Coste Carretera'!E$46:E$1646,MATCH(C219&amp;D219,'Coste Carretera'!C$46:C$1646&amp;'Coste Carretera'!D$46:D$1646,0))</f>
        <v>112983411.64000008</v>
      </c>
      <c r="H219" s="11" cm="1">
        <f t="array" aca="1" ref="H219" ca="1">INDEX('Coste multimodal'!E$46:E$1646,MATCH(C219&amp;D219,'Coste multimodal'!C$46:C$1646&amp;'Coste multimodal'!D$46:D$1646,0))</f>
        <v>171784175.07336694</v>
      </c>
      <c r="I219" s="12" cm="1">
        <f t="array" aca="1" ref="I219" ca="1">INDEX('Tiempos intermodal (horas)'!E$45:E$1645,MATCH(C219&amp;D219,'Tiempos intermodal (horas)'!C$45:C$1645&amp;'Tiempos intermodal (horas)'!D$45:D$1645,0))</f>
        <v>28.711137936813763</v>
      </c>
      <c r="J219" s="2" cm="1">
        <f t="array" aca="1" ref="J219" ca="1">INDEX('Tiempos carretera (horas)'!E$45:E$1645,MATCH(C219&amp;D219,'Tiempos carretera (horas)'!C$45:C$1645&amp;'Tiempos carretera (horas)'!D$45:D$1645,0))</f>
        <v>4.16</v>
      </c>
      <c r="K219" s="12">
        <f t="shared" ca="1" si="18"/>
        <v>0.73053846350858187</v>
      </c>
      <c r="L219" s="12">
        <f t="shared" ca="1" si="19"/>
        <v>11.212390677172346</v>
      </c>
      <c r="M219" s="12">
        <f t="shared" ca="1" si="20"/>
        <v>9.0134401501727121E-2</v>
      </c>
      <c r="N219" s="13">
        <f t="shared" ca="1" si="22"/>
        <v>-10.481852213663764</v>
      </c>
      <c r="O219" s="13">
        <f t="shared" ca="1" si="23"/>
        <v>-24.551137936813763</v>
      </c>
      <c r="P219" s="12">
        <f t="shared" ca="1" si="21"/>
        <v>2.3119949882339497</v>
      </c>
    </row>
    <row r="220" spans="1:16" x14ac:dyDescent="0.25">
      <c r="A220">
        <v>4</v>
      </c>
      <c r="B220">
        <v>32</v>
      </c>
      <c r="C220" s="2" t="s">
        <v>3</v>
      </c>
      <c r="D220" s="2" t="s">
        <v>31</v>
      </c>
      <c r="E220" s="11" cm="1">
        <f t="array" aca="1" ref="E220" ca="1">INDEX('OD flujo mercancia multimodal'!E$45:E$1645,MATCH(C220&amp;D220,'OD flujo mercancia multimodal'!C$45:C$1645&amp;'OD flujo mercancia multimodal'!D$45:D$1645,0))</f>
        <v>30106.527472527472</v>
      </c>
      <c r="F220" s="11" cm="1">
        <f t="array" aca="1" ref="F220" ca="1">INDEX('OD flujo mercancia carretera'!E$45:E$1646,MATCH(C220&amp;D220,'OD flujo mercancia carretera'!C$45:C$1646&amp;'OD flujo mercancia carretera'!D$45:D$1646,0))</f>
        <v>80964.653846153844</v>
      </c>
      <c r="G220" s="11" cm="1">
        <f t="array" aca="1" ref="G220" ca="1">INDEX('Coste Carretera'!E$46:E$1646,MATCH(C220&amp;D220,'Coste Carretera'!C$46:C$1646&amp;'Coste Carretera'!D$46:D$1646,0))</f>
        <v>416817347.8628571</v>
      </c>
      <c r="H220" s="11" cm="1">
        <f t="array" aca="1" ref="H220" ca="1">INDEX('Coste multimodal'!E$46:E$1646,MATCH(C220&amp;D220,'Coste multimodal'!C$46:C$1646&amp;'Coste multimodal'!D$46:D$1646,0))</f>
        <v>315370728.09038025</v>
      </c>
      <c r="I220" s="12" cm="1">
        <f t="array" aca="1" ref="I220" ca="1">INDEX('Tiempos intermodal (horas)'!E$45:E$1645,MATCH(C220&amp;D220,'Tiempos intermodal (horas)'!C$45:C$1645&amp;'Tiempos intermodal (horas)'!D$45:D$1645,0))</f>
        <v>23.902478379258163</v>
      </c>
      <c r="J220" s="2" cm="1">
        <f t="array" aca="1" ref="J220" ca="1">INDEX('Tiempos carretera (horas)'!E$45:E$1645,MATCH(C220&amp;D220,'Tiempos carretera (horas)'!C$45:C$1645&amp;'Tiempos carretera (horas)'!D$45:D$1645,0))</f>
        <v>2.72</v>
      </c>
      <c r="K220" s="12">
        <f t="shared" ca="1" si="18"/>
        <v>5.1481396888928668</v>
      </c>
      <c r="L220" s="12">
        <f t="shared" ca="1" si="19"/>
        <v>10.475161188156271</v>
      </c>
      <c r="M220" s="12">
        <f t="shared" ca="1" si="20"/>
        <v>0.27105615619723122</v>
      </c>
      <c r="N220" s="13">
        <f t="shared" ca="1" si="22"/>
        <v>-5.3270214992634042</v>
      </c>
      <c r="O220" s="13">
        <f t="shared" ca="1" si="23"/>
        <v>-21.182478379258164</v>
      </c>
      <c r="P220" s="12">
        <f t="shared" ca="1" si="21"/>
        <v>0.98927067936804314</v>
      </c>
    </row>
    <row r="221" spans="1:16" x14ac:dyDescent="0.25">
      <c r="A221">
        <v>27</v>
      </c>
      <c r="B221">
        <v>9</v>
      </c>
      <c r="C221" s="2" t="s">
        <v>145</v>
      </c>
      <c r="D221" s="2" t="s">
        <v>148</v>
      </c>
      <c r="E221" s="11" cm="1">
        <f t="array" aca="1" ref="E221" ca="1">INDEX('OD flujo mercancia multimodal'!E$45:E$1645,MATCH(C221&amp;D221,'OD flujo mercancia multimodal'!C$45:C$1645&amp;'OD flujo mercancia multimodal'!D$45:D$1645,0))</f>
        <v>33862.454545454544</v>
      </c>
      <c r="F221" s="11" cm="1">
        <f t="array" aca="1" ref="F221" ca="1">INDEX('OD flujo mercancia carretera'!E$45:E$1646,MATCH(C221&amp;D221,'OD flujo mercancia carretera'!C$45:C$1646&amp;'OD flujo mercancia carretera'!D$45:D$1646,0))</f>
        <v>989893.82179487194</v>
      </c>
      <c r="G221" s="11" cm="1">
        <f t="array" aca="1" ref="G221" ca="1">INDEX('Coste Carretera'!E$46:E$1646,MATCH(C221&amp;D221,'Coste Carretera'!C$46:C$1646&amp;'Coste Carretera'!D$46:D$1646,0))</f>
        <v>1388974224.04</v>
      </c>
      <c r="H221" s="11" cm="1">
        <f t="array" aca="1" ref="H221" ca="1">INDEX('Coste multimodal'!E$46:E$1646,MATCH(C221&amp;D221,'Coste multimodal'!C$46:C$1646&amp;'Coste multimodal'!D$46:D$1646,0))</f>
        <v>1266586552.5564313</v>
      </c>
      <c r="I221" s="12" cm="1">
        <f t="array" aca="1" ref="I221" ca="1">INDEX('Tiempos intermodal (horas)'!E$45:E$1645,MATCH(C221&amp;D221,'Tiempos intermodal (horas)'!C$45:C$1645&amp;'Tiempos intermodal (horas)'!D$45:D$1645,0))</f>
        <v>29.801400678021771</v>
      </c>
      <c r="J221" s="2" cm="1">
        <f t="array" aca="1" ref="J221" ca="1">INDEX('Tiempos carretera (horas)'!E$45:E$1645,MATCH(C221&amp;D221,'Tiempos carretera (horas)'!C$45:C$1645&amp;'Tiempos carretera (horas)'!D$45:D$1645,0))</f>
        <v>6.58</v>
      </c>
      <c r="K221" s="12">
        <f t="shared" ca="1" si="18"/>
        <v>1.4031547560540552</v>
      </c>
      <c r="L221" s="12">
        <f t="shared" ca="1" si="19"/>
        <v>37.403861284073656</v>
      </c>
      <c r="M221" s="12">
        <f t="shared" ca="1" si="20"/>
        <v>3.3076675892532131E-2</v>
      </c>
      <c r="N221" s="13">
        <f t="shared" ca="1" si="22"/>
        <v>-36.000706528019599</v>
      </c>
      <c r="O221" s="13">
        <f t="shared" ca="1" si="23"/>
        <v>-23.221400678021773</v>
      </c>
      <c r="P221" s="12">
        <f t="shared" ca="1" si="21"/>
        <v>3.3752908215812276</v>
      </c>
    </row>
    <row r="222" spans="1:16" x14ac:dyDescent="0.25">
      <c r="A222">
        <v>9</v>
      </c>
      <c r="B222">
        <v>27</v>
      </c>
      <c r="C222" s="2" t="s">
        <v>148</v>
      </c>
      <c r="D222" s="2" t="s">
        <v>145</v>
      </c>
      <c r="E222" s="11" cm="1">
        <f t="array" aca="1" ref="E222" ca="1">INDEX('OD flujo mercancia multimodal'!E$45:E$1645,MATCH(C222&amp;D222,'OD flujo mercancia multimodal'!C$45:C$1645&amp;'OD flujo mercancia multimodal'!D$45:D$1645,0))</f>
        <v>60401.5</v>
      </c>
      <c r="F222" s="11" cm="1">
        <f t="array" aca="1" ref="F222" ca="1">INDEX('OD flujo mercancia carretera'!E$45:E$1646,MATCH(C222&amp;D222,'OD flujo mercancia carretera'!C$45:C$1646&amp;'OD flujo mercancia carretera'!D$45:D$1646,0))</f>
        <v>991738.39700854709</v>
      </c>
      <c r="G222" s="11" cm="1">
        <f t="array" aca="1" ref="G222" ca="1">INDEX('Coste Carretera'!E$46:E$1646,MATCH(C222&amp;D222,'Coste Carretera'!C$46:C$1646&amp;'Coste Carretera'!D$46:D$1646,0))</f>
        <v>1814548038.1599998</v>
      </c>
      <c r="H222" s="11" cm="1">
        <f t="array" aca="1" ref="H222" ca="1">INDEX('Coste multimodal'!E$46:E$1646,MATCH(C222&amp;D222,'Coste multimodal'!C$46:C$1646&amp;'Coste multimodal'!D$46:D$1646,0))</f>
        <v>1266586552.5564313</v>
      </c>
      <c r="I222" s="12" cm="1">
        <f t="array" aca="1" ref="I222" ca="1">INDEX('Tiempos intermodal (horas)'!E$45:E$1645,MATCH(C222&amp;D222,'Tiempos intermodal (horas)'!C$45:C$1645&amp;'Tiempos intermodal (horas)'!D$45:D$1645,0))</f>
        <v>29.801400678021771</v>
      </c>
      <c r="J222" s="2" cm="1">
        <f t="array" aca="1" ref="J222" ca="1">INDEX('Tiempos carretera (horas)'!E$45:E$1645,MATCH(C222&amp;D222,'Tiempos carretera (horas)'!C$45:C$1645&amp;'Tiempos carretera (horas)'!D$45:D$1645,0))</f>
        <v>6.58</v>
      </c>
      <c r="K222" s="12">
        <f t="shared" ca="1" si="18"/>
        <v>1.8296639957002305</v>
      </c>
      <c r="L222" s="12">
        <f t="shared" ca="1" si="19"/>
        <v>20.969455271084847</v>
      </c>
      <c r="M222" s="12">
        <f t="shared" ca="1" si="20"/>
        <v>5.740824026513399E-2</v>
      </c>
      <c r="N222" s="13">
        <f t="shared" ca="1" si="22"/>
        <v>-19.139791275384617</v>
      </c>
      <c r="O222" s="13">
        <f t="shared" ca="1" si="23"/>
        <v>-23.221400678021773</v>
      </c>
      <c r="P222" s="12">
        <f t="shared" ca="1" si="21"/>
        <v>2.7984454207440832</v>
      </c>
    </row>
    <row r="223" spans="1:16" x14ac:dyDescent="0.25">
      <c r="A223">
        <v>23</v>
      </c>
      <c r="B223">
        <v>30</v>
      </c>
      <c r="C223" s="2" t="s">
        <v>22</v>
      </c>
      <c r="D223" s="2" t="s">
        <v>146</v>
      </c>
      <c r="E223" s="11" cm="1">
        <f t="array" aca="1" ref="E223" ca="1">INDEX('OD flujo mercancia multimodal'!E$45:E$1645,MATCH(C223&amp;D223,'OD flujo mercancia multimodal'!C$45:C$1645&amp;'OD flujo mercancia multimodal'!D$45:D$1645,0))</f>
        <v>8561.8384615384621</v>
      </c>
      <c r="F223" s="11" cm="1">
        <f t="array" aca="1" ref="F223" ca="1">INDEX('OD flujo mercancia carretera'!E$45:E$1646,MATCH(C223&amp;D223,'OD flujo mercancia carretera'!C$45:C$1646&amp;'OD flujo mercancia carretera'!D$45:D$1646,0))</f>
        <v>334551.76666666666</v>
      </c>
      <c r="G223" s="11" cm="1">
        <f t="array" aca="1" ref="G223" ca="1">INDEX('Coste Carretera'!E$46:E$1646,MATCH(C223&amp;D223,'Coste Carretera'!C$46:C$1646&amp;'Coste Carretera'!D$46:D$1646,0))</f>
        <v>585927870.03999996</v>
      </c>
      <c r="H223" s="11" cm="1">
        <f t="array" aca="1" ref="H223" ca="1">INDEX('Coste multimodal'!E$46:E$1646,MATCH(C223&amp;D223,'Coste multimodal'!C$46:C$1646&amp;'Coste multimodal'!D$46:D$1646,0))</f>
        <v>68627278.807999998</v>
      </c>
      <c r="I223" s="12" cm="1">
        <f t="array" aca="1" ref="I223" ca="1">INDEX('Tiempos intermodal (horas)'!E$45:E$1645,MATCH(C223&amp;D223,'Tiempos intermodal (horas)'!C$45:C$1645&amp;'Tiempos intermodal (horas)'!D$45:D$1645,0))</f>
        <v>0</v>
      </c>
      <c r="J223" s="2" cm="1">
        <f t="array" aca="1" ref="J223" ca="1">INDEX('Tiempos carretera (horas)'!E$45:E$1645,MATCH(C223&amp;D223,'Tiempos carretera (horas)'!C$45:C$1645&amp;'Tiempos carretera (horas)'!D$45:D$1645,0))</f>
        <v>3.6</v>
      </c>
      <c r="K223" s="12">
        <f t="shared" ca="1" si="18"/>
        <v>1.7513817842839068</v>
      </c>
      <c r="L223" s="12">
        <f t="shared" ca="1" si="19"/>
        <v>8.0154839543268466</v>
      </c>
      <c r="M223" s="12">
        <f t="shared" ca="1" si="20"/>
        <v>2.4953363357128645E-2</v>
      </c>
      <c r="N223" s="13">
        <f t="shared" ca="1" si="22"/>
        <v>-6.26410217004294</v>
      </c>
      <c r="O223" s="13">
        <f t="shared" ca="1" si="23"/>
        <v>3.6</v>
      </c>
      <c r="P223" s="12">
        <f t="shared" ca="1" si="21"/>
        <v>3.6654766853029077</v>
      </c>
    </row>
    <row r="224" spans="1:16" x14ac:dyDescent="0.25">
      <c r="A224">
        <v>30</v>
      </c>
      <c r="B224">
        <v>23</v>
      </c>
      <c r="C224" s="2" t="s">
        <v>146</v>
      </c>
      <c r="D224" s="2" t="s">
        <v>22</v>
      </c>
      <c r="E224" s="11" cm="1">
        <f t="array" aca="1" ref="E224" ca="1">INDEX('OD flujo mercancia multimodal'!E$45:E$1645,MATCH(C224&amp;D224,'OD flujo mercancia multimodal'!C$45:C$1645&amp;'OD flujo mercancia multimodal'!D$45:D$1645,0))</f>
        <v>8258.0000000000036</v>
      </c>
      <c r="F224" s="11" cm="1">
        <f t="array" aca="1" ref="F224" ca="1">INDEX('OD flujo mercancia carretera'!E$45:E$1646,MATCH(C224&amp;D224,'OD flujo mercancia carretera'!C$45:C$1646&amp;'OD flujo mercancia carretera'!D$45:D$1646,0))</f>
        <v>334934.46666666702</v>
      </c>
      <c r="G224" s="11" cm="1">
        <f t="array" aca="1" ref="G224" ca="1">INDEX('Coste Carretera'!E$46:E$1646,MATCH(C224&amp;D224,'Coste Carretera'!C$46:C$1646&amp;'Coste Carretera'!D$46:D$1646,0))</f>
        <v>340785590.76000005</v>
      </c>
      <c r="H224" s="11" cm="1">
        <f t="array" aca="1" ref="H224" ca="1">INDEX('Coste multimodal'!E$46:E$1646,MATCH(C224&amp;D224,'Coste multimodal'!C$46:C$1646&amp;'Coste multimodal'!D$46:D$1646,0))</f>
        <v>68627278.807999998</v>
      </c>
      <c r="I224" s="12" cm="1">
        <f t="array" aca="1" ref="I224" ca="1">INDEX('Tiempos intermodal (horas)'!E$45:E$1645,MATCH(C224&amp;D224,'Tiempos intermodal (horas)'!C$45:C$1645&amp;'Tiempos intermodal (horas)'!D$45:D$1645,0))</f>
        <v>0</v>
      </c>
      <c r="J224" s="2" cm="1">
        <f t="array" aca="1" ref="J224" ca="1">INDEX('Tiempos carretera (horas)'!E$45:E$1645,MATCH(C224&amp;D224,'Tiempos carretera (horas)'!C$45:C$1645&amp;'Tiempos carretera (horas)'!D$45:D$1645,0))</f>
        <v>3.6</v>
      </c>
      <c r="K224" s="12">
        <f t="shared" ca="1" si="18"/>
        <v>1.0174694594783407</v>
      </c>
      <c r="L224" s="12">
        <f t="shared" ca="1" si="19"/>
        <v>8.3103994681520916</v>
      </c>
      <c r="M224" s="12">
        <f t="shared" ca="1" si="20"/>
        <v>2.4062299735794497E-2</v>
      </c>
      <c r="N224" s="13">
        <f t="shared" ca="1" si="22"/>
        <v>-7.2929300086737507</v>
      </c>
      <c r="O224" s="13">
        <f t="shared" ca="1" si="23"/>
        <v>3.6</v>
      </c>
      <c r="P224" s="12">
        <f t="shared" ca="1" si="21"/>
        <v>3.7027524633341633</v>
      </c>
    </row>
    <row r="225" spans="1:16" x14ac:dyDescent="0.25">
      <c r="A225">
        <v>19</v>
      </c>
      <c r="B225">
        <v>33</v>
      </c>
      <c r="C225" s="2" t="s">
        <v>18</v>
      </c>
      <c r="D225" s="2" t="s">
        <v>32</v>
      </c>
      <c r="E225" s="11" cm="1">
        <f t="array" aca="1" ref="E225" ca="1">INDEX('OD flujo mercancia multimodal'!E$45:E$1645,MATCH(C225&amp;D225,'OD flujo mercancia multimodal'!C$45:C$1645&amp;'OD flujo mercancia multimodal'!D$45:D$1645,0))</f>
        <v>65974.692307692269</v>
      </c>
      <c r="F225" s="11" cm="1">
        <f t="array" aca="1" ref="F225" ca="1">INDEX('OD flujo mercancia carretera'!E$45:E$1646,MATCH(C225&amp;D225,'OD flujo mercancia carretera'!C$45:C$1646&amp;'OD flujo mercancia carretera'!D$45:D$1646,0))</f>
        <v>139532.72307692311</v>
      </c>
      <c r="G225" s="11" cm="1">
        <f t="array" aca="1" ref="G225" ca="1">INDEX('Coste Carretera'!E$46:E$1646,MATCH(C225&amp;D225,'Coste Carretera'!C$46:C$1646&amp;'Coste Carretera'!D$46:D$1646,0))</f>
        <v>88922440.199999988</v>
      </c>
      <c r="H225" s="11" cm="1">
        <f t="array" aca="1" ref="H225" ca="1">INDEX('Coste multimodal'!E$46:E$1646,MATCH(C225&amp;D225,'Coste multimodal'!C$46:C$1646&amp;'Coste multimodal'!D$46:D$1646,0))</f>
        <v>87038978.869100735</v>
      </c>
      <c r="I225" s="12" cm="1">
        <f t="array" aca="1" ref="I225" ca="1">INDEX('Tiempos intermodal (horas)'!E$45:E$1645,MATCH(C225&amp;D225,'Tiempos intermodal (horas)'!C$45:C$1645&amp;'Tiempos intermodal (horas)'!D$45:D$1645,0))</f>
        <v>35.309612819362329</v>
      </c>
      <c r="J225" s="2" cm="1">
        <f t="array" aca="1" ref="J225" ca="1">INDEX('Tiempos carretera (horas)'!E$45:E$1645,MATCH(C225&amp;D225,'Tiempos carretera (horas)'!C$45:C$1645&amp;'Tiempos carretera (horas)'!D$45:D$1645,0))</f>
        <v>7.53</v>
      </c>
      <c r="K225" s="12">
        <f t="shared" ca="1" si="18"/>
        <v>0.63728735624960076</v>
      </c>
      <c r="L225" s="12">
        <f t="shared" ca="1" si="19"/>
        <v>1.3192782842119066</v>
      </c>
      <c r="M225" s="12">
        <f t="shared" ca="1" si="20"/>
        <v>0.32103314707266395</v>
      </c>
      <c r="N225" s="13">
        <f t="shared" ca="1" si="22"/>
        <v>-0.68199092796230587</v>
      </c>
      <c r="O225" s="13">
        <f t="shared" ca="1" si="23"/>
        <v>-27.779612819362328</v>
      </c>
      <c r="P225" s="12">
        <f t="shared" ca="1" si="21"/>
        <v>0.74902792917408756</v>
      </c>
    </row>
    <row r="226" spans="1:16" x14ac:dyDescent="0.25">
      <c r="A226">
        <v>33</v>
      </c>
      <c r="B226">
        <v>19</v>
      </c>
      <c r="C226" s="2" t="s">
        <v>32</v>
      </c>
      <c r="D226" s="2" t="s">
        <v>18</v>
      </c>
      <c r="E226" s="11" cm="1">
        <f t="array" aca="1" ref="E226" ca="1">INDEX('OD flujo mercancia multimodal'!E$45:E$1645,MATCH(C226&amp;D226,'OD flujo mercancia multimodal'!C$45:C$1645&amp;'OD flujo mercancia multimodal'!D$45:D$1645,0))</f>
        <v>31444.538461538465</v>
      </c>
      <c r="F226" s="11" cm="1">
        <f t="array" aca="1" ref="F226" ca="1">INDEX('OD flujo mercancia carretera'!E$45:E$1646,MATCH(C226&amp;D226,'OD flujo mercancia carretera'!C$45:C$1646&amp;'OD flujo mercancia carretera'!D$45:D$1646,0))</f>
        <v>184025.40512820511</v>
      </c>
      <c r="G226" s="11" cm="1">
        <f t="array" aca="1" ref="G226" ca="1">INDEX('Coste Carretera'!E$46:E$1646,MATCH(C226&amp;D226,'Coste Carretera'!C$46:C$1646&amp;'Coste Carretera'!D$46:D$1646,0))</f>
        <v>53996599.800000124</v>
      </c>
      <c r="H226" s="11" cm="1">
        <f t="array" aca="1" ref="H226" ca="1">INDEX('Coste multimodal'!E$46:E$1646,MATCH(C226&amp;D226,'Coste multimodal'!C$46:C$1646&amp;'Coste multimodal'!D$46:D$1646,0))</f>
        <v>87038978.869100735</v>
      </c>
      <c r="I226" s="12" cm="1">
        <f t="array" aca="1" ref="I226" ca="1">INDEX('Tiempos intermodal (horas)'!E$45:E$1645,MATCH(C226&amp;D226,'Tiempos intermodal (horas)'!C$45:C$1645&amp;'Tiempos intermodal (horas)'!D$45:D$1645,0))</f>
        <v>35.309612819362329</v>
      </c>
      <c r="J226" s="2" cm="1">
        <f t="array" aca="1" ref="J226" ca="1">INDEX('Tiempos carretera (horas)'!E$45:E$1645,MATCH(C226&amp;D226,'Tiempos carretera (horas)'!C$45:C$1645&amp;'Tiempos carretera (horas)'!D$45:D$1645,0))</f>
        <v>7.53</v>
      </c>
      <c r="K226" s="12">
        <f t="shared" ca="1" si="18"/>
        <v>0.29341926872750135</v>
      </c>
      <c r="L226" s="12">
        <f t="shared" ca="1" si="19"/>
        <v>2.7680157867657327</v>
      </c>
      <c r="M226" s="12">
        <f t="shared" ca="1" si="20"/>
        <v>0.14593468554207778</v>
      </c>
      <c r="N226" s="13">
        <f t="shared" ca="1" si="22"/>
        <v>-2.4745965180382314</v>
      </c>
      <c r="O226" s="13">
        <f t="shared" ca="1" si="23"/>
        <v>-27.779612819362328</v>
      </c>
      <c r="P226" s="12">
        <f t="shared" ca="1" si="21"/>
        <v>1.7668485091814874</v>
      </c>
    </row>
    <row r="227" spans="1:16" x14ac:dyDescent="0.25">
      <c r="A227">
        <v>19</v>
      </c>
      <c r="B227">
        <v>3</v>
      </c>
      <c r="C227" s="2" t="s">
        <v>18</v>
      </c>
      <c r="D227" s="2" t="s">
        <v>2</v>
      </c>
      <c r="E227" s="11" cm="1">
        <f t="array" aca="1" ref="E227" ca="1">INDEX('OD flujo mercancia multimodal'!E$45:E$1645,MATCH(C227&amp;D227,'OD flujo mercancia multimodal'!C$45:C$1645&amp;'OD flujo mercancia multimodal'!D$45:D$1645,0))</f>
        <v>18291.637362637379</v>
      </c>
      <c r="F227" s="11" cm="1">
        <f t="array" aca="1" ref="F227" ca="1">INDEX('OD flujo mercancia carretera'!E$45:E$1646,MATCH(C227&amp;D227,'OD flujo mercancia carretera'!C$45:C$1646&amp;'OD flujo mercancia carretera'!D$45:D$1646,0))</f>
        <v>81984.461538461503</v>
      </c>
      <c r="G227" s="11" cm="1">
        <f t="array" aca="1" ref="G227" ca="1">INDEX('Coste Carretera'!E$46:E$1646,MATCH(C227&amp;D227,'Coste Carretera'!C$46:C$1646&amp;'Coste Carretera'!D$46:D$1646,0))</f>
        <v>462085538.05142897</v>
      </c>
      <c r="H227" s="11" cm="1">
        <f t="array" aca="1" ref="H227" ca="1">INDEX('Coste multimodal'!E$46:E$1646,MATCH(C227&amp;D227,'Coste multimodal'!C$46:C$1646&amp;'Coste multimodal'!D$46:D$1646,0))</f>
        <v>309062565.07384074</v>
      </c>
      <c r="I227" s="12" cm="1">
        <f t="array" aca="1" ref="I227" ca="1">INDEX('Tiempos intermodal (horas)'!E$45:E$1645,MATCH(C227&amp;D227,'Tiempos intermodal (horas)'!C$45:C$1645&amp;'Tiempos intermodal (horas)'!D$45:D$1645,0))</f>
        <v>23.461803248316677</v>
      </c>
      <c r="J227" s="2" cm="1">
        <f t="array" aca="1" ref="J227" ca="1">INDEX('Tiempos carretera (horas)'!E$45:E$1645,MATCH(C227&amp;D227,'Tiempos carretera (horas)'!C$45:C$1645&amp;'Tiempos carretera (horas)'!D$45:D$1645,0))</f>
        <v>5.0599999999999996</v>
      </c>
      <c r="K227" s="12">
        <f t="shared" ca="1" si="18"/>
        <v>5.6362575222214515</v>
      </c>
      <c r="L227" s="12">
        <f t="shared" ca="1" si="19"/>
        <v>16.896385979372958</v>
      </c>
      <c r="M227" s="12">
        <f t="shared" ca="1" si="20"/>
        <v>0.18241273407213618</v>
      </c>
      <c r="N227" s="13">
        <f t="shared" ca="1" si="22"/>
        <v>-11.260128457151506</v>
      </c>
      <c r="O227" s="13">
        <f t="shared" ca="1" si="23"/>
        <v>-18.401803248316678</v>
      </c>
      <c r="P227" s="12">
        <f t="shared" ca="1" si="21"/>
        <v>1.5000857551913689</v>
      </c>
    </row>
    <row r="228" spans="1:16" x14ac:dyDescent="0.25">
      <c r="A228">
        <v>25</v>
      </c>
      <c r="B228">
        <v>30</v>
      </c>
      <c r="C228" s="2" t="s">
        <v>24</v>
      </c>
      <c r="D228" s="2" t="s">
        <v>146</v>
      </c>
      <c r="E228" s="11" cm="1">
        <f t="array" aca="1" ref="E228" ca="1">INDEX('OD flujo mercancia multimodal'!E$45:E$1645,MATCH(C228&amp;D228,'OD flujo mercancia multimodal'!C$45:C$1645&amp;'OD flujo mercancia multimodal'!D$45:D$1645,0))</f>
        <v>11455.607692307693</v>
      </c>
      <c r="F228" s="11" cm="1">
        <f t="array" aca="1" ref="F228" ca="1">INDEX('OD flujo mercancia carretera'!E$45:E$1646,MATCH(C228&amp;D228,'OD flujo mercancia carretera'!C$45:C$1646&amp;'OD flujo mercancia carretera'!D$45:D$1646,0))</f>
        <v>294526.43333333335</v>
      </c>
      <c r="G228" s="11" cm="1">
        <f t="array" aca="1" ref="G228" ca="1">INDEX('Coste Carretera'!E$46:E$1646,MATCH(C228&amp;D228,'Coste Carretera'!C$46:C$1646&amp;'Coste Carretera'!D$46:D$1646,0))</f>
        <v>228750698.40000001</v>
      </c>
      <c r="H228" s="11" cm="1">
        <f t="array" aca="1" ref="H228" ca="1">INDEX('Coste multimodal'!E$46:E$1646,MATCH(C228&amp;D228,'Coste multimodal'!C$46:C$1646&amp;'Coste multimodal'!D$46:D$1646,0))</f>
        <v>73529404.708000004</v>
      </c>
      <c r="I228" s="12" cm="1">
        <f t="array" aca="1" ref="I228" ca="1">INDEX('Tiempos intermodal (horas)'!E$45:E$1645,MATCH(C228&amp;D228,'Tiempos intermodal (horas)'!C$45:C$1645&amp;'Tiempos intermodal (horas)'!D$45:D$1645,0))</f>
        <v>0</v>
      </c>
      <c r="J228" s="2" cm="1">
        <f t="array" aca="1" ref="J228" ca="1">INDEX('Tiempos carretera (horas)'!E$45:E$1645,MATCH(C228&amp;D228,'Tiempos carretera (horas)'!C$45:C$1645&amp;'Tiempos carretera (horas)'!D$45:D$1645,0))</f>
        <v>1.26</v>
      </c>
      <c r="K228" s="12">
        <f t="shared" ca="1" si="18"/>
        <v>0.77667289761088776</v>
      </c>
      <c r="L228" s="12">
        <f t="shared" ca="1" si="19"/>
        <v>6.4186385116325297</v>
      </c>
      <c r="M228" s="12">
        <f t="shared" ca="1" si="20"/>
        <v>3.7438823709747472E-2</v>
      </c>
      <c r="N228" s="13">
        <f t="shared" ca="1" si="22"/>
        <v>-5.6419656140216423</v>
      </c>
      <c r="O228" s="13">
        <f t="shared" ca="1" si="23"/>
        <v>1.26</v>
      </c>
      <c r="P228" s="12">
        <f t="shared" ca="1" si="21"/>
        <v>3.2468893908172287</v>
      </c>
    </row>
    <row r="229" spans="1:16" x14ac:dyDescent="0.25">
      <c r="A229">
        <v>30</v>
      </c>
      <c r="B229">
        <v>25</v>
      </c>
      <c r="C229" s="2" t="s">
        <v>146</v>
      </c>
      <c r="D229" s="2" t="s">
        <v>24</v>
      </c>
      <c r="E229" s="11" cm="1">
        <f t="array" aca="1" ref="E229" ca="1">INDEX('OD flujo mercancia multimodal'!E$45:E$1645,MATCH(C229&amp;D229,'OD flujo mercancia multimodal'!C$45:C$1645&amp;'OD flujo mercancia multimodal'!D$45:D$1645,0))</f>
        <v>7025.0000000000027</v>
      </c>
      <c r="F229" s="11" cm="1">
        <f t="array" aca="1" ref="F229" ca="1">INDEX('OD flujo mercancia carretera'!E$45:E$1646,MATCH(C229&amp;D229,'OD flujo mercancia carretera'!C$45:C$1646&amp;'OD flujo mercancia carretera'!D$45:D$1646,0))</f>
        <v>285354.13333333336</v>
      </c>
      <c r="G229" s="11" cm="1">
        <f t="array" aca="1" ref="G229" ca="1">INDEX('Coste Carretera'!E$46:E$1646,MATCH(C229&amp;D229,'Coste Carretera'!C$46:C$1646&amp;'Coste Carretera'!D$46:D$1646,0))</f>
        <v>114667077.60000002</v>
      </c>
      <c r="H229" s="11" cm="1">
        <f t="array" aca="1" ref="H229" ca="1">INDEX('Coste multimodal'!E$46:E$1646,MATCH(C229&amp;D229,'Coste multimodal'!C$46:C$1646&amp;'Coste multimodal'!D$46:D$1646,0))</f>
        <v>73529404.708000004</v>
      </c>
      <c r="I229" s="12" cm="1">
        <f t="array" aca="1" ref="I229" ca="1">INDEX('Tiempos intermodal (horas)'!E$45:E$1645,MATCH(C229&amp;D229,'Tiempos intermodal (horas)'!C$45:C$1645&amp;'Tiempos intermodal (horas)'!D$45:D$1645,0))</f>
        <v>0</v>
      </c>
      <c r="J229" s="2" cm="1">
        <f t="array" aca="1" ref="J229" ca="1">INDEX('Tiempos carretera (horas)'!E$45:E$1645,MATCH(C229&amp;D229,'Tiempos carretera (horas)'!C$45:C$1645&amp;'Tiempos carretera (horas)'!D$45:D$1645,0))</f>
        <v>1.26</v>
      </c>
      <c r="K229" s="12">
        <f t="shared" ca="1" si="18"/>
        <v>0.40184130596087392</v>
      </c>
      <c r="L229" s="12">
        <f t="shared" ca="1" si="19"/>
        <v>10.46681917551601</v>
      </c>
      <c r="M229" s="12">
        <f t="shared" ca="1" si="20"/>
        <v>2.4027022448250418E-2</v>
      </c>
      <c r="N229" s="13">
        <f t="shared" ca="1" si="22"/>
        <v>-10.064977869555136</v>
      </c>
      <c r="O229" s="13">
        <f t="shared" ca="1" si="23"/>
        <v>1.26</v>
      </c>
      <c r="P229" s="12">
        <f t="shared" ca="1" si="21"/>
        <v>3.7042557667932128</v>
      </c>
    </row>
    <row r="230" spans="1:16" x14ac:dyDescent="0.25">
      <c r="A230">
        <v>4</v>
      </c>
      <c r="B230">
        <v>34</v>
      </c>
      <c r="C230" s="2" t="s">
        <v>3</v>
      </c>
      <c r="D230" s="2" t="s">
        <v>33</v>
      </c>
      <c r="E230" s="11" cm="1">
        <f t="array" aca="1" ref="E230" ca="1">INDEX('OD flujo mercancia multimodal'!E$45:E$1645,MATCH(C230&amp;D230,'OD flujo mercancia multimodal'!C$45:C$1645&amp;'OD flujo mercancia multimodal'!D$45:D$1645,0))</f>
        <v>326394.45054945082</v>
      </c>
      <c r="F230" s="11" cm="1">
        <f t="array" aca="1" ref="F230" ca="1">INDEX('OD flujo mercancia carretera'!E$45:E$1646,MATCH(C230&amp;D230,'OD flujo mercancia carretera'!C$45:C$1646&amp;'OD flujo mercancia carretera'!D$45:D$1646,0))</f>
        <v>298236.54273504287</v>
      </c>
      <c r="G230" s="11" cm="1">
        <f t="array" aca="1" ref="G230" ca="1">INDEX('Coste Carretera'!E$46:E$1646,MATCH(C230&amp;D230,'Coste Carretera'!C$46:C$1646&amp;'Coste Carretera'!D$46:D$1646,0))</f>
        <v>1901254990.2628565</v>
      </c>
      <c r="H230" s="11" cm="1">
        <f t="array" aca="1" ref="H230" ca="1">INDEX('Coste multimodal'!E$46:E$1646,MATCH(C230&amp;D230,'Coste multimodal'!C$46:C$1646&amp;'Coste multimodal'!D$46:D$1646,0))</f>
        <v>2818199504.2585206</v>
      </c>
      <c r="I230" s="12" cm="1">
        <f t="array" aca="1" ref="I230" ca="1">INDEX('Tiempos intermodal (horas)'!E$45:E$1645,MATCH(C230&amp;D230,'Tiempos intermodal (horas)'!C$45:C$1645&amp;'Tiempos intermodal (horas)'!D$45:D$1645,0))</f>
        <v>25.850527299760696</v>
      </c>
      <c r="J230" s="2" cm="1">
        <f t="array" aca="1" ref="J230" ca="1">INDEX('Tiempos carretera (horas)'!E$45:E$1645,MATCH(C230&amp;D230,'Tiempos carretera (horas)'!C$45:C$1645&amp;'Tiempos carretera (horas)'!D$45:D$1645,0))</f>
        <v>4.2</v>
      </c>
      <c r="K230" s="12">
        <f t="shared" ca="1" si="18"/>
        <v>6.3749900425581165</v>
      </c>
      <c r="L230" s="12">
        <f t="shared" ca="1" si="19"/>
        <v>8.634336458583709</v>
      </c>
      <c r="M230" s="12">
        <f t="shared" ca="1" si="20"/>
        <v>0.52253963389356117</v>
      </c>
      <c r="N230" s="13">
        <f t="shared" ca="1" si="22"/>
        <v>-2.2593464160255925</v>
      </c>
      <c r="O230" s="13">
        <f t="shared" ca="1" si="23"/>
        <v>-21.650527299760697</v>
      </c>
      <c r="P230" s="12">
        <f t="shared" ca="1" si="21"/>
        <v>-9.021968174651547E-2</v>
      </c>
    </row>
    <row r="231" spans="1:16" x14ac:dyDescent="0.25">
      <c r="A231">
        <v>25</v>
      </c>
      <c r="B231">
        <v>3</v>
      </c>
      <c r="C231" s="2" t="s">
        <v>24</v>
      </c>
      <c r="D231" s="2" t="s">
        <v>2</v>
      </c>
      <c r="E231" s="11" cm="1">
        <f t="array" aca="1" ref="E231" ca="1">INDEX('OD flujo mercancia multimodal'!E$45:E$1645,MATCH(C231&amp;D231,'OD flujo mercancia multimodal'!C$45:C$1645&amp;'OD flujo mercancia multimodal'!D$45:D$1645,0))</f>
        <v>20184.021978021992</v>
      </c>
      <c r="F231" s="11" cm="1">
        <f t="array" aca="1" ref="F231" ca="1">INDEX('OD flujo mercancia carretera'!E$45:E$1646,MATCH(C231&amp;D231,'OD flujo mercancia carretera'!C$45:C$1646&amp;'OD flujo mercancia carretera'!D$45:D$1646,0))</f>
        <v>106986.79487179483</v>
      </c>
      <c r="G231" s="11" cm="1">
        <f t="array" aca="1" ref="G231" ca="1">INDEX('Coste Carretera'!E$46:E$1646,MATCH(C231&amp;D231,'Coste Carretera'!C$46:C$1646&amp;'Coste Carretera'!D$46:D$1646,0))</f>
        <v>781267782.86857176</v>
      </c>
      <c r="H231" s="11" cm="1">
        <f t="array" aca="1" ref="H231" ca="1">INDEX('Coste multimodal'!E$46:E$1646,MATCH(C231&amp;D231,'Coste multimodal'!C$46:C$1646&amp;'Coste multimodal'!D$46:D$1646,0))</f>
        <v>456389751.83684283</v>
      </c>
      <c r="I231" s="12" cm="1">
        <f t="array" aca="1" ref="I231" ca="1">INDEX('Tiempos intermodal (horas)'!E$45:E$1645,MATCH(C231&amp;D231,'Tiempos intermodal (horas)'!C$45:C$1645&amp;'Tiempos intermodal (horas)'!D$45:D$1645,0))</f>
        <v>23.710122420760605</v>
      </c>
      <c r="J231" s="2" cm="1">
        <f t="array" aca="1" ref="J231" ca="1">INDEX('Tiempos carretera (horas)'!E$45:E$1645,MATCH(C231&amp;D231,'Tiempos carretera (horas)'!C$45:C$1645&amp;'Tiempos carretera (horas)'!D$45:D$1645,0))</f>
        <v>7.65</v>
      </c>
      <c r="K231" s="12">
        <f t="shared" ca="1" si="18"/>
        <v>7.3024692795478732</v>
      </c>
      <c r="L231" s="12">
        <f t="shared" ca="1" si="19"/>
        <v>22.611437518934395</v>
      </c>
      <c r="M231" s="12">
        <f t="shared" ca="1" si="20"/>
        <v>0.15871583180800389</v>
      </c>
      <c r="N231" s="13">
        <f t="shared" ca="1" si="22"/>
        <v>-15.308968239386521</v>
      </c>
      <c r="O231" s="13">
        <f t="shared" ca="1" si="23"/>
        <v>-16.060122420760607</v>
      </c>
      <c r="P231" s="12">
        <f t="shared" ca="1" si="21"/>
        <v>1.6678141142112988</v>
      </c>
    </row>
    <row r="232" spans="1:16" x14ac:dyDescent="0.25">
      <c r="A232">
        <v>31</v>
      </c>
      <c r="B232">
        <v>33</v>
      </c>
      <c r="C232" s="2" t="s">
        <v>30</v>
      </c>
      <c r="D232" s="2" t="s">
        <v>32</v>
      </c>
      <c r="E232" s="11" cm="1">
        <f t="array" aca="1" ref="E232" ca="1">INDEX('OD flujo mercancia multimodal'!E$45:E$1645,MATCH(C232&amp;D232,'OD flujo mercancia multimodal'!C$45:C$1645&amp;'OD flujo mercancia multimodal'!D$45:D$1645,0))</f>
        <v>66002.076923076893</v>
      </c>
      <c r="F232" s="11" cm="1">
        <f t="array" aca="1" ref="F232" ca="1">INDEX('OD flujo mercancia carretera'!E$45:E$1646,MATCH(C232&amp;D232,'OD flujo mercancia carretera'!C$45:C$1646&amp;'OD flujo mercancia carretera'!D$45:D$1646,0))</f>
        <v>119666.03076923078</v>
      </c>
      <c r="G232" s="11" cm="1">
        <f t="array" aca="1" ref="G232" ca="1">INDEX('Coste Carretera'!E$46:E$1646,MATCH(C232&amp;D232,'Coste Carretera'!C$46:C$1646&amp;'Coste Carretera'!D$46:D$1646,0))</f>
        <v>24418567.999999993</v>
      </c>
      <c r="H232" s="11" cm="1">
        <f t="array" aca="1" ref="H232" ca="1">INDEX('Coste multimodal'!E$46:E$1646,MATCH(C232&amp;D232,'Coste multimodal'!C$46:C$1646&amp;'Coste multimodal'!D$46:D$1646,0))</f>
        <v>575978291.68295169</v>
      </c>
      <c r="I232" s="12" cm="1">
        <f t="array" aca="1" ref="I232" ca="1">INDEX('Tiempos intermodal (horas)'!E$45:E$1645,MATCH(C232&amp;D232,'Tiempos intermodal (horas)'!C$45:C$1645&amp;'Tiempos intermodal (horas)'!D$45:D$1645,0))</f>
        <v>23.850256157035943</v>
      </c>
      <c r="J232" s="2" cm="1">
        <f t="array" aca="1" ref="J232" ca="1">INDEX('Tiempos carretera (horas)'!E$45:E$1645,MATCH(C232&amp;D232,'Tiempos carretera (horas)'!C$45:C$1645&amp;'Tiempos carretera (horas)'!D$45:D$1645,0))</f>
        <v>2.12</v>
      </c>
      <c r="K232" s="12">
        <f t="shared" ca="1" si="18"/>
        <v>0.2040559701281463</v>
      </c>
      <c r="L232" s="12">
        <f t="shared" ca="1" si="19"/>
        <v>8.7266691979137896</v>
      </c>
      <c r="M232" s="12">
        <f t="shared" ca="1" si="20"/>
        <v>0.35548419027599854</v>
      </c>
      <c r="N232" s="13">
        <f t="shared" ca="1" si="22"/>
        <v>-8.5226132277856426</v>
      </c>
      <c r="O232" s="13">
        <f t="shared" ca="1" si="23"/>
        <v>-21.730256157035942</v>
      </c>
      <c r="P232" s="12">
        <f t="shared" ca="1" si="21"/>
        <v>0.59501857583713125</v>
      </c>
    </row>
    <row r="233" spans="1:16" x14ac:dyDescent="0.25">
      <c r="A233">
        <v>33</v>
      </c>
      <c r="B233">
        <v>31</v>
      </c>
      <c r="C233" s="2" t="s">
        <v>32</v>
      </c>
      <c r="D233" s="2" t="s">
        <v>30</v>
      </c>
      <c r="E233" s="11" cm="1">
        <f t="array" aca="1" ref="E233" ca="1">INDEX('OD flujo mercancia multimodal'!E$45:E$1645,MATCH(C233&amp;D233,'OD flujo mercancia multimodal'!C$45:C$1645&amp;'OD flujo mercancia multimodal'!D$45:D$1645,0))</f>
        <v>32801.076923076922</v>
      </c>
      <c r="F233" s="11" cm="1">
        <f t="array" aca="1" ref="F233" ca="1">INDEX('OD flujo mercancia carretera'!E$45:E$1646,MATCH(C233&amp;D233,'OD flujo mercancia carretera'!C$45:C$1646&amp;'OD flujo mercancia carretera'!D$45:D$1646,0))</f>
        <v>116961.71282051281</v>
      </c>
      <c r="G233" s="11" cm="1">
        <f t="array" aca="1" ref="G233" ca="1">INDEX('Coste Carretera'!E$46:E$1646,MATCH(C233&amp;D233,'Coste Carretera'!C$46:C$1646&amp;'Coste Carretera'!D$46:D$1646,0))</f>
        <v>82586407.199999988</v>
      </c>
      <c r="H233" s="11" cm="1">
        <f t="array" aca="1" ref="H233" ca="1">INDEX('Coste multimodal'!E$46:E$1646,MATCH(C233&amp;D233,'Coste multimodal'!C$46:C$1646&amp;'Coste multimodal'!D$46:D$1646,0))</f>
        <v>575978291.68295169</v>
      </c>
      <c r="I233" s="12" cm="1">
        <f t="array" aca="1" ref="I233" ca="1">INDEX('Tiempos intermodal (horas)'!E$45:E$1645,MATCH(C233&amp;D233,'Tiempos intermodal (horas)'!C$45:C$1645&amp;'Tiempos intermodal (horas)'!D$45:D$1645,0))</f>
        <v>23.850256157035943</v>
      </c>
      <c r="J233" s="2" cm="1">
        <f t="array" aca="1" ref="J233" ca="1">INDEX('Tiempos carretera (horas)'!E$45:E$1645,MATCH(C233&amp;D233,'Tiempos carretera (horas)'!C$45:C$1645&amp;'Tiempos carretera (horas)'!D$45:D$1645,0))</f>
        <v>2.12</v>
      </c>
      <c r="K233" s="12">
        <f t="shared" ca="1" si="18"/>
        <v>0.70609779224707059</v>
      </c>
      <c r="L233" s="12">
        <f t="shared" ca="1" si="19"/>
        <v>17.559737231606778</v>
      </c>
      <c r="M233" s="12">
        <f t="shared" ca="1" si="20"/>
        <v>0.21902020508055406</v>
      </c>
      <c r="N233" s="13">
        <f t="shared" ca="1" si="22"/>
        <v>-16.853639439359707</v>
      </c>
      <c r="O233" s="13">
        <f t="shared" ca="1" si="23"/>
        <v>-21.730256157035942</v>
      </c>
      <c r="P233" s="12">
        <f t="shared" ca="1" si="21"/>
        <v>1.2713852925207232</v>
      </c>
    </row>
    <row r="234" spans="1:16" x14ac:dyDescent="0.25">
      <c r="A234">
        <v>19</v>
      </c>
      <c r="B234">
        <v>32</v>
      </c>
      <c r="C234" s="2" t="s">
        <v>18</v>
      </c>
      <c r="D234" s="2" t="s">
        <v>31</v>
      </c>
      <c r="E234" s="11" cm="1">
        <f t="array" aca="1" ref="E234" ca="1">INDEX('OD flujo mercancia multimodal'!E$45:E$1645,MATCH(C234&amp;D234,'OD flujo mercancia multimodal'!C$45:C$1645&amp;'OD flujo mercancia multimodal'!D$45:D$1645,0))</f>
        <v>2297.3076923076919</v>
      </c>
      <c r="F234" s="11" cm="1">
        <f t="array" aca="1" ref="F234" ca="1">INDEX('OD flujo mercancia carretera'!E$45:E$1646,MATCH(C234&amp;D234,'OD flujo mercancia carretera'!C$45:C$1646&amp;'OD flujo mercancia carretera'!D$45:D$1646,0))</f>
        <v>89822.5</v>
      </c>
      <c r="G234" s="11" cm="1">
        <f t="array" aca="1" ref="G234" ca="1">INDEX('Coste Carretera'!E$46:E$1646,MATCH(C234&amp;D234,'Coste Carretera'!C$46:C$1646&amp;'Coste Carretera'!D$46:D$1646,0))</f>
        <v>193618890.72000006</v>
      </c>
      <c r="H234" s="11" cm="1">
        <f t="array" aca="1" ref="H234" ca="1">INDEX('Coste multimodal'!E$46:E$1646,MATCH(C234&amp;D234,'Coste multimodal'!C$46:C$1646&amp;'Coste multimodal'!D$46:D$1646,0))</f>
        <v>8135358.5051007289</v>
      </c>
      <c r="I234" s="12" cm="1">
        <f t="array" aca="1" ref="I234" ca="1">INDEX('Tiempos intermodal (horas)'!E$45:E$1645,MATCH(C234&amp;D234,'Tiempos intermodal (horas)'!C$45:C$1645&amp;'Tiempos intermodal (horas)'!D$45:D$1645,0))</f>
        <v>36.617390597140108</v>
      </c>
      <c r="J234" s="2" cm="1">
        <f t="array" aca="1" ref="J234" ca="1">INDEX('Tiempos carretera (horas)'!E$45:E$1645,MATCH(C234&amp;D234,'Tiempos carretera (horas)'!C$45:C$1645&amp;'Tiempos carretera (horas)'!D$45:D$1645,0))</f>
        <v>8.3800000000000008</v>
      </c>
      <c r="K234" s="12">
        <f t="shared" ca="1" si="18"/>
        <v>2.1555722755434337</v>
      </c>
      <c r="L234" s="12">
        <f t="shared" ca="1" si="19"/>
        <v>3.5412576784299175</v>
      </c>
      <c r="M234" s="12">
        <f t="shared" ca="1" si="20"/>
        <v>2.4938259749531858E-2</v>
      </c>
      <c r="N234" s="13">
        <f t="shared" ca="1" si="22"/>
        <v>-1.3856854028864838</v>
      </c>
      <c r="O234" s="13">
        <f t="shared" ca="1" si="23"/>
        <v>-28.237390597140106</v>
      </c>
      <c r="P234" s="12">
        <f t="shared" ca="1" si="21"/>
        <v>3.6660976319941834</v>
      </c>
    </row>
    <row r="235" spans="1:16" x14ac:dyDescent="0.25">
      <c r="A235">
        <v>32</v>
      </c>
      <c r="B235">
        <v>19</v>
      </c>
      <c r="C235" s="2" t="s">
        <v>31</v>
      </c>
      <c r="D235" s="2" t="s">
        <v>18</v>
      </c>
      <c r="E235" s="11" cm="1">
        <f t="array" aca="1" ref="E235" ca="1">INDEX('OD flujo mercancia multimodal'!E$45:E$1645,MATCH(C235&amp;D235,'OD flujo mercancia multimodal'!C$45:C$1645&amp;'OD flujo mercancia multimodal'!D$45:D$1645,0))</f>
        <v>1395.0000000000032</v>
      </c>
      <c r="F235" s="11" cm="1">
        <f t="array" aca="1" ref="F235" ca="1">INDEX('OD flujo mercancia carretera'!E$45:E$1646,MATCH(C235&amp;D235,'OD flujo mercancia carretera'!C$45:C$1646&amp;'OD flujo mercancia carretera'!D$45:D$1646,0))</f>
        <v>137914.9846153846</v>
      </c>
      <c r="G235" s="11" cm="1">
        <f t="array" aca="1" ref="G235" ca="1">INDEX('Coste Carretera'!E$46:E$1646,MATCH(C235&amp;D235,'Coste Carretera'!C$46:C$1646&amp;'Coste Carretera'!D$46:D$1646,0))</f>
        <v>135818562.24000013</v>
      </c>
      <c r="H235" s="11" cm="1">
        <f t="array" aca="1" ref="H235" ca="1">INDEX('Coste multimodal'!E$46:E$1646,MATCH(C235&amp;D235,'Coste multimodal'!C$46:C$1646&amp;'Coste multimodal'!D$46:D$1646,0))</f>
        <v>8135358.5051007289</v>
      </c>
      <c r="I235" s="12" cm="1">
        <f t="array" aca="1" ref="I235" ca="1">INDEX('Tiempos intermodal (horas)'!E$45:E$1645,MATCH(C235&amp;D235,'Tiempos intermodal (horas)'!C$45:C$1645&amp;'Tiempos intermodal (horas)'!D$45:D$1645,0))</f>
        <v>36.617390597140108</v>
      </c>
      <c r="J235" s="2" cm="1">
        <f t="array" aca="1" ref="J235" ca="1">INDEX('Tiempos carretera (horas)'!E$45:E$1645,MATCH(C235&amp;D235,'Tiempos carretera (horas)'!C$45:C$1645&amp;'Tiempos carretera (horas)'!D$45:D$1645,0))</f>
        <v>8.3800000000000008</v>
      </c>
      <c r="K235" s="12">
        <f t="shared" ca="1" si="18"/>
        <v>0.98479916898637987</v>
      </c>
      <c r="L235" s="12">
        <f t="shared" ca="1" si="19"/>
        <v>5.8317982115417273</v>
      </c>
      <c r="M235" s="12">
        <f t="shared" ca="1" si="20"/>
        <v>1.0013639753470674E-2</v>
      </c>
      <c r="N235" s="13">
        <f t="shared" ca="1" si="22"/>
        <v>-4.8469990425553471</v>
      </c>
      <c r="O235" s="13">
        <f t="shared" ca="1" si="23"/>
        <v>-28.237390597140106</v>
      </c>
      <c r="P235" s="12">
        <f t="shared" ca="1" si="21"/>
        <v>4.5937430265332315</v>
      </c>
    </row>
    <row r="236" spans="1:16" x14ac:dyDescent="0.25">
      <c r="A236">
        <v>36</v>
      </c>
      <c r="B236">
        <v>33</v>
      </c>
      <c r="C236" s="2" t="s">
        <v>35</v>
      </c>
      <c r="D236" s="2" t="s">
        <v>32</v>
      </c>
      <c r="E236" s="11" cm="1">
        <f t="array" aca="1" ref="E236" ca="1">INDEX('OD flujo mercancia multimodal'!E$45:E$1645,MATCH(C236&amp;D236,'OD flujo mercancia multimodal'!C$45:C$1645&amp;'OD flujo mercancia multimodal'!D$45:D$1645,0))</f>
        <v>66274.999999999971</v>
      </c>
      <c r="F236" s="11" cm="1">
        <f t="array" aca="1" ref="F236" ca="1">INDEX('OD flujo mercancia carretera'!E$45:E$1646,MATCH(C236&amp;D236,'OD flujo mercancia carretera'!C$45:C$1646&amp;'OD flujo mercancia carretera'!D$45:D$1646,0))</f>
        <v>192125.64615384617</v>
      </c>
      <c r="G236" s="11" cm="1">
        <f t="array" aca="1" ref="G236" ca="1">INDEX('Coste Carretera'!E$46:E$1646,MATCH(C236&amp;D236,'Coste Carretera'!C$46:C$1646&amp;'Coste Carretera'!D$46:D$1646,0))</f>
        <v>79546080.959999979</v>
      </c>
      <c r="H236" s="11" cm="1">
        <f t="array" aca="1" ref="H236" ca="1">INDEX('Coste multimodal'!E$46:E$1646,MATCH(C236&amp;D236,'Coste multimodal'!C$46:C$1646&amp;'Coste multimodal'!D$46:D$1646,0))</f>
        <v>361695852.31186479</v>
      </c>
      <c r="I236" s="12" cm="1">
        <f t="array" aca="1" ref="I236" ca="1">INDEX('Tiempos intermodal (horas)'!E$45:E$1645,MATCH(C236&amp;D236,'Tiempos intermodal (horas)'!C$45:C$1645&amp;'Tiempos intermodal (horas)'!D$45:D$1645,0))</f>
        <v>25.672679142765812</v>
      </c>
      <c r="J236" s="2" cm="1">
        <f t="array" aca="1" ref="J236" ca="1">INDEX('Tiempos carretera (horas)'!E$45:E$1645,MATCH(C236&amp;D236,'Tiempos carretera (horas)'!C$45:C$1645&amp;'Tiempos carretera (horas)'!D$45:D$1645,0))</f>
        <v>1.73</v>
      </c>
      <c r="K236" s="12">
        <f t="shared" ca="1" si="18"/>
        <v>0.41403155982779521</v>
      </c>
      <c r="L236" s="12">
        <f t="shared" ca="1" si="19"/>
        <v>5.4575006007071289</v>
      </c>
      <c r="M236" s="12">
        <f t="shared" ca="1" si="20"/>
        <v>0.25648155678581885</v>
      </c>
      <c r="N236" s="13">
        <f t="shared" ca="1" si="22"/>
        <v>-5.0434690408793337</v>
      </c>
      <c r="O236" s="13">
        <f t="shared" ca="1" si="23"/>
        <v>-23.942679142765812</v>
      </c>
      <c r="P236" s="12">
        <f t="shared" ca="1" si="21"/>
        <v>1.064336812873051</v>
      </c>
    </row>
    <row r="237" spans="1:16" x14ac:dyDescent="0.25">
      <c r="A237">
        <v>33</v>
      </c>
      <c r="B237">
        <v>36</v>
      </c>
      <c r="C237" s="2" t="s">
        <v>32</v>
      </c>
      <c r="D237" s="2" t="s">
        <v>35</v>
      </c>
      <c r="E237" s="11" cm="1">
        <f t="array" aca="1" ref="E237" ca="1">INDEX('OD flujo mercancia multimodal'!E$45:E$1645,MATCH(C237&amp;D237,'OD flujo mercancia multimodal'!C$45:C$1645&amp;'OD flujo mercancia multimodal'!D$45:D$1645,0))</f>
        <v>33876.461538461532</v>
      </c>
      <c r="F237" s="11" cm="1">
        <f t="array" aca="1" ref="F237" ca="1">INDEX('OD flujo mercancia carretera'!E$45:E$1646,MATCH(C237&amp;D237,'OD flujo mercancia carretera'!C$45:C$1646&amp;'OD flujo mercancia carretera'!D$45:D$1646,0))</f>
        <v>184036.94358974363</v>
      </c>
      <c r="G237" s="11" cm="1">
        <f t="array" aca="1" ref="G237" ca="1">INDEX('Coste Carretera'!E$46:E$1646,MATCH(C237&amp;D237,'Coste Carretera'!C$46:C$1646&amp;'Coste Carretera'!D$46:D$1646,0))</f>
        <v>180353599.20000011</v>
      </c>
      <c r="H237" s="11" cm="1">
        <f t="array" aca="1" ref="H237" ca="1">INDEX('Coste multimodal'!E$46:E$1646,MATCH(C237&amp;D237,'Coste multimodal'!C$46:C$1646&amp;'Coste multimodal'!D$46:D$1646,0))</f>
        <v>361695852.31186479</v>
      </c>
      <c r="I237" s="12" cm="1">
        <f t="array" aca="1" ref="I237" ca="1">INDEX('Tiempos intermodal (horas)'!E$45:E$1645,MATCH(C237&amp;D237,'Tiempos intermodal (horas)'!C$45:C$1645&amp;'Tiempos intermodal (horas)'!D$45:D$1645,0))</f>
        <v>25.672679142765812</v>
      </c>
      <c r="J237" s="2" cm="1">
        <f t="array" aca="1" ref="J237" ca="1">INDEX('Tiempos carretera (horas)'!E$45:E$1645,MATCH(C237&amp;D237,'Tiempos carretera (horas)'!C$45:C$1645&amp;'Tiempos carretera (horas)'!D$45:D$1645,0))</f>
        <v>1.73</v>
      </c>
      <c r="K237" s="12">
        <f t="shared" ca="1" si="18"/>
        <v>0.9799858424189305</v>
      </c>
      <c r="L237" s="12">
        <f t="shared" ca="1" si="19"/>
        <v>10.676907678247758</v>
      </c>
      <c r="M237" s="12">
        <f t="shared" ca="1" si="20"/>
        <v>0.15545836438346217</v>
      </c>
      <c r="N237" s="13">
        <f t="shared" ca="1" si="22"/>
        <v>-9.6969218358288281</v>
      </c>
      <c r="O237" s="13">
        <f t="shared" ca="1" si="23"/>
        <v>-23.942679142765812</v>
      </c>
      <c r="P237" s="12">
        <f t="shared" ca="1" si="21"/>
        <v>1.6924160945183653</v>
      </c>
    </row>
    <row r="238" spans="1:16" x14ac:dyDescent="0.25">
      <c r="A238">
        <v>8</v>
      </c>
      <c r="B238">
        <v>34</v>
      </c>
      <c r="C238" s="2" t="s">
        <v>7</v>
      </c>
      <c r="D238" s="2" t="s">
        <v>33</v>
      </c>
      <c r="E238" s="11" cm="1">
        <f t="array" aca="1" ref="E238" ca="1">INDEX('OD flujo mercancia multimodal'!E$45:E$1645,MATCH(C238&amp;D238,'OD flujo mercancia multimodal'!C$45:C$1645&amp;'OD flujo mercancia multimodal'!D$45:D$1645,0))</f>
        <v>303736.95054945082</v>
      </c>
      <c r="F238" s="11" cm="1">
        <f t="array" aca="1" ref="F238" ca="1">INDEX('OD flujo mercancia carretera'!E$45:E$1646,MATCH(C238&amp;D238,'OD flujo mercancia carretera'!C$45:C$1646&amp;'OD flujo mercancia carretera'!D$45:D$1646,0))</f>
        <v>384184.31196581206</v>
      </c>
      <c r="G238" s="11" cm="1">
        <f t="array" aca="1" ref="G238" ca="1">INDEX('Coste Carretera'!E$46:E$1646,MATCH(C238&amp;D238,'Coste Carretera'!C$46:C$1646&amp;'Coste Carretera'!D$46:D$1646,0))</f>
        <v>1389628008.5828564</v>
      </c>
      <c r="H238" s="11" cm="1">
        <f t="array" aca="1" ref="H238" ca="1">INDEX('Coste multimodal'!E$46:E$1646,MATCH(C238&amp;D238,'Coste multimodal'!C$46:C$1646&amp;'Coste multimodal'!D$46:D$1646,0))</f>
        <v>2735263316.801949</v>
      </c>
      <c r="I238" s="12" cm="1">
        <f t="array" aca="1" ref="I238" ca="1">INDEX('Tiempos intermodal (horas)'!E$45:E$1645,MATCH(C238&amp;D238,'Tiempos intermodal (horas)'!C$45:C$1645&amp;'Tiempos intermodal (horas)'!D$45:D$1645,0))</f>
        <v>26.003860633094028</v>
      </c>
      <c r="J238" s="2" cm="1">
        <f t="array" aca="1" ref="J238" ca="1">INDEX('Tiempos carretera (horas)'!E$45:E$1645,MATCH(C238&amp;D238,'Tiempos carretera (horas)'!C$45:C$1645&amp;'Tiempos carretera (horas)'!D$45:D$1645,0))</f>
        <v>4.05</v>
      </c>
      <c r="K238" s="12">
        <f t="shared" ca="1" si="18"/>
        <v>3.6170868130256117</v>
      </c>
      <c r="L238" s="12">
        <f t="shared" ca="1" si="19"/>
        <v>9.0053689939730468</v>
      </c>
      <c r="M238" s="12">
        <f t="shared" ca="1" si="20"/>
        <v>0.44152865611231457</v>
      </c>
      <c r="N238" s="13">
        <f t="shared" ca="1" si="22"/>
        <v>-5.3882821809474351</v>
      </c>
      <c r="O238" s="13">
        <f t="shared" ca="1" si="23"/>
        <v>-21.953860633094028</v>
      </c>
      <c r="P238" s="12">
        <f t="shared" ca="1" si="21"/>
        <v>0.23496038393442101</v>
      </c>
    </row>
    <row r="239" spans="1:16" x14ac:dyDescent="0.25">
      <c r="A239">
        <v>34</v>
      </c>
      <c r="B239">
        <v>8</v>
      </c>
      <c r="C239" s="2" t="s">
        <v>33</v>
      </c>
      <c r="D239" s="2" t="s">
        <v>7</v>
      </c>
      <c r="E239" s="11" cm="1">
        <f t="array" aca="1" ref="E239" ca="1">INDEX('OD flujo mercancia multimodal'!E$45:E$1645,MATCH(C239&amp;D239,'OD flujo mercancia multimodal'!C$45:C$1645&amp;'OD flujo mercancia multimodal'!D$45:D$1645,0))</f>
        <v>159274.62637362635</v>
      </c>
      <c r="F239" s="11" cm="1">
        <f t="array" aca="1" ref="F239" ca="1">INDEX('OD flujo mercancia carretera'!E$45:E$1646,MATCH(C239&amp;D239,'OD flujo mercancia carretera'!C$45:C$1646&amp;'OD flujo mercancia carretera'!D$45:D$1646,0))</f>
        <v>394420.07264957251</v>
      </c>
      <c r="G239" s="11" cm="1">
        <f t="array" aca="1" ref="G239" ca="1">INDEX('Coste Carretera'!E$46:E$1646,MATCH(C239&amp;D239,'Coste Carretera'!C$46:C$1646&amp;'Coste Carretera'!D$46:D$1646,0))</f>
        <v>1265214771.4971418</v>
      </c>
      <c r="H239" s="11" cm="1">
        <f t="array" aca="1" ref="H239" ca="1">INDEX('Coste multimodal'!E$46:E$1646,MATCH(C239&amp;D239,'Coste multimodal'!C$46:C$1646&amp;'Coste multimodal'!D$46:D$1646,0))</f>
        <v>2735263316.801949</v>
      </c>
      <c r="I239" s="12" cm="1">
        <f t="array" aca="1" ref="I239" ca="1">INDEX('Tiempos intermodal (horas)'!E$45:E$1645,MATCH(C239&amp;D239,'Tiempos intermodal (horas)'!C$45:C$1645&amp;'Tiempos intermodal (horas)'!D$45:D$1645,0))</f>
        <v>26.003860633094028</v>
      </c>
      <c r="J239" s="2" cm="1">
        <f t="array" aca="1" ref="J239" ca="1">INDEX('Tiempos carretera (horas)'!E$45:E$1645,MATCH(C239&amp;D239,'Tiempos carretera (horas)'!C$45:C$1645&amp;'Tiempos carretera (horas)'!D$45:D$1645,0))</f>
        <v>4.05</v>
      </c>
      <c r="K239" s="12">
        <f t="shared" ca="1" si="18"/>
        <v>3.2077849461308676</v>
      </c>
      <c r="L239" s="12">
        <f t="shared" ca="1" si="19"/>
        <v>17.173252131105738</v>
      </c>
      <c r="M239" s="12">
        <f t="shared" ca="1" si="20"/>
        <v>0.28765784945135087</v>
      </c>
      <c r="N239" s="13">
        <f t="shared" ca="1" si="22"/>
        <v>-13.965467184974869</v>
      </c>
      <c r="O239" s="13">
        <f t="shared" ca="1" si="23"/>
        <v>-21.953860633094028</v>
      </c>
      <c r="P239" s="12">
        <f t="shared" ca="1" si="21"/>
        <v>0.9067865933697502</v>
      </c>
    </row>
    <row r="240" spans="1:16" x14ac:dyDescent="0.25">
      <c r="A240">
        <v>34</v>
      </c>
      <c r="B240">
        <v>5</v>
      </c>
      <c r="C240" s="2" t="s">
        <v>33</v>
      </c>
      <c r="D240" s="2" t="s">
        <v>4</v>
      </c>
      <c r="E240" s="11" cm="1">
        <f t="array" aca="1" ref="E240" ca="1">INDEX('OD flujo mercancia multimodal'!E$45:E$1645,MATCH(C240&amp;D240,'OD flujo mercancia multimodal'!C$45:C$1645&amp;'OD flujo mercancia multimodal'!D$45:D$1645,0))</f>
        <v>189549.41208791215</v>
      </c>
      <c r="F240" s="11" cm="1">
        <f t="array" aca="1" ref="F240" ca="1">INDEX('OD flujo mercancia carretera'!E$45:E$1646,MATCH(C240&amp;D240,'OD flujo mercancia carretera'!C$45:C$1646&amp;'OD flujo mercancia carretera'!D$45:D$1646,0))</f>
        <v>337486.688034188</v>
      </c>
      <c r="G240" s="11" cm="1">
        <f t="array" aca="1" ref="G240" ca="1">INDEX('Coste Carretera'!E$46:E$1646,MATCH(C240&amp;D240,'Coste Carretera'!C$46:C$1646&amp;'Coste Carretera'!D$46:D$1646,0))</f>
        <v>2470617627.8142862</v>
      </c>
      <c r="H240" s="11" cm="1">
        <f t="array" aca="1" ref="H240" ca="1">INDEX('Coste multimodal'!E$46:E$1646,MATCH(C240&amp;D240,'Coste multimodal'!C$46:C$1646&amp;'Coste multimodal'!D$46:D$1646,0))</f>
        <v>3196057914.0632415</v>
      </c>
      <c r="I240" s="12" cm="1">
        <f t="array" aca="1" ref="I240" ca="1">INDEX('Tiempos intermodal (horas)'!E$45:E$1645,MATCH(C240&amp;D240,'Tiempos intermodal (horas)'!C$45:C$1645&amp;'Tiempos intermodal (horas)'!D$45:D$1645,0))</f>
        <v>28.039069681253519</v>
      </c>
      <c r="J240" s="2" cm="1">
        <f t="array" aca="1" ref="J240" ca="1">INDEX('Tiempos carretera (horas)'!E$45:E$1645,MATCH(C240&amp;D240,'Tiempos carretera (horas)'!C$45:C$1645&amp;'Tiempos carretera (horas)'!D$45:D$1645,0))</f>
        <v>5.3</v>
      </c>
      <c r="K240" s="12">
        <f t="shared" ca="1" si="18"/>
        <v>7.3206372737404326</v>
      </c>
      <c r="L240" s="12">
        <f t="shared" ca="1" si="19"/>
        <v>16.861344379063148</v>
      </c>
      <c r="M240" s="12">
        <f t="shared" ca="1" si="20"/>
        <v>0.35965166720837266</v>
      </c>
      <c r="N240" s="13">
        <f t="shared" ca="1" si="22"/>
        <v>-9.5407071053227153</v>
      </c>
      <c r="O240" s="13">
        <f t="shared" ca="1" si="23"/>
        <v>-22.739069681253518</v>
      </c>
      <c r="P240" s="12">
        <f t="shared" ca="1" si="21"/>
        <v>0.57687632633558428</v>
      </c>
    </row>
    <row r="241" spans="1:16" x14ac:dyDescent="0.25">
      <c r="A241">
        <v>27</v>
      </c>
      <c r="B241">
        <v>34</v>
      </c>
      <c r="C241" s="2" t="s">
        <v>145</v>
      </c>
      <c r="D241" s="2" t="s">
        <v>33</v>
      </c>
      <c r="E241" s="11" cm="1">
        <f t="array" aca="1" ref="E241" ca="1">INDEX('OD flujo mercancia multimodal'!E$45:E$1645,MATCH(C241&amp;D241,'OD flujo mercancia multimodal'!C$45:C$1645&amp;'OD flujo mercancia multimodal'!D$45:D$1645,0))</f>
        <v>330042.30769230798</v>
      </c>
      <c r="F241" s="11" cm="1">
        <f t="array" aca="1" ref="F241" ca="1">INDEX('OD flujo mercancia carretera'!E$45:E$1646,MATCH(C241&amp;D241,'OD flujo mercancia carretera'!C$45:C$1646&amp;'OD flujo mercancia carretera'!D$45:D$1646,0))</f>
        <v>686830.58888888895</v>
      </c>
      <c r="G241" s="11" cm="1">
        <f t="array" aca="1" ref="G241" ca="1">INDEX('Coste Carretera'!E$46:E$1646,MATCH(C241&amp;D241,'Coste Carretera'!C$46:C$1646&amp;'Coste Carretera'!D$46:D$1646,0))</f>
        <v>2338522249.6399989</v>
      </c>
      <c r="H241" s="11" cm="1">
        <f t="array" aca="1" ref="H241" ca="1">INDEX('Coste multimodal'!E$46:E$1646,MATCH(C241&amp;D241,'Coste multimodal'!C$46:C$1646&amp;'Coste multimodal'!D$46:D$1646,0))</f>
        <v>2910904019.9199371</v>
      </c>
      <c r="I241" s="12">
        <f ca="1">'Tiempos intermodal (horas)'!E838</f>
        <v>27.733101110143345</v>
      </c>
      <c r="J241" s="2" cm="1">
        <f t="array" aca="1" ref="J241" ca="1">INDEX('Tiempos carretera (horas)'!E$45:E$1645,MATCH(C241&amp;D241,'Tiempos carretera (horas)'!C$45:C$1645&amp;'Tiempos carretera (horas)'!D$45:D$1645,0))</f>
        <v>5.1100000000000003</v>
      </c>
      <c r="K241" s="12">
        <f t="shared" ca="1" si="18"/>
        <v>3.4048021265667741</v>
      </c>
      <c r="L241" s="12">
        <f t="shared" ca="1" si="19"/>
        <v>8.8197905301089961</v>
      </c>
      <c r="M241" s="12">
        <f t="shared" ca="1" si="20"/>
        <v>0.32456594015037182</v>
      </c>
      <c r="N241" s="13">
        <f t="shared" ca="1" si="22"/>
        <v>-5.414988403542222</v>
      </c>
      <c r="O241" s="13">
        <f t="shared" ca="1" si="23"/>
        <v>-22.623101110143345</v>
      </c>
      <c r="P241" s="12">
        <f t="shared" ca="1" si="21"/>
        <v>0.7328668149377211</v>
      </c>
    </row>
    <row r="242" spans="1:16" x14ac:dyDescent="0.25">
      <c r="A242">
        <v>34</v>
      </c>
      <c r="B242">
        <v>27</v>
      </c>
      <c r="C242" s="2" t="s">
        <v>33</v>
      </c>
      <c r="D242" s="2" t="s">
        <v>145</v>
      </c>
      <c r="E242" s="11" cm="1">
        <f t="array" aca="1" ref="E242" ca="1">INDEX('OD flujo mercancia multimodal'!E$45:E$1645,MATCH(C242&amp;D242,'OD flujo mercancia multimodal'!C$45:C$1645&amp;'OD flujo mercancia multimodal'!D$45:D$1645,0))</f>
        <v>184156.76923076925</v>
      </c>
      <c r="F242" s="11" cm="1">
        <f t="array" aca="1" ref="F242" ca="1">INDEX('OD flujo mercancia carretera'!E$45:E$1646,MATCH(C242&amp;D242,'OD flujo mercancia carretera'!C$45:C$1646&amp;'OD flujo mercancia carretera'!D$45:D$1646,0))</f>
        <v>691191.32649572648</v>
      </c>
      <c r="G242" s="11" cm="1">
        <f t="array" aca="1" ref="G242" ca="1">INDEX('Coste Carretera'!E$46:E$1646,MATCH(C242&amp;D242,'Coste Carretera'!C$46:C$1646&amp;'Coste Carretera'!D$46:D$1646,0))</f>
        <v>2151521779.8399997</v>
      </c>
      <c r="H242" s="11" cm="1">
        <f t="array" aca="1" ref="H242" ca="1">INDEX('Coste multimodal'!E$46:E$1646,MATCH(C242&amp;D242,'Coste multimodal'!C$46:C$1646&amp;'Coste multimodal'!D$46:D$1646,0))</f>
        <v>2910904019.9199371</v>
      </c>
      <c r="I242" s="12">
        <f ca="1">I241</f>
        <v>27.733101110143345</v>
      </c>
      <c r="J242" s="2" cm="1">
        <f t="array" aca="1" ref="J242" ca="1">INDEX('Tiempos carretera (horas)'!E$45:E$1645,MATCH(C242&amp;D242,'Tiempos carretera (horas)'!C$45:C$1645&amp;'Tiempos carretera (horas)'!D$45:D$1645,0))</f>
        <v>5.1100000000000003</v>
      </c>
      <c r="K242" s="12">
        <f t="shared" ca="1" si="18"/>
        <v>3.1127731170297062</v>
      </c>
      <c r="L242" s="12">
        <f t="shared" ca="1" si="19"/>
        <v>15.806663160300371</v>
      </c>
      <c r="M242" s="12">
        <f t="shared" ca="1" si="20"/>
        <v>0.21038118450229587</v>
      </c>
      <c r="N242" s="13">
        <f t="shared" ca="1" si="22"/>
        <v>-12.693890043270665</v>
      </c>
      <c r="O242" s="13">
        <f t="shared" ca="1" si="23"/>
        <v>-22.623101110143345</v>
      </c>
      <c r="P242" s="12">
        <f t="shared" ca="1" si="21"/>
        <v>1.3226292673922153</v>
      </c>
    </row>
    <row r="243" spans="1:16" x14ac:dyDescent="0.25">
      <c r="A243">
        <v>37</v>
      </c>
      <c r="B243">
        <v>12</v>
      </c>
      <c r="C243" s="2" t="s">
        <v>36</v>
      </c>
      <c r="D243" s="2" t="s">
        <v>11</v>
      </c>
      <c r="E243" s="11" cm="1">
        <f t="array" aca="1" ref="E243" ca="1">INDEX('OD flujo mercancia multimodal'!E$45:E$1645,MATCH(C243&amp;D243,'OD flujo mercancia multimodal'!C$45:C$1645&amp;'OD flujo mercancia multimodal'!D$45:D$1645,0))</f>
        <v>23813.153846153844</v>
      </c>
      <c r="F243" s="11" cm="1">
        <f t="array" aca="1" ref="F243" ca="1">INDEX('OD flujo mercancia carretera'!E$45:E$1646,MATCH(C243&amp;D243,'OD flujo mercancia carretera'!C$45:C$1646&amp;'OD flujo mercancia carretera'!D$45:D$1646,0))</f>
        <v>124048.65201465201</v>
      </c>
      <c r="G243" s="11" cm="1">
        <f t="array" aca="1" ref="G243" ca="1">INDEX('Coste Carretera'!E$46:E$1646,MATCH(C243&amp;D243,'Coste Carretera'!C$46:C$1646&amp;'Coste Carretera'!D$46:D$1646,0))</f>
        <v>426971439.99999994</v>
      </c>
      <c r="H243" s="11" cm="1">
        <f t="array" aca="1" ref="H243" ca="1">INDEX('Coste multimodal'!E$46:E$1646,MATCH(C243&amp;D243,'Coste multimodal'!C$46:C$1646&amp;'Coste multimodal'!D$46:D$1646,0))</f>
        <v>243746663.817936</v>
      </c>
      <c r="I243" s="12" cm="1">
        <f t="array" aca="1" ref="I243" ca="1">INDEX('Tiempos intermodal (horas)'!E$45:E$1645,MATCH(C243&amp;D243,'Tiempos intermodal (horas)'!C$45:C$1645&amp;'Tiempos intermodal (horas)'!D$45:D$1645,0))</f>
        <v>28.378812216269008</v>
      </c>
      <c r="J243" s="2" cm="1">
        <f t="array" aca="1" ref="J243" ca="1">INDEX('Tiempos carretera (horas)'!E$45:E$1645,MATCH(C243&amp;D243,'Tiempos carretera (horas)'!C$45:C$1645&amp;'Tiempos carretera (horas)'!D$45:D$1645,0))</f>
        <v>4.26</v>
      </c>
      <c r="K243" s="12">
        <f t="shared" ca="1" si="18"/>
        <v>3.4419675914702261</v>
      </c>
      <c r="L243" s="12">
        <f t="shared" ca="1" si="19"/>
        <v>10.235799314642419</v>
      </c>
      <c r="M243" s="12">
        <f t="shared" ca="1" si="20"/>
        <v>0.16105006771370742</v>
      </c>
      <c r="N243" s="13">
        <f t="shared" ca="1" si="22"/>
        <v>-6.7938317231721932</v>
      </c>
      <c r="O243" s="13">
        <f t="shared" ca="1" si="23"/>
        <v>-24.118812216269006</v>
      </c>
      <c r="P243" s="12">
        <f t="shared" ca="1" si="21"/>
        <v>1.6504357329946782</v>
      </c>
    </row>
    <row r="244" spans="1:16" x14ac:dyDescent="0.25">
      <c r="A244">
        <v>12</v>
      </c>
      <c r="B244">
        <v>37</v>
      </c>
      <c r="C244" s="2" t="s">
        <v>11</v>
      </c>
      <c r="D244" s="2" t="s">
        <v>36</v>
      </c>
      <c r="E244" s="11" cm="1">
        <f t="array" aca="1" ref="E244" ca="1">INDEX('OD flujo mercancia multimodal'!E$45:E$1645,MATCH(C244&amp;D244,'OD flujo mercancia multimodal'!C$45:C$1645&amp;'OD flujo mercancia multimodal'!D$45:D$1645,0))</f>
        <v>15495.230769230815</v>
      </c>
      <c r="F244" s="11" cm="1">
        <f t="array" aca="1" ref="F244" ca="1">INDEX('OD flujo mercancia carretera'!E$45:E$1646,MATCH(C244&amp;D244,'OD flujo mercancia carretera'!C$45:C$1646&amp;'OD flujo mercancia carretera'!D$45:D$1646,0))</f>
        <v>127614.65750915746</v>
      </c>
      <c r="G244" s="11" cm="1">
        <f t="array" aca="1" ref="G244" ca="1">INDEX('Coste Carretera'!E$46:E$1646,MATCH(C244&amp;D244,'Coste Carretera'!C$46:C$1646&amp;'Coste Carretera'!D$46:D$1646,0))</f>
        <v>190673455.99999991</v>
      </c>
      <c r="H244" s="11" cm="1">
        <f t="array" aca="1" ref="H244" ca="1">INDEX('Coste multimodal'!E$46:E$1646,MATCH(C244&amp;D244,'Coste multimodal'!C$46:C$1646&amp;'Coste multimodal'!D$46:D$1646,0))</f>
        <v>243746663.817936</v>
      </c>
      <c r="I244" s="12" cm="1">
        <f t="array" aca="1" ref="I244" ca="1">INDEX('Tiempos intermodal (horas)'!E$45:E$1645,MATCH(C244&amp;D244,'Tiempos intermodal (horas)'!C$45:C$1645&amp;'Tiempos intermodal (horas)'!D$45:D$1645,0))</f>
        <v>28.378812216269008</v>
      </c>
      <c r="J244" s="2" cm="1">
        <f t="array" aca="1" ref="J244" ca="1">INDEX('Tiempos carretera (horas)'!E$45:E$1645,MATCH(C244&amp;D244,'Tiempos carretera (horas)'!C$45:C$1645&amp;'Tiempos carretera (horas)'!D$45:D$1645,0))</f>
        <v>4.26</v>
      </c>
      <c r="K244" s="12">
        <f t="shared" ca="1" si="18"/>
        <v>1.4941344491428614</v>
      </c>
      <c r="L244" s="12">
        <f t="shared" ca="1" si="19"/>
        <v>15.730431346782428</v>
      </c>
      <c r="M244" s="12">
        <f t="shared" ca="1" si="20"/>
        <v>0.10827505321706568</v>
      </c>
      <c r="N244" s="13">
        <f t="shared" ca="1" si="22"/>
        <v>-14.236296897639566</v>
      </c>
      <c r="O244" s="13">
        <f t="shared" ca="1" si="23"/>
        <v>-24.118812216269006</v>
      </c>
      <c r="P244" s="12">
        <f t="shared" ca="1" si="21"/>
        <v>2.1084829508044498</v>
      </c>
    </row>
    <row r="245" spans="1:16" x14ac:dyDescent="0.25">
      <c r="A245">
        <v>39</v>
      </c>
      <c r="B245">
        <v>40</v>
      </c>
      <c r="C245" s="2" t="s">
        <v>38</v>
      </c>
      <c r="D245" s="2" t="s">
        <v>39</v>
      </c>
      <c r="E245" s="11" cm="1">
        <f t="array" aca="1" ref="E245" ca="1">INDEX('OD flujo mercancia multimodal'!E$45:E$1645,MATCH(C245&amp;D245,'OD flujo mercancia multimodal'!C$45:C$1645&amp;'OD flujo mercancia multimodal'!D$45:D$1645,0))</f>
        <v>9745.7692307692305</v>
      </c>
      <c r="F245" s="11" cm="1">
        <f t="array" aca="1" ref="F245" ca="1">INDEX('OD flujo mercancia carretera'!E$45:E$1646,MATCH(C245&amp;D245,'OD flujo mercancia carretera'!C$45:C$1646&amp;'OD flujo mercancia carretera'!D$45:D$1646,0))</f>
        <v>77990.835164835211</v>
      </c>
      <c r="G245" s="11" cm="1">
        <f t="array" aca="1" ref="G245" ca="1">INDEX('Coste Carretera'!E$46:E$1646,MATCH(C245&amp;D245,'Coste Carretera'!C$46:C$1646&amp;'Coste Carretera'!D$46:D$1646,0))</f>
        <v>247009575.36000004</v>
      </c>
      <c r="H245" s="11" cm="1">
        <f t="array" aca="1" ref="H245" ca="1">INDEX('Coste multimodal'!E$46:E$1646,MATCH(C245&amp;D245,'Coste multimodal'!C$46:C$1646&amp;'Coste multimodal'!D$46:D$1646,0))</f>
        <v>121279066.03200001</v>
      </c>
      <c r="I245" s="12" cm="1">
        <f t="array" aca="1" ref="I245" ca="1">INDEX('Tiempos intermodal (horas)'!E$45:E$1645,MATCH(C245&amp;D245,'Tiempos intermodal (horas)'!C$45:C$1645&amp;'Tiempos intermodal (horas)'!D$45:D$1645,0))</f>
        <v>0</v>
      </c>
      <c r="J245" s="2" cm="1">
        <f t="array" aca="1" ref="J245" ca="1">INDEX('Tiempos carretera (horas)'!E$45:E$1645,MATCH(C245&amp;D245,'Tiempos carretera (horas)'!C$45:C$1645&amp;'Tiempos carretera (horas)'!D$45:D$1645,0))</f>
        <v>2.68</v>
      </c>
      <c r="K245" s="12">
        <f t="shared" ca="1" si="18"/>
        <v>3.1671615624828262</v>
      </c>
      <c r="L245" s="12">
        <f t="shared" ca="1" si="19"/>
        <v>12.444278451525317</v>
      </c>
      <c r="M245" s="12">
        <f t="shared" ca="1" si="20"/>
        <v>0.11107985427411285</v>
      </c>
      <c r="N245" s="13">
        <f t="shared" ca="1" si="22"/>
        <v>-9.2771168890424907</v>
      </c>
      <c r="O245" s="13">
        <f t="shared" ca="1" si="23"/>
        <v>2.68</v>
      </c>
      <c r="P245" s="12">
        <f t="shared" ca="1" si="21"/>
        <v>2.0797580561117179</v>
      </c>
    </row>
    <row r="246" spans="1:16" x14ac:dyDescent="0.25">
      <c r="A246">
        <v>40</v>
      </c>
      <c r="B246">
        <v>11</v>
      </c>
      <c r="C246" s="2" t="s">
        <v>39</v>
      </c>
      <c r="D246" s="2" t="s">
        <v>10</v>
      </c>
      <c r="E246" s="11" cm="1">
        <f t="array" aca="1" ref="E246" ca="1">INDEX('OD flujo mercancia multimodal'!E$45:E$1645,MATCH(C246&amp;D246,'OD flujo mercancia multimodal'!C$45:C$1645&amp;'OD flujo mercancia multimodal'!D$45:D$1645,0))</f>
        <v>23950.307692307677</v>
      </c>
      <c r="F246" s="11" cm="1">
        <f t="array" aca="1" ref="F246" ca="1">INDEX('OD flujo mercancia carretera'!E$45:E$1646,MATCH(C246&amp;D246,'OD flujo mercancia carretera'!C$45:C$1646&amp;'OD flujo mercancia carretera'!D$45:D$1646,0))</f>
        <v>196938.51282051281</v>
      </c>
      <c r="G246" s="11" cm="1">
        <f t="array" aca="1" ref="G246" ca="1">INDEX('Coste Carretera'!E$46:E$1646,MATCH(C246&amp;D246,'Coste Carretera'!C$46:C$1646&amp;'Coste Carretera'!D$46:D$1646,0))</f>
        <v>339588696.31999969</v>
      </c>
      <c r="H246" s="11" cm="1">
        <f t="array" aca="1" ref="H246" ca="1">INDEX('Coste multimodal'!E$46:E$1646,MATCH(C246&amp;D246,'Coste multimodal'!C$46:C$1646&amp;'Coste multimodal'!D$46:D$1646,0))</f>
        <v>88916636.348492563</v>
      </c>
      <c r="I246" s="12" cm="1">
        <f t="array" aca="1" ref="I246" ca="1">INDEX('Tiempos intermodal (horas)'!E$45:E$1645,MATCH(C246&amp;D246,'Tiempos intermodal (horas)'!C$45:C$1645&amp;'Tiempos intermodal (horas)'!D$45:D$1645,0))</f>
        <v>0</v>
      </c>
      <c r="J246" s="2" cm="1">
        <f t="array" aca="1" ref="J246" ca="1">INDEX('Tiempos carretera (horas)'!E$45:E$1645,MATCH(C246&amp;D246,'Tiempos carretera (horas)'!C$45:C$1645&amp;'Tiempos carretera (horas)'!D$45:D$1645,0))</f>
        <v>3.2</v>
      </c>
      <c r="K246" s="12">
        <f t="shared" ref="K246:K309" ca="1" si="24">G246/(F246*1000)</f>
        <v>1.7243386854936618</v>
      </c>
      <c r="L246" s="12">
        <f t="shared" ref="L246:L309" ca="1" si="25">H246/(E246*1000)</f>
        <v>3.7125467234414975</v>
      </c>
      <c r="M246" s="12">
        <f t="shared" ref="M246:M309" ca="1" si="26">E246/(E246+F246)</f>
        <v>0.10842697985667224</v>
      </c>
      <c r="N246" s="13">
        <f t="shared" ca="1" si="22"/>
        <v>-1.9882080379478357</v>
      </c>
      <c r="O246" s="13">
        <f t="shared" ca="1" si="23"/>
        <v>3.2</v>
      </c>
      <c r="P246" s="12">
        <f t="shared" ref="P246:P309" ca="1" si="27">LN(1/M246-1)</f>
        <v>2.1069103913043805</v>
      </c>
    </row>
    <row r="247" spans="1:16" x14ac:dyDescent="0.25">
      <c r="A247">
        <v>11</v>
      </c>
      <c r="B247">
        <v>40</v>
      </c>
      <c r="C247" s="2" t="s">
        <v>10</v>
      </c>
      <c r="D247" s="2" t="s">
        <v>39</v>
      </c>
      <c r="E247" s="11" cm="1">
        <f t="array" aca="1" ref="E247" ca="1">INDEX('OD flujo mercancia multimodal'!E$45:E$1645,MATCH(C247&amp;D247,'OD flujo mercancia multimodal'!C$45:C$1645&amp;'OD flujo mercancia multimodal'!D$45:D$1645,0))</f>
        <v>20417.538461538461</v>
      </c>
      <c r="F247" s="11" cm="1">
        <f t="array" aca="1" ref="F247" ca="1">INDEX('OD flujo mercancia carretera'!E$45:E$1646,MATCH(C247&amp;D247,'OD flujo mercancia carretera'!C$45:C$1646&amp;'OD flujo mercancia carretera'!D$45:D$1646,0))</f>
        <v>170326.37362637368</v>
      </c>
      <c r="G247" s="11" cm="1">
        <f t="array" aca="1" ref="G247" ca="1">INDEX('Coste Carretera'!E$46:E$1646,MATCH(C247&amp;D247,'Coste Carretera'!C$46:C$1646&amp;'Coste Carretera'!D$46:D$1646,0))</f>
        <v>395582559.00000018</v>
      </c>
      <c r="H247" s="11" cm="1">
        <f t="array" aca="1" ref="H247" ca="1">INDEX('Coste multimodal'!E$46:E$1646,MATCH(C247&amp;D247,'Coste multimodal'!C$46:C$1646&amp;'Coste multimodal'!D$46:D$1646,0))</f>
        <v>245158608.35347027</v>
      </c>
      <c r="I247" s="12" cm="1">
        <f t="array" aca="1" ref="I247" ca="1">INDEX('Tiempos intermodal (horas)'!E$45:E$1645,MATCH(C247&amp;D247,'Tiempos intermodal (horas)'!C$45:C$1645&amp;'Tiempos intermodal (horas)'!D$45:D$1645,0))</f>
        <v>31.063918917745873</v>
      </c>
      <c r="J247" s="2" cm="1">
        <f t="array" aca="1" ref="J247" ca="1">INDEX('Tiempos carretera (horas)'!E$45:E$1645,MATCH(C247&amp;D247,'Tiempos carretera (horas)'!C$45:C$1645&amp;'Tiempos carretera (horas)'!D$45:D$1645,0))</f>
        <v>5.58</v>
      </c>
      <c r="K247" s="12">
        <f t="shared" ca="1" si="24"/>
        <v>2.322497394723769</v>
      </c>
      <c r="L247" s="12">
        <f t="shared" ca="1" si="25"/>
        <v>12.00725586070465</v>
      </c>
      <c r="M247" s="12">
        <f t="shared" ca="1" si="26"/>
        <v>0.10704162580102794</v>
      </c>
      <c r="N247" s="13">
        <f t="shared" ca="1" si="22"/>
        <v>-9.684758465980881</v>
      </c>
      <c r="O247" s="13">
        <f t="shared" ca="1" si="23"/>
        <v>-25.483918917745875</v>
      </c>
      <c r="P247" s="12">
        <f t="shared" ca="1" si="27"/>
        <v>2.1213221813623844</v>
      </c>
    </row>
    <row r="248" spans="1:16" x14ac:dyDescent="0.25">
      <c r="A248">
        <v>3</v>
      </c>
      <c r="B248">
        <v>33</v>
      </c>
      <c r="C248" s="2" t="s">
        <v>2</v>
      </c>
      <c r="D248" s="2" t="s">
        <v>32</v>
      </c>
      <c r="E248" s="11" cm="1">
        <f t="array" aca="1" ref="E248" ca="1">INDEX('OD flujo mercancia multimodal'!E$45:E$1645,MATCH(C248&amp;D248,'OD flujo mercancia multimodal'!C$45:C$1645&amp;'OD flujo mercancia multimodal'!D$45:D$1645,0))</f>
        <v>79144.340659340625</v>
      </c>
      <c r="F248" s="11" cm="1">
        <f t="array" aca="1" ref="F248" ca="1">INDEX('OD flujo mercancia carretera'!E$45:E$1646,MATCH(C248&amp;D248,'OD flujo mercancia carretera'!C$45:C$1646&amp;'OD flujo mercancia carretera'!D$45:D$1646,0))</f>
        <v>137047.49230769233</v>
      </c>
      <c r="G248" s="11" cm="1">
        <f t="array" aca="1" ref="G248" ca="1">INDEX('Coste Carretera'!E$46:E$1646,MATCH(C248&amp;D248,'Coste Carretera'!C$46:C$1646&amp;'Coste Carretera'!D$46:D$1646,0))</f>
        <v>241260385.83428571</v>
      </c>
      <c r="H248" s="11" cm="1">
        <f t="array" aca="1" ref="H248" ca="1">INDEX('Coste multimodal'!E$46:E$1646,MATCH(C248&amp;D248,'Coste multimodal'!C$46:C$1646&amp;'Coste multimodal'!D$46:D$1646,0))</f>
        <v>286125925.73740339</v>
      </c>
      <c r="I248" s="12" cm="1">
        <f t="array" aca="1" ref="I248" ca="1">INDEX('Tiempos intermodal (horas)'!E$45:E$1645,MATCH(C248&amp;D248,'Tiempos intermodal (horas)'!C$45:C$1645&amp;'Tiempos intermodal (horas)'!D$45:D$1645,0))</f>
        <v>27.392898298200546</v>
      </c>
      <c r="J248" s="2" cm="1">
        <f t="array" aca="1" ref="J248" ca="1">INDEX('Tiempos carretera (horas)'!E$45:E$1645,MATCH(C248&amp;D248,'Tiempos carretera (horas)'!C$45:C$1645&amp;'Tiempos carretera (horas)'!D$45:D$1645,0))</f>
        <v>3.26</v>
      </c>
      <c r="K248" s="12">
        <f t="shared" ca="1" si="24"/>
        <v>1.7604144502886612</v>
      </c>
      <c r="L248" s="12">
        <f t="shared" ca="1" si="25"/>
        <v>3.6152417640191028</v>
      </c>
      <c r="M248" s="12">
        <f t="shared" ca="1" si="26"/>
        <v>0.36608385975158148</v>
      </c>
      <c r="N248" s="13">
        <f t="shared" ca="1" si="22"/>
        <v>-1.8548273137304416</v>
      </c>
      <c r="O248" s="13">
        <f t="shared" ca="1" si="23"/>
        <v>-24.132898298200544</v>
      </c>
      <c r="P248" s="12">
        <f t="shared" ca="1" si="27"/>
        <v>0.54905424262654834</v>
      </c>
    </row>
    <row r="249" spans="1:16" x14ac:dyDescent="0.25">
      <c r="A249">
        <v>5</v>
      </c>
      <c r="B249">
        <v>35</v>
      </c>
      <c r="C249" s="2" t="s">
        <v>4</v>
      </c>
      <c r="D249" s="2" t="s">
        <v>34</v>
      </c>
      <c r="E249" s="11" cm="1">
        <f t="array" aca="1" ref="E249" ca="1">INDEX('OD flujo mercancia multimodal'!E$45:E$1645,MATCH(C249&amp;D249,'OD flujo mercancia multimodal'!C$45:C$1645&amp;'OD flujo mercancia multimodal'!D$45:D$1645,0))</f>
        <v>69638.686813186825</v>
      </c>
      <c r="F249" s="11" cm="1">
        <f t="array" aca="1" ref="F249" ca="1">INDEX('OD flujo mercancia carretera'!E$45:E$1646,MATCH(C249&amp;D249,'OD flujo mercancia carretera'!C$45:C$1646&amp;'OD flujo mercancia carretera'!D$45:D$1646,0))</f>
        <v>80736.615384615419</v>
      </c>
      <c r="G249" s="11" cm="1">
        <f t="array" aca="1" ref="G249" ca="1">INDEX('Coste Carretera'!E$46:E$1646,MATCH(C249&amp;D249,'Coste Carretera'!C$46:C$1646&amp;'Coste Carretera'!D$46:D$1646,0))</f>
        <v>8204189771.7000074</v>
      </c>
      <c r="H249" s="11" cm="1">
        <f t="array" aca="1" ref="H249" ca="1">INDEX('Coste multimodal'!E$46:E$1646,MATCH(C249&amp;D249,'Coste multimodal'!C$46:C$1646&amp;'Coste multimodal'!D$46:D$1646,0))</f>
        <v>2566323305.1352415</v>
      </c>
      <c r="I249" s="12" cm="1">
        <f t="array" aca="1" ref="I249" ca="1">INDEX('Tiempos intermodal (horas)'!E$45:E$1645,MATCH(C249&amp;D249,'Tiempos intermodal (horas)'!C$45:C$1645&amp;'Tiempos intermodal (horas)'!D$45:D$1645,0))</f>
        <v>28.963514125697962</v>
      </c>
      <c r="J249" s="2" cm="1">
        <f t="array" aca="1" ref="J249" ca="1">INDEX('Tiempos carretera (horas)'!E$45:E$1645,MATCH(C249&amp;D249,'Tiempos carretera (horas)'!C$45:C$1645&amp;'Tiempos carretera (horas)'!D$45:D$1645,0))</f>
        <v>4.83</v>
      </c>
      <c r="K249" s="12">
        <f t="shared" ca="1" si="24"/>
        <v>101.61671668569026</v>
      </c>
      <c r="L249" s="12">
        <f t="shared" ca="1" si="25"/>
        <v>36.851977292732073</v>
      </c>
      <c r="M249" s="12">
        <f t="shared" ca="1" si="26"/>
        <v>0.46309923102654693</v>
      </c>
      <c r="N249" s="13">
        <f t="shared" ca="1" si="22"/>
        <v>64.764739392958191</v>
      </c>
      <c r="O249" s="13">
        <f t="shared" ca="1" si="23"/>
        <v>-24.133514125697964</v>
      </c>
      <c r="P249" s="12">
        <f t="shared" ca="1" si="27"/>
        <v>0.14787193668039603</v>
      </c>
    </row>
    <row r="250" spans="1:16" x14ac:dyDescent="0.25">
      <c r="A250">
        <v>27</v>
      </c>
      <c r="B250">
        <v>3</v>
      </c>
      <c r="C250" s="2" t="s">
        <v>145</v>
      </c>
      <c r="D250" s="2" t="s">
        <v>2</v>
      </c>
      <c r="E250" s="11" cm="1">
        <f t="array" aca="1" ref="E250" ca="1">INDEX('OD flujo mercancia multimodal'!E$45:E$1645,MATCH(C250&amp;D250,'OD flujo mercancia multimodal'!C$45:C$1645&amp;'OD flujo mercancia multimodal'!D$45:D$1645,0))</f>
        <v>49748.714285714304</v>
      </c>
      <c r="F250" s="11" cm="1">
        <f t="array" aca="1" ref="F250" ca="1">INDEX('OD flujo mercancia carretera'!E$45:E$1646,MATCH(C250&amp;D250,'OD flujo mercancia carretera'!C$45:C$1646&amp;'OD flujo mercancia carretera'!D$45:D$1646,0))</f>
        <v>461720.66153846146</v>
      </c>
      <c r="G250" s="11" cm="1">
        <f t="array" aca="1" ref="G250" ca="1">INDEX('Coste Carretera'!E$46:E$1646,MATCH(C250&amp;D250,'Coste Carretera'!C$46:C$1646&amp;'Coste Carretera'!D$46:D$1646,0))</f>
        <v>705456668.05714309</v>
      </c>
      <c r="H250" s="11" cm="1">
        <f t="array" aca="1" ref="H250" ca="1">INDEX('Coste multimodal'!E$46:E$1646,MATCH(C250&amp;D250,'Coste multimodal'!C$46:C$1646&amp;'Coste multimodal'!D$46:D$1646,0))</f>
        <v>1390347040.963336</v>
      </c>
      <c r="I250" s="12" cm="1">
        <f t="array" aca="1" ref="I250" ca="1">INDEX('Tiempos intermodal (horas)'!E$45:E$1645,MATCH(C250&amp;D250,'Tiempos intermodal (horas)'!C$45:C$1645&amp;'Tiempos intermodal (horas)'!D$45:D$1645,0))</f>
        <v>51.703965421476155</v>
      </c>
      <c r="J250" s="2" cm="1">
        <f t="array" aca="1" ref="J250" ca="1">INDEX('Tiempos carretera (horas)'!E$45:E$1645,MATCH(C250&amp;D250,'Tiempos carretera (horas)'!C$45:C$1645&amp;'Tiempos carretera (horas)'!D$45:D$1645,0))</f>
        <v>3.16</v>
      </c>
      <c r="K250" s="12">
        <f t="shared" ca="1" si="24"/>
        <v>1.5278862888798368</v>
      </c>
      <c r="L250" s="12">
        <f t="shared" ca="1" si="25"/>
        <v>27.947396448848206</v>
      </c>
      <c r="M250" s="12">
        <f t="shared" ca="1" si="26"/>
        <v>9.7266261944910795E-2</v>
      </c>
      <c r="N250" s="13">
        <f t="shared" ca="1" si="22"/>
        <v>-26.419510159968368</v>
      </c>
      <c r="O250" s="13">
        <f t="shared" ca="1" si="23"/>
        <v>-48.543965421476159</v>
      </c>
      <c r="P250" s="12">
        <f t="shared" ca="1" si="27"/>
        <v>2.2279754597480395</v>
      </c>
    </row>
    <row r="251" spans="1:16" x14ac:dyDescent="0.25">
      <c r="A251">
        <v>10</v>
      </c>
      <c r="B251">
        <v>35</v>
      </c>
      <c r="C251" s="2" t="s">
        <v>9</v>
      </c>
      <c r="D251" s="2" t="s">
        <v>34</v>
      </c>
      <c r="E251" s="11" cm="1">
        <f t="array" aca="1" ref="E251" ca="1">INDEX('OD flujo mercancia multimodal'!E$45:E$1645,MATCH(C251&amp;D251,'OD flujo mercancia multimodal'!C$45:C$1645&amp;'OD flujo mercancia multimodal'!D$45:D$1645,0))</f>
        <v>37147.186813186832</v>
      </c>
      <c r="F251" s="11" cm="1">
        <f t="array" aca="1" ref="F251" ca="1">INDEX('OD flujo mercancia carretera'!E$45:E$1646,MATCH(C251&amp;D251,'OD flujo mercancia carretera'!C$45:C$1646&amp;'OD flujo mercancia carretera'!D$45:D$1646,0))</f>
        <v>106139.46153846158</v>
      </c>
      <c r="G251" s="11" cm="1">
        <f t="array" aca="1" ref="G251" ca="1">INDEX('Coste Carretera'!E$46:E$1646,MATCH(C251&amp;D251,'Coste Carretera'!C$46:C$1646&amp;'Coste Carretera'!D$46:D$1646,0))</f>
        <v>8586809416.7314358</v>
      </c>
      <c r="H251" s="11" cm="1">
        <f t="array" aca="1" ref="H251" ca="1">INDEX('Coste multimodal'!E$46:E$1646,MATCH(C251&amp;D251,'Coste multimodal'!C$46:C$1646&amp;'Coste multimodal'!D$46:D$1646,0))</f>
        <v>2613659082.1952415</v>
      </c>
      <c r="I251" s="12" cm="1">
        <f t="array" aca="1" ref="I251" ca="1">INDEX('Tiempos intermodal (horas)'!E$45:E$1645,MATCH(C251&amp;D251,'Tiempos intermodal (horas)'!C$45:C$1645&amp;'Tiempos intermodal (horas)'!D$45:D$1645,0))</f>
        <v>29.951291903475742</v>
      </c>
      <c r="J251" s="2" cm="1">
        <f t="array" aca="1" ref="J251" ca="1">INDEX('Tiempos carretera (horas)'!E$45:E$1645,MATCH(C251&amp;D251,'Tiempos carretera (horas)'!C$45:C$1645&amp;'Tiempos carretera (horas)'!D$45:D$1645,0))</f>
        <v>5.75</v>
      </c>
      <c r="K251" s="12">
        <f t="shared" ca="1" si="24"/>
        <v>80.901196334219648</v>
      </c>
      <c r="L251" s="12">
        <f t="shared" ca="1" si="25"/>
        <v>70.359542846119965</v>
      </c>
      <c r="M251" s="12">
        <f t="shared" ca="1" si="26"/>
        <v>0.25925086001049924</v>
      </c>
      <c r="N251" s="13">
        <f t="shared" ca="1" si="22"/>
        <v>10.541653488099683</v>
      </c>
      <c r="O251" s="13">
        <f t="shared" ca="1" si="23"/>
        <v>-24.201291903475742</v>
      </c>
      <c r="P251" s="12">
        <f t="shared" ca="1" si="27"/>
        <v>1.0498658610473754</v>
      </c>
    </row>
    <row r="252" spans="1:16" x14ac:dyDescent="0.25">
      <c r="A252">
        <v>35</v>
      </c>
      <c r="B252">
        <v>10</v>
      </c>
      <c r="C252" s="2" t="s">
        <v>34</v>
      </c>
      <c r="D252" s="2" t="s">
        <v>9</v>
      </c>
      <c r="E252" s="11" cm="1">
        <f t="array" aca="1" ref="E252" ca="1">INDEX('OD flujo mercancia multimodal'!E$45:E$1645,MATCH(C252&amp;D252,'OD flujo mercancia multimodal'!C$45:C$1645&amp;'OD flujo mercancia multimodal'!D$45:D$1645,0))</f>
        <v>30824.521978021992</v>
      </c>
      <c r="F252" s="11" cm="1">
        <f t="array" aca="1" ref="F252" ca="1">INDEX('OD flujo mercancia carretera'!E$45:E$1646,MATCH(C252&amp;D252,'OD flujo mercancia carretera'!C$45:C$1646&amp;'OD flujo mercancia carretera'!D$45:D$1646,0))</f>
        <v>108627.30769230772</v>
      </c>
      <c r="G252" s="11" cm="1">
        <f t="array" aca="1" ref="G252" ca="1">INDEX('Coste Carretera'!E$46:E$1646,MATCH(C252&amp;D252,'Coste Carretera'!C$46:C$1646&amp;'Coste Carretera'!D$46:D$1646,0))</f>
        <v>4026501961.1942859</v>
      </c>
      <c r="H252" s="11" cm="1">
        <f t="array" aca="1" ref="H252" ca="1">INDEX('Coste multimodal'!E$46:E$1646,MATCH(C252&amp;D252,'Coste multimodal'!C$46:C$1646&amp;'Coste multimodal'!D$46:D$1646,0))</f>
        <v>2613659082.1952415</v>
      </c>
      <c r="I252" s="12" cm="1">
        <f t="array" aca="1" ref="I252" ca="1">INDEX('Tiempos intermodal (horas)'!E$45:E$1645,MATCH(C252&amp;D252,'Tiempos intermodal (horas)'!C$45:C$1645&amp;'Tiempos intermodal (horas)'!D$45:D$1645,0))</f>
        <v>29.951291903475742</v>
      </c>
      <c r="J252" s="2" cm="1">
        <f t="array" aca="1" ref="J252" ca="1">INDEX('Tiempos carretera (horas)'!E$45:E$1645,MATCH(C252&amp;D252,'Tiempos carretera (horas)'!C$45:C$1645&amp;'Tiempos carretera (horas)'!D$45:D$1645,0))</f>
        <v>5.75</v>
      </c>
      <c r="K252" s="12">
        <f t="shared" ca="1" si="24"/>
        <v>37.06712471047846</v>
      </c>
      <c r="L252" s="12">
        <f t="shared" ca="1" si="25"/>
        <v>84.791552779270702</v>
      </c>
      <c r="M252" s="12">
        <f t="shared" ca="1" si="26"/>
        <v>0.22104064214067703</v>
      </c>
      <c r="N252" s="13">
        <f t="shared" ca="1" si="22"/>
        <v>-47.724428068792243</v>
      </c>
      <c r="O252" s="13">
        <f t="shared" ca="1" si="23"/>
        <v>-24.201291903475742</v>
      </c>
      <c r="P252" s="12">
        <f t="shared" ca="1" si="27"/>
        <v>1.2596122866146839</v>
      </c>
    </row>
    <row r="253" spans="1:16" x14ac:dyDescent="0.25">
      <c r="A253">
        <v>30</v>
      </c>
      <c r="B253">
        <v>3</v>
      </c>
      <c r="C253" s="2" t="s">
        <v>146</v>
      </c>
      <c r="D253" s="2" t="s">
        <v>2</v>
      </c>
      <c r="E253" s="11" cm="1">
        <f t="array" aca="1" ref="E253" ca="1">INDEX('OD flujo mercancia multimodal'!E$45:E$1645,MATCH(C253&amp;D253,'OD flujo mercancia multimodal'!C$45:C$1645&amp;'OD flujo mercancia multimodal'!D$45:D$1645,0))</f>
        <v>18319.021978021992</v>
      </c>
      <c r="F253" s="11" cm="1">
        <f t="array" aca="1" ref="F253" ca="1">INDEX('OD flujo mercancia carretera'!E$45:E$1646,MATCH(C253&amp;D253,'OD flujo mercancia carretera'!C$45:C$1646&amp;'OD flujo mercancia carretera'!D$45:D$1646,0))</f>
        <v>266749.26153846155</v>
      </c>
      <c r="G253" s="11" cm="1">
        <f t="array" aca="1" ref="G253" ca="1">INDEX('Coste Carretera'!E$46:E$1646,MATCH(C253&amp;D253,'Coste Carretera'!C$46:C$1646&amp;'Coste Carretera'!D$46:D$1646,0))</f>
        <v>797591322.35714316</v>
      </c>
      <c r="H253" s="11" cm="1">
        <f t="array" aca="1" ref="H253" ca="1">INDEX('Coste multimodal'!E$46:E$1646,MATCH(C253&amp;D253,'Coste multimodal'!C$46:C$1646&amp;'Coste multimodal'!D$46:D$1646,0))</f>
        <v>487664453.14484286</v>
      </c>
      <c r="I253" s="12" cm="1">
        <f t="array" aca="1" ref="I253" ca="1">INDEX('Tiempos intermodal (horas)'!E$45:E$1645,MATCH(C253&amp;D253,'Tiempos intermodal (horas)'!C$45:C$1645&amp;'Tiempos intermodal (horas)'!D$45:D$1645,0))</f>
        <v>24.23790019853838</v>
      </c>
      <c r="J253" s="2" cm="1">
        <f t="array" aca="1" ref="J253" ca="1">INDEX('Tiempos carretera (horas)'!E$45:E$1645,MATCH(C253&amp;D253,'Tiempos carretera (horas)'!C$45:C$1645&amp;'Tiempos carretera (horas)'!D$45:D$1645,0))</f>
        <v>8.1300000000000008</v>
      </c>
      <c r="K253" s="12">
        <f t="shared" ca="1" si="24"/>
        <v>2.9900413510316</v>
      </c>
      <c r="L253" s="12">
        <f t="shared" ca="1" si="25"/>
        <v>26.620659865461811</v>
      </c>
      <c r="M253" s="12">
        <f t="shared" ca="1" si="26"/>
        <v>6.4261873513412893E-2</v>
      </c>
      <c r="N253" s="13">
        <f t="shared" ca="1" si="22"/>
        <v>-23.630618514430211</v>
      </c>
      <c r="O253" s="13">
        <f t="shared" ca="1" si="23"/>
        <v>-16.107900198538381</v>
      </c>
      <c r="P253" s="12">
        <f t="shared" ca="1" si="27"/>
        <v>2.6783691494705959</v>
      </c>
    </row>
    <row r="254" spans="1:16" x14ac:dyDescent="0.25">
      <c r="A254">
        <v>9</v>
      </c>
      <c r="B254">
        <v>33</v>
      </c>
      <c r="C254" s="2" t="s">
        <v>148</v>
      </c>
      <c r="D254" s="2" t="s">
        <v>32</v>
      </c>
      <c r="E254" s="11" cm="1">
        <f t="array" aca="1" ref="E254" ca="1">INDEX('OD flujo mercancia multimodal'!E$45:E$1645,MATCH(C254&amp;D254,'OD flujo mercancia multimodal'!C$45:C$1645&amp;'OD flujo mercancia multimodal'!D$45:D$1645,0))</f>
        <v>65084.269230769198</v>
      </c>
      <c r="F254" s="11" cm="1">
        <f t="array" aca="1" ref="F254" ca="1">INDEX('OD flujo mercancia carretera'!E$45:E$1646,MATCH(C254&amp;D254,'OD flujo mercancia carretera'!C$45:C$1646&amp;'OD flujo mercancia carretera'!D$45:D$1646,0))</f>
        <v>674675.02008547017</v>
      </c>
      <c r="G254" s="11" cm="1">
        <f t="array" aca="1" ref="G254" ca="1">INDEX('Coste Carretera'!E$46:E$1646,MATCH(C254&amp;D254,'Coste Carretera'!C$46:C$1646&amp;'Coste Carretera'!D$46:D$1646,0))</f>
        <v>20541303.239999995</v>
      </c>
      <c r="H254" s="11" cm="1">
        <f t="array" aca="1" ref="H254" ca="1">INDEX('Coste multimodal'!E$46:E$1646,MATCH(C254&amp;D254,'Coste multimodal'!C$46:C$1646&amp;'Coste multimodal'!D$46:D$1646,0))</f>
        <v>437536358.8158648</v>
      </c>
      <c r="I254" s="12" cm="1">
        <f t="array" aca="1" ref="I254" ca="1">INDEX('Tiempos intermodal (horas)'!E$45:E$1645,MATCH(C254&amp;D254,'Tiempos intermodal (horas)'!C$45:C$1645&amp;'Tiempos intermodal (horas)'!D$45:D$1645,0))</f>
        <v>27.513790253876923</v>
      </c>
      <c r="J254" s="2" cm="1">
        <f t="array" aca="1" ref="J254" ca="1">INDEX('Tiempos carretera (horas)'!E$45:E$1645,MATCH(C254&amp;D254,'Tiempos carretera (horas)'!C$45:C$1645&amp;'Tiempos carretera (horas)'!D$45:D$1645,0))</f>
        <v>3.11</v>
      </c>
      <c r="K254" s="12">
        <f t="shared" ca="1" si="24"/>
        <v>3.0446218740094677E-2</v>
      </c>
      <c r="L254" s="12">
        <f t="shared" ca="1" si="25"/>
        <v>6.7226130674448044</v>
      </c>
      <c r="M254" s="12">
        <f t="shared" ca="1" si="26"/>
        <v>8.7980333833897084E-2</v>
      </c>
      <c r="N254" s="13">
        <f t="shared" ca="1" si="22"/>
        <v>-6.6921668487047095</v>
      </c>
      <c r="O254" s="13">
        <f t="shared" ca="1" si="23"/>
        <v>-24.403790253876924</v>
      </c>
      <c r="P254" s="12">
        <f t="shared" ca="1" si="27"/>
        <v>2.3385482432777005</v>
      </c>
    </row>
    <row r="255" spans="1:16" x14ac:dyDescent="0.25">
      <c r="A255">
        <v>33</v>
      </c>
      <c r="B255">
        <v>9</v>
      </c>
      <c r="C255" s="2" t="s">
        <v>32</v>
      </c>
      <c r="D255" s="2" t="s">
        <v>148</v>
      </c>
      <c r="E255" s="11" cm="1">
        <f t="array" aca="1" ref="E255" ca="1">INDEX('OD flujo mercancia multimodal'!E$45:E$1645,MATCH(C255&amp;D255,'OD flujo mercancia multimodal'!C$45:C$1645&amp;'OD flujo mercancia multimodal'!D$45:D$1645,0))</f>
        <v>30754.069930069927</v>
      </c>
      <c r="F255" s="11" cm="1">
        <f t="array" aca="1" ref="F255" ca="1">INDEX('OD flujo mercancia carretera'!E$45:E$1646,MATCH(C255&amp;D255,'OD flujo mercancia carretera'!C$45:C$1646&amp;'OD flujo mercancia carretera'!D$45:D$1646,0))</f>
        <v>662843.64230769244</v>
      </c>
      <c r="G255" s="11" cm="1">
        <f t="array" aca="1" ref="G255" ca="1">INDEX('Coste Carretera'!E$46:E$1646,MATCH(C255&amp;D255,'Coste Carretera'!C$46:C$1646&amp;'Coste Carretera'!D$46:D$1646,0))</f>
        <v>9953536.0436363574</v>
      </c>
      <c r="H255" s="11" cm="1">
        <f t="array" aca="1" ref="H255" ca="1">INDEX('Coste multimodal'!E$46:E$1646,MATCH(C255&amp;D255,'Coste multimodal'!C$46:C$1646&amp;'Coste multimodal'!D$46:D$1646,0))</f>
        <v>437536358.8158648</v>
      </c>
      <c r="I255" s="12" cm="1">
        <f t="array" aca="1" ref="I255" ca="1">INDEX('Tiempos intermodal (horas)'!E$45:E$1645,MATCH(C255&amp;D255,'Tiempos intermodal (horas)'!C$45:C$1645&amp;'Tiempos intermodal (horas)'!D$45:D$1645,0))</f>
        <v>27.513790253876923</v>
      </c>
      <c r="J255" s="2" cm="1">
        <f t="array" aca="1" ref="J255" ca="1">INDEX('Tiempos carretera (horas)'!E$45:E$1645,MATCH(C255&amp;D255,'Tiempos carretera (horas)'!C$45:C$1645&amp;'Tiempos carretera (horas)'!D$45:D$1645,0))</f>
        <v>3.11</v>
      </c>
      <c r="K255" s="12">
        <f t="shared" ca="1" si="24"/>
        <v>1.5016416253134884E-2</v>
      </c>
      <c r="L255" s="12">
        <f t="shared" ca="1" si="25"/>
        <v>14.226941663680803</v>
      </c>
      <c r="M255" s="12">
        <f t="shared" ca="1" si="26"/>
        <v>4.4339924119483773E-2</v>
      </c>
      <c r="N255" s="13">
        <f t="shared" ca="1" si="22"/>
        <v>-14.211925247427668</v>
      </c>
      <c r="O255" s="13">
        <f t="shared" ca="1" si="23"/>
        <v>-24.403790253876924</v>
      </c>
      <c r="P255" s="12">
        <f t="shared" ca="1" si="27"/>
        <v>3.0705167878056052</v>
      </c>
    </row>
    <row r="256" spans="1:16" x14ac:dyDescent="0.25">
      <c r="A256">
        <v>6</v>
      </c>
      <c r="B256">
        <v>35</v>
      </c>
      <c r="C256" s="2" t="s">
        <v>5</v>
      </c>
      <c r="D256" s="2" t="s">
        <v>34</v>
      </c>
      <c r="E256" s="11" cm="1">
        <f t="array" aca="1" ref="E256" ca="1">INDEX('OD flujo mercancia multimodal'!E$45:E$1645,MATCH(C256&amp;D256,'OD flujo mercancia multimodal'!C$45:C$1645&amp;'OD flujo mercancia multimodal'!D$45:D$1645,0))</f>
        <v>34603.829670329687</v>
      </c>
      <c r="F256" s="11" cm="1">
        <f t="array" aca="1" ref="F256" ca="1">INDEX('OD flujo mercancia carretera'!E$45:E$1646,MATCH(C256&amp;D256,'OD flujo mercancia carretera'!C$45:C$1646&amp;'OD flujo mercancia carretera'!D$45:D$1646,0))</f>
        <v>143291.23809523814</v>
      </c>
      <c r="G256" s="11" cm="1">
        <f t="array" aca="1" ref="G256" ca="1">INDEX('Coste Carretera'!E$46:E$1646,MATCH(C256&amp;D256,'Coste Carretera'!C$46:C$1646&amp;'Coste Carretera'!D$46:D$1646,0))</f>
        <v>11026176973.328579</v>
      </c>
      <c r="H256" s="11" cm="1">
        <f t="array" aca="1" ref="H256" ca="1">INDEX('Coste multimodal'!E$46:E$1646,MATCH(C256&amp;D256,'Coste multimodal'!C$46:C$1646&amp;'Coste multimodal'!D$46:D$1646,0))</f>
        <v>2685780078.8980989</v>
      </c>
      <c r="I256" s="12" cm="1">
        <f t="array" aca="1" ref="I256" ca="1">INDEX('Tiempos intermodal (horas)'!E$45:E$1645,MATCH(C256&amp;D256,'Tiempos intermodal (horas)'!C$45:C$1645&amp;'Tiempos intermodal (horas)'!D$45:D$1645,0))</f>
        <v>31.507958570142407</v>
      </c>
      <c r="J256" s="2" cm="1">
        <f t="array" aca="1" ref="J256" ca="1">INDEX('Tiempos carretera (horas)'!E$45:E$1645,MATCH(C256&amp;D256,'Tiempos carretera (horas)'!C$45:C$1645&amp;'Tiempos carretera (horas)'!D$45:D$1645,0))</f>
        <v>7.08</v>
      </c>
      <c r="K256" s="12">
        <f t="shared" ca="1" si="24"/>
        <v>76.949415190341639</v>
      </c>
      <c r="L256" s="12">
        <f t="shared" ca="1" si="25"/>
        <v>77.615110942502511</v>
      </c>
      <c r="M256" s="12">
        <f t="shared" ca="1" si="26"/>
        <v>0.19451820730595529</v>
      </c>
      <c r="N256" s="13">
        <f t="shared" ca="1" si="22"/>
        <v>-0.66569575216087173</v>
      </c>
      <c r="O256" s="13">
        <f t="shared" ca="1" si="23"/>
        <v>-24.427958570142408</v>
      </c>
      <c r="P256" s="12">
        <f t="shared" ca="1" si="27"/>
        <v>1.4209148291249583</v>
      </c>
    </row>
    <row r="257" spans="1:16" x14ac:dyDescent="0.25">
      <c r="A257">
        <v>7</v>
      </c>
      <c r="B257">
        <v>35</v>
      </c>
      <c r="C257" s="2" t="s">
        <v>6</v>
      </c>
      <c r="D257" s="2" t="s">
        <v>34</v>
      </c>
      <c r="E257" s="11" cm="1">
        <f t="array" aca="1" ref="E257" ca="1">INDEX('OD flujo mercancia multimodal'!E$45:E$1645,MATCH(C257&amp;D257,'OD flujo mercancia multimodal'!C$45:C$1645&amp;'OD flujo mercancia multimodal'!D$45:D$1645,0))</f>
        <v>25898.75824175826</v>
      </c>
      <c r="F257" s="11" cm="1">
        <f t="array" aca="1" ref="F257" ca="1">INDEX('OD flujo mercancia carretera'!E$45:E$1646,MATCH(C257&amp;D257,'OD flujo mercancia carretera'!C$45:C$1646&amp;'OD flujo mercancia carretera'!D$45:D$1646,0))</f>
        <v>71598.23076923081</v>
      </c>
      <c r="G257" s="11" cm="1">
        <f t="array" aca="1" ref="G257" ca="1">INDEX('Coste Carretera'!E$46:E$1646,MATCH(C257&amp;D257,'Coste Carretera'!C$46:C$1646&amp;'Coste Carretera'!D$46:D$1646,0))</f>
        <v>7410697638.8057203</v>
      </c>
      <c r="H257" s="11" cm="1">
        <f t="array" aca="1" ref="H257" ca="1">INDEX('Coste multimodal'!E$46:E$1646,MATCH(C257&amp;D257,'Coste multimodal'!C$46:C$1646&amp;'Coste multimodal'!D$46:D$1646,0))</f>
        <v>2547091081.3638129</v>
      </c>
      <c r="I257" s="12" cm="1">
        <f t="array" aca="1" ref="I257" ca="1">INDEX('Tiempos intermodal (horas)'!E$45:E$1645,MATCH(C257&amp;D257,'Tiempos intermodal (horas)'!C$45:C$1645&amp;'Tiempos intermodal (horas)'!D$45:D$1645,0))</f>
        <v>29.402403014586852</v>
      </c>
      <c r="J257" s="2" cm="1">
        <f t="array" aca="1" ref="J257" ca="1">INDEX('Tiempos carretera (horas)'!E$45:E$1645,MATCH(C257&amp;D257,'Tiempos carretera (horas)'!C$45:C$1645&amp;'Tiempos carretera (horas)'!D$45:D$1645,0))</f>
        <v>4.96</v>
      </c>
      <c r="K257" s="12">
        <f t="shared" ca="1" si="24"/>
        <v>103.50392124480332</v>
      </c>
      <c r="L257" s="12">
        <f t="shared" ca="1" si="25"/>
        <v>98.348000224079144</v>
      </c>
      <c r="M257" s="12">
        <f t="shared" ca="1" si="26"/>
        <v>0.26563649302891973</v>
      </c>
      <c r="N257" s="13">
        <f t="shared" ref="N257:N320" ca="1" si="28">K257-L257</f>
        <v>5.155921020724179</v>
      </c>
      <c r="O257" s="13">
        <f t="shared" ref="O257:O320" ca="1" si="29">J257-I257</f>
        <v>-24.442403014586851</v>
      </c>
      <c r="P257" s="12">
        <f t="shared" ca="1" si="27"/>
        <v>1.0168753405118927</v>
      </c>
    </row>
    <row r="258" spans="1:16" x14ac:dyDescent="0.25">
      <c r="A258">
        <v>35</v>
      </c>
      <c r="B258">
        <v>7</v>
      </c>
      <c r="C258" s="2" t="s">
        <v>34</v>
      </c>
      <c r="D258" s="2" t="s">
        <v>6</v>
      </c>
      <c r="E258" s="11" cm="1">
        <f t="array" aca="1" ref="E258" ca="1">INDEX('OD flujo mercancia multimodal'!E$45:E$1645,MATCH(C258&amp;D258,'OD flujo mercancia multimodal'!C$45:C$1645&amp;'OD flujo mercancia multimodal'!D$45:D$1645,0))</f>
        <v>14699.093406593402</v>
      </c>
      <c r="F258" s="11" cm="1">
        <f t="array" aca="1" ref="F258" ca="1">INDEX('OD flujo mercancia carretera'!E$45:E$1646,MATCH(C258&amp;D258,'OD flujo mercancia carretera'!C$45:C$1646&amp;'OD flujo mercancia carretera'!D$45:D$1646,0))</f>
        <v>76320.461538461517</v>
      </c>
      <c r="G258" s="11" cm="1">
        <f t="array" aca="1" ref="G258" ca="1">INDEX('Coste Carretera'!E$46:E$1646,MATCH(C258&amp;D258,'Coste Carretera'!C$46:C$1646&amp;'Coste Carretera'!D$46:D$1646,0))</f>
        <v>3206586456.4714289</v>
      </c>
      <c r="H258" s="11" cm="1">
        <f t="array" aca="1" ref="H258" ca="1">INDEX('Coste multimodal'!E$46:E$1646,MATCH(C258&amp;D258,'Coste multimodal'!C$46:C$1646&amp;'Coste multimodal'!D$46:D$1646,0))</f>
        <v>2547091081.3638129</v>
      </c>
      <c r="I258" s="12" cm="1">
        <f t="array" aca="1" ref="I258" ca="1">INDEX('Tiempos intermodal (horas)'!E$45:E$1645,MATCH(C258&amp;D258,'Tiempos intermodal (horas)'!C$45:C$1645&amp;'Tiempos intermodal (horas)'!D$45:D$1645,0))</f>
        <v>29.402403014586852</v>
      </c>
      <c r="J258" s="2" cm="1">
        <f t="array" aca="1" ref="J258" ca="1">INDEX('Tiempos carretera (horas)'!E$45:E$1645,MATCH(C258&amp;D258,'Tiempos carretera (horas)'!C$45:C$1645&amp;'Tiempos carretera (horas)'!D$45:D$1645,0))</f>
        <v>4.96</v>
      </c>
      <c r="K258" s="12">
        <f t="shared" ca="1" si="24"/>
        <v>42.014767623692592</v>
      </c>
      <c r="L258" s="12">
        <f t="shared" ca="1" si="25"/>
        <v>173.28218896964719</v>
      </c>
      <c r="M258" s="12">
        <f t="shared" ca="1" si="26"/>
        <v>0.16149379565156841</v>
      </c>
      <c r="N258" s="13">
        <f t="shared" ca="1" si="28"/>
        <v>-131.2674213459546</v>
      </c>
      <c r="O258" s="13">
        <f t="shared" ca="1" si="29"/>
        <v>-24.442403014586851</v>
      </c>
      <c r="P258" s="12">
        <f t="shared" ca="1" si="27"/>
        <v>1.6471552556714784</v>
      </c>
    </row>
    <row r="259" spans="1:16" x14ac:dyDescent="0.25">
      <c r="A259">
        <v>2</v>
      </c>
      <c r="B259">
        <v>27</v>
      </c>
      <c r="C259" s="2" t="s">
        <v>1</v>
      </c>
      <c r="D259" s="2" t="s">
        <v>145</v>
      </c>
      <c r="E259" s="11" cm="1">
        <f t="array" aca="1" ref="E259" ca="1">INDEX('OD flujo mercancia multimodal'!E$45:E$1645,MATCH(C259&amp;D259,'OD flujo mercancia multimodal'!C$45:C$1645&amp;'OD flujo mercancia multimodal'!D$45:D$1645,0))</f>
        <v>65904</v>
      </c>
      <c r="F259" s="11" cm="1">
        <f t="array" aca="1" ref="F259" ca="1">INDEX('OD flujo mercancia carretera'!E$45:E$1646,MATCH(C259&amp;D259,'OD flujo mercancia carretera'!C$45:C$1646&amp;'OD flujo mercancia carretera'!D$45:D$1646,0))</f>
        <v>455160.1</v>
      </c>
      <c r="G259" s="11" cm="1">
        <f t="array" aca="1" ref="G259" ca="1">INDEX('Coste Carretera'!E$46:E$1646,MATCH(C259&amp;D259,'Coste Carretera'!C$46:C$1646&amp;'Coste Carretera'!D$46:D$1646,0))</f>
        <v>989925530.87999988</v>
      </c>
      <c r="H259" s="11" cm="1">
        <f t="array" aca="1" ref="H259" ca="1">INDEX('Coste multimodal'!E$46:E$1646,MATCH(C259&amp;D259,'Coste multimodal'!C$46:C$1646&amp;'Coste multimodal'!D$46:D$1646,0))</f>
        <v>1275715710.2564313</v>
      </c>
      <c r="I259" s="12" cm="1">
        <f t="array" aca="1" ref="I259" ca="1">INDEX('Tiempos intermodal (horas)'!E$45:E$1645,MATCH(C259&amp;D259,'Tiempos intermodal (horas)'!C$45:C$1645&amp;'Tiempos intermodal (horas)'!D$45:D$1645,0))</f>
        <v>27.718067344688439</v>
      </c>
      <c r="J259" s="2" cm="1">
        <f t="array" aca="1" ref="J259" ca="1">INDEX('Tiempos carretera (horas)'!E$45:E$1645,MATCH(C259&amp;D259,'Tiempos carretera (horas)'!C$45:C$1645&amp;'Tiempos carretera (horas)'!D$45:D$1645,0))</f>
        <v>3.25</v>
      </c>
      <c r="K259" s="12">
        <f t="shared" ca="1" si="24"/>
        <v>2.1748952311065928</v>
      </c>
      <c r="L259" s="12">
        <f t="shared" ca="1" si="25"/>
        <v>19.357181813796299</v>
      </c>
      <c r="M259" s="12">
        <f t="shared" ca="1" si="26"/>
        <v>0.12647964041276305</v>
      </c>
      <c r="N259" s="13">
        <f t="shared" ca="1" si="28"/>
        <v>-17.182286582689706</v>
      </c>
      <c r="O259" s="13">
        <f t="shared" ca="1" si="29"/>
        <v>-24.468067344688439</v>
      </c>
      <c r="P259" s="12">
        <f t="shared" ca="1" si="27"/>
        <v>1.9324500874980202</v>
      </c>
    </row>
    <row r="260" spans="1:16" x14ac:dyDescent="0.25">
      <c r="A260">
        <v>27</v>
      </c>
      <c r="B260">
        <v>2</v>
      </c>
      <c r="C260" s="2" t="s">
        <v>145</v>
      </c>
      <c r="D260" s="2" t="s">
        <v>1</v>
      </c>
      <c r="E260" s="11" cm="1">
        <f t="array" aca="1" ref="E260" ca="1">INDEX('OD flujo mercancia multimodal'!E$45:E$1645,MATCH(C260&amp;D260,'OD flujo mercancia multimodal'!C$45:C$1645&amp;'OD flujo mercancia multimodal'!D$45:D$1645,0))</f>
        <v>54484.071428571398</v>
      </c>
      <c r="F260" s="11" cm="1">
        <f t="array" aca="1" ref="F260" ca="1">INDEX('OD flujo mercancia carretera'!E$45:E$1646,MATCH(C260&amp;D260,'OD flujo mercancia carretera'!C$45:C$1646&amp;'OD flujo mercancia carretera'!D$45:D$1646,0))</f>
        <v>458686.43076923076</v>
      </c>
      <c r="G260" s="11" cm="1">
        <f t="array" aca="1" ref="G260" ca="1">INDEX('Coste Carretera'!E$46:E$1646,MATCH(C260&amp;D260,'Coste Carretera'!C$46:C$1646&amp;'Coste Carretera'!D$46:D$1646,0))</f>
        <v>818389981.3885709</v>
      </c>
      <c r="H260" s="11" cm="1">
        <f t="array" aca="1" ref="H260" ca="1">INDEX('Coste multimodal'!E$46:E$1646,MATCH(C260&amp;D260,'Coste multimodal'!C$46:C$1646&amp;'Coste multimodal'!D$46:D$1646,0))</f>
        <v>1275715710.2564313</v>
      </c>
      <c r="I260" s="12" cm="1">
        <f t="array" aca="1" ref="I260" ca="1">INDEX('Tiempos intermodal (horas)'!E$45:E$1645,MATCH(C260&amp;D260,'Tiempos intermodal (horas)'!C$45:C$1645&amp;'Tiempos intermodal (horas)'!D$45:D$1645,0))</f>
        <v>27.718067344688439</v>
      </c>
      <c r="J260" s="2" cm="1">
        <f t="array" aca="1" ref="J260" ca="1">INDEX('Tiempos carretera (horas)'!E$45:E$1645,MATCH(C260&amp;D260,'Tiempos carretera (horas)'!C$45:C$1645&amp;'Tiempos carretera (horas)'!D$45:D$1645,0))</f>
        <v>3.25</v>
      </c>
      <c r="K260" s="12">
        <f t="shared" ca="1" si="24"/>
        <v>1.7842036007389768</v>
      </c>
      <c r="L260" s="12">
        <f t="shared" ca="1" si="25"/>
        <v>23.414470996883821</v>
      </c>
      <c r="M260" s="12">
        <f t="shared" ca="1" si="26"/>
        <v>0.10617147945025579</v>
      </c>
      <c r="N260" s="13">
        <f t="shared" ca="1" si="28"/>
        <v>-21.630267396144845</v>
      </c>
      <c r="O260" s="13">
        <f t="shared" ca="1" si="29"/>
        <v>-24.468067344688439</v>
      </c>
      <c r="P260" s="12">
        <f t="shared" ca="1" si="27"/>
        <v>2.1304584276516039</v>
      </c>
    </row>
    <row r="261" spans="1:16" x14ac:dyDescent="0.25">
      <c r="A261">
        <v>3</v>
      </c>
      <c r="B261">
        <v>32</v>
      </c>
      <c r="C261" s="2" t="s">
        <v>2</v>
      </c>
      <c r="D261" s="2" t="s">
        <v>31</v>
      </c>
      <c r="E261" s="11" cm="1">
        <f t="array" aca="1" ref="E261" ca="1">INDEX('OD flujo mercancia multimodal'!E$45:E$1645,MATCH(C261&amp;D261,'OD flujo mercancia multimodal'!C$45:C$1645&amp;'OD flujo mercancia multimodal'!D$45:D$1645,0))</f>
        <v>15466.956043956045</v>
      </c>
      <c r="F261" s="11" cm="1">
        <f t="array" aca="1" ref="F261" ca="1">INDEX('OD flujo mercancia carretera'!E$45:E$1646,MATCH(C261&amp;D261,'OD flujo mercancia carretera'!C$45:C$1646&amp;'OD flujo mercancia carretera'!D$45:D$1646,0))</f>
        <v>87337.269230769234</v>
      </c>
      <c r="G261" s="11" cm="1">
        <f t="array" aca="1" ref="G261" ca="1">INDEX('Coste Carretera'!E$46:E$1646,MATCH(C261&amp;D261,'Coste Carretera'!C$46:C$1646&amp;'Coste Carretera'!D$46:D$1646,0))</f>
        <v>360023067.68571436</v>
      </c>
      <c r="H261" s="11" cm="1">
        <f t="array" aca="1" ref="H261" ca="1">INDEX('Coste multimodal'!E$46:E$1646,MATCH(C261&amp;D261,'Coste multimodal'!C$46:C$1646&amp;'Coste multimodal'!D$46:D$1646,0))</f>
        <v>207222305.37340337</v>
      </c>
      <c r="I261" s="12" cm="1">
        <f t="array" aca="1" ref="I261" ca="1">INDEX('Tiempos intermodal (horas)'!E$45:E$1645,MATCH(C261&amp;D261,'Tiempos intermodal (horas)'!C$45:C$1645&amp;'Tiempos intermodal (horas)'!D$45:D$1645,0))</f>
        <v>28.700676075978322</v>
      </c>
      <c r="J261" s="2" cm="1">
        <f t="array" aca="1" ref="J261" ca="1">INDEX('Tiempos carretera (horas)'!E$45:E$1645,MATCH(C261&amp;D261,'Tiempos carretera (horas)'!C$45:C$1645&amp;'Tiempos carretera (horas)'!D$45:D$1645,0))</f>
        <v>4.16</v>
      </c>
      <c r="K261" s="12">
        <f t="shared" ca="1" si="24"/>
        <v>4.1222157603122875</v>
      </c>
      <c r="L261" s="12">
        <f t="shared" ca="1" si="25"/>
        <v>13.397743213628562</v>
      </c>
      <c r="M261" s="12">
        <f t="shared" ca="1" si="26"/>
        <v>0.15045058705149</v>
      </c>
      <c r="N261" s="13">
        <f t="shared" ca="1" si="28"/>
        <v>-9.2755274533162755</v>
      </c>
      <c r="O261" s="13">
        <f t="shared" ca="1" si="29"/>
        <v>-24.540676075978322</v>
      </c>
      <c r="P261" s="12">
        <f t="shared" ca="1" si="27"/>
        <v>1.7310714014777564</v>
      </c>
    </row>
    <row r="262" spans="1:16" x14ac:dyDescent="0.25">
      <c r="A262">
        <v>34</v>
      </c>
      <c r="B262">
        <v>4</v>
      </c>
      <c r="C262" s="2" t="s">
        <v>33</v>
      </c>
      <c r="D262" s="2" t="s">
        <v>3</v>
      </c>
      <c r="E262" s="11" cm="1">
        <f t="array" aca="1" ref="E262" ca="1">INDEX('OD flujo mercancia multimodal'!E$45:E$1645,MATCH(C262&amp;D262,'OD flujo mercancia multimodal'!C$45:C$1645&amp;'OD flujo mercancia multimodal'!D$45:D$1645,0))</f>
        <v>155812.84065934064</v>
      </c>
      <c r="F262" s="11" cm="1">
        <f t="array" aca="1" ref="F262" ca="1">INDEX('OD flujo mercancia carretera'!E$45:E$1646,MATCH(C262&amp;D262,'OD flujo mercancia carretera'!C$45:C$1646&amp;'OD flujo mercancia carretera'!D$45:D$1646,0))</f>
        <v>305686.61111111112</v>
      </c>
      <c r="G262" s="11" cm="1">
        <f t="array" aca="1" ref="G262" ca="1">INDEX('Coste Carretera'!E$46:E$1646,MATCH(C262&amp;D262,'Coste Carretera'!C$46:C$1646&amp;'Coste Carretera'!D$46:D$1646,0))</f>
        <v>1242650568.6914279</v>
      </c>
      <c r="H262" s="11" cm="1">
        <f t="array" aca="1" ref="H262" ca="1">INDEX('Coste multimodal'!E$46:E$1646,MATCH(C262&amp;D262,'Coste multimodal'!C$46:C$1646&amp;'Coste multimodal'!D$46:D$1646,0))</f>
        <v>2818199504.2585206</v>
      </c>
      <c r="I262" s="12" cm="1">
        <f t="array" aca="1" ref="I262" ca="1">INDEX('Tiempos intermodal (horas)'!E$45:E$1645,MATCH(C262&amp;D262,'Tiempos intermodal (horas)'!C$45:C$1645&amp;'Tiempos intermodal (horas)'!D$45:D$1645,0))</f>
        <v>25.850527299760696</v>
      </c>
      <c r="J262" s="2" cm="1">
        <f t="array" aca="1" ref="J262" ca="1">INDEX('Tiempos carretera (horas)'!E$45:E$1645,MATCH(C262&amp;D262,'Tiempos carretera (horas)'!C$45:C$1645&amp;'Tiempos carretera (horas)'!D$45:D$1645,0))</f>
        <v>4.2</v>
      </c>
      <c r="K262" s="12">
        <f t="shared" ca="1" si="24"/>
        <v>4.0651128427726553</v>
      </c>
      <c r="L262" s="12">
        <f t="shared" ca="1" si="25"/>
        <v>18.0870812208607</v>
      </c>
      <c r="M262" s="12">
        <f t="shared" ca="1" si="26"/>
        <v>0.33762302438625957</v>
      </c>
      <c r="N262" s="13">
        <f t="shared" ca="1" si="28"/>
        <v>-14.021968378088044</v>
      </c>
      <c r="O262" s="13">
        <f t="shared" ca="1" si="29"/>
        <v>-21.650527299760697</v>
      </c>
      <c r="P262" s="12">
        <f t="shared" ca="1" si="27"/>
        <v>0.6739048828371722</v>
      </c>
    </row>
    <row r="263" spans="1:16" x14ac:dyDescent="0.25">
      <c r="A263">
        <v>21</v>
      </c>
      <c r="B263">
        <v>33</v>
      </c>
      <c r="C263" s="2" t="s">
        <v>20</v>
      </c>
      <c r="D263" s="2" t="s">
        <v>32</v>
      </c>
      <c r="E263" s="11" cm="1">
        <f t="array" aca="1" ref="E263" ca="1">INDEX('OD flujo mercancia multimodal'!E$45:E$1645,MATCH(C263&amp;D263,'OD flujo mercancia multimodal'!C$45:C$1645&amp;'OD flujo mercancia multimodal'!D$45:D$1645,0))</f>
        <v>87356.307692307659</v>
      </c>
      <c r="F263" s="11" cm="1">
        <f t="array" aca="1" ref="F263" ca="1">INDEX('OD flujo mercancia carretera'!E$45:E$1646,MATCH(C263&amp;D263,'OD flujo mercancia carretera'!C$45:C$1646&amp;'OD flujo mercancia carretera'!D$45:D$1646,0))</f>
        <v>209511.72307692311</v>
      </c>
      <c r="G263" s="11" cm="1">
        <f t="array" aca="1" ref="G263" ca="1">INDEX('Coste Carretera'!E$46:E$1646,MATCH(C263&amp;D263,'Coste Carretera'!C$46:C$1646&amp;'Coste Carretera'!D$46:D$1646,0))</f>
        <v>432778729.91999996</v>
      </c>
      <c r="H263" s="11" cm="1">
        <f t="array" aca="1" ref="H263" ca="1">INDEX('Coste multimodal'!E$46:E$1646,MATCH(C263&amp;D263,'Coste multimodal'!C$46:C$1646&amp;'Coste multimodal'!D$46:D$1646,0))</f>
        <v>326054845.13165832</v>
      </c>
      <c r="I263" s="12" cm="1">
        <f t="array" aca="1" ref="I263" ca="1">INDEX('Tiempos intermodal (horas)'!E$45:E$1645,MATCH(C263&amp;D263,'Tiempos intermodal (horas)'!C$45:C$1645&amp;'Tiempos intermodal (horas)'!D$45:D$1645,0))</f>
        <v>28.905040038329346</v>
      </c>
      <c r="J263" s="2" cm="1">
        <f t="array" aca="1" ref="J263" ca="1">INDEX('Tiempos carretera (horas)'!E$45:E$1645,MATCH(C263&amp;D263,'Tiempos carretera (horas)'!C$45:C$1645&amp;'Tiempos carretera (horas)'!D$45:D$1645,0))</f>
        <v>4.28</v>
      </c>
      <c r="K263" s="12">
        <f t="shared" ca="1" si="24"/>
        <v>2.0656540052467776</v>
      </c>
      <c r="L263" s="12">
        <f t="shared" ca="1" si="25"/>
        <v>3.7324705421400237</v>
      </c>
      <c r="M263" s="12">
        <f t="shared" ca="1" si="26"/>
        <v>0.29425973374753089</v>
      </c>
      <c r="N263" s="13">
        <f t="shared" ca="1" si="28"/>
        <v>-1.6668165368932462</v>
      </c>
      <c r="O263" s="13">
        <f t="shared" ca="1" si="29"/>
        <v>-24.625040038329345</v>
      </c>
      <c r="P263" s="12">
        <f t="shared" ca="1" si="27"/>
        <v>0.87478444952787726</v>
      </c>
    </row>
    <row r="264" spans="1:16" x14ac:dyDescent="0.25">
      <c r="A264">
        <v>33</v>
      </c>
      <c r="B264">
        <v>21</v>
      </c>
      <c r="C264" s="2" t="s">
        <v>32</v>
      </c>
      <c r="D264" s="2" t="s">
        <v>20</v>
      </c>
      <c r="E264" s="11" cm="1">
        <f t="array" aca="1" ref="E264" ca="1">INDEX('OD flujo mercancia multimodal'!E$45:E$1645,MATCH(C264&amp;D264,'OD flujo mercancia multimodal'!C$45:C$1645&amp;'OD flujo mercancia multimodal'!D$45:D$1645,0))</f>
        <v>67460.923076923093</v>
      </c>
      <c r="F264" s="11" cm="1">
        <f t="array" aca="1" ref="F264" ca="1">INDEX('OD flujo mercancia carretera'!E$45:E$1646,MATCH(C264&amp;D264,'OD flujo mercancia carretera'!C$45:C$1646&amp;'OD flujo mercancia carretera'!D$45:D$1646,0))</f>
        <v>199992.35384615351</v>
      </c>
      <c r="G264" s="11" cm="1">
        <f t="array" aca="1" ref="G264" ca="1">INDEX('Coste Carretera'!E$46:E$1646,MATCH(C264&amp;D264,'Coste Carretera'!C$46:C$1646&amp;'Coste Carretera'!D$46:D$1646,0))</f>
        <v>683766380.16000009</v>
      </c>
      <c r="H264" s="11" cm="1">
        <f t="array" aca="1" ref="H264" ca="1">INDEX('Coste multimodal'!E$46:E$1646,MATCH(C264&amp;D264,'Coste multimodal'!C$46:C$1646&amp;'Coste multimodal'!D$46:D$1646,0))</f>
        <v>326054845.13165832</v>
      </c>
      <c r="I264" s="12" cm="1">
        <f t="array" aca="1" ref="I264" ca="1">INDEX('Tiempos intermodal (horas)'!E$45:E$1645,MATCH(C264&amp;D264,'Tiempos intermodal (horas)'!C$45:C$1645&amp;'Tiempos intermodal (horas)'!D$45:D$1645,0))</f>
        <v>28.905040038329346</v>
      </c>
      <c r="J264" s="2" cm="1">
        <f t="array" aca="1" ref="J264" ca="1">INDEX('Tiempos carretera (horas)'!E$45:E$1645,MATCH(C264&amp;D264,'Tiempos carretera (horas)'!C$45:C$1645&amp;'Tiempos carretera (horas)'!D$45:D$1645,0))</f>
        <v>4.28</v>
      </c>
      <c r="K264" s="12">
        <f t="shared" ca="1" si="24"/>
        <v>3.4189626103705719</v>
      </c>
      <c r="L264" s="12">
        <f t="shared" ca="1" si="25"/>
        <v>4.8332401968450762</v>
      </c>
      <c r="M264" s="12">
        <f t="shared" ca="1" si="26"/>
        <v>0.25223442334687052</v>
      </c>
      <c r="N264" s="13">
        <f t="shared" ca="1" si="28"/>
        <v>-1.4142775864745043</v>
      </c>
      <c r="O264" s="13">
        <f t="shared" ca="1" si="29"/>
        <v>-24.625040038329345</v>
      </c>
      <c r="P264" s="12">
        <f t="shared" ca="1" si="27"/>
        <v>1.0867306221857904</v>
      </c>
    </row>
    <row r="265" spans="1:16" x14ac:dyDescent="0.25">
      <c r="A265">
        <v>21</v>
      </c>
      <c r="B265">
        <v>5</v>
      </c>
      <c r="C265" s="2" t="s">
        <v>20</v>
      </c>
      <c r="D265" s="2" t="s">
        <v>4</v>
      </c>
      <c r="E265" s="11" cm="1">
        <f t="array" aca="1" ref="E265" ca="1">INDEX('OD flujo mercancia multimodal'!E$45:E$1645,MATCH(C265&amp;D265,'OD flujo mercancia multimodal'!C$45:C$1645&amp;'OD flujo mercancia multimodal'!D$45:D$1645,0))</f>
        <v>88066.181318681367</v>
      </c>
      <c r="F265" s="11" cm="1">
        <f t="array" aca="1" ref="F265" ca="1">INDEX('OD flujo mercancia carretera'!E$45:E$1646,MATCH(C265&amp;D265,'OD flujo mercancia carretera'!C$45:C$1646&amp;'OD flujo mercancia carretera'!D$45:D$1646,0))</f>
        <v>172870.4615384615</v>
      </c>
      <c r="G265" s="11" cm="1">
        <f t="array" aca="1" ref="G265" ca="1">INDEX('Coste Carretera'!E$46:E$1646,MATCH(C265&amp;D265,'Coste Carretera'!C$46:C$1646&amp;'Coste Carretera'!D$46:D$1646,0))</f>
        <v>4454102116.6714306</v>
      </c>
      <c r="H265" s="11" cm="1">
        <f t="array" aca="1" ref="H265" ca="1">INDEX('Coste multimodal'!E$46:E$1646,MATCH(C265&amp;D265,'Coste multimodal'!C$46:C$1646&amp;'Coste multimodal'!D$46:D$1646,0))</f>
        <v>449485085.56137317</v>
      </c>
      <c r="I265" s="12" cm="1">
        <f t="array" aca="1" ref="I265" ca="1">INDEX('Tiempos intermodal (horas)'!E$45:E$1645,MATCH(C265&amp;D265,'Tiempos intermodal (horas)'!C$45:C$1645&amp;'Tiempos intermodal (horas)'!D$45:D$1645,0))</f>
        <v>33.683888929945574</v>
      </c>
      <c r="J265" s="2" cm="1">
        <f t="array" aca="1" ref="J265" ca="1">INDEX('Tiempos carretera (horas)'!E$45:E$1645,MATCH(C265&amp;D265,'Tiempos carretera (horas)'!C$45:C$1645&amp;'Tiempos carretera (horas)'!D$45:D$1645,0))</f>
        <v>8.33</v>
      </c>
      <c r="K265" s="12">
        <f t="shared" ca="1" si="24"/>
        <v>25.765547665183092</v>
      </c>
      <c r="L265" s="12">
        <f t="shared" ca="1" si="25"/>
        <v>5.1039465868837945</v>
      </c>
      <c r="M265" s="12">
        <f t="shared" ca="1" si="26"/>
        <v>0.3375002466284342</v>
      </c>
      <c r="N265" s="13">
        <f t="shared" ca="1" si="28"/>
        <v>20.661601078299299</v>
      </c>
      <c r="O265" s="13">
        <f t="shared" ca="1" si="29"/>
        <v>-25.353888929945576</v>
      </c>
      <c r="P265" s="12">
        <f t="shared" ca="1" si="27"/>
        <v>0.67445394452773966</v>
      </c>
    </row>
    <row r="266" spans="1:16" x14ac:dyDescent="0.25">
      <c r="A266">
        <v>35</v>
      </c>
      <c r="B266">
        <v>5</v>
      </c>
      <c r="C266" s="2" t="s">
        <v>34</v>
      </c>
      <c r="D266" s="2" t="s">
        <v>4</v>
      </c>
      <c r="E266" s="11" cm="1">
        <f t="array" aca="1" ref="E266" ca="1">INDEX('OD flujo mercancia multimodal'!E$45:E$1645,MATCH(C266&amp;D266,'OD flujo mercancia multimodal'!C$45:C$1645&amp;'OD flujo mercancia multimodal'!D$45:D$1645,0))</f>
        <v>74620.950549450587</v>
      </c>
      <c r="F266" s="11" cm="1">
        <f t="array" aca="1" ref="F266" ca="1">INDEX('OD flujo mercancia carretera'!E$45:E$1646,MATCH(C266&amp;D266,'OD flujo mercancia carretera'!C$45:C$1646&amp;'OD flujo mercancia carretera'!D$45:D$1646,0))</f>
        <v>76984.846153846112</v>
      </c>
      <c r="G266" s="11" cm="1">
        <f t="array" aca="1" ref="G266" ca="1">INDEX('Coste Carretera'!E$46:E$1646,MATCH(C266&amp;D266,'Coste Carretera'!C$46:C$1646&amp;'Coste Carretera'!D$46:D$1646,0))</f>
        <v>4529586480.9000006</v>
      </c>
      <c r="H266" s="11" cm="1">
        <f t="array" aca="1" ref="H266" ca="1">INDEX('Coste multimodal'!E$46:E$1646,MATCH(C266&amp;D266,'Coste multimodal'!C$46:C$1646&amp;'Coste multimodal'!D$46:D$1646,0))</f>
        <v>2566323305.1352415</v>
      </c>
      <c r="I266" s="12" cm="1">
        <f t="array" aca="1" ref="I266" ca="1">INDEX('Tiempos intermodal (horas)'!E$45:E$1645,MATCH(C266&amp;D266,'Tiempos intermodal (horas)'!C$45:C$1645&amp;'Tiempos intermodal (horas)'!D$45:D$1645,0))</f>
        <v>28.963514125697962</v>
      </c>
      <c r="J266" s="2" cm="1">
        <f t="array" aca="1" ref="J266" ca="1">INDEX('Tiempos carretera (horas)'!E$45:E$1645,MATCH(C266&amp;D266,'Tiempos carretera (horas)'!C$45:C$1645&amp;'Tiempos carretera (horas)'!D$45:D$1645,0))</f>
        <v>4.83</v>
      </c>
      <c r="K266" s="12">
        <f t="shared" ca="1" si="24"/>
        <v>58.837377837296685</v>
      </c>
      <c r="L266" s="12">
        <f t="shared" ca="1" si="25"/>
        <v>34.391458246495581</v>
      </c>
      <c r="M266" s="12">
        <f t="shared" ca="1" si="26"/>
        <v>0.49220380864122942</v>
      </c>
      <c r="N266" s="13">
        <f t="shared" ca="1" si="28"/>
        <v>24.445919590801104</v>
      </c>
      <c r="O266" s="13">
        <f t="shared" ca="1" si="29"/>
        <v>-24.133514125697964</v>
      </c>
      <c r="P266" s="12">
        <f t="shared" ca="1" si="27"/>
        <v>3.118729304212969E-2</v>
      </c>
    </row>
    <row r="267" spans="1:16" x14ac:dyDescent="0.25">
      <c r="A267">
        <v>24</v>
      </c>
      <c r="B267">
        <v>30</v>
      </c>
      <c r="C267" s="2" t="s">
        <v>23</v>
      </c>
      <c r="D267" s="2" t="s">
        <v>146</v>
      </c>
      <c r="E267" s="11" cm="1">
        <f t="array" aca="1" ref="E267" ca="1">INDEX('OD flujo mercancia multimodal'!E$45:E$1645,MATCH(C267&amp;D267,'OD flujo mercancia multimodal'!C$45:C$1645&amp;'OD flujo mercancia multimodal'!D$45:D$1645,0))</f>
        <v>11493.761538461538</v>
      </c>
      <c r="F267" s="11" cm="1">
        <f t="array" aca="1" ref="F267" ca="1">INDEX('OD flujo mercancia carretera'!E$45:E$1646,MATCH(C267&amp;D267,'OD flujo mercancia carretera'!C$45:C$1646&amp;'OD flujo mercancia carretera'!D$45:D$1646,0))</f>
        <v>311572.09999999998</v>
      </c>
      <c r="G267" s="11" cm="1">
        <f t="array" aca="1" ref="G267" ca="1">INDEX('Coste Carretera'!E$46:E$1646,MATCH(C267&amp;D267,'Coste Carretera'!C$46:C$1646&amp;'Coste Carretera'!D$46:D$1646,0))</f>
        <v>147508471.71799996</v>
      </c>
      <c r="H267" s="11" cm="1">
        <f t="array" aca="1" ref="H267" ca="1">INDEX('Coste multimodal'!E$46:E$1646,MATCH(C267&amp;D267,'Coste multimodal'!C$46:C$1646&amp;'Coste multimodal'!D$46:D$1646,0))</f>
        <v>98047370.84799999</v>
      </c>
      <c r="I267" s="12" cm="1">
        <f t="array" aca="1" ref="I267" ca="1">INDEX('Tiempos intermodal (horas)'!E$45:E$1645,MATCH(C267&amp;D267,'Tiempos intermodal (horas)'!C$45:C$1645&amp;'Tiempos intermodal (horas)'!D$45:D$1645,0))</f>
        <v>0</v>
      </c>
      <c r="J267" s="2" cm="1">
        <f t="array" aca="1" ref="J267" ca="1">INDEX('Tiempos carretera (horas)'!E$45:E$1645,MATCH(C267&amp;D267,'Tiempos carretera (horas)'!C$45:C$1645&amp;'Tiempos carretera (horas)'!D$45:D$1645,0))</f>
        <v>1.3</v>
      </c>
      <c r="K267" s="12">
        <f t="shared" ca="1" si="24"/>
        <v>0.47343286423270881</v>
      </c>
      <c r="L267" s="12">
        <f t="shared" ca="1" si="25"/>
        <v>8.5304859092390579</v>
      </c>
      <c r="M267" s="12">
        <f t="shared" ca="1" si="26"/>
        <v>3.5577146665164393E-2</v>
      </c>
      <c r="N267" s="13">
        <f t="shared" ca="1" si="28"/>
        <v>-8.0570530450063487</v>
      </c>
      <c r="O267" s="13">
        <f t="shared" ca="1" si="29"/>
        <v>1.3</v>
      </c>
      <c r="P267" s="12">
        <f t="shared" ca="1" si="27"/>
        <v>3.2998263588587116</v>
      </c>
    </row>
    <row r="268" spans="1:16" x14ac:dyDescent="0.25">
      <c r="A268">
        <v>30</v>
      </c>
      <c r="B268">
        <v>24</v>
      </c>
      <c r="C268" s="2" t="s">
        <v>146</v>
      </c>
      <c r="D268" s="2" t="s">
        <v>23</v>
      </c>
      <c r="E268" s="11" cm="1">
        <f t="array" aca="1" ref="E268" ca="1">INDEX('OD flujo mercancia multimodal'!E$45:E$1645,MATCH(C268&amp;D268,'OD flujo mercancia multimodal'!C$45:C$1645&amp;'OD flujo mercancia multimodal'!D$45:D$1645,0))</f>
        <v>9420.3846153846134</v>
      </c>
      <c r="F268" s="11" cm="1">
        <f t="array" aca="1" ref="F268" ca="1">INDEX('OD flujo mercancia carretera'!E$45:E$1646,MATCH(C268&amp;D268,'OD flujo mercancia carretera'!C$45:C$1646&amp;'OD flujo mercancia carretera'!D$45:D$1646,0))</f>
        <v>292406.46666666673</v>
      </c>
      <c r="G268" s="11" cm="1">
        <f t="array" aca="1" ref="G268" ca="1">INDEX('Coste Carretera'!E$46:E$1646,MATCH(C268&amp;D268,'Coste Carretera'!C$46:C$1646&amp;'Coste Carretera'!D$46:D$1646,0))</f>
        <v>83589482.033999979</v>
      </c>
      <c r="H268" s="11" cm="1">
        <f t="array" aca="1" ref="H268" ca="1">INDEX('Coste multimodal'!E$46:E$1646,MATCH(C268&amp;D268,'Coste multimodal'!C$46:C$1646&amp;'Coste multimodal'!D$46:D$1646,0))</f>
        <v>98047370.84799999</v>
      </c>
      <c r="I268" s="12" cm="1">
        <f t="array" aca="1" ref="I268" ca="1">INDEX('Tiempos intermodal (horas)'!E$45:E$1645,MATCH(C268&amp;D268,'Tiempos intermodal (horas)'!C$45:C$1645&amp;'Tiempos intermodal (horas)'!D$45:D$1645,0))</f>
        <v>0</v>
      </c>
      <c r="J268" s="2" cm="1">
        <f t="array" aca="1" ref="J268" ca="1">INDEX('Tiempos carretera (horas)'!E$45:E$1645,MATCH(C268&amp;D268,'Tiempos carretera (horas)'!C$45:C$1645&amp;'Tiempos carretera (horas)'!D$45:D$1645,0))</f>
        <v>1.3</v>
      </c>
      <c r="K268" s="12">
        <f t="shared" ca="1" si="24"/>
        <v>0.28586741937307802</v>
      </c>
      <c r="L268" s="12">
        <f t="shared" ca="1" si="25"/>
        <v>10.408000824921407</v>
      </c>
      <c r="M268" s="12">
        <f t="shared" ca="1" si="26"/>
        <v>3.1211221186485647E-2</v>
      </c>
      <c r="N268" s="13">
        <f t="shared" ca="1" si="28"/>
        <v>-10.122133405548329</v>
      </c>
      <c r="O268" s="13">
        <f t="shared" ca="1" si="29"/>
        <v>1.3</v>
      </c>
      <c r="P268" s="12">
        <f t="shared" ca="1" si="27"/>
        <v>3.4352689260407181</v>
      </c>
    </row>
    <row r="269" spans="1:16" x14ac:dyDescent="0.25">
      <c r="A269">
        <v>5</v>
      </c>
      <c r="B269">
        <v>32</v>
      </c>
      <c r="C269" s="2" t="s">
        <v>4</v>
      </c>
      <c r="D269" s="2" t="s">
        <v>31</v>
      </c>
      <c r="E269" s="11" cm="1">
        <f t="array" aca="1" ref="E269" ca="1">INDEX('OD flujo mercancia multimodal'!E$45:E$1645,MATCH(C269&amp;D269,'OD flujo mercancia multimodal'!C$45:C$1645&amp;'OD flujo mercancia multimodal'!D$45:D$1645,0))</f>
        <v>47032.456043956045</v>
      </c>
      <c r="F269" s="11" cm="1">
        <f t="array" aca="1" ref="F269" ca="1">INDEX('OD flujo mercancia carretera'!E$45:E$1646,MATCH(C269&amp;D269,'OD flujo mercancia carretera'!C$45:C$1646&amp;'OD flujo mercancia carretera'!D$45:D$1646,0))</f>
        <v>115054.57692307692</v>
      </c>
      <c r="G269" s="11" cm="1">
        <f t="array" aca="1" ref="G269" ca="1">INDEX('Coste Carretera'!E$46:E$1646,MATCH(C269&amp;D269,'Coste Carretera'!C$46:C$1646&amp;'Coste Carretera'!D$46:D$1646,0))</f>
        <v>940331840.24000001</v>
      </c>
      <c r="H269" s="11" cm="1">
        <f t="array" aca="1" ref="H269" ca="1">INDEX('Coste multimodal'!E$46:E$1646,MATCH(C269&amp;D269,'Coste multimodal'!C$46:C$1646&amp;'Coste multimodal'!D$46:D$1646,0))</f>
        <v>322320698.12772495</v>
      </c>
      <c r="I269" s="12" cm="1">
        <f t="array" aca="1" ref="I269" ca="1">INDEX('Tiempos intermodal (horas)'!E$45:E$1645,MATCH(C269&amp;D269,'Tiempos intermodal (horas)'!C$45:C$1645&amp;'Tiempos intermodal (horas)'!D$45:D$1645,0))</f>
        <v>27.204605536933418</v>
      </c>
      <c r="J269" s="2" cm="1">
        <f t="array" aca="1" ref="J269" ca="1">INDEX('Tiempos carretera (horas)'!E$45:E$1645,MATCH(C269&amp;D269,'Tiempos carretera (horas)'!C$45:C$1645&amp;'Tiempos carretera (horas)'!D$45:D$1645,0))</f>
        <v>2.2599999999999998</v>
      </c>
      <c r="K269" s="12">
        <f t="shared" ca="1" si="24"/>
        <v>8.1729198906070994</v>
      </c>
      <c r="L269" s="12">
        <f t="shared" ca="1" si="25"/>
        <v>6.8531547199339835</v>
      </c>
      <c r="M269" s="12">
        <f t="shared" ca="1" si="26"/>
        <v>0.29016791277512011</v>
      </c>
      <c r="N269" s="13">
        <f t="shared" ca="1" si="28"/>
        <v>1.3197651706731159</v>
      </c>
      <c r="O269" s="13">
        <f t="shared" ca="1" si="29"/>
        <v>-24.944605536933416</v>
      </c>
      <c r="P269" s="12">
        <f t="shared" ca="1" si="27"/>
        <v>0.89456868021066571</v>
      </c>
    </row>
    <row r="270" spans="1:16" x14ac:dyDescent="0.25">
      <c r="A270">
        <v>35</v>
      </c>
      <c r="B270">
        <v>27</v>
      </c>
      <c r="C270" s="2" t="s">
        <v>34</v>
      </c>
      <c r="D270" s="2" t="s">
        <v>145</v>
      </c>
      <c r="E270" s="11" cm="1">
        <f t="array" aca="1" ref="E270" ca="1">INDEX('OD flujo mercancia multimodal'!E$45:E$1645,MATCH(C270&amp;D270,'OD flujo mercancia multimodal'!C$45:C$1645&amp;'OD flujo mercancia multimodal'!D$45:D$1645,0))</f>
        <v>69228.307692307688</v>
      </c>
      <c r="F270" s="11" cm="1">
        <f t="array" aca="1" ref="F270" ca="1">INDEX('OD flujo mercancia carretera'!E$45:E$1646,MATCH(C270&amp;D270,'OD flujo mercancia carretera'!C$45:C$1646&amp;'OD flujo mercancia carretera'!D$45:D$1646,0))</f>
        <v>430689.4846153846</v>
      </c>
      <c r="G270" s="11" cm="1">
        <f t="array" aca="1" ref="G270" ca="1">INDEX('Coste Carretera'!E$46:E$1646,MATCH(C270&amp;D270,'Coste Carretera'!C$46:C$1646&amp;'Coste Carretera'!D$46:D$1646,0))</f>
        <v>4497439786.8000002</v>
      </c>
      <c r="H270" s="11" cm="1">
        <f t="array" aca="1" ref="H270" ca="1">INDEX('Coste multimodal'!E$46:E$1646,MATCH(C270&amp;D270,'Coste multimodal'!C$46:C$1646&amp;'Coste multimodal'!D$46:D$1646,0))</f>
        <v>2281169410.9919372</v>
      </c>
      <c r="I270" s="12">
        <f ca="1">'Tiempos intermodal (horas)'!E839</f>
        <v>28.657545554587788</v>
      </c>
      <c r="J270" s="2" cm="1">
        <f t="array" aca="1" ref="J270" ca="1">INDEX('Tiempos carretera (horas)'!E$45:E$1645,MATCH(C270&amp;D270,'Tiempos carretera (horas)'!C$45:C$1645&amp;'Tiempos carretera (horas)'!D$45:D$1645,0))</f>
        <v>5.13</v>
      </c>
      <c r="K270" s="12">
        <f t="shared" ca="1" si="24"/>
        <v>10.442418372058272</v>
      </c>
      <c r="L270" s="12">
        <f t="shared" ca="1" si="25"/>
        <v>32.951396430645524</v>
      </c>
      <c r="M270" s="12">
        <f t="shared" ca="1" si="26"/>
        <v>0.13847938352571906</v>
      </c>
      <c r="N270" s="13">
        <f t="shared" ca="1" si="28"/>
        <v>-22.508978058587253</v>
      </c>
      <c r="O270" s="13">
        <f t="shared" ca="1" si="29"/>
        <v>-23.527545554587789</v>
      </c>
      <c r="P270" s="12">
        <f t="shared" ca="1" si="27"/>
        <v>1.8279775274488512</v>
      </c>
    </row>
    <row r="271" spans="1:16" x14ac:dyDescent="0.25">
      <c r="A271">
        <v>27</v>
      </c>
      <c r="B271">
        <v>35</v>
      </c>
      <c r="C271" s="2" t="s">
        <v>145</v>
      </c>
      <c r="D271" s="2" t="s">
        <v>34</v>
      </c>
      <c r="E271" s="11" cm="1">
        <f t="array" aca="1" ref="E271" ca="1">INDEX('OD flujo mercancia multimodal'!E$45:E$1645,MATCH(C271&amp;D271,'OD flujo mercancia multimodal'!C$45:C$1645&amp;'OD flujo mercancia multimodal'!D$45:D$1645,0))</f>
        <v>56360.615384615405</v>
      </c>
      <c r="F271" s="11" cm="1">
        <f t="array" aca="1" ref="F271" ca="1">INDEX('OD flujo mercancia carretera'!E$45:E$1646,MATCH(C271&amp;D271,'OD flujo mercancia carretera'!C$45:C$1646&amp;'OD flujo mercancia carretera'!D$45:D$1646,0))</f>
        <v>435240.73846153845</v>
      </c>
      <c r="G271" s="11" cm="1">
        <f t="array" aca="1" ref="G271" ca="1">INDEX('Coste Carretera'!E$46:E$1646,MATCH(C271&amp;D271,'Coste Carretera'!C$46:C$1646&amp;'Coste Carretera'!D$46:D$1646,0))</f>
        <v>8060227230.0000057</v>
      </c>
      <c r="H271" s="11" cm="1">
        <f t="array" aca="1" ref="H271" ca="1">INDEX('Coste multimodal'!E$46:E$1646,MATCH(C271&amp;D271,'Coste multimodal'!C$46:C$1646&amp;'Coste multimodal'!D$46:D$1646,0))</f>
        <v>2281169410.9919372</v>
      </c>
      <c r="I271" s="12">
        <f ca="1">I270</f>
        <v>28.657545554587788</v>
      </c>
      <c r="J271" s="2" cm="1">
        <f t="array" aca="1" ref="J271" ca="1">INDEX('Tiempos carretera (horas)'!E$45:E$1645,MATCH(C271&amp;D271,'Tiempos carretera (horas)'!C$45:C$1645&amp;'Tiempos carretera (horas)'!D$45:D$1645,0))</f>
        <v>5.13</v>
      </c>
      <c r="K271" s="12">
        <f t="shared" ca="1" si="24"/>
        <v>18.519009177520445</v>
      </c>
      <c r="L271" s="12">
        <f t="shared" ca="1" si="25"/>
        <v>40.474529872053552</v>
      </c>
      <c r="M271" s="12">
        <f t="shared" ca="1" si="26"/>
        <v>0.1146469897685705</v>
      </c>
      <c r="N271" s="13">
        <f t="shared" ca="1" si="28"/>
        <v>-21.955520694533107</v>
      </c>
      <c r="O271" s="13">
        <f t="shared" ca="1" si="29"/>
        <v>-23.527545554587789</v>
      </c>
      <c r="P271" s="12">
        <f t="shared" ca="1" si="27"/>
        <v>2.0441286939685526</v>
      </c>
    </row>
    <row r="272" spans="1:16" x14ac:dyDescent="0.25">
      <c r="A272">
        <v>23</v>
      </c>
      <c r="B272">
        <v>22</v>
      </c>
      <c r="C272" s="2" t="s">
        <v>22</v>
      </c>
      <c r="D272" s="2" t="s">
        <v>21</v>
      </c>
      <c r="E272" s="11" cm="1">
        <f t="array" aca="1" ref="E272" ca="1">INDEX('OD flujo mercancia multimodal'!E$45:E$1645,MATCH(C272&amp;D272,'OD flujo mercancia multimodal'!C$45:C$1645&amp;'OD flujo mercancia multimodal'!D$45:D$1645,0))</f>
        <v>22550.692307692261</v>
      </c>
      <c r="F272" s="11" cm="1">
        <f t="array" aca="1" ref="F272" ca="1">INDEX('OD flujo mercancia carretera'!E$45:E$1646,MATCH(C272&amp;D272,'OD flujo mercancia carretera'!C$45:C$1646&amp;'OD flujo mercancia carretera'!D$45:D$1646,0))</f>
        <v>231460.99999999965</v>
      </c>
      <c r="G272" s="11" cm="1">
        <f t="array" aca="1" ref="G272" ca="1">INDEX('Coste Carretera'!E$46:E$1646,MATCH(C272&amp;D272,'Coste Carretera'!C$46:C$1646&amp;'Coste Carretera'!D$46:D$1646,0))</f>
        <v>270034618.07999939</v>
      </c>
      <c r="H272" s="11" cm="1">
        <f t="array" aca="1" ref="H272" ca="1">INDEX('Coste multimodal'!E$46:E$1646,MATCH(C272&amp;D272,'Coste multimodal'!C$46:C$1646&amp;'Coste multimodal'!D$46:D$1646,0))</f>
        <v>331747937.26722229</v>
      </c>
      <c r="I272" s="12" cm="1">
        <f t="array" aca="1" ref="I272" ca="1">INDEX('Tiempos intermodal (horas)'!E$45:E$1645,MATCH(C272&amp;D272,'Tiempos intermodal (horas)'!C$45:C$1645&amp;'Tiempos intermodal (horas)'!D$45:D$1645,0))</f>
        <v>31.576215591568129</v>
      </c>
      <c r="J272" s="2" cm="1">
        <f t="array" aca="1" ref="J272" ca="1">INDEX('Tiempos carretera (horas)'!E$45:E$1645,MATCH(C272&amp;D272,'Tiempos carretera (horas)'!C$45:C$1645&amp;'Tiempos carretera (horas)'!D$45:D$1645,0))</f>
        <v>2.5499999999999998</v>
      </c>
      <c r="K272" s="12">
        <f t="shared" ca="1" si="24"/>
        <v>1.1666527755431793</v>
      </c>
      <c r="L272" s="12">
        <f t="shared" ca="1" si="25"/>
        <v>14.711208540327601</v>
      </c>
      <c r="M272" s="12">
        <f t="shared" ca="1" si="26"/>
        <v>8.8778166480525389E-2</v>
      </c>
      <c r="N272" s="13">
        <f t="shared" ca="1" si="28"/>
        <v>-13.544555764784421</v>
      </c>
      <c r="O272" s="13">
        <f t="shared" ca="1" si="29"/>
        <v>-29.026215591568128</v>
      </c>
      <c r="P272" s="12">
        <f t="shared" ca="1" si="27"/>
        <v>2.3286456263278006</v>
      </c>
    </row>
    <row r="273" spans="1:16" x14ac:dyDescent="0.25">
      <c r="A273">
        <v>22</v>
      </c>
      <c r="B273">
        <v>23</v>
      </c>
      <c r="C273" s="2" t="s">
        <v>21</v>
      </c>
      <c r="D273" s="2" t="s">
        <v>22</v>
      </c>
      <c r="E273" s="11" cm="1">
        <f t="array" aca="1" ref="E273" ca="1">INDEX('OD flujo mercancia multimodal'!E$45:E$1645,MATCH(C273&amp;D273,'OD flujo mercancia multimodal'!C$45:C$1645&amp;'OD flujo mercancia multimodal'!D$45:D$1645,0))</f>
        <v>15087.230769230771</v>
      </c>
      <c r="F273" s="11" cm="1">
        <f t="array" aca="1" ref="F273" ca="1">INDEX('OD flujo mercancia carretera'!E$45:E$1646,MATCH(C273&amp;D273,'OD flujo mercancia carretera'!C$45:C$1646&amp;'OD flujo mercancia carretera'!D$45:D$1646,0))</f>
        <v>237296.33333333366</v>
      </c>
      <c r="G273" s="11" cm="1">
        <f t="array" aca="1" ref="G273" ca="1">INDEX('Coste Carretera'!E$46:E$1646,MATCH(C273&amp;D273,'Coste Carretera'!C$46:C$1646&amp;'Coste Carretera'!D$46:D$1646,0))</f>
        <v>180662950.08000001</v>
      </c>
      <c r="H273" s="11" cm="1">
        <f t="array" aca="1" ref="H273" ca="1">INDEX('Coste multimodal'!E$46:E$1646,MATCH(C273&amp;D273,'Coste multimodal'!C$46:C$1646&amp;'Coste multimodal'!D$46:D$1646,0))</f>
        <v>331747937.26722229</v>
      </c>
      <c r="I273" s="12" cm="1">
        <f t="array" aca="1" ref="I273" ca="1">INDEX('Tiempos intermodal (horas)'!E$45:E$1645,MATCH(C273&amp;D273,'Tiempos intermodal (horas)'!C$45:C$1645&amp;'Tiempos intermodal (horas)'!D$45:D$1645,0))</f>
        <v>31.576215591568129</v>
      </c>
      <c r="J273" s="2" cm="1">
        <f t="array" aca="1" ref="J273" ca="1">INDEX('Tiempos carretera (horas)'!E$45:E$1645,MATCH(C273&amp;D273,'Tiempos carretera (horas)'!C$45:C$1645&amp;'Tiempos carretera (horas)'!D$45:D$1645,0))</f>
        <v>2.5499999999999998</v>
      </c>
      <c r="K273" s="12">
        <f t="shared" ca="1" si="24"/>
        <v>0.76133898717356119</v>
      </c>
      <c r="L273" s="12">
        <f t="shared" ca="1" si="25"/>
        <v>21.988656655520661</v>
      </c>
      <c r="M273" s="12">
        <f t="shared" ca="1" si="26"/>
        <v>5.9778975001318131E-2</v>
      </c>
      <c r="N273" s="13">
        <f t="shared" ca="1" si="28"/>
        <v>-21.227317668347098</v>
      </c>
      <c r="O273" s="13">
        <f t="shared" ca="1" si="29"/>
        <v>-29.026215591568128</v>
      </c>
      <c r="P273" s="12">
        <f t="shared" ca="1" si="27"/>
        <v>2.7554609700738442</v>
      </c>
    </row>
    <row r="274" spans="1:16" x14ac:dyDescent="0.25">
      <c r="A274">
        <v>32</v>
      </c>
      <c r="B274">
        <v>10</v>
      </c>
      <c r="C274" s="2" t="s">
        <v>31</v>
      </c>
      <c r="D274" s="2" t="s">
        <v>9</v>
      </c>
      <c r="E274" s="11" cm="1">
        <f t="array" aca="1" ref="E274" ca="1">INDEX('OD flujo mercancia multimodal'!E$45:E$1645,MATCH(C274&amp;D274,'OD flujo mercancia multimodal'!C$45:C$1645&amp;'OD flujo mercancia multimodal'!D$45:D$1645,0))</f>
        <v>21187.291208791223</v>
      </c>
      <c r="F274" s="11" cm="1">
        <f t="array" aca="1" ref="F274" ca="1">INDEX('OD flujo mercancia carretera'!E$45:E$1646,MATCH(C274&amp;D274,'OD flujo mercancia carretera'!C$45:C$1646&amp;'OD flujo mercancia carretera'!D$45:D$1646,0))</f>
        <v>141109.5230769231</v>
      </c>
      <c r="G274" s="11" cm="1">
        <f t="array" aca="1" ref="G274" ca="1">INDEX('Coste Carretera'!E$46:E$1646,MATCH(C274&amp;D274,'Coste Carretera'!C$46:C$1646&amp;'Coste Carretera'!D$46:D$1646,0))</f>
        <v>531957260.71428597</v>
      </c>
      <c r="H274" s="11" cm="1">
        <f t="array" aca="1" ref="H274" ca="1">INDEX('Coste multimodal'!E$46:E$1646,MATCH(C274&amp;D274,'Coste multimodal'!C$46:C$1646&amp;'Coste multimodal'!D$46:D$1646,0))</f>
        <v>369656475.18772495</v>
      </c>
      <c r="I274" s="12" cm="1">
        <f t="array" aca="1" ref="I274" ca="1">INDEX('Tiempos intermodal (horas)'!E$45:E$1645,MATCH(C274&amp;D274,'Tiempos intermodal (horas)'!C$45:C$1645&amp;'Tiempos intermodal (horas)'!D$45:D$1645,0))</f>
        <v>28.192383314711197</v>
      </c>
      <c r="J274" s="2" cm="1">
        <f t="array" aca="1" ref="J274" ca="1">INDEX('Tiempos carretera (horas)'!E$45:E$1645,MATCH(C274&amp;D274,'Tiempos carretera (horas)'!C$45:C$1645&amp;'Tiempos carretera (horas)'!D$45:D$1645,0))</f>
        <v>3.15</v>
      </c>
      <c r="K274" s="12">
        <f t="shared" ca="1" si="24"/>
        <v>3.7698182880562912</v>
      </c>
      <c r="L274" s="12">
        <f t="shared" ca="1" si="25"/>
        <v>17.447085214666032</v>
      </c>
      <c r="M274" s="12">
        <f t="shared" ca="1" si="26"/>
        <v>0.130546562494395</v>
      </c>
      <c r="N274" s="13">
        <f t="shared" ca="1" si="28"/>
        <v>-13.677266926609741</v>
      </c>
      <c r="O274" s="13">
        <f t="shared" ca="1" si="29"/>
        <v>-25.042383314711198</v>
      </c>
      <c r="P274" s="12">
        <f t="shared" ca="1" si="27"/>
        <v>1.8961348176277268</v>
      </c>
    </row>
    <row r="275" spans="1:16" x14ac:dyDescent="0.25">
      <c r="A275">
        <v>10</v>
      </c>
      <c r="B275">
        <v>32</v>
      </c>
      <c r="C275" s="2" t="s">
        <v>9</v>
      </c>
      <c r="D275" s="2" t="s">
        <v>31</v>
      </c>
      <c r="E275" s="11" cm="1">
        <f t="array" aca="1" ref="E275" ca="1">INDEX('OD flujo mercancia multimodal'!E$45:E$1645,MATCH(C275&amp;D275,'OD flujo mercancia multimodal'!C$45:C$1645&amp;'OD flujo mercancia multimodal'!D$45:D$1645,0))</f>
        <v>14540.956043956045</v>
      </c>
      <c r="F275" s="11" cm="1">
        <f t="array" aca="1" ref="F275" ca="1">INDEX('OD flujo mercancia carretera'!E$45:E$1646,MATCH(C275&amp;D275,'OD flujo mercancia carretera'!C$45:C$1646&amp;'OD flujo mercancia carretera'!D$45:D$1646,0))</f>
        <v>140457.42307692306</v>
      </c>
      <c r="G275" s="11" cm="1">
        <f t="array" aca="1" ref="G275" ca="1">INDEX('Coste Carretera'!E$46:E$1646,MATCH(C275&amp;D275,'Coste Carretera'!C$46:C$1646&amp;'Coste Carretera'!D$46:D$1646,0))</f>
        <v>387579037.93142861</v>
      </c>
      <c r="H275" s="11" cm="1">
        <f t="array" aca="1" ref="H275" ca="1">INDEX('Coste multimodal'!E$46:E$1646,MATCH(C275&amp;D275,'Coste multimodal'!C$46:C$1646&amp;'Coste multimodal'!D$46:D$1646,0))</f>
        <v>369656475.18772495</v>
      </c>
      <c r="I275" s="12" cm="1">
        <f t="array" aca="1" ref="I275" ca="1">INDEX('Tiempos intermodal (horas)'!E$45:E$1645,MATCH(C275&amp;D275,'Tiempos intermodal (horas)'!C$45:C$1645&amp;'Tiempos intermodal (horas)'!D$45:D$1645,0))</f>
        <v>28.192383314711197</v>
      </c>
      <c r="J275" s="2" cm="1">
        <f t="array" aca="1" ref="J275" ca="1">INDEX('Tiempos carretera (horas)'!E$45:E$1645,MATCH(C275&amp;D275,'Tiempos carretera (horas)'!C$45:C$1645&amp;'Tiempos carretera (horas)'!D$45:D$1645,0))</f>
        <v>3.15</v>
      </c>
      <c r="K275" s="12">
        <f t="shared" ca="1" si="24"/>
        <v>2.7594058714801184</v>
      </c>
      <c r="L275" s="12">
        <f t="shared" ca="1" si="25"/>
        <v>25.42174490248685</v>
      </c>
      <c r="M275" s="12">
        <f t="shared" ca="1" si="26"/>
        <v>9.3813600673952474E-2</v>
      </c>
      <c r="N275" s="13">
        <f t="shared" ca="1" si="28"/>
        <v>-22.662339031006731</v>
      </c>
      <c r="O275" s="13">
        <f t="shared" ca="1" si="29"/>
        <v>-25.042383314711198</v>
      </c>
      <c r="P275" s="12">
        <f t="shared" ca="1" si="27"/>
        <v>2.2679351816269202</v>
      </c>
    </row>
    <row r="276" spans="1:16" x14ac:dyDescent="0.25">
      <c r="A276">
        <v>24</v>
      </c>
      <c r="B276">
        <v>3</v>
      </c>
      <c r="C276" s="2" t="s">
        <v>23</v>
      </c>
      <c r="D276" s="2" t="s">
        <v>2</v>
      </c>
      <c r="E276" s="11" cm="1">
        <f t="array" aca="1" ref="E276" ca="1">INDEX('OD flujo mercancia multimodal'!E$45:E$1645,MATCH(C276&amp;D276,'OD flujo mercancia multimodal'!C$45:C$1645&amp;'OD flujo mercancia multimodal'!D$45:D$1645,0))</f>
        <v>20222.17582417584</v>
      </c>
      <c r="F276" s="11" cm="1">
        <f t="array" aca="1" ref="F276" ca="1">INDEX('OD flujo mercancia carretera'!E$45:E$1646,MATCH(C276&amp;D276,'OD flujo mercancia carretera'!C$45:C$1646&amp;'OD flujo mercancia carretera'!D$45:D$1646,0))</f>
        <v>124032.4615384615</v>
      </c>
      <c r="G276" s="11" cm="1">
        <f t="array" aca="1" ref="G276" ca="1">INDEX('Coste Carretera'!E$46:E$1646,MATCH(C276&amp;D276,'Coste Carretera'!C$46:C$1646&amp;'Coste Carretera'!D$46:D$1646,0))</f>
        <v>931434227.34857213</v>
      </c>
      <c r="H276" s="11" cm="1">
        <f t="array" aca="1" ref="H276" ca="1">INDEX('Coste multimodal'!E$46:E$1646,MATCH(C276&amp;D276,'Coste multimodal'!C$46:C$1646&amp;'Coste multimodal'!D$46:D$1646,0))</f>
        <v>515101364.9368428</v>
      </c>
      <c r="I276" s="12" cm="1">
        <f t="array" aca="1" ref="I276" ca="1">INDEX('Tiempos intermodal (horas)'!E$45:E$1645,MATCH(C276&amp;D276,'Tiempos intermodal (horas)'!C$45:C$1645&amp;'Tiempos intermodal (horas)'!D$45:D$1645,0))</f>
        <v>25.049011309649494</v>
      </c>
      <c r="J276" s="2" cm="1">
        <f t="array" aca="1" ref="J276" ca="1">INDEX('Tiempos carretera (horas)'!E$45:E$1645,MATCH(C276&amp;D276,'Tiempos carretera (horas)'!C$45:C$1645&amp;'Tiempos carretera (horas)'!D$45:D$1645,0))</f>
        <v>9.0299999999999994</v>
      </c>
      <c r="K276" s="12">
        <f t="shared" ca="1" si="24"/>
        <v>7.5096004368158216</v>
      </c>
      <c r="L276" s="12">
        <f t="shared" ca="1" si="25"/>
        <v>25.472103962276567</v>
      </c>
      <c r="M276" s="12">
        <f t="shared" ca="1" si="26"/>
        <v>0.14018388728356737</v>
      </c>
      <c r="N276" s="13">
        <f t="shared" ca="1" si="28"/>
        <v>-17.962503525460747</v>
      </c>
      <c r="O276" s="13">
        <f t="shared" ca="1" si="29"/>
        <v>-16.019011309649493</v>
      </c>
      <c r="P276" s="12">
        <f t="shared" ca="1" si="27"/>
        <v>1.813763502616343</v>
      </c>
    </row>
    <row r="277" spans="1:16" x14ac:dyDescent="0.25">
      <c r="A277">
        <v>32</v>
      </c>
      <c r="B277">
        <v>8</v>
      </c>
      <c r="C277" s="2" t="s">
        <v>31</v>
      </c>
      <c r="D277" s="2" t="s">
        <v>7</v>
      </c>
      <c r="E277" s="11" cm="1">
        <f t="array" aca="1" ref="E277" ca="1">INDEX('OD flujo mercancia multimodal'!E$45:E$1645,MATCH(C277&amp;D277,'OD flujo mercancia multimodal'!C$45:C$1645&amp;'OD flujo mercancia multimodal'!D$45:D$1645,0))</f>
        <v>34708.934065934023</v>
      </c>
      <c r="F277" s="11" cm="1">
        <f t="array" aca="1" ref="F277" ca="1">INDEX('OD flujo mercancia carretera'!E$45:E$1646,MATCH(C277&amp;D277,'OD flujo mercancia carretera'!C$45:C$1646&amp;'OD flujo mercancia carretera'!D$45:D$1646,0))</f>
        <v>166400.44615384599</v>
      </c>
      <c r="G277" s="11" cm="1">
        <f t="array" aca="1" ref="G277" ca="1">INDEX('Coste Carretera'!E$46:E$1646,MATCH(C277&amp;D277,'Coste Carretera'!C$46:C$1646&amp;'Coste Carretera'!D$46:D$1646,0))</f>
        <v>459283175.31428522</v>
      </c>
      <c r="H277" s="11" cm="1">
        <f t="array" aca="1" ref="H277" ca="1">INDEX('Coste multimodal'!E$46:E$1646,MATCH(C277&amp;D277,'Coste multimodal'!C$46:C$1646&amp;'Coste multimodal'!D$46:D$1646,0))</f>
        <v>232434540.63380882</v>
      </c>
      <c r="I277" s="12" cm="1">
        <f t="array" aca="1" ref="I277" ca="1">INDEX('Tiempos intermodal (horas)'!E$45:E$1645,MATCH(C277&amp;D277,'Tiempos intermodal (horas)'!C$45:C$1645&amp;'Tiempos intermodal (horas)'!D$45:D$1645,0))</f>
        <v>24.055811712591499</v>
      </c>
      <c r="J277" s="2" cm="1">
        <f t="array" aca="1" ref="J277" ca="1">INDEX('Tiempos carretera (horas)'!E$45:E$1645,MATCH(C277&amp;D277,'Tiempos carretera (horas)'!C$45:C$1645&amp;'Tiempos carretera (horas)'!D$45:D$1645,0))</f>
        <v>1</v>
      </c>
      <c r="K277" s="12">
        <f t="shared" ca="1" si="24"/>
        <v>2.760107835826676</v>
      </c>
      <c r="L277" s="12">
        <f t="shared" ca="1" si="25"/>
        <v>6.6966775814051198</v>
      </c>
      <c r="M277" s="12">
        <f t="shared" ca="1" si="26"/>
        <v>0.17258734539384873</v>
      </c>
      <c r="N277" s="13">
        <f t="shared" ca="1" si="28"/>
        <v>-3.9365697455784439</v>
      </c>
      <c r="O277" s="13">
        <f t="shared" ca="1" si="29"/>
        <v>-23.055811712591499</v>
      </c>
      <c r="P277" s="12">
        <f t="shared" ca="1" si="27"/>
        <v>1.5674000899053069</v>
      </c>
    </row>
    <row r="278" spans="1:16" x14ac:dyDescent="0.25">
      <c r="A278">
        <v>8</v>
      </c>
      <c r="B278">
        <v>32</v>
      </c>
      <c r="C278" s="2" t="s">
        <v>7</v>
      </c>
      <c r="D278" s="2" t="s">
        <v>31</v>
      </c>
      <c r="E278" s="11" cm="1">
        <f t="array" aca="1" ref="E278" ca="1">INDEX('OD flujo mercancia multimodal'!E$45:E$1645,MATCH(C278&amp;D278,'OD flujo mercancia multimodal'!C$45:C$1645&amp;'OD flujo mercancia multimodal'!D$45:D$1645,0))</f>
        <v>7449.0274725274721</v>
      </c>
      <c r="F278" s="11" cm="1">
        <f t="array" aca="1" ref="F278" ca="1">INDEX('OD flujo mercancia carretera'!E$45:E$1646,MATCH(C278&amp;D278,'OD flujo mercancia carretera'!C$45:C$1646&amp;'OD flujo mercancia carretera'!D$45:D$1646,0))</f>
        <v>166912.42307692306</v>
      </c>
      <c r="G278" s="11" cm="1">
        <f t="array" aca="1" ref="G278" ca="1">INDEX('Coste Carretera'!E$46:E$1646,MATCH(C278&amp;D278,'Coste Carretera'!C$46:C$1646&amp;'Coste Carretera'!D$46:D$1646,0))</f>
        <v>121057815.08571433</v>
      </c>
      <c r="H278" s="11" cm="1">
        <f t="array" aca="1" ref="H278" ca="1">INDEX('Coste multimodal'!E$46:E$1646,MATCH(C278&amp;D278,'Coste multimodal'!C$46:C$1646&amp;'Coste multimodal'!D$46:D$1646,0))</f>
        <v>232434540.63380882</v>
      </c>
      <c r="I278" s="12" cm="1">
        <f t="array" aca="1" ref="I278" ca="1">INDEX('Tiempos intermodal (horas)'!E$45:E$1645,MATCH(C278&amp;D278,'Tiempos intermodal (horas)'!C$45:C$1645&amp;'Tiempos intermodal (horas)'!D$45:D$1645,0))</f>
        <v>24.055811712591499</v>
      </c>
      <c r="J278" s="2" cm="1">
        <f t="array" aca="1" ref="J278" ca="1">INDEX('Tiempos carretera (horas)'!E$45:E$1645,MATCH(C278&amp;D278,'Tiempos carretera (horas)'!C$45:C$1645&amp;'Tiempos carretera (horas)'!D$45:D$1645,0))</f>
        <v>1</v>
      </c>
      <c r="K278" s="12">
        <f t="shared" ca="1" si="24"/>
        <v>0.72527744103219782</v>
      </c>
      <c r="L278" s="12">
        <f t="shared" ca="1" si="25"/>
        <v>31.203340501970686</v>
      </c>
      <c r="M278" s="12">
        <f t="shared" ca="1" si="26"/>
        <v>4.2721756724631389E-2</v>
      </c>
      <c r="N278" s="13">
        <f t="shared" ca="1" si="28"/>
        <v>-30.478063060938489</v>
      </c>
      <c r="O278" s="13">
        <f t="shared" ca="1" si="29"/>
        <v>-23.055811712591499</v>
      </c>
      <c r="P278" s="12">
        <f t="shared" ca="1" si="27"/>
        <v>3.1093857788813182</v>
      </c>
    </row>
    <row r="279" spans="1:16" x14ac:dyDescent="0.25">
      <c r="A279">
        <v>4</v>
      </c>
      <c r="B279">
        <v>35</v>
      </c>
      <c r="C279" s="2" t="s">
        <v>3</v>
      </c>
      <c r="D279" s="2" t="s">
        <v>34</v>
      </c>
      <c r="E279" s="11" cm="1">
        <f t="array" aca="1" ref="E279" ca="1">INDEX('OD flujo mercancia multimodal'!E$45:E$1645,MATCH(C279&amp;D279,'OD flujo mercancia multimodal'!C$45:C$1645&amp;'OD flujo mercancia multimodal'!D$45:D$1645,0))</f>
        <v>52712.75824175826</v>
      </c>
      <c r="F279" s="11" cm="1">
        <f t="array" aca="1" ref="F279" ca="1">INDEX('OD flujo mercancia carretera'!E$45:E$1646,MATCH(C279&amp;D279,'OD flujo mercancia carretera'!C$45:C$1646&amp;'OD flujo mercancia carretera'!D$45:D$1646,0))</f>
        <v>46646.692307692349</v>
      </c>
      <c r="G279" s="11" cm="1">
        <f t="array" aca="1" ref="G279" ca="1">INDEX('Coste Carretera'!E$46:E$1646,MATCH(C279&amp;D279,'Coste Carretera'!C$46:C$1646&amp;'Coste Carretera'!D$46:D$1646,0))</f>
        <v>5914071607.285718</v>
      </c>
      <c r="H279" s="11" cm="1">
        <f t="array" aca="1" ref="H279" ca="1">INDEX('Coste multimodal'!E$46:E$1646,MATCH(C279&amp;D279,'Coste multimodal'!C$46:C$1646&amp;'Coste multimodal'!D$46:D$1646,0))</f>
        <v>2188464895.3305206</v>
      </c>
      <c r="I279" s="12" cm="1">
        <f t="array" aca="1" ref="I279" ca="1">INDEX('Tiempos intermodal (horas)'!E$45:E$1645,MATCH(C279&amp;D279,'Tiempos intermodal (horas)'!C$45:C$1645&amp;'Tiempos intermodal (horas)'!D$45:D$1645,0))</f>
        <v>26.774971744205139</v>
      </c>
      <c r="J279" s="2" cm="1">
        <f t="array" aca="1" ref="J279" ca="1">INDEX('Tiempos carretera (horas)'!E$45:E$1645,MATCH(C279&amp;D279,'Tiempos carretera (horas)'!C$45:C$1645&amp;'Tiempos carretera (horas)'!D$45:D$1645,0))</f>
        <v>3.72</v>
      </c>
      <c r="K279" s="12">
        <f t="shared" ca="1" si="24"/>
        <v>126.78437236825147</v>
      </c>
      <c r="L279" s="12">
        <f t="shared" ca="1" si="25"/>
        <v>41.516797229495978</v>
      </c>
      <c r="M279" s="12">
        <f t="shared" ca="1" si="26"/>
        <v>0.53052586291752313</v>
      </c>
      <c r="N279" s="13">
        <f t="shared" ca="1" si="28"/>
        <v>85.26757513875549</v>
      </c>
      <c r="O279" s="13">
        <f t="shared" ca="1" si="29"/>
        <v>-23.05497174420514</v>
      </c>
      <c r="P279" s="12">
        <f t="shared" ca="1" si="27"/>
        <v>-0.12225549778615813</v>
      </c>
    </row>
    <row r="280" spans="1:16" x14ac:dyDescent="0.25">
      <c r="A280">
        <v>2</v>
      </c>
      <c r="B280">
        <v>5</v>
      </c>
      <c r="C280" s="2" t="s">
        <v>1</v>
      </c>
      <c r="D280" s="2" t="s">
        <v>4</v>
      </c>
      <c r="E280" s="11" cm="1">
        <f t="array" aca="1" ref="E280" ca="1">INDEX('OD flujo mercancia multimodal'!E$45:E$1645,MATCH(C280&amp;D280,'OD flujo mercancia multimodal'!C$45:C$1645&amp;'OD flujo mercancia multimodal'!D$45:D$1645,0))</f>
        <v>71296.642857142899</v>
      </c>
      <c r="F280" s="11" cm="1">
        <f t="array" aca="1" ref="F280" ca="1">INDEX('OD flujo mercancia carretera'!E$45:E$1646,MATCH(C280&amp;D280,'OD flujo mercancia carretera'!C$45:C$1646&amp;'OD flujo mercancia carretera'!D$45:D$1646,0))</f>
        <v>101455.4615384615</v>
      </c>
      <c r="G280" s="11" cm="1">
        <f t="array" aca="1" ref="G280" ca="1">INDEX('Coste Carretera'!E$46:E$1646,MATCH(C280&amp;D280,'Coste Carretera'!C$46:C$1646&amp;'Coste Carretera'!D$46:D$1646,0))</f>
        <v>2280400306.8600011</v>
      </c>
      <c r="H280" s="11" cm="1">
        <f t="array" aca="1" ref="H280" ca="1">INDEX('Coste multimodal'!E$46:E$1646,MATCH(C280&amp;D280,'Coste multimodal'!C$46:C$1646&amp;'Coste multimodal'!D$46:D$1646,0))</f>
        <v>1580240875.3899469</v>
      </c>
      <c r="I280" s="12" cm="1">
        <f t="array" aca="1" ref="I280" ca="1">INDEX('Tiempos intermodal (horas)'!E$45:E$1645,MATCH(C280&amp;D280,'Tiempos intermodal (horas)'!C$45:C$1645&amp;'Tiempos intermodal (horas)'!D$45:D$1645,0))</f>
        <v>31.658324960702892</v>
      </c>
      <c r="J280" s="2" cm="1">
        <f t="array" aca="1" ref="J280" ca="1">INDEX('Tiempos carretera (horas)'!E$45:E$1645,MATCH(C280&amp;D280,'Tiempos carretera (horas)'!C$45:C$1645&amp;'Tiempos carretera (horas)'!D$45:D$1645,0))</f>
        <v>6.53</v>
      </c>
      <c r="K280" s="12">
        <f t="shared" ca="1" si="24"/>
        <v>22.476861001667288</v>
      </c>
      <c r="L280" s="12">
        <f t="shared" ca="1" si="25"/>
        <v>22.16430973554079</v>
      </c>
      <c r="M280" s="12">
        <f t="shared" ca="1" si="26"/>
        <v>0.41271070535773463</v>
      </c>
      <c r="N280" s="13">
        <f t="shared" ca="1" si="28"/>
        <v>0.31255126612649775</v>
      </c>
      <c r="O280" s="13">
        <f t="shared" ca="1" si="29"/>
        <v>-25.128324960702891</v>
      </c>
      <c r="P280" s="12">
        <f t="shared" ca="1" si="27"/>
        <v>0.35277065804391006</v>
      </c>
    </row>
    <row r="281" spans="1:16" x14ac:dyDescent="0.25">
      <c r="A281">
        <v>5</v>
      </c>
      <c r="B281">
        <v>2</v>
      </c>
      <c r="C281" s="2" t="s">
        <v>4</v>
      </c>
      <c r="D281" s="2" t="s">
        <v>1</v>
      </c>
      <c r="E281" s="11" cm="1">
        <f t="array" aca="1" ref="E281" ca="1">INDEX('OD flujo mercancia multimodal'!E$45:E$1645,MATCH(C281&amp;D281,'OD flujo mercancia multimodal'!C$45:C$1645&amp;'OD flujo mercancia multimodal'!D$45:D$1645,0))</f>
        <v>67762.142857142826</v>
      </c>
      <c r="F281" s="11" cm="1">
        <f t="array" aca="1" ref="F281" ca="1">INDEX('OD flujo mercancia carretera'!E$45:E$1646,MATCH(C281&amp;D281,'OD flujo mercancia carretera'!C$45:C$1646&amp;'OD flujo mercancia carretera'!D$45:D$1646,0))</f>
        <v>104182.30769230772</v>
      </c>
      <c r="G281" s="11" cm="1">
        <f t="array" aca="1" ref="G281" ca="1">INDEX('Coste Carretera'!E$46:E$1646,MATCH(C281&amp;D281,'Coste Carretera'!C$46:C$1646&amp;'Coste Carretera'!D$46:D$1646,0))</f>
        <v>2167350455.3999987</v>
      </c>
      <c r="H281" s="11" cm="1">
        <f t="array" aca="1" ref="H281" ca="1">INDEX('Coste multimodal'!E$46:E$1646,MATCH(C281&amp;D281,'Coste multimodal'!C$46:C$1646&amp;'Coste multimodal'!D$46:D$1646,0))</f>
        <v>1580240875.3899469</v>
      </c>
      <c r="I281" s="12" cm="1">
        <f t="array" aca="1" ref="I281" ca="1">INDEX('Tiempos intermodal (horas)'!E$45:E$1645,MATCH(C281&amp;D281,'Tiempos intermodal (horas)'!C$45:C$1645&amp;'Tiempos intermodal (horas)'!D$45:D$1645,0))</f>
        <v>31.658324960702892</v>
      </c>
      <c r="J281" s="2" cm="1">
        <f t="array" aca="1" ref="J281" ca="1">INDEX('Tiempos carretera (horas)'!E$45:E$1645,MATCH(C281&amp;D281,'Tiempos carretera (horas)'!C$45:C$1645&amp;'Tiempos carretera (horas)'!D$45:D$1645,0))</f>
        <v>6.53</v>
      </c>
      <c r="K281" s="12">
        <f t="shared" ca="1" si="24"/>
        <v>20.80344065521237</v>
      </c>
      <c r="L281" s="12">
        <f t="shared" ca="1" si="25"/>
        <v>23.320408841282291</v>
      </c>
      <c r="M281" s="12">
        <f t="shared" ca="1" si="26"/>
        <v>0.39409322394882823</v>
      </c>
      <c r="N281" s="13">
        <f t="shared" ca="1" si="28"/>
        <v>-2.5169681860699207</v>
      </c>
      <c r="O281" s="13">
        <f t="shared" ca="1" si="29"/>
        <v>-25.128324960702891</v>
      </c>
      <c r="P281" s="12">
        <f t="shared" ca="1" si="27"/>
        <v>0.4301386490188408</v>
      </c>
    </row>
    <row r="282" spans="1:16" x14ac:dyDescent="0.25">
      <c r="A282">
        <v>32</v>
      </c>
      <c r="B282">
        <v>21</v>
      </c>
      <c r="C282" s="2" t="s">
        <v>31</v>
      </c>
      <c r="D282" s="2" t="s">
        <v>20</v>
      </c>
      <c r="E282" s="11" cm="1">
        <f t="array" aca="1" ref="E282" ca="1">INDEX('OD flujo mercancia multimodal'!E$45:E$1645,MATCH(C282&amp;D282,'OD flujo mercancia multimodal'!C$45:C$1645&amp;'OD flujo mercancia multimodal'!D$45:D$1645,0))</f>
        <v>37411.384615384624</v>
      </c>
      <c r="F282" s="11" cm="1">
        <f t="array" aca="1" ref="F282" ca="1">INDEX('OD flujo mercancia carretera'!E$45:E$1646,MATCH(C282&amp;D282,'OD flujo mercancia carretera'!C$45:C$1646&amp;'OD flujo mercancia carretera'!D$45:D$1646,0))</f>
        <v>153881.933333333</v>
      </c>
      <c r="G282" s="11" cm="1">
        <f t="array" aca="1" ref="G282" ca="1">INDEX('Coste Carretera'!E$46:E$1646,MATCH(C282&amp;D282,'Coste Carretera'!C$46:C$1646&amp;'Coste Carretera'!D$46:D$1646,0))</f>
        <v>902413931.40000021</v>
      </c>
      <c r="H282" s="11" cm="1">
        <f t="array" aca="1" ref="H282" ca="1">INDEX('Coste multimodal'!E$46:E$1646,MATCH(C282&amp;D282,'Coste multimodal'!C$46:C$1646&amp;'Coste multimodal'!D$46:D$1646,0))</f>
        <v>247151224.76765832</v>
      </c>
      <c r="I282" s="12" cm="1">
        <f t="array" aca="1" ref="I282" ca="1">INDEX('Tiempos intermodal (horas)'!E$45:E$1645,MATCH(C282&amp;D282,'Tiempos intermodal (horas)'!C$45:C$1645&amp;'Tiempos intermodal (horas)'!D$45:D$1645,0))</f>
        <v>30.212817816107126</v>
      </c>
      <c r="J282" s="2" cm="1">
        <f t="array" aca="1" ref="J282" ca="1">INDEX('Tiempos carretera (horas)'!E$45:E$1645,MATCH(C282&amp;D282,'Tiempos carretera (horas)'!C$45:C$1645&amp;'Tiempos carretera (horas)'!D$45:D$1645,0))</f>
        <v>5.08</v>
      </c>
      <c r="K282" s="12">
        <f t="shared" ca="1" si="24"/>
        <v>5.8643267071854801</v>
      </c>
      <c r="L282" s="12">
        <f t="shared" ca="1" si="25"/>
        <v>6.6063105471381753</v>
      </c>
      <c r="M282" s="12">
        <f t="shared" ca="1" si="26"/>
        <v>0.19557078635341543</v>
      </c>
      <c r="N282" s="13">
        <f t="shared" ca="1" si="28"/>
        <v>-0.74198383995269523</v>
      </c>
      <c r="O282" s="13">
        <f t="shared" ca="1" si="29"/>
        <v>-25.132817816107128</v>
      </c>
      <c r="P282" s="12">
        <f t="shared" ca="1" si="27"/>
        <v>1.4142105821271476</v>
      </c>
    </row>
    <row r="283" spans="1:16" x14ac:dyDescent="0.25">
      <c r="A283">
        <v>21</v>
      </c>
      <c r="B283">
        <v>32</v>
      </c>
      <c r="C283" s="2" t="s">
        <v>20</v>
      </c>
      <c r="D283" s="2" t="s">
        <v>31</v>
      </c>
      <c r="E283" s="11" cm="1">
        <f t="array" aca="1" ref="E283" ca="1">INDEX('OD flujo mercancia multimodal'!E$45:E$1645,MATCH(C283&amp;D283,'OD flujo mercancia multimodal'!C$45:C$1645&amp;'OD flujo mercancia multimodal'!D$45:D$1645,0))</f>
        <v>23678.923076923074</v>
      </c>
      <c r="F283" s="11" cm="1">
        <f t="array" aca="1" ref="F283" ca="1">INDEX('OD flujo mercancia carretera'!E$45:E$1646,MATCH(C283&amp;D283,'OD flujo mercancia carretera'!C$45:C$1646&amp;'OD flujo mercancia carretera'!D$45:D$1646,0))</f>
        <v>159801.5</v>
      </c>
      <c r="G283" s="11" cm="1">
        <f t="array" aca="1" ref="G283" ca="1">INDEX('Coste Carretera'!E$46:E$1646,MATCH(C283&amp;D283,'Coste Carretera'!C$46:C$1646&amp;'Coste Carretera'!D$46:D$1646,0))</f>
        <v>595635937.51999998</v>
      </c>
      <c r="H283" s="11" cm="1">
        <f t="array" aca="1" ref="H283" ca="1">INDEX('Coste multimodal'!E$46:E$1646,MATCH(C283&amp;D283,'Coste multimodal'!C$46:C$1646&amp;'Coste multimodal'!D$46:D$1646,0))</f>
        <v>247151224.76765832</v>
      </c>
      <c r="I283" s="12" cm="1">
        <f t="array" aca="1" ref="I283" ca="1">INDEX('Tiempos intermodal (horas)'!E$45:E$1645,MATCH(C283&amp;D283,'Tiempos intermodal (horas)'!C$45:C$1645&amp;'Tiempos intermodal (horas)'!D$45:D$1645,0))</f>
        <v>30.212817816107126</v>
      </c>
      <c r="J283" s="2" cm="1">
        <f t="array" aca="1" ref="J283" ca="1">INDEX('Tiempos carretera (horas)'!E$45:E$1645,MATCH(C283&amp;D283,'Tiempos carretera (horas)'!C$45:C$1645&amp;'Tiempos carretera (horas)'!D$45:D$1645,0))</f>
        <v>5.08</v>
      </c>
      <c r="K283" s="12">
        <f t="shared" ca="1" si="24"/>
        <v>3.727348851669102</v>
      </c>
      <c r="L283" s="12">
        <f t="shared" ca="1" si="25"/>
        <v>10.437604107448879</v>
      </c>
      <c r="M283" s="12">
        <f t="shared" ca="1" si="26"/>
        <v>0.12905422104349426</v>
      </c>
      <c r="N283" s="13">
        <f t="shared" ca="1" si="28"/>
        <v>-6.7102552557797761</v>
      </c>
      <c r="O283" s="13">
        <f t="shared" ca="1" si="29"/>
        <v>-25.132817816107128</v>
      </c>
      <c r="P283" s="12">
        <f t="shared" ca="1" si="27"/>
        <v>1.9093470892103726</v>
      </c>
    </row>
    <row r="284" spans="1:16" x14ac:dyDescent="0.25">
      <c r="A284">
        <v>32</v>
      </c>
      <c r="B284">
        <v>5</v>
      </c>
      <c r="C284" s="2" t="s">
        <v>31</v>
      </c>
      <c r="D284" s="2" t="s">
        <v>4</v>
      </c>
      <c r="E284" s="11" cm="1">
        <f t="array" aca="1" ref="E284" ca="1">INDEX('OD flujo mercancia multimodal'!E$45:E$1645,MATCH(C284&amp;D284,'OD flujo mercancia multimodal'!C$45:C$1645&amp;'OD flujo mercancia multimodal'!D$45:D$1645,0))</f>
        <v>64983.719780219821</v>
      </c>
      <c r="F284" s="11" cm="1">
        <f t="array" aca="1" ref="F284" ca="1">INDEX('OD flujo mercancia carretera'!E$45:E$1646,MATCH(C284&amp;D284,'OD flujo mercancia carretera'!C$45:C$1646&amp;'OD flujo mercancia carretera'!D$45:D$1646,0))</f>
        <v>109467.06153846149</v>
      </c>
      <c r="G284" s="11" cm="1">
        <f t="array" aca="1" ref="G284" ca="1">INDEX('Coste Carretera'!E$46:E$1646,MATCH(C284&amp;D284,'Coste Carretera'!C$46:C$1646&amp;'Coste Carretera'!D$46:D$1646,0))</f>
        <v>1275351038.0000007</v>
      </c>
      <c r="H284" s="11" cm="1">
        <f t="array" aca="1" ref="H284" ca="1">INDEX('Coste multimodal'!E$46:E$1646,MATCH(C284&amp;D284,'Coste multimodal'!C$46:C$1646&amp;'Coste multimodal'!D$46:D$1646,0))</f>
        <v>322320698.12772495</v>
      </c>
      <c r="I284" s="12" cm="1">
        <f t="array" aca="1" ref="I284" ca="1">INDEX('Tiempos intermodal (horas)'!E$45:E$1645,MATCH(C284&amp;D284,'Tiempos intermodal (horas)'!C$45:C$1645&amp;'Tiempos intermodal (horas)'!D$45:D$1645,0))</f>
        <v>27.204605536933418</v>
      </c>
      <c r="J284" s="2" cm="1">
        <f t="array" aca="1" ref="J284" ca="1">INDEX('Tiempos carretera (horas)'!E$45:E$1645,MATCH(C284&amp;D284,'Tiempos carretera (horas)'!C$45:C$1645&amp;'Tiempos carretera (horas)'!D$45:D$1645,0))</f>
        <v>2.2599999999999998</v>
      </c>
      <c r="K284" s="12">
        <f t="shared" ca="1" si="24"/>
        <v>11.650546018830545</v>
      </c>
      <c r="L284" s="12">
        <f t="shared" ca="1" si="25"/>
        <v>4.9600222827785103</v>
      </c>
      <c r="M284" s="12">
        <f t="shared" ca="1" si="26"/>
        <v>0.37250460725371909</v>
      </c>
      <c r="N284" s="13">
        <f t="shared" ca="1" si="28"/>
        <v>6.6905237360520342</v>
      </c>
      <c r="O284" s="13">
        <f t="shared" ca="1" si="29"/>
        <v>-24.944605536933416</v>
      </c>
      <c r="P284" s="12">
        <f t="shared" ca="1" si="27"/>
        <v>0.52148692253249673</v>
      </c>
    </row>
    <row r="285" spans="1:16" x14ac:dyDescent="0.25">
      <c r="A285">
        <v>1</v>
      </c>
      <c r="B285">
        <v>5</v>
      </c>
      <c r="C285" s="2" t="s">
        <v>0</v>
      </c>
      <c r="D285" s="2" t="s">
        <v>4</v>
      </c>
      <c r="E285" s="11" cm="1">
        <f t="array" aca="1" ref="E285" ca="1">INDEX('OD flujo mercancia multimodal'!E$45:E$1645,MATCH(C285&amp;D285,'OD flujo mercancia multimodal'!C$45:C$1645&amp;'OD flujo mercancia multimodal'!D$45:D$1645,0))</f>
        <v>150496.71428571432</v>
      </c>
      <c r="F285" s="11" cm="1">
        <f t="array" aca="1" ref="F285" ca="1">INDEX('OD flujo mercancia carretera'!E$45:E$1646,MATCH(C285&amp;D285,'OD flujo mercancia carretera'!C$45:C$1646&amp;'OD flujo mercancia carretera'!D$45:D$1646,0))</f>
        <v>110887.4615384615</v>
      </c>
      <c r="G285" s="11" cm="1">
        <f t="array" aca="1" ref="G285" ca="1">INDEX('Coste Carretera'!E$46:E$1646,MATCH(C285&amp;D285,'Coste Carretera'!C$46:C$1646&amp;'Coste Carretera'!D$46:D$1646,0))</f>
        <v>4363056263.7257147</v>
      </c>
      <c r="H285" s="11" cm="1">
        <f t="array" aca="1" ref="H285" ca="1">INDEX('Coste multimodal'!E$46:E$1646,MATCH(C285&amp;D285,'Coste multimodal'!C$46:C$1646&amp;'Coste multimodal'!D$46:D$1646,0))</f>
        <v>924782667.73708987</v>
      </c>
      <c r="I285" s="12" cm="1">
        <f t="array" aca="1" ref="I285" ca="1">INDEX('Tiempos intermodal (horas)'!E$45:E$1645,MATCH(C285&amp;D285,'Tiempos intermodal (horas)'!C$45:C$1645&amp;'Tiempos intermodal (horas)'!D$45:D$1645,0))</f>
        <v>31.280547182925115</v>
      </c>
      <c r="J285" s="2" cm="1">
        <f t="array" aca="1" ref="J285" ca="1">INDEX('Tiempos carretera (horas)'!E$45:E$1645,MATCH(C285&amp;D285,'Tiempos carretera (horas)'!C$45:C$1645&amp;'Tiempos carretera (horas)'!D$45:D$1645,0))</f>
        <v>6</v>
      </c>
      <c r="K285" s="12">
        <f t="shared" ca="1" si="24"/>
        <v>39.346705237835941</v>
      </c>
      <c r="L285" s="12">
        <f t="shared" ca="1" si="25"/>
        <v>6.1448694885219393</v>
      </c>
      <c r="M285" s="12">
        <f t="shared" ca="1" si="26"/>
        <v>0.57576826833981065</v>
      </c>
      <c r="N285" s="13">
        <f t="shared" ca="1" si="28"/>
        <v>33.201835749314</v>
      </c>
      <c r="O285" s="13">
        <f t="shared" ca="1" si="29"/>
        <v>-25.280547182925115</v>
      </c>
      <c r="P285" s="12">
        <f t="shared" ca="1" si="27"/>
        <v>-0.30542542496724046</v>
      </c>
    </row>
    <row r="286" spans="1:16" x14ac:dyDescent="0.25">
      <c r="A286">
        <v>5</v>
      </c>
      <c r="B286">
        <v>1</v>
      </c>
      <c r="C286" s="2" t="s">
        <v>4</v>
      </c>
      <c r="D286" s="2" t="s">
        <v>0</v>
      </c>
      <c r="E286" s="11" cm="1">
        <f t="array" aca="1" ref="E286" ca="1">INDEX('OD flujo mercancia multimodal'!E$45:E$1645,MATCH(C286&amp;D286,'OD flujo mercancia multimodal'!C$45:C$1645&amp;'OD flujo mercancia multimodal'!D$45:D$1645,0))</f>
        <v>139023.14285714284</v>
      </c>
      <c r="F286" s="11" cm="1">
        <f t="array" aca="1" ref="F286" ca="1">INDEX('OD flujo mercancia carretera'!E$45:E$1646,MATCH(C286&amp;D286,'OD flujo mercancia carretera'!C$45:C$1646&amp;'OD flujo mercancia carretera'!D$45:D$1646,0))</f>
        <v>113793.92307692312</v>
      </c>
      <c r="G286" s="11" cm="1">
        <f t="array" aca="1" ref="G286" ca="1">INDEX('Coste Carretera'!E$46:E$1646,MATCH(C286&amp;D286,'Coste Carretera'!C$46:C$1646&amp;'Coste Carretera'!D$46:D$1646,0))</f>
        <v>4030425495.4971423</v>
      </c>
      <c r="H286" s="11" cm="1">
        <f t="array" aca="1" ref="H286" ca="1">INDEX('Coste multimodal'!E$46:E$1646,MATCH(C286&amp;D286,'Coste multimodal'!C$46:C$1646&amp;'Coste multimodal'!D$46:D$1646,0))</f>
        <v>924782667.73708987</v>
      </c>
      <c r="I286" s="12" cm="1">
        <f t="array" aca="1" ref="I286" ca="1">INDEX('Tiempos intermodal (horas)'!E$45:E$1645,MATCH(C286&amp;D286,'Tiempos intermodal (horas)'!C$45:C$1645&amp;'Tiempos intermodal (horas)'!D$45:D$1645,0))</f>
        <v>31.280547182925115</v>
      </c>
      <c r="J286" s="2" cm="1">
        <f t="array" aca="1" ref="J286" ca="1">INDEX('Tiempos carretera (horas)'!E$45:E$1645,MATCH(C286&amp;D286,'Tiempos carretera (horas)'!C$45:C$1645&amp;'Tiempos carretera (horas)'!D$45:D$1645,0))</f>
        <v>6</v>
      </c>
      <c r="K286" s="12">
        <f t="shared" ca="1" si="24"/>
        <v>35.418635604755714</v>
      </c>
      <c r="L286" s="12">
        <f t="shared" ca="1" si="25"/>
        <v>6.65200518943365</v>
      </c>
      <c r="M286" s="12">
        <f t="shared" ca="1" si="26"/>
        <v>0.54989619606375673</v>
      </c>
      <c r="N286" s="13">
        <f t="shared" ca="1" si="28"/>
        <v>28.766630415322062</v>
      </c>
      <c r="O286" s="13">
        <f t="shared" ca="1" si="29"/>
        <v>-25.280547182925115</v>
      </c>
      <c r="P286" s="12">
        <f t="shared" ca="1" si="27"/>
        <v>-0.2002512944076428</v>
      </c>
    </row>
    <row r="287" spans="1:16" x14ac:dyDescent="0.25">
      <c r="A287">
        <v>32</v>
      </c>
      <c r="B287">
        <v>7</v>
      </c>
      <c r="C287" s="2" t="s">
        <v>31</v>
      </c>
      <c r="D287" s="2" t="s">
        <v>6</v>
      </c>
      <c r="E287" s="11" cm="1">
        <f t="array" aca="1" ref="E287" ca="1">INDEX('OD flujo mercancia multimodal'!E$45:E$1645,MATCH(C287&amp;D287,'OD flujo mercancia multimodal'!C$45:C$1645&amp;'OD flujo mercancia multimodal'!D$45:D$1645,0))</f>
        <v>5061.862637362633</v>
      </c>
      <c r="F287" s="11" cm="1">
        <f t="array" aca="1" ref="F287" ca="1">INDEX('OD flujo mercancia carretera'!E$45:E$1646,MATCH(C287&amp;D287,'OD flujo mercancia carretera'!C$45:C$1646&amp;'OD flujo mercancia carretera'!D$45:D$1646,0))</f>
        <v>108802.67692307688</v>
      </c>
      <c r="G287" s="11" cm="1">
        <f t="array" aca="1" ref="G287" ca="1">INDEX('Coste Carretera'!E$46:E$1646,MATCH(C287&amp;D287,'Coste Carretera'!C$46:C$1646&amp;'Coste Carretera'!D$46:D$1646,0))</f>
        <v>134800736.7599999</v>
      </c>
      <c r="H287" s="11" cm="1">
        <f t="array" aca="1" ref="H287" ca="1">INDEX('Coste multimodal'!E$46:E$1646,MATCH(C287&amp;D287,'Coste multimodal'!C$46:C$1646&amp;'Coste multimodal'!D$46:D$1646,0))</f>
        <v>303088474.35629636</v>
      </c>
      <c r="I287" s="12" cm="1">
        <f t="array" aca="1" ref="I287" ca="1">INDEX('Tiempos intermodal (horas)'!E$45:E$1645,MATCH(C287&amp;D287,'Tiempos intermodal (horas)'!C$45:C$1645&amp;'Tiempos intermodal (horas)'!D$45:D$1645,0))</f>
        <v>27.643494425822308</v>
      </c>
      <c r="J287" s="2" cm="1">
        <f t="array" aca="1" ref="J287" ca="1">INDEX('Tiempos carretera (horas)'!E$45:E$1645,MATCH(C287&amp;D287,'Tiempos carretera (horas)'!C$45:C$1645&amp;'Tiempos carretera (horas)'!D$45:D$1645,0))</f>
        <v>2.36</v>
      </c>
      <c r="K287" s="12">
        <f t="shared" ca="1" si="24"/>
        <v>1.2389468767878162</v>
      </c>
      <c r="L287" s="12">
        <f t="shared" ca="1" si="25"/>
        <v>59.876866693129713</v>
      </c>
      <c r="M287" s="12">
        <f t="shared" ca="1" si="26"/>
        <v>4.4455127618337989E-2</v>
      </c>
      <c r="N287" s="13">
        <f t="shared" ca="1" si="28"/>
        <v>-58.637919816341899</v>
      </c>
      <c r="O287" s="13">
        <f t="shared" ca="1" si="29"/>
        <v>-25.283494425822308</v>
      </c>
      <c r="P287" s="12">
        <f t="shared" ca="1" si="27"/>
        <v>3.067801412477392</v>
      </c>
    </row>
    <row r="288" spans="1:16" x14ac:dyDescent="0.25">
      <c r="A288">
        <v>7</v>
      </c>
      <c r="B288">
        <v>32</v>
      </c>
      <c r="C288" s="2" t="s">
        <v>6</v>
      </c>
      <c r="D288" s="2" t="s">
        <v>31</v>
      </c>
      <c r="E288" s="11" cm="1">
        <f t="array" aca="1" ref="E288" ca="1">INDEX('OD flujo mercancia multimodal'!E$45:E$1645,MATCH(C288&amp;D288,'OD flujo mercancia multimodal'!C$45:C$1645&amp;'OD flujo mercancia multimodal'!D$45:D$1645,0))</f>
        <v>3292.5274725274721</v>
      </c>
      <c r="F288" s="11" cm="1">
        <f t="array" aca="1" ref="F288" ca="1">INDEX('OD flujo mercancia carretera'!E$45:E$1646,MATCH(C288&amp;D288,'OD flujo mercancia carretera'!C$45:C$1646&amp;'OD flujo mercancia carretera'!D$45:D$1646,0))</f>
        <v>105916.19230769231</v>
      </c>
      <c r="G288" s="11" cm="1">
        <f t="array" aca="1" ref="G288" ca="1">INDEX('Coste Carretera'!E$46:E$1646,MATCH(C288&amp;D288,'Coste Carretera'!C$46:C$1646&amp;'Coste Carretera'!D$46:D$1646,0))</f>
        <v>108148893.12000005</v>
      </c>
      <c r="H288" s="11" cm="1">
        <f t="array" aca="1" ref="H288" ca="1">INDEX('Coste multimodal'!E$46:E$1646,MATCH(C288&amp;D288,'Coste multimodal'!C$46:C$1646&amp;'Coste multimodal'!D$46:D$1646,0))</f>
        <v>303088474.35629636</v>
      </c>
      <c r="I288" s="12" cm="1">
        <f t="array" aca="1" ref="I288" ca="1">INDEX('Tiempos intermodal (horas)'!E$45:E$1645,MATCH(C288&amp;D288,'Tiempos intermodal (horas)'!C$45:C$1645&amp;'Tiempos intermodal (horas)'!D$45:D$1645,0))</f>
        <v>27.643494425822308</v>
      </c>
      <c r="J288" s="2" cm="1">
        <f t="array" aca="1" ref="J288" ca="1">INDEX('Tiempos carretera (horas)'!E$45:E$1645,MATCH(C288&amp;D288,'Tiempos carretera (horas)'!C$45:C$1645&amp;'Tiempos carretera (horas)'!D$45:D$1645,0))</f>
        <v>2.36</v>
      </c>
      <c r="K288" s="12">
        <f t="shared" ca="1" si="24"/>
        <v>1.0210798817788087</v>
      </c>
      <c r="L288" s="12">
        <f t="shared" ca="1" si="25"/>
        <v>92.053438243184601</v>
      </c>
      <c r="M288" s="12">
        <f t="shared" ca="1" si="26"/>
        <v>3.0148943043683814E-2</v>
      </c>
      <c r="N288" s="13">
        <f t="shared" ca="1" si="28"/>
        <v>-91.032358361405798</v>
      </c>
      <c r="O288" s="13">
        <f t="shared" ca="1" si="29"/>
        <v>-25.283494425822308</v>
      </c>
      <c r="P288" s="12">
        <f t="shared" ca="1" si="27"/>
        <v>3.4709926442134589</v>
      </c>
    </row>
    <row r="289" spans="1:16" x14ac:dyDescent="0.25">
      <c r="A289">
        <v>6</v>
      </c>
      <c r="B289">
        <v>32</v>
      </c>
      <c r="C289" s="2" t="s">
        <v>5</v>
      </c>
      <c r="D289" s="2" t="s">
        <v>31</v>
      </c>
      <c r="E289" s="11" cm="1">
        <f t="array" aca="1" ref="E289" ca="1">INDEX('OD flujo mercancia multimodal'!E$45:E$1645,MATCH(C289&amp;D289,'OD flujo mercancia multimodal'!C$45:C$1645&amp;'OD flujo mercancia multimodal'!D$45:D$1645,0))</f>
        <v>11997.598901098901</v>
      </c>
      <c r="F289" s="11" cm="1">
        <f t="array" aca="1" ref="F289" ca="1">INDEX('OD flujo mercancia carretera'!E$45:E$1646,MATCH(C289&amp;D289,'OD flujo mercancia carretera'!C$45:C$1646&amp;'OD flujo mercancia carretera'!D$45:D$1646,0))</f>
        <v>177609.19963369961</v>
      </c>
      <c r="G289" s="11" cm="1">
        <f t="array" aca="1" ref="G289" ca="1">INDEX('Coste Carretera'!E$46:E$1646,MATCH(C289&amp;D289,'Coste Carretera'!C$46:C$1646&amp;'Coste Carretera'!D$46:D$1646,0))</f>
        <v>437802836.69428569</v>
      </c>
      <c r="H289" s="11" cm="1">
        <f t="array" aca="1" ref="H289" ca="1">INDEX('Coste multimodal'!E$46:E$1646,MATCH(C289&amp;D289,'Coste multimodal'!C$46:C$1646&amp;'Coste multimodal'!D$46:D$1646,0))</f>
        <v>441777471.89058208</v>
      </c>
      <c r="I289" s="12" cm="1">
        <f t="array" aca="1" ref="I289" ca="1">INDEX('Tiempos intermodal (horas)'!E$45:E$1645,MATCH(C289&amp;D289,'Tiempos intermodal (horas)'!C$45:C$1645&amp;'Tiempos intermodal (horas)'!D$45:D$1645,0))</f>
        <v>29.749049981377862</v>
      </c>
      <c r="J289" s="2" cm="1">
        <f t="array" aca="1" ref="J289" ca="1">INDEX('Tiempos carretera (horas)'!E$45:E$1645,MATCH(C289&amp;D289,'Tiempos carretera (horas)'!C$45:C$1645&amp;'Tiempos carretera (horas)'!D$45:D$1645,0))</f>
        <v>4.4000000000000004</v>
      </c>
      <c r="K289" s="12">
        <f t="shared" ca="1" si="24"/>
        <v>2.4649783772305054</v>
      </c>
      <c r="L289" s="12">
        <f t="shared" ca="1" si="25"/>
        <v>36.822157127633112</v>
      </c>
      <c r="M289" s="12">
        <f t="shared" ca="1" si="26"/>
        <v>6.3276206305951543E-2</v>
      </c>
      <c r="N289" s="13">
        <f t="shared" ca="1" si="28"/>
        <v>-34.357178750402603</v>
      </c>
      <c r="O289" s="13">
        <f t="shared" ca="1" si="29"/>
        <v>-25.34904998137786</v>
      </c>
      <c r="P289" s="12">
        <f t="shared" ca="1" si="27"/>
        <v>2.6948790907638904</v>
      </c>
    </row>
    <row r="290" spans="1:16" x14ac:dyDescent="0.25">
      <c r="A290">
        <v>5</v>
      </c>
      <c r="B290">
        <v>21</v>
      </c>
      <c r="C290" s="2" t="s">
        <v>4</v>
      </c>
      <c r="D290" s="2" t="s">
        <v>20</v>
      </c>
      <c r="E290" s="11" cm="1">
        <f t="array" aca="1" ref="E290" ca="1">INDEX('OD flujo mercancia multimodal'!E$45:E$1645,MATCH(C290&amp;D290,'OD flujo mercancia multimodal'!C$45:C$1645&amp;'OD flujo mercancia multimodal'!D$45:D$1645,0))</f>
        <v>83847.379120879137</v>
      </c>
      <c r="F290" s="11" cm="1">
        <f t="array" aca="1" ref="F290" ca="1">INDEX('OD flujo mercancia carretera'!E$45:E$1646,MATCH(C290&amp;D290,'OD flujo mercancia carretera'!C$45:C$1646&amp;'OD flujo mercancia carretera'!D$45:D$1646,0))</f>
        <v>172538.4102564099</v>
      </c>
      <c r="G290" s="11" cm="1">
        <f t="array" aca="1" ref="G290" ca="1">INDEX('Coste Carretera'!E$46:E$1646,MATCH(C290&amp;D290,'Coste Carretera'!C$46:C$1646&amp;'Coste Carretera'!D$46:D$1646,0))</f>
        <v>4240728770.425715</v>
      </c>
      <c r="H290" s="11" cm="1">
        <f t="array" aca="1" ref="H290" ca="1">INDEX('Coste multimodal'!E$46:E$1646,MATCH(C290&amp;D290,'Coste multimodal'!C$46:C$1646&amp;'Coste multimodal'!D$46:D$1646,0))</f>
        <v>449485085.56137317</v>
      </c>
      <c r="I290" s="12" cm="1">
        <f t="array" aca="1" ref="I290" ca="1">INDEX('Tiempos intermodal (horas)'!E$45:E$1645,MATCH(C290&amp;D290,'Tiempos intermodal (horas)'!C$45:C$1645&amp;'Tiempos intermodal (horas)'!D$45:D$1645,0))</f>
        <v>33.683888929945574</v>
      </c>
      <c r="J290" s="2" cm="1">
        <f t="array" aca="1" ref="J290" ca="1">INDEX('Tiempos carretera (horas)'!E$45:E$1645,MATCH(C290&amp;D290,'Tiempos carretera (horas)'!C$45:C$1645&amp;'Tiempos carretera (horas)'!D$45:D$1645,0))</f>
        <v>8.33</v>
      </c>
      <c r="K290" s="12">
        <f t="shared" ca="1" si="24"/>
        <v>24.578462060265615</v>
      </c>
      <c r="L290" s="12">
        <f t="shared" ca="1" si="25"/>
        <v>5.3607529570288648</v>
      </c>
      <c r="M290" s="12">
        <f t="shared" ca="1" si="26"/>
        <v>0.32703598481229412</v>
      </c>
      <c r="N290" s="13">
        <f t="shared" ca="1" si="28"/>
        <v>19.21770910323675</v>
      </c>
      <c r="O290" s="13">
        <f t="shared" ca="1" si="29"/>
        <v>-25.353888929945576</v>
      </c>
      <c r="P290" s="12">
        <f t="shared" ca="1" si="27"/>
        <v>0.72162164881447988</v>
      </c>
    </row>
    <row r="291" spans="1:16" x14ac:dyDescent="0.25">
      <c r="A291">
        <v>35</v>
      </c>
      <c r="B291">
        <v>8</v>
      </c>
      <c r="C291" s="2" t="s">
        <v>34</v>
      </c>
      <c r="D291" s="2" t="s">
        <v>7</v>
      </c>
      <c r="E291" s="11" cm="1">
        <f t="array" aca="1" ref="E291" ca="1">INDEX('OD flujo mercancia multimodal'!E$45:E$1645,MATCH(C291&amp;D291,'OD flujo mercancia multimodal'!C$45:C$1645&amp;'OD flujo mercancia multimodal'!D$45:D$1645,0))</f>
        <v>44346.164835164789</v>
      </c>
      <c r="F291" s="11" cm="1">
        <f t="array" aca="1" ref="F291" ca="1">INDEX('OD flujo mercancia carretera'!E$45:E$1646,MATCH(C291&amp;D291,'OD flujo mercancia carretera'!C$45:C$1646&amp;'OD flujo mercancia carretera'!D$45:D$1646,0))</f>
        <v>133918.23076923061</v>
      </c>
      <c r="G291" s="11" cm="1">
        <f t="array" aca="1" ref="G291" ca="1">INDEX('Coste Carretera'!E$46:E$1646,MATCH(C291&amp;D291,'Coste Carretera'!C$46:C$1646&amp;'Coste Carretera'!D$46:D$1646,0))</f>
        <v>2768849217.8342857</v>
      </c>
      <c r="H291" s="11" cm="1">
        <f t="array" aca="1" ref="H291" ca="1">INDEX('Coste multimodal'!E$46:E$1646,MATCH(C291&amp;D291,'Coste multimodal'!C$46:C$1646&amp;'Coste multimodal'!D$46:D$1646,0))</f>
        <v>2105528707.8739491</v>
      </c>
      <c r="I291" s="12" cm="1">
        <f t="array" aca="1" ref="I291" ca="1">INDEX('Tiempos intermodal (horas)'!E$45:E$1645,MATCH(C291&amp;D291,'Tiempos intermodal (horas)'!C$45:C$1645&amp;'Tiempos intermodal (horas)'!D$45:D$1645,0))</f>
        <v>26.928305077538475</v>
      </c>
      <c r="J291" s="2" cm="1">
        <f t="array" aca="1" ref="J291" ca="1">INDEX('Tiempos carretera (horas)'!E$45:E$1645,MATCH(C291&amp;D291,'Tiempos carretera (horas)'!C$45:C$1645&amp;'Tiempos carretera (horas)'!D$45:D$1645,0))</f>
        <v>3.58</v>
      </c>
      <c r="K291" s="12">
        <f t="shared" ca="1" si="24"/>
        <v>20.675670533652717</v>
      </c>
      <c r="L291" s="12">
        <f t="shared" ca="1" si="25"/>
        <v>47.479386677522712</v>
      </c>
      <c r="M291" s="12">
        <f t="shared" ca="1" si="26"/>
        <v>0.248766247936452</v>
      </c>
      <c r="N291" s="13">
        <f t="shared" ca="1" si="28"/>
        <v>-26.803716143869995</v>
      </c>
      <c r="O291" s="13">
        <f t="shared" ca="1" si="29"/>
        <v>-23.348305077538477</v>
      </c>
      <c r="P291" s="12">
        <f t="shared" ca="1" si="27"/>
        <v>1.1052031655036625</v>
      </c>
    </row>
    <row r="292" spans="1:16" x14ac:dyDescent="0.25">
      <c r="A292">
        <v>8</v>
      </c>
      <c r="B292">
        <v>35</v>
      </c>
      <c r="C292" s="2" t="s">
        <v>7</v>
      </c>
      <c r="D292" s="2" t="s">
        <v>34</v>
      </c>
      <c r="E292" s="11" cm="1">
        <f t="array" aca="1" ref="E292" ca="1">INDEX('OD flujo mercancia multimodal'!E$45:E$1645,MATCH(C292&amp;D292,'OD flujo mercancia multimodal'!C$45:C$1645&amp;'OD flujo mercancia multimodal'!D$45:D$1645,0))</f>
        <v>30055.25824175826</v>
      </c>
      <c r="F292" s="11" cm="1">
        <f t="array" aca="1" ref="F292" ca="1">INDEX('OD flujo mercancia carretera'!E$45:E$1646,MATCH(C292&amp;D292,'OD flujo mercancia carretera'!C$45:C$1646&amp;'OD flujo mercancia carretera'!D$45:D$1646,0))</f>
        <v>132594.46153846159</v>
      </c>
      <c r="G292" s="11" cm="1">
        <f t="array" aca="1" ref="G292" ca="1">INDEX('Coste Carretera'!E$46:E$1646,MATCH(C292&amp;D292,'Coste Carretera'!C$46:C$1646&amp;'Coste Carretera'!D$46:D$1646,0))</f>
        <v>5280199596.7857189</v>
      </c>
      <c r="H292" s="11" cm="1">
        <f t="array" aca="1" ref="H292" ca="1">INDEX('Coste multimodal'!E$46:E$1646,MATCH(C292&amp;D292,'Coste multimodal'!C$46:C$1646&amp;'Coste multimodal'!D$46:D$1646,0))</f>
        <v>2105528707.8739491</v>
      </c>
      <c r="I292" s="12" cm="1">
        <f t="array" aca="1" ref="I292" ca="1">INDEX('Tiempos intermodal (horas)'!E$45:E$1645,MATCH(C292&amp;D292,'Tiempos intermodal (horas)'!C$45:C$1645&amp;'Tiempos intermodal (horas)'!D$45:D$1645,0))</f>
        <v>26.928305077538475</v>
      </c>
      <c r="J292" s="2" cm="1">
        <f t="array" aca="1" ref="J292" ca="1">INDEX('Tiempos carretera (horas)'!E$45:E$1645,MATCH(C292&amp;D292,'Tiempos carretera (horas)'!C$45:C$1645&amp;'Tiempos carretera (horas)'!D$45:D$1645,0))</f>
        <v>3.58</v>
      </c>
      <c r="K292" s="12">
        <f t="shared" ca="1" si="24"/>
        <v>39.822173079635718</v>
      </c>
      <c r="L292" s="12">
        <f t="shared" ca="1" si="25"/>
        <v>70.055252592990982</v>
      </c>
      <c r="M292" s="12">
        <f t="shared" ca="1" si="26"/>
        <v>0.18478518304470723</v>
      </c>
      <c r="N292" s="13">
        <f t="shared" ca="1" si="28"/>
        <v>-30.233079513355264</v>
      </c>
      <c r="O292" s="13">
        <f t="shared" ca="1" si="29"/>
        <v>-23.348305077538477</v>
      </c>
      <c r="P292" s="12">
        <f t="shared" ca="1" si="27"/>
        <v>1.4842576799326235</v>
      </c>
    </row>
    <row r="293" spans="1:16" x14ac:dyDescent="0.25">
      <c r="A293">
        <v>10</v>
      </c>
      <c r="B293">
        <v>2</v>
      </c>
      <c r="C293" s="2" t="s">
        <v>9</v>
      </c>
      <c r="D293" s="2" t="s">
        <v>1</v>
      </c>
      <c r="E293" s="11" cm="1">
        <f t="array" aca="1" ref="E293" ca="1">INDEX('OD flujo mercancia multimodal'!E$45:E$1645,MATCH(C293&amp;D293,'OD flujo mercancia multimodal'!C$45:C$1645&amp;'OD flujo mercancia multimodal'!D$45:D$1645,0))</f>
        <v>35270.642857142826</v>
      </c>
      <c r="F293" s="11" cm="1">
        <f t="array" aca="1" ref="F293" ca="1">INDEX('OD flujo mercancia carretera'!E$45:E$1646,MATCH(C293&amp;D293,'OD flujo mercancia carretera'!C$45:C$1646&amp;'OD flujo mercancia carretera'!D$45:D$1646,0))</f>
        <v>129585.15384615387</v>
      </c>
      <c r="G293" s="11" cm="1">
        <f t="array" aca="1" ref="G293" ca="1">INDEX('Coste Carretera'!E$46:E$1646,MATCH(C293&amp;D293,'Coste Carretera'!C$46:C$1646&amp;'Coste Carretera'!D$46:D$1646,0))</f>
        <v>1272608529.8828561</v>
      </c>
      <c r="H293" s="11" cm="1">
        <f t="array" aca="1" ref="H293" ca="1">INDEX('Coste multimodal'!E$46:E$1646,MATCH(C293&amp;D293,'Coste multimodal'!C$46:C$1646&amp;'Coste multimodal'!D$46:D$1646,0))</f>
        <v>873873651.21137571</v>
      </c>
      <c r="I293" s="12" cm="1">
        <f t="array" aca="1" ref="I293" ca="1">INDEX('Tiempos intermodal (horas)'!E$45:E$1645,MATCH(C293&amp;D293,'Tiempos intermodal (horas)'!C$45:C$1645&amp;'Tiempos intermodal (horas)'!D$45:D$1645,0))</f>
        <v>32.646102738480671</v>
      </c>
      <c r="J293" s="2" cm="1">
        <f t="array" aca="1" ref="J293" ca="1">INDEX('Tiempos carretera (horas)'!E$45:E$1645,MATCH(C293&amp;D293,'Tiempos carretera (horas)'!C$45:C$1645&amp;'Tiempos carretera (horas)'!D$45:D$1645,0))</f>
        <v>7.28</v>
      </c>
      <c r="K293" s="12">
        <f t="shared" ca="1" si="24"/>
        <v>9.8206352511162116</v>
      </c>
      <c r="L293" s="12">
        <f t="shared" ca="1" si="25"/>
        <v>24.776232595216317</v>
      </c>
      <c r="M293" s="12">
        <f t="shared" ca="1" si="26"/>
        <v>0.21394845411849264</v>
      </c>
      <c r="N293" s="13">
        <f t="shared" ca="1" si="28"/>
        <v>-14.955597344100106</v>
      </c>
      <c r="O293" s="13">
        <f t="shared" ca="1" si="29"/>
        <v>-25.36610273848067</v>
      </c>
      <c r="P293" s="12">
        <f t="shared" ca="1" si="27"/>
        <v>1.3012872528776747</v>
      </c>
    </row>
    <row r="294" spans="1:16" x14ac:dyDescent="0.25">
      <c r="A294">
        <v>2</v>
      </c>
      <c r="B294">
        <v>10</v>
      </c>
      <c r="C294" s="2" t="s">
        <v>1</v>
      </c>
      <c r="D294" s="2" t="s">
        <v>9</v>
      </c>
      <c r="E294" s="11" cm="1">
        <f t="array" aca="1" ref="E294" ca="1">INDEX('OD flujo mercancia multimodal'!E$45:E$1645,MATCH(C294&amp;D294,'OD flujo mercancia multimodal'!C$45:C$1645&amp;'OD flujo mercancia multimodal'!D$45:D$1645,0))</f>
        <v>27500.214285714301</v>
      </c>
      <c r="F294" s="11" cm="1">
        <f t="array" aca="1" ref="F294" ca="1">INDEX('OD flujo mercancia carretera'!E$45:E$1646,MATCH(C294&amp;D294,'OD flujo mercancia carretera'!C$45:C$1646&amp;'OD flujo mercancia carretera'!D$45:D$1646,0))</f>
        <v>133097.92307692312</v>
      </c>
      <c r="G294" s="11" cm="1">
        <f t="array" aca="1" ref="G294" ca="1">INDEX('Coste Carretera'!E$46:E$1646,MATCH(C294&amp;D294,'Coste Carretera'!C$46:C$1646&amp;'Coste Carretera'!D$46:D$1646,0))</f>
        <v>992241831.69428623</v>
      </c>
      <c r="H294" s="11" cm="1">
        <f t="array" aca="1" ref="H294" ca="1">INDEX('Coste multimodal'!E$46:E$1646,MATCH(C294&amp;D294,'Coste multimodal'!C$46:C$1646&amp;'Coste multimodal'!D$46:D$1646,0))</f>
        <v>873873651.21137571</v>
      </c>
      <c r="I294" s="12" cm="1">
        <f t="array" aca="1" ref="I294" ca="1">INDEX('Tiempos intermodal (horas)'!E$45:E$1645,MATCH(C294&amp;D294,'Tiempos intermodal (horas)'!C$45:C$1645&amp;'Tiempos intermodal (horas)'!D$45:D$1645,0))</f>
        <v>32.646102738480671</v>
      </c>
      <c r="J294" s="2" cm="1">
        <f t="array" aca="1" ref="J294" ca="1">INDEX('Tiempos carretera (horas)'!E$45:E$1645,MATCH(C294&amp;D294,'Tiempos carretera (horas)'!C$45:C$1645&amp;'Tiempos carretera (horas)'!D$45:D$1645,0))</f>
        <v>7.28</v>
      </c>
      <c r="K294" s="12">
        <f t="shared" ca="1" si="24"/>
        <v>7.4549760714209361</v>
      </c>
      <c r="L294" s="12">
        <f t="shared" ca="1" si="25"/>
        <v>31.776976067613116</v>
      </c>
      <c r="M294" s="12">
        <f t="shared" ca="1" si="26"/>
        <v>0.17123619699036516</v>
      </c>
      <c r="N294" s="13">
        <f t="shared" ca="1" si="28"/>
        <v>-24.321999996192179</v>
      </c>
      <c r="O294" s="13">
        <f t="shared" ca="1" si="29"/>
        <v>-25.36610273848067</v>
      </c>
      <c r="P294" s="12">
        <f t="shared" ca="1" si="27"/>
        <v>1.5768913241988793</v>
      </c>
    </row>
    <row r="295" spans="1:16" x14ac:dyDescent="0.25">
      <c r="A295">
        <v>34</v>
      </c>
      <c r="B295">
        <v>6</v>
      </c>
      <c r="C295" s="2" t="s">
        <v>33</v>
      </c>
      <c r="D295" s="2" t="s">
        <v>5</v>
      </c>
      <c r="E295" s="11" cm="1">
        <f t="array" aca="1" ref="E295" ca="1">INDEX('OD flujo mercancia multimodal'!E$45:E$1645,MATCH(C295&amp;D295,'OD flujo mercancia multimodal'!C$45:C$1645&amp;'OD flujo mercancia multimodal'!D$45:D$1645,0))</f>
        <v>137877.55494505493</v>
      </c>
      <c r="F295" s="11" cm="1">
        <f t="array" aca="1" ref="F295" ca="1">INDEX('OD flujo mercancia carretera'!E$45:E$1646,MATCH(C295&amp;D295,'OD flujo mercancia carretera'!C$45:C$1646&amp;'OD flujo mercancia carretera'!D$45:D$1646,0))</f>
        <v>403275.99938949948</v>
      </c>
      <c r="G295" s="11" cm="1">
        <f t="array" aca="1" ref="G295" ca="1">INDEX('Coste Carretera'!E$46:E$1646,MATCH(C295&amp;D295,'Coste Carretera'!C$46:C$1646&amp;'Coste Carretera'!D$46:D$1646,0))</f>
        <v>1641962706.4999995</v>
      </c>
      <c r="H295" s="11" cm="1">
        <f t="array" aca="1" ref="H295" ca="1">INDEX('Coste multimodal'!E$46:E$1646,MATCH(C295&amp;D295,'Coste multimodal'!C$46:C$1646&amp;'Coste multimodal'!D$46:D$1646,0))</f>
        <v>3315514687.8260989</v>
      </c>
      <c r="I295" s="12" cm="1">
        <f t="array" aca="1" ref="I295" ca="1">INDEX('Tiempos intermodal (horas)'!E$45:E$1645,MATCH(C295&amp;D295,'Tiempos intermodal (horas)'!C$45:C$1645&amp;'Tiempos intermodal (horas)'!D$45:D$1645,0))</f>
        <v>30.583514125697963</v>
      </c>
      <c r="J295" s="2" cm="1">
        <f t="array" aca="1" ref="J295" ca="1">INDEX('Tiempos carretera (horas)'!E$45:E$1645,MATCH(C295&amp;D295,'Tiempos carretera (horas)'!C$45:C$1645&amp;'Tiempos carretera (horas)'!D$45:D$1645,0))</f>
        <v>7.48</v>
      </c>
      <c r="K295" s="12">
        <f t="shared" ca="1" si="24"/>
        <v>4.0715606904097674</v>
      </c>
      <c r="L295" s="12">
        <f t="shared" ca="1" si="25"/>
        <v>24.046805073874079</v>
      </c>
      <c r="M295" s="12">
        <f t="shared" ca="1" si="26"/>
        <v>0.25478453174829496</v>
      </c>
      <c r="N295" s="13">
        <f t="shared" ca="1" si="28"/>
        <v>-19.975244383464311</v>
      </c>
      <c r="O295" s="13">
        <f t="shared" ca="1" si="29"/>
        <v>-23.103514125697963</v>
      </c>
      <c r="P295" s="12">
        <f t="shared" ca="1" si="27"/>
        <v>1.073255181262611</v>
      </c>
    </row>
    <row r="296" spans="1:16" x14ac:dyDescent="0.25">
      <c r="A296">
        <v>9</v>
      </c>
      <c r="B296">
        <v>32</v>
      </c>
      <c r="C296" s="2" t="s">
        <v>148</v>
      </c>
      <c r="D296" s="2" t="s">
        <v>31</v>
      </c>
      <c r="E296" s="11" cm="1">
        <f t="array" aca="1" ref="E296" ca="1">INDEX('OD flujo mercancia multimodal'!E$45:E$1645,MATCH(C296&amp;D296,'OD flujo mercancia multimodal'!C$45:C$1645&amp;'OD flujo mercancia multimodal'!D$45:D$1645,0))</f>
        <v>1406.884615384615</v>
      </c>
      <c r="F296" s="11" cm="1">
        <f t="array" aca="1" ref="F296" ca="1">INDEX('OD flujo mercancia carretera'!E$45:E$1646,MATCH(C296&amp;D296,'OD flujo mercancia carretera'!C$45:C$1646&amp;'OD flujo mercancia carretera'!D$45:D$1646,0))</f>
        <v>624964.79700854712</v>
      </c>
      <c r="G296" s="11" cm="1">
        <f t="array" aca="1" ref="G296" ca="1">INDEX('Coste Carretera'!E$46:E$1646,MATCH(C296&amp;D296,'Coste Carretera'!C$46:C$1646&amp;'Coste Carretera'!D$46:D$1646,0))</f>
        <v>56122266.000000015</v>
      </c>
      <c r="H296" s="11" cm="1">
        <f t="array" aca="1" ref="H296" ca="1">INDEX('Coste multimodal'!E$46:E$1646,MATCH(C296&amp;D296,'Coste multimodal'!C$46:C$1646&amp;'Coste multimodal'!D$46:D$1646,0))</f>
        <v>358632738.45186478</v>
      </c>
      <c r="I296" s="12" cm="1">
        <f t="array" aca="1" ref="I296" ca="1">INDEX('Tiempos intermodal (horas)'!E$45:E$1645,MATCH(C296&amp;D296,'Tiempos intermodal (horas)'!C$45:C$1645&amp;'Tiempos intermodal (horas)'!D$45:D$1645,0))</f>
        <v>28.821568031654699</v>
      </c>
      <c r="J296" s="2" cm="1">
        <f t="array" aca="1" ref="J296" ca="1">INDEX('Tiempos carretera (horas)'!E$45:E$1645,MATCH(C296&amp;D296,'Tiempos carretera (horas)'!C$45:C$1645&amp;'Tiempos carretera (horas)'!D$45:D$1645,0))</f>
        <v>3.36</v>
      </c>
      <c r="K296" s="12">
        <f t="shared" ca="1" si="24"/>
        <v>8.9800683604315854E-2</v>
      </c>
      <c r="L296" s="12">
        <f t="shared" ca="1" si="25"/>
        <v>254.91268760076784</v>
      </c>
      <c r="M296" s="12">
        <f t="shared" ca="1" si="26"/>
        <v>2.2460859209616959E-3</v>
      </c>
      <c r="N296" s="13">
        <f t="shared" ca="1" si="28"/>
        <v>-254.82288691716352</v>
      </c>
      <c r="O296" s="13">
        <f t="shared" ca="1" si="29"/>
        <v>-25.4615680316547</v>
      </c>
      <c r="P296" s="12">
        <f t="shared" ca="1" si="27"/>
        <v>6.0963175561390219</v>
      </c>
    </row>
    <row r="297" spans="1:16" x14ac:dyDescent="0.25">
      <c r="A297">
        <v>32</v>
      </c>
      <c r="B297">
        <v>9</v>
      </c>
      <c r="C297" s="2" t="s">
        <v>31</v>
      </c>
      <c r="D297" s="2" t="s">
        <v>148</v>
      </c>
      <c r="E297" s="11" cm="1">
        <f t="array" aca="1" ref="E297" ca="1">INDEX('OD flujo mercancia multimodal'!E$45:E$1645,MATCH(C297&amp;D297,'OD flujo mercancia multimodal'!C$45:C$1645&amp;'OD flujo mercancia multimodal'!D$45:D$1645,0))</f>
        <v>704.53146853146802</v>
      </c>
      <c r="F297" s="11" cm="1">
        <f t="array" aca="1" ref="F297" ca="1">INDEX('OD flujo mercancia carretera'!E$45:E$1646,MATCH(C297&amp;D297,'OD flujo mercancia carretera'!C$45:C$1646&amp;'OD flujo mercancia carretera'!D$45:D$1646,0))</f>
        <v>616733.22179487196</v>
      </c>
      <c r="G297" s="11" cm="1">
        <f t="array" aca="1" ref="G297" ca="1">INDEX('Coste Carretera'!E$46:E$1646,MATCH(C297&amp;D297,'Coste Carretera'!C$46:C$1646&amp;'Coste Carretera'!D$46:D$1646,0))</f>
        <v>35519691.018181816</v>
      </c>
      <c r="H297" s="11" cm="1">
        <f t="array" aca="1" ref="H297" ca="1">INDEX('Coste multimodal'!E$46:E$1646,MATCH(C297&amp;D297,'Coste multimodal'!C$46:C$1646&amp;'Coste multimodal'!D$46:D$1646,0))</f>
        <v>358632738.45186478</v>
      </c>
      <c r="I297" s="12" cm="1">
        <f t="array" aca="1" ref="I297" ca="1">INDEX('Tiempos intermodal (horas)'!E$45:E$1645,MATCH(C297&amp;D297,'Tiempos intermodal (horas)'!C$45:C$1645&amp;'Tiempos intermodal (horas)'!D$45:D$1645,0))</f>
        <v>28.821568031654699</v>
      </c>
      <c r="J297" s="2" cm="1">
        <f t="array" aca="1" ref="J297" ca="1">INDEX('Tiempos carretera (horas)'!E$45:E$1645,MATCH(C297&amp;D297,'Tiempos carretera (horas)'!C$45:C$1645&amp;'Tiempos carretera (horas)'!D$45:D$1645,0))</f>
        <v>3.36</v>
      </c>
      <c r="K297" s="12">
        <f t="shared" ca="1" si="24"/>
        <v>5.7593283064611388E-2</v>
      </c>
      <c r="L297" s="12">
        <f t="shared" ca="1" si="25"/>
        <v>509.03721759852999</v>
      </c>
      <c r="M297" s="12">
        <f t="shared" ca="1" si="26"/>
        <v>1.1410566730131737E-3</v>
      </c>
      <c r="N297" s="13">
        <f t="shared" ca="1" si="28"/>
        <v>-508.9796243154654</v>
      </c>
      <c r="O297" s="13">
        <f t="shared" ca="1" si="29"/>
        <v>-25.4615680316547</v>
      </c>
      <c r="P297" s="12">
        <f t="shared" ca="1" si="27"/>
        <v>6.77465883156224</v>
      </c>
    </row>
    <row r="298" spans="1:16" x14ac:dyDescent="0.25">
      <c r="A298">
        <v>1</v>
      </c>
      <c r="B298">
        <v>10</v>
      </c>
      <c r="C298" s="2" t="s">
        <v>0</v>
      </c>
      <c r="D298" s="2" t="s">
        <v>9</v>
      </c>
      <c r="E298" s="11" cm="1">
        <f t="array" aca="1" ref="E298" ca="1">INDEX('OD flujo mercancia multimodal'!E$45:E$1645,MATCH(C298&amp;D298,'OD flujo mercancia multimodal'!C$45:C$1645&amp;'OD flujo mercancia multimodal'!D$45:D$1645,0))</f>
        <v>106700.28571428574</v>
      </c>
      <c r="F298" s="11" cm="1">
        <f t="array" aca="1" ref="F298" ca="1">INDEX('OD flujo mercancia carretera'!E$45:E$1646,MATCH(C298&amp;D298,'OD flujo mercancia carretera'!C$45:C$1646&amp;'OD flujo mercancia carretera'!D$45:D$1646,0))</f>
        <v>142529.92307692312</v>
      </c>
      <c r="G298" s="11" cm="1">
        <f t="array" aca="1" ref="G298" ca="1">INDEX('Coste Carretera'!E$46:E$1646,MATCH(C298&amp;D298,'Coste Carretera'!C$46:C$1646&amp;'Coste Carretera'!D$46:D$1646,0))</f>
        <v>3530456373.6000009</v>
      </c>
      <c r="H298" s="11" cm="1">
        <f t="array" aca="1" ref="H298" ca="1">INDEX('Coste multimodal'!E$46:E$1646,MATCH(C298&amp;D298,'Coste multimodal'!C$46:C$1646&amp;'Coste multimodal'!D$46:D$1646,0))</f>
        <v>997405119.77280426</v>
      </c>
      <c r="I298" s="12" cm="1">
        <f t="array" aca="1" ref="I298" ca="1">INDEX('Tiempos intermodal (horas)'!E$45:E$1645,MATCH(C298&amp;D298,'Tiempos intermodal (horas)'!C$45:C$1645&amp;'Tiempos intermodal (horas)'!D$45:D$1645,0))</f>
        <v>32.268324960702891</v>
      </c>
      <c r="J298" s="2" cm="1">
        <f t="array" aca="1" ref="J298" ca="1">INDEX('Tiempos carretera (horas)'!E$45:E$1645,MATCH(C298&amp;D298,'Tiempos carretera (horas)'!C$45:C$1645&amp;'Tiempos carretera (horas)'!D$45:D$1645,0))</f>
        <v>6.75</v>
      </c>
      <c r="K298" s="12">
        <f t="shared" ca="1" si="24"/>
        <v>24.769931095062894</v>
      </c>
      <c r="L298" s="12">
        <f t="shared" ca="1" si="25"/>
        <v>9.3477267946927807</v>
      </c>
      <c r="M298" s="12">
        <f t="shared" ca="1" si="26"/>
        <v>0.42811939303743585</v>
      </c>
      <c r="N298" s="13">
        <f t="shared" ca="1" si="28"/>
        <v>15.422204300370113</v>
      </c>
      <c r="O298" s="13">
        <f t="shared" ca="1" si="29"/>
        <v>-25.518324960702891</v>
      </c>
      <c r="P298" s="12">
        <f t="shared" ca="1" si="27"/>
        <v>0.28952812813058931</v>
      </c>
    </row>
    <row r="299" spans="1:16" x14ac:dyDescent="0.25">
      <c r="A299">
        <v>10</v>
      </c>
      <c r="B299">
        <v>1</v>
      </c>
      <c r="C299" s="2" t="s">
        <v>9</v>
      </c>
      <c r="D299" s="2" t="s">
        <v>0</v>
      </c>
      <c r="E299" s="11" cm="1">
        <f t="array" aca="1" ref="E299" ca="1">INDEX('OD flujo mercancia multimodal'!E$45:E$1645,MATCH(C299&amp;D299,'OD flujo mercancia multimodal'!C$45:C$1645&amp;'OD flujo mercancia multimodal'!D$45:D$1645,0))</f>
        <v>106531.64285714284</v>
      </c>
      <c r="F299" s="11" cm="1">
        <f t="array" aca="1" ref="F299" ca="1">INDEX('OD flujo mercancia carretera'!E$45:E$1646,MATCH(C299&amp;D299,'OD flujo mercancia carretera'!C$45:C$1646&amp;'OD flujo mercancia carretera'!D$45:D$1646,0))</f>
        <v>139196.76923076928</v>
      </c>
      <c r="G299" s="11" cm="1">
        <f t="array" aca="1" ref="G299" ca="1">INDEX('Coste Carretera'!E$46:E$1646,MATCH(C299&amp;D299,'Coste Carretera'!C$46:C$1646&amp;'Coste Carretera'!D$46:D$1646,0))</f>
        <v>3524876386.1999993</v>
      </c>
      <c r="H299" s="11" cm="1">
        <f t="array" aca="1" ref="H299" ca="1">INDEX('Coste multimodal'!E$46:E$1646,MATCH(C299&amp;D299,'Coste multimodal'!C$46:C$1646&amp;'Coste multimodal'!D$46:D$1646,0))</f>
        <v>997405119.77280426</v>
      </c>
      <c r="I299" s="12" cm="1">
        <f t="array" aca="1" ref="I299" ca="1">INDEX('Tiempos intermodal (horas)'!E$45:E$1645,MATCH(C299&amp;D299,'Tiempos intermodal (horas)'!C$45:C$1645&amp;'Tiempos intermodal (horas)'!D$45:D$1645,0))</f>
        <v>32.268324960702891</v>
      </c>
      <c r="J299" s="2" cm="1">
        <f t="array" aca="1" ref="J299" ca="1">INDEX('Tiempos carretera (horas)'!E$45:E$1645,MATCH(C299&amp;D299,'Tiempos carretera (horas)'!C$45:C$1645&amp;'Tiempos carretera (horas)'!D$45:D$1645,0))</f>
        <v>6.75</v>
      </c>
      <c r="K299" s="12">
        <f t="shared" ca="1" si="24"/>
        <v>25.322975566740595</v>
      </c>
      <c r="L299" s="12">
        <f t="shared" ca="1" si="25"/>
        <v>9.3625245328311326</v>
      </c>
      <c r="M299" s="12">
        <f t="shared" ca="1" si="26"/>
        <v>0.43353408729565202</v>
      </c>
      <c r="N299" s="13">
        <f t="shared" ca="1" si="28"/>
        <v>15.960451033909463</v>
      </c>
      <c r="O299" s="13">
        <f t="shared" ca="1" si="29"/>
        <v>-25.518324960702891</v>
      </c>
      <c r="P299" s="12">
        <f t="shared" ca="1" si="27"/>
        <v>0.26744648103313862</v>
      </c>
    </row>
    <row r="300" spans="1:16" x14ac:dyDescent="0.25">
      <c r="A300">
        <v>23</v>
      </c>
      <c r="B300">
        <v>29</v>
      </c>
      <c r="C300" s="2" t="s">
        <v>22</v>
      </c>
      <c r="D300" s="2" t="s">
        <v>147</v>
      </c>
      <c r="E300" s="11" cm="1">
        <f t="array" aca="1" ref="E300" ca="1">INDEX('OD flujo mercancia multimodal'!E$45:E$1645,MATCH(C300&amp;D300,'OD flujo mercancia multimodal'!C$45:C$1645&amp;'OD flujo mercancia multimodal'!D$45:D$1645,0))</f>
        <v>37354.838461538464</v>
      </c>
      <c r="F300" s="11" cm="1">
        <f t="array" aca="1" ref="F300" ca="1">INDEX('OD flujo mercancia carretera'!E$45:E$1646,MATCH(C300&amp;D300,'OD flujo mercancia carretera'!C$45:C$1646&amp;'OD flujo mercancia carretera'!D$45:D$1646,0))</f>
        <v>466402.06666666671</v>
      </c>
      <c r="G300" s="11" cm="1">
        <f t="array" aca="1" ref="G300" ca="1">INDEX('Coste Carretera'!E$46:E$1646,MATCH(C300&amp;D300,'Coste Carretera'!C$46:C$1646&amp;'Coste Carretera'!D$46:D$1646,0))</f>
        <v>417879612.708</v>
      </c>
      <c r="H300" s="11" cm="1">
        <f t="array" aca="1" ref="H300" ca="1">INDEX('Coste multimodal'!E$46:E$1646,MATCH(C300&amp;D300,'Coste multimodal'!C$46:C$1646&amp;'Coste multimodal'!D$46:D$1646,0))</f>
        <v>566221340.87467563</v>
      </c>
      <c r="I300" s="12" cm="1">
        <f t="array" aca="1" ref="I300" ca="1">INDEX('Tiempos intermodal (horas)'!E$45:E$1645,MATCH(C300&amp;D300,'Tiempos intermodal (horas)'!C$45:C$1645&amp;'Tiempos intermodal (horas)'!D$45:D$1645,0))</f>
        <v>32.020660036012572</v>
      </c>
      <c r="J300" s="2" cm="1">
        <f t="array" aca="1" ref="J300" ca="1">INDEX('Tiempos carretera (horas)'!E$45:E$1645,MATCH(C300&amp;D300,'Tiempos carretera (horas)'!C$45:C$1645&amp;'Tiempos carretera (horas)'!D$45:D$1645,0))</f>
        <v>2.46</v>
      </c>
      <c r="K300" s="12">
        <f t="shared" ca="1" si="24"/>
        <v>0.89596432471782927</v>
      </c>
      <c r="L300" s="12">
        <f t="shared" ca="1" si="25"/>
        <v>15.157911643967413</v>
      </c>
      <c r="M300" s="12">
        <f t="shared" ca="1" si="26"/>
        <v>7.4152509040112766E-2</v>
      </c>
      <c r="N300" s="13">
        <f t="shared" ca="1" si="28"/>
        <v>-14.261947319249584</v>
      </c>
      <c r="O300" s="13">
        <f t="shared" ca="1" si="29"/>
        <v>-29.560660036012571</v>
      </c>
      <c r="P300" s="12">
        <f t="shared" ca="1" si="27"/>
        <v>2.5245856191249114</v>
      </c>
    </row>
    <row r="301" spans="1:16" x14ac:dyDescent="0.25">
      <c r="A301">
        <v>29</v>
      </c>
      <c r="B301">
        <v>23</v>
      </c>
      <c r="C301" s="2" t="s">
        <v>147</v>
      </c>
      <c r="D301" s="2" t="s">
        <v>22</v>
      </c>
      <c r="E301" s="11" cm="1">
        <f t="array" aca="1" ref="E301" ca="1">INDEX('OD flujo mercancia multimodal'!E$45:E$1645,MATCH(C301&amp;D301,'OD flujo mercancia multimodal'!C$45:C$1645&amp;'OD flujo mercancia multimodal'!D$45:D$1645,0))</f>
        <v>29700.492307692308</v>
      </c>
      <c r="F301" s="11" cm="1">
        <f t="array" aca="1" ref="F301" ca="1">INDEX('OD flujo mercancia carretera'!E$45:E$1646,MATCH(C301&amp;D301,'OD flujo mercancia carretera'!C$45:C$1646&amp;'OD flujo mercancia carretera'!D$45:D$1646,0))</f>
        <v>472840.76666666695</v>
      </c>
      <c r="G301" s="11" cm="1">
        <f t="array" aca="1" ref="G301" ca="1">INDEX('Coste Carretera'!E$46:E$1646,MATCH(C301&amp;D301,'Coste Carretera'!C$46:C$1646&amp;'Coste Carretera'!D$46:D$1646,0))</f>
        <v>332252279.32799995</v>
      </c>
      <c r="H301" s="11" cm="1">
        <f t="array" aca="1" ref="H301" ca="1">INDEX('Coste multimodal'!E$46:E$1646,MATCH(C301&amp;D301,'Coste multimodal'!C$46:C$1646&amp;'Coste multimodal'!D$46:D$1646,0))</f>
        <v>566221340.87467563</v>
      </c>
      <c r="I301" s="12" cm="1">
        <f t="array" aca="1" ref="I301" ca="1">INDEX('Tiempos intermodal (horas)'!E$45:E$1645,MATCH(C301&amp;D301,'Tiempos intermodal (horas)'!C$45:C$1645&amp;'Tiempos intermodal (horas)'!D$45:D$1645,0))</f>
        <v>32.020660036012572</v>
      </c>
      <c r="J301" s="2" cm="1">
        <f t="array" aca="1" ref="J301" ca="1">INDEX('Tiempos carretera (horas)'!E$45:E$1645,MATCH(C301&amp;D301,'Tiempos carretera (horas)'!C$45:C$1645&amp;'Tiempos carretera (horas)'!D$45:D$1645,0))</f>
        <v>2.46</v>
      </c>
      <c r="K301" s="12">
        <f t="shared" ca="1" si="24"/>
        <v>0.70267266012243823</v>
      </c>
      <c r="L301" s="12">
        <f t="shared" ca="1" si="25"/>
        <v>19.064375600535975</v>
      </c>
      <c r="M301" s="12">
        <f t="shared" ca="1" si="26"/>
        <v>5.9100604731058888E-2</v>
      </c>
      <c r="N301" s="13">
        <f t="shared" ca="1" si="28"/>
        <v>-18.361702940413537</v>
      </c>
      <c r="O301" s="13">
        <f t="shared" ca="1" si="29"/>
        <v>-29.560660036012571</v>
      </c>
      <c r="P301" s="12">
        <f t="shared" ca="1" si="27"/>
        <v>2.7675950646012413</v>
      </c>
    </row>
    <row r="302" spans="1:16" x14ac:dyDescent="0.25">
      <c r="A302">
        <v>7</v>
      </c>
      <c r="B302">
        <v>2</v>
      </c>
      <c r="C302" s="2" t="s">
        <v>6</v>
      </c>
      <c r="D302" s="2" t="s">
        <v>1</v>
      </c>
      <c r="E302" s="11" cm="1">
        <f t="array" aca="1" ref="E302" ca="1">INDEX('OD flujo mercancia multimodal'!E$45:E$1645,MATCH(C302&amp;D302,'OD flujo mercancia multimodal'!C$45:C$1645&amp;'OD flujo mercancia multimodal'!D$45:D$1645,0))</f>
        <v>24022.214285714257</v>
      </c>
      <c r="F302" s="11" cm="1">
        <f t="array" aca="1" ref="F302" ca="1">INDEX('OD flujo mercancia carretera'!E$45:E$1646,MATCH(C302&amp;D302,'OD flujo mercancia carretera'!C$45:C$1646&amp;'OD flujo mercancia carretera'!D$45:D$1646,0))</f>
        <v>95043.923076923122</v>
      </c>
      <c r="G302" s="11" cm="1">
        <f t="array" aca="1" ref="G302" ca="1">INDEX('Coste Carretera'!E$46:E$1646,MATCH(C302&amp;D302,'Coste Carretera'!C$46:C$1646&amp;'Coste Carretera'!D$46:D$1646,0))</f>
        <v>775912716.98571336</v>
      </c>
      <c r="H302" s="11" cm="1">
        <f t="array" aca="1" ref="H302" ca="1">INDEX('Coste multimodal'!E$46:E$1646,MATCH(C302&amp;D302,'Coste multimodal'!C$46:C$1646&amp;'Coste multimodal'!D$46:D$1646,0))</f>
        <v>776690069.24280417</v>
      </c>
      <c r="I302" s="12" cm="1">
        <f t="array" aca="1" ref="I302" ca="1">INDEX('Tiempos intermodal (horas)'!E$45:E$1645,MATCH(C302&amp;D302,'Tiempos intermodal (horas)'!C$45:C$1645&amp;'Tiempos intermodal (horas)'!D$45:D$1645,0))</f>
        <v>32.097213849591782</v>
      </c>
      <c r="J302" s="2" cm="1">
        <f t="array" aca="1" ref="J302" ca="1">INDEX('Tiempos carretera (horas)'!E$45:E$1645,MATCH(C302&amp;D302,'Tiempos carretera (horas)'!C$45:C$1645&amp;'Tiempos carretera (horas)'!D$45:D$1645,0))</f>
        <v>6.51</v>
      </c>
      <c r="K302" s="12">
        <f t="shared" ca="1" si="24"/>
        <v>8.1637277993852795</v>
      </c>
      <c r="L302" s="12">
        <f t="shared" ca="1" si="25"/>
        <v>32.332159725371071</v>
      </c>
      <c r="M302" s="12">
        <f t="shared" ca="1" si="26"/>
        <v>0.2017552162001382</v>
      </c>
      <c r="N302" s="13">
        <f t="shared" ca="1" si="28"/>
        <v>-24.168431925985793</v>
      </c>
      <c r="O302" s="13">
        <f t="shared" ca="1" si="29"/>
        <v>-25.587213849591784</v>
      </c>
      <c r="P302" s="12">
        <f t="shared" ca="1" si="27"/>
        <v>1.3753601354417822</v>
      </c>
    </row>
    <row r="303" spans="1:16" x14ac:dyDescent="0.25">
      <c r="A303">
        <v>2</v>
      </c>
      <c r="B303">
        <v>7</v>
      </c>
      <c r="C303" s="2" t="s">
        <v>1</v>
      </c>
      <c r="D303" s="2" t="s">
        <v>6</v>
      </c>
      <c r="E303" s="11" cm="1">
        <f t="array" aca="1" ref="E303" ca="1">INDEX('OD flujo mercancia multimodal'!E$45:E$1645,MATCH(C303&amp;D303,'OD flujo mercancia multimodal'!C$45:C$1645&amp;'OD flujo mercancia multimodal'!D$45:D$1645,0))</f>
        <v>11374.78571428571</v>
      </c>
      <c r="F303" s="11" cm="1">
        <f t="array" aca="1" ref="F303" ca="1">INDEX('OD flujo mercancia carretera'!E$45:E$1646,MATCH(C303&amp;D303,'OD flujo mercancia carretera'!C$45:C$1646&amp;'OD flujo mercancia carretera'!D$45:D$1646,0))</f>
        <v>100791.07692307691</v>
      </c>
      <c r="G303" s="11" cm="1">
        <f t="array" aca="1" ref="G303" ca="1">INDEX('Coste Carretera'!E$46:E$1646,MATCH(C303&amp;D303,'Coste Carretera'!C$46:C$1646&amp;'Coste Carretera'!D$46:D$1646,0))</f>
        <v>367403303.61428559</v>
      </c>
      <c r="H303" s="11" cm="1">
        <f t="array" aca="1" ref="H303" ca="1">INDEX('Coste multimodal'!E$46:E$1646,MATCH(C303&amp;D303,'Coste multimodal'!C$46:C$1646&amp;'Coste multimodal'!D$46:D$1646,0))</f>
        <v>776690069.24280417</v>
      </c>
      <c r="I303" s="12" cm="1">
        <f t="array" aca="1" ref="I303" ca="1">INDEX('Tiempos intermodal (horas)'!E$45:E$1645,MATCH(C303&amp;D303,'Tiempos intermodal (horas)'!C$45:C$1645&amp;'Tiempos intermodal (horas)'!D$45:D$1645,0))</f>
        <v>32.097213849591782</v>
      </c>
      <c r="J303" s="2" cm="1">
        <f t="array" aca="1" ref="J303" ca="1">INDEX('Tiempos carretera (horas)'!E$45:E$1645,MATCH(C303&amp;D303,'Tiempos carretera (horas)'!C$45:C$1645&amp;'Tiempos carretera (horas)'!D$45:D$1645,0))</f>
        <v>6.51</v>
      </c>
      <c r="K303" s="12">
        <f t="shared" ca="1" si="24"/>
        <v>3.6451967260423794</v>
      </c>
      <c r="L303" s="12">
        <f t="shared" ca="1" si="25"/>
        <v>68.281731959781112</v>
      </c>
      <c r="M303" s="12">
        <f t="shared" ca="1" si="26"/>
        <v>0.10141040640021567</v>
      </c>
      <c r="N303" s="13">
        <f t="shared" ca="1" si="28"/>
        <v>-64.636535233738726</v>
      </c>
      <c r="O303" s="13">
        <f t="shared" ca="1" si="29"/>
        <v>-25.587213849591784</v>
      </c>
      <c r="P303" s="12">
        <f t="shared" ca="1" si="27"/>
        <v>2.181650702775372</v>
      </c>
    </row>
    <row r="304" spans="1:16" x14ac:dyDescent="0.25">
      <c r="A304">
        <v>7</v>
      </c>
      <c r="B304">
        <v>1</v>
      </c>
      <c r="C304" s="2" t="s">
        <v>6</v>
      </c>
      <c r="D304" s="2" t="s">
        <v>0</v>
      </c>
      <c r="E304" s="11" cm="1">
        <f t="array" aca="1" ref="E304" ca="1">INDEX('OD flujo mercancia multimodal'!E$45:E$1645,MATCH(C304&amp;D304,'OD flujo mercancia multimodal'!C$45:C$1645&amp;'OD flujo mercancia multimodal'!D$45:D$1645,0))</f>
        <v>95283.214285714261</v>
      </c>
      <c r="F304" s="11" cm="1">
        <f t="array" aca="1" ref="F304" ca="1">INDEX('OD flujo mercancia carretera'!E$45:E$1646,MATCH(C304&amp;D304,'OD flujo mercancia carretera'!C$45:C$1646&amp;'OD flujo mercancia carretera'!D$45:D$1646,0))</f>
        <v>104655.53846153851</v>
      </c>
      <c r="G304" s="11" cm="1">
        <f t="array" aca="1" ref="G304" ca="1">INDEX('Coste Carretera'!E$46:E$1646,MATCH(C304&amp;D304,'Coste Carretera'!C$46:C$1646&amp;'Coste Carretera'!D$46:D$1646,0))</f>
        <v>2822410769.6571417</v>
      </c>
      <c r="H304" s="11" cm="1">
        <f t="array" aca="1" ref="H304" ca="1">INDEX('Coste multimodal'!E$46:E$1646,MATCH(C304&amp;D304,'Coste multimodal'!C$46:C$1646&amp;'Coste multimodal'!D$46:D$1646,0))</f>
        <v>900221537.80423272</v>
      </c>
      <c r="I304" s="12" cm="1">
        <f t="array" aca="1" ref="I304" ca="1">INDEX('Tiempos intermodal (horas)'!E$45:E$1645,MATCH(C304&amp;D304,'Tiempos intermodal (horas)'!C$45:C$1645&amp;'Tiempos intermodal (horas)'!D$45:D$1645,0))</f>
        <v>31.719436071814002</v>
      </c>
      <c r="J304" s="2" cm="1">
        <f t="array" aca="1" ref="J304" ca="1">INDEX('Tiempos carretera (horas)'!E$45:E$1645,MATCH(C304&amp;D304,'Tiempos carretera (horas)'!C$45:C$1645&amp;'Tiempos carretera (horas)'!D$45:D$1645,0))</f>
        <v>6</v>
      </c>
      <c r="K304" s="12">
        <f t="shared" ca="1" si="24"/>
        <v>26.96857530090864</v>
      </c>
      <c r="L304" s="12">
        <f t="shared" ca="1" si="25"/>
        <v>9.4478502278989804</v>
      </c>
      <c r="M304" s="12">
        <f t="shared" ca="1" si="26"/>
        <v>0.47656201199856435</v>
      </c>
      <c r="N304" s="13">
        <f t="shared" ca="1" si="28"/>
        <v>17.520725073009658</v>
      </c>
      <c r="O304" s="13">
        <f t="shared" ca="1" si="29"/>
        <v>-25.719436071814002</v>
      </c>
      <c r="P304" s="12">
        <f t="shared" ca="1" si="27"/>
        <v>9.3820711522007369E-2</v>
      </c>
    </row>
    <row r="305" spans="1:16" x14ac:dyDescent="0.25">
      <c r="A305">
        <v>1</v>
      </c>
      <c r="B305">
        <v>7</v>
      </c>
      <c r="C305" s="2" t="s">
        <v>0</v>
      </c>
      <c r="D305" s="2" t="s">
        <v>6</v>
      </c>
      <c r="E305" s="11" cm="1">
        <f t="array" aca="1" ref="E305" ca="1">INDEX('OD flujo mercancia multimodal'!E$45:E$1645,MATCH(C305&amp;D305,'OD flujo mercancia multimodal'!C$45:C$1645&amp;'OD flujo mercancia multimodal'!D$45:D$1645,0))</f>
        <v>90574.857142857145</v>
      </c>
      <c r="F305" s="11" cm="1">
        <f t="array" aca="1" ref="F305" ca="1">INDEX('OD flujo mercancia carretera'!E$45:E$1646,MATCH(C305&amp;D305,'OD flujo mercancia carretera'!C$45:C$1646&amp;'OD flujo mercancia carretera'!D$45:D$1646,0))</f>
        <v>110223.07692307691</v>
      </c>
      <c r="G305" s="11" cm="1">
        <f t="array" aca="1" ref="G305" ca="1">INDEX('Coste Carretera'!E$46:E$1646,MATCH(C305&amp;D305,'Coste Carretera'!C$46:C$1646&amp;'Coste Carretera'!D$46:D$1646,0))</f>
        <v>2682943204.3885713</v>
      </c>
      <c r="H305" s="11" cm="1">
        <f t="array" aca="1" ref="H305" ca="1">INDEX('Coste multimodal'!E$46:E$1646,MATCH(C305&amp;D305,'Coste multimodal'!C$46:C$1646&amp;'Coste multimodal'!D$46:D$1646,0))</f>
        <v>900221537.80423272</v>
      </c>
      <c r="I305" s="12" cm="1">
        <f t="array" aca="1" ref="I305" ca="1">INDEX('Tiempos intermodal (horas)'!E$45:E$1645,MATCH(C305&amp;D305,'Tiempos intermodal (horas)'!C$45:C$1645&amp;'Tiempos intermodal (horas)'!D$45:D$1645,0))</f>
        <v>31.719436071814002</v>
      </c>
      <c r="J305" s="2" cm="1">
        <f t="array" aca="1" ref="J305" ca="1">INDEX('Tiempos carretera (horas)'!E$45:E$1645,MATCH(C305&amp;D305,'Tiempos carretera (horas)'!C$45:C$1645&amp;'Tiempos carretera (horas)'!D$45:D$1645,0))</f>
        <v>6</v>
      </c>
      <c r="K305" s="12">
        <f t="shared" ca="1" si="24"/>
        <v>24.34102983952225</v>
      </c>
      <c r="L305" s="12">
        <f t="shared" ca="1" si="25"/>
        <v>9.9389782794178583</v>
      </c>
      <c r="M305" s="12">
        <f t="shared" ca="1" si="26"/>
        <v>0.45107464658035762</v>
      </c>
      <c r="N305" s="13">
        <f t="shared" ca="1" si="28"/>
        <v>14.402051560104391</v>
      </c>
      <c r="O305" s="13">
        <f t="shared" ca="1" si="29"/>
        <v>-25.719436071814002</v>
      </c>
      <c r="P305" s="12">
        <f t="shared" ca="1" si="27"/>
        <v>0.19632962470599585</v>
      </c>
    </row>
    <row r="306" spans="1:16" x14ac:dyDescent="0.25">
      <c r="A306">
        <v>23</v>
      </c>
      <c r="B306">
        <v>3</v>
      </c>
      <c r="C306" s="2" t="s">
        <v>22</v>
      </c>
      <c r="D306" s="2" t="s">
        <v>2</v>
      </c>
      <c r="E306" s="11" cm="1">
        <f t="array" aca="1" ref="E306" ca="1">INDEX('OD flujo mercancia multimodal'!E$45:E$1645,MATCH(C306&amp;D306,'OD flujo mercancia multimodal'!C$45:C$1645&amp;'OD flujo mercancia multimodal'!D$45:D$1645,0))</f>
        <v>17290.252747252762</v>
      </c>
      <c r="F306" s="11" cm="1">
        <f t="array" aca="1" ref="F306" ca="1">INDEX('OD flujo mercancia carretera'!E$45:E$1646,MATCH(C306&amp;D306,'OD flujo mercancia carretera'!C$45:C$1646&amp;'OD flujo mercancia carretera'!D$45:D$1646,0))</f>
        <v>147012.12820512819</v>
      </c>
      <c r="G306" s="11" cm="1">
        <f t="array" aca="1" ref="G306" ca="1">INDEX('Coste Carretera'!E$46:E$1646,MATCH(C306&amp;D306,'Coste Carretera'!C$46:C$1646&amp;'Coste Carretera'!D$46:D$1646,0))</f>
        <v>472203718.62857181</v>
      </c>
      <c r="H306" s="11" cm="1">
        <f t="array" aca="1" ref="H306" ca="1">INDEX('Coste multimodal'!E$46:E$1646,MATCH(C306&amp;D306,'Coste multimodal'!C$46:C$1646&amp;'Coste multimodal'!D$46:D$1646,0))</f>
        <v>523448954.33684283</v>
      </c>
      <c r="I306" s="12" cm="1">
        <f t="array" aca="1" ref="I306" ca="1">INDEX('Tiempos intermodal (horas)'!E$45:E$1645,MATCH(C306&amp;D306,'Tiempos intermodal (horas)'!C$45:C$1645&amp;'Tiempos intermodal (horas)'!D$45:D$1645,0))</f>
        <v>25.760122420760602</v>
      </c>
      <c r="J306" s="2" cm="1">
        <f t="array" aca="1" ref="J306" ca="1">INDEX('Tiempos carretera (horas)'!E$45:E$1645,MATCH(C306&amp;D306,'Tiempos carretera (horas)'!C$45:C$1645&amp;'Tiempos carretera (horas)'!D$45:D$1645,0))</f>
        <v>5.65</v>
      </c>
      <c r="K306" s="12">
        <f t="shared" ca="1" si="24"/>
        <v>3.212005188916788</v>
      </c>
      <c r="L306" s="12">
        <f t="shared" ca="1" si="25"/>
        <v>30.274222244669808</v>
      </c>
      <c r="M306" s="12">
        <f t="shared" ca="1" si="26"/>
        <v>0.10523434077479328</v>
      </c>
      <c r="N306" s="13">
        <f t="shared" ca="1" si="28"/>
        <v>-27.06221705575302</v>
      </c>
      <c r="O306" s="13">
        <f t="shared" ca="1" si="29"/>
        <v>-20.110122420760604</v>
      </c>
      <c r="P306" s="12">
        <f t="shared" ca="1" si="27"/>
        <v>2.1403721704662688</v>
      </c>
    </row>
    <row r="307" spans="1:16" x14ac:dyDescent="0.25">
      <c r="A307">
        <v>6</v>
      </c>
      <c r="B307">
        <v>2</v>
      </c>
      <c r="C307" s="2" t="s">
        <v>5</v>
      </c>
      <c r="D307" s="2" t="s">
        <v>1</v>
      </c>
      <c r="E307" s="11" cm="1">
        <f t="array" aca="1" ref="E307" ca="1">INDEX('OD flujo mercancia multimodal'!E$45:E$1645,MATCH(C307&amp;D307,'OD flujo mercancia multimodal'!C$45:C$1645&amp;'OD flujo mercancia multimodal'!D$45:D$1645,0))</f>
        <v>32727.285714285685</v>
      </c>
      <c r="F307" s="11" cm="1">
        <f t="array" aca="1" ref="F307" ca="1">INDEX('OD flujo mercancia carretera'!E$45:E$1646,MATCH(C307&amp;D307,'OD flujo mercancia carretera'!C$45:C$1646&amp;'OD flujo mercancia carretera'!D$45:D$1646,0))</f>
        <v>166736.93040293042</v>
      </c>
      <c r="G307" s="11" cm="1">
        <f t="array" aca="1" ref="G307" ca="1">INDEX('Coste Carretera'!E$46:E$1646,MATCH(C307&amp;D307,'Coste Carretera'!C$46:C$1646&amp;'Coste Carretera'!D$46:D$1646,0))</f>
        <v>1431791259.0799985</v>
      </c>
      <c r="H307" s="11" cm="1">
        <f t="array" aca="1" ref="H307" ca="1">INDEX('Coste multimodal'!E$46:E$1646,MATCH(C307&amp;D307,'Coste multimodal'!C$46:C$1646&amp;'Coste multimodal'!D$46:D$1646,0))</f>
        <v>798571214.24280417</v>
      </c>
      <c r="I307" s="12" cm="1">
        <f t="array" aca="1" ref="I307" ca="1">INDEX('Tiempos intermodal (horas)'!E$45:E$1645,MATCH(C307&amp;D307,'Tiempos intermodal (horas)'!C$45:C$1645&amp;'Tiempos intermodal (horas)'!D$45:D$1645,0))</f>
        <v>34.202769405147336</v>
      </c>
      <c r="J307" s="2" cm="1">
        <f t="array" aca="1" ref="J307" ca="1">INDEX('Tiempos carretera (horas)'!E$45:E$1645,MATCH(C307&amp;D307,'Tiempos carretera (horas)'!C$45:C$1645&amp;'Tiempos carretera (horas)'!D$45:D$1645,0))</f>
        <v>8.43</v>
      </c>
      <c r="K307" s="12">
        <f t="shared" ca="1" si="24"/>
        <v>8.5871273725621773</v>
      </c>
      <c r="L307" s="12">
        <f t="shared" ca="1" si="25"/>
        <v>24.400777419015302</v>
      </c>
      <c r="M307" s="12">
        <f t="shared" ca="1" si="26"/>
        <v>0.16407597488590805</v>
      </c>
      <c r="N307" s="13">
        <f t="shared" ca="1" si="28"/>
        <v>-15.813650046453125</v>
      </c>
      <c r="O307" s="13">
        <f t="shared" ca="1" si="29"/>
        <v>-25.772769405147336</v>
      </c>
      <c r="P307" s="12">
        <f t="shared" ca="1" si="27"/>
        <v>1.6282081478536632</v>
      </c>
    </row>
    <row r="308" spans="1:16" x14ac:dyDescent="0.25">
      <c r="A308">
        <v>2</v>
      </c>
      <c r="B308">
        <v>6</v>
      </c>
      <c r="C308" s="2" t="s">
        <v>1</v>
      </c>
      <c r="D308" s="2" t="s">
        <v>5</v>
      </c>
      <c r="E308" s="11" cm="1">
        <f t="array" aca="1" ref="E308" ca="1">INDEX('OD flujo mercancia multimodal'!E$45:E$1645,MATCH(C308&amp;D308,'OD flujo mercancia multimodal'!C$45:C$1645&amp;'OD flujo mercancia multimodal'!D$45:D$1645,0))</f>
        <v>19624.785714285699</v>
      </c>
      <c r="F308" s="11" cm="1">
        <f t="array" aca="1" ref="F308" ca="1">INDEX('OD flujo mercancia carretera'!E$45:E$1646,MATCH(C308&amp;D308,'OD flujo mercancia carretera'!C$45:C$1646&amp;'OD flujo mercancia carretera'!D$45:D$1646,0))</f>
        <v>167244.77289377298</v>
      </c>
      <c r="G308" s="11" cm="1">
        <f t="array" aca="1" ref="G308" ca="1">INDEX('Coste Carretera'!E$46:E$1646,MATCH(C308&amp;D308,'Coste Carretera'!C$46:C$1646&amp;'Coste Carretera'!D$46:D$1646,0))</f>
        <v>858567890.17999935</v>
      </c>
      <c r="H308" s="11" cm="1">
        <f t="array" aca="1" ref="H308" ca="1">INDEX('Coste multimodal'!E$46:E$1646,MATCH(C308&amp;D308,'Coste multimodal'!C$46:C$1646&amp;'Coste multimodal'!D$46:D$1646,0))</f>
        <v>798571214.24280417</v>
      </c>
      <c r="I308" s="12" cm="1">
        <f t="array" aca="1" ref="I308" ca="1">INDEX('Tiempos intermodal (horas)'!E$45:E$1645,MATCH(C308&amp;D308,'Tiempos intermodal (horas)'!C$45:C$1645&amp;'Tiempos intermodal (horas)'!D$45:D$1645,0))</f>
        <v>34.202769405147336</v>
      </c>
      <c r="J308" s="2" cm="1">
        <f t="array" aca="1" ref="J308" ca="1">INDEX('Tiempos carretera (horas)'!E$45:E$1645,MATCH(C308&amp;D308,'Tiempos carretera (horas)'!C$45:C$1645&amp;'Tiempos carretera (horas)'!D$45:D$1645,0))</f>
        <v>8.43</v>
      </c>
      <c r="K308" s="12">
        <f t="shared" ca="1" si="24"/>
        <v>5.1336007417423231</v>
      </c>
      <c r="L308" s="12">
        <f t="shared" ca="1" si="25"/>
        <v>40.691971156734262</v>
      </c>
      <c r="M308" s="12">
        <f t="shared" ca="1" si="26"/>
        <v>0.10501863364191297</v>
      </c>
      <c r="N308" s="13">
        <f t="shared" ca="1" si="28"/>
        <v>-35.558370414991941</v>
      </c>
      <c r="O308" s="13">
        <f t="shared" ca="1" si="29"/>
        <v>-25.772769405147336</v>
      </c>
      <c r="P308" s="12">
        <f t="shared" ca="1" si="27"/>
        <v>2.1426651006773914</v>
      </c>
    </row>
    <row r="309" spans="1:16" x14ac:dyDescent="0.25">
      <c r="A309">
        <v>6</v>
      </c>
      <c r="B309">
        <v>1</v>
      </c>
      <c r="C309" s="2" t="s">
        <v>5</v>
      </c>
      <c r="D309" s="2" t="s">
        <v>0</v>
      </c>
      <c r="E309" s="11" cm="1">
        <f t="array" aca="1" ref="E309" ca="1">INDEX('OD flujo mercancia multimodal'!E$45:E$1645,MATCH(C309&amp;D309,'OD flujo mercancia multimodal'!C$45:C$1645&amp;'OD flujo mercancia multimodal'!D$45:D$1645,0))</f>
        <v>103988.2857142857</v>
      </c>
      <c r="F309" s="11" cm="1">
        <f t="array" aca="1" ref="F309" ca="1">INDEX('OD flujo mercancia carretera'!E$45:E$1646,MATCH(C309&amp;D309,'OD flujo mercancia carretera'!C$45:C$1646&amp;'OD flujo mercancia carretera'!D$45:D$1646,0))</f>
        <v>176348.54578754582</v>
      </c>
      <c r="G309" s="11" cm="1">
        <f t="array" aca="1" ref="G309" ca="1">INDEX('Coste Carretera'!E$46:E$1646,MATCH(C309&amp;D309,'Coste Carretera'!C$46:C$1646&amp;'Coste Carretera'!D$46:D$1646,0))</f>
        <v>4238096658.1942849</v>
      </c>
      <c r="H309" s="11" cm="1">
        <f t="array" aca="1" ref="H309" ca="1">INDEX('Coste multimodal'!E$46:E$1646,MATCH(C309&amp;D309,'Coste multimodal'!C$46:C$1646&amp;'Coste multimodal'!D$46:D$1646,0))</f>
        <v>1052458919.0370899</v>
      </c>
      <c r="I309" s="12" cm="1">
        <f t="array" aca="1" ref="I309" ca="1">INDEX('Tiempos intermodal (horas)'!E$45:E$1645,MATCH(C309&amp;D309,'Tiempos intermodal (horas)'!C$45:C$1645&amp;'Tiempos intermodal (horas)'!D$45:D$1645,0))</f>
        <v>33.824991627369556</v>
      </c>
      <c r="J309" s="2" cm="1">
        <f t="array" aca="1" ref="J309" ca="1">INDEX('Tiempos carretera (horas)'!E$45:E$1645,MATCH(C309&amp;D309,'Tiempos carretera (horas)'!C$45:C$1645&amp;'Tiempos carretera (horas)'!D$45:D$1645,0))</f>
        <v>7.93</v>
      </c>
      <c r="K309" s="12">
        <f t="shared" ca="1" si="24"/>
        <v>24.032501313053583</v>
      </c>
      <c r="L309" s="12">
        <f t="shared" ca="1" si="25"/>
        <v>10.120937294117786</v>
      </c>
      <c r="M309" s="12">
        <f t="shared" ca="1" si="26"/>
        <v>0.37094050452520116</v>
      </c>
      <c r="N309" s="13">
        <f t="shared" ca="1" si="28"/>
        <v>13.911564018935797</v>
      </c>
      <c r="O309" s="13">
        <f t="shared" ca="1" si="29"/>
        <v>-25.894991627369556</v>
      </c>
      <c r="P309" s="12">
        <f t="shared" ca="1" si="27"/>
        <v>0.52818415504126559</v>
      </c>
    </row>
    <row r="310" spans="1:16" x14ac:dyDescent="0.25">
      <c r="A310">
        <v>1</v>
      </c>
      <c r="B310">
        <v>6</v>
      </c>
      <c r="C310" s="2" t="s">
        <v>0</v>
      </c>
      <c r="D310" s="2" t="s">
        <v>5</v>
      </c>
      <c r="E310" s="11" cm="1">
        <f t="array" aca="1" ref="E310" ca="1">INDEX('OD flujo mercancia multimodal'!E$45:E$1645,MATCH(C310&amp;D310,'OD flujo mercancia multimodal'!C$45:C$1645&amp;'OD flujo mercancia multimodal'!D$45:D$1645,0))</f>
        <v>98824.85714285713</v>
      </c>
      <c r="F310" s="11" cm="1">
        <f t="array" aca="1" ref="F310" ca="1">INDEX('OD flujo mercancia carretera'!E$45:E$1646,MATCH(C310&amp;D310,'OD flujo mercancia carretera'!C$45:C$1646&amp;'OD flujo mercancia carretera'!D$45:D$1646,0))</f>
        <v>176676.77289377298</v>
      </c>
      <c r="G310" s="11" cm="1">
        <f t="array" aca="1" ref="G310" ca="1">INDEX('Coste Carretera'!E$46:E$1646,MATCH(C310&amp;D310,'Coste Carretera'!C$46:C$1646&amp;'Coste Carretera'!D$46:D$1646,0))</f>
        <v>4027658441.7828565</v>
      </c>
      <c r="H310" s="11" cm="1">
        <f t="array" aca="1" ref="H310" ca="1">INDEX('Coste multimodal'!E$46:E$1646,MATCH(C310&amp;D310,'Coste multimodal'!C$46:C$1646&amp;'Coste multimodal'!D$46:D$1646,0))</f>
        <v>1052458919.0370899</v>
      </c>
      <c r="I310" s="12" cm="1">
        <f t="array" aca="1" ref="I310" ca="1">INDEX('Tiempos intermodal (horas)'!E$45:E$1645,MATCH(C310&amp;D310,'Tiempos intermodal (horas)'!C$45:C$1645&amp;'Tiempos intermodal (horas)'!D$45:D$1645,0))</f>
        <v>33.824991627369556</v>
      </c>
      <c r="J310" s="2" cm="1">
        <f t="array" aca="1" ref="J310" ca="1">INDEX('Tiempos carretera (horas)'!E$45:E$1645,MATCH(C310&amp;D310,'Tiempos carretera (horas)'!C$45:C$1645&amp;'Tiempos carretera (horas)'!D$45:D$1645,0))</f>
        <v>7.93</v>
      </c>
      <c r="K310" s="12">
        <f t="shared" ref="K310:K345" ca="1" si="30">G310/(F310*1000)</f>
        <v>22.796762561451633</v>
      </c>
      <c r="L310" s="12">
        <f t="shared" ref="L310:L345" ca="1" si="31">H310/(E310*1000)</f>
        <v>10.649738835601845</v>
      </c>
      <c r="M310" s="12">
        <f t="shared" ref="M310:M345" ca="1" si="32">E310/(E310+F310)</f>
        <v>0.35870879286528212</v>
      </c>
      <c r="N310" s="13">
        <f t="shared" ca="1" si="28"/>
        <v>12.147023725849788</v>
      </c>
      <c r="O310" s="13">
        <f t="shared" ca="1" si="29"/>
        <v>-25.894991627369556</v>
      </c>
      <c r="P310" s="12">
        <f t="shared" ref="P310:P345" ca="1" si="33">LN(1/M310-1)</f>
        <v>0.58097275767601886</v>
      </c>
    </row>
    <row r="311" spans="1:16" x14ac:dyDescent="0.25">
      <c r="A311">
        <v>3</v>
      </c>
      <c r="B311">
        <v>5</v>
      </c>
      <c r="C311" s="2" t="s">
        <v>2</v>
      </c>
      <c r="D311" s="2" t="s">
        <v>4</v>
      </c>
      <c r="E311" s="11" cm="1">
        <f t="array" aca="1" ref="E311" ca="1">INDEX('OD flujo mercancia multimodal'!E$45:E$1645,MATCH(C311&amp;D311,'OD flujo mercancia multimodal'!C$45:C$1645&amp;'OD flujo mercancia multimodal'!D$45:D$1645,0))</f>
        <v>79854.214285714334</v>
      </c>
      <c r="F311" s="11" cm="1">
        <f t="array" aca="1" ref="F311" ca="1">INDEX('OD flujo mercancia carretera'!E$45:E$1646,MATCH(C311&amp;D311,'OD flujo mercancia carretera'!C$45:C$1646&amp;'OD flujo mercancia carretera'!D$45:D$1646,0))</f>
        <v>100406.23076923074</v>
      </c>
      <c r="G311" s="11" cm="1">
        <f t="array" aca="1" ref="G311" ca="1">INDEX('Coste Carretera'!E$46:E$1646,MATCH(C311&amp;D311,'Coste Carretera'!C$46:C$1646&amp;'Coste Carretera'!D$46:D$1646,0))</f>
        <v>2776390487.2971444</v>
      </c>
      <c r="H311" s="11" cm="1">
        <f t="array" aca="1" ref="H311" ca="1">INDEX('Coste multimodal'!E$46:E$1646,MATCH(C311&amp;D311,'Coste multimodal'!C$46:C$1646&amp;'Coste multimodal'!D$46:D$1646,0))</f>
        <v>1406215713.6767361</v>
      </c>
      <c r="I311" s="12" cm="1">
        <f t="array" aca="1" ref="I311" ca="1">INDEX('Tiempos intermodal (horas)'!E$45:E$1645,MATCH(C311&amp;D311,'Tiempos intermodal (horas)'!C$45:C$1645&amp;'Tiempos intermodal (horas)'!D$45:D$1645,0))</f>
        <v>33.028321995823951</v>
      </c>
      <c r="J311" s="2" cm="1">
        <f t="array" aca="1" ref="J311" ca="1">INDEX('Tiempos carretera (horas)'!E$45:E$1645,MATCH(C311&amp;D311,'Tiempos carretera (horas)'!C$45:C$1645&amp;'Tiempos carretera (horas)'!D$45:D$1645,0))</f>
        <v>7.13</v>
      </c>
      <c r="K311" s="12">
        <f t="shared" ca="1" si="30"/>
        <v>27.65157566444535</v>
      </c>
      <c r="L311" s="12">
        <f t="shared" ca="1" si="31"/>
        <v>17.609787113368466</v>
      </c>
      <c r="M311" s="12">
        <f t="shared" ca="1" si="32"/>
        <v>0.44299354892513454</v>
      </c>
      <c r="N311" s="13">
        <f t="shared" ca="1" si="28"/>
        <v>10.041788551076884</v>
      </c>
      <c r="O311" s="13">
        <f t="shared" ca="1" si="29"/>
        <v>-25.898321995823952</v>
      </c>
      <c r="P311" s="12">
        <f t="shared" ca="1" si="33"/>
        <v>0.2290216139888768</v>
      </c>
    </row>
    <row r="312" spans="1:16" x14ac:dyDescent="0.25">
      <c r="A312">
        <v>21</v>
      </c>
      <c r="B312">
        <v>6</v>
      </c>
      <c r="C312" s="2" t="s">
        <v>20</v>
      </c>
      <c r="D312" s="2" t="s">
        <v>5</v>
      </c>
      <c r="E312" s="11" cm="1">
        <f t="array" aca="1" ref="E312" ca="1">INDEX('OD flujo mercancia multimodal'!E$45:E$1645,MATCH(C312&amp;D312,'OD flujo mercancia multimodal'!C$45:C$1645&amp;'OD flujo mercancia multimodal'!D$45:D$1645,0))</f>
        <v>36394.324175824164</v>
      </c>
      <c r="F312" s="11" cm="1">
        <f t="array" aca="1" ref="F312" ca="1">INDEX('OD flujo mercancia carretera'!E$45:E$1646,MATCH(C312&amp;D312,'OD flujo mercancia carretera'!C$45:C$1646&amp;'OD flujo mercancia carretera'!D$45:D$1646,0))</f>
        <v>238659.77289377298</v>
      </c>
      <c r="G312" s="11" cm="1">
        <f t="array" aca="1" ref="G312" ca="1">INDEX('Coste Carretera'!E$46:E$1646,MATCH(C312&amp;D312,'Coste Carretera'!C$46:C$1646&amp;'Coste Carretera'!D$46:D$1646,0))</f>
        <v>1791009821.6542852</v>
      </c>
      <c r="H312" s="11" cm="1">
        <f t="array" aca="1" ref="H312" ca="1">INDEX('Coste multimodal'!E$46:E$1646,MATCH(C312&amp;D312,'Coste multimodal'!C$46:C$1646&amp;'Coste multimodal'!D$46:D$1646,0))</f>
        <v>568941859.32423031</v>
      </c>
      <c r="I312" s="12" cm="1">
        <f t="array" aca="1" ref="I312" ca="1">INDEX('Tiempos intermodal (horas)'!E$45:E$1645,MATCH(C312&amp;D312,'Tiempos intermodal (horas)'!C$45:C$1645&amp;'Tiempos intermodal (horas)'!D$45:D$1645,0))</f>
        <v>36.228333374390019</v>
      </c>
      <c r="J312" s="2" cm="1">
        <f t="array" aca="1" ref="J312" ca="1">INDEX('Tiempos carretera (horas)'!E$45:E$1645,MATCH(C312&amp;D312,'Tiempos carretera (horas)'!C$45:C$1645&amp;'Tiempos carretera (horas)'!D$45:D$1645,0))</f>
        <v>10.1</v>
      </c>
      <c r="K312" s="12">
        <f t="shared" ca="1" si="30"/>
        <v>7.5044478587158476</v>
      </c>
      <c r="L312" s="12">
        <f t="shared" ca="1" si="31"/>
        <v>15.632708456835807</v>
      </c>
      <c r="M312" s="12">
        <f t="shared" ca="1" si="32"/>
        <v>0.13231696805670659</v>
      </c>
      <c r="N312" s="13">
        <f t="shared" ca="1" si="28"/>
        <v>-8.1282605981199598</v>
      </c>
      <c r="O312" s="13">
        <f t="shared" ca="1" si="29"/>
        <v>-26.128333374390017</v>
      </c>
      <c r="P312" s="12">
        <f t="shared" ca="1" si="33"/>
        <v>1.8806261601032048</v>
      </c>
    </row>
    <row r="313" spans="1:16" x14ac:dyDescent="0.25">
      <c r="A313">
        <v>7</v>
      </c>
      <c r="B313">
        <v>21</v>
      </c>
      <c r="C313" s="2" t="s">
        <v>6</v>
      </c>
      <c r="D313" s="2" t="s">
        <v>20</v>
      </c>
      <c r="E313" s="11" cm="1">
        <f t="array" aca="1" ref="E313" ca="1">INDEX('OD flujo mercancia multimodal'!E$45:E$1645,MATCH(C313&amp;D313,'OD flujo mercancia multimodal'!C$45:C$1645&amp;'OD flujo mercancia multimodal'!D$45:D$1645,0))</f>
        <v>40107.450549450557</v>
      </c>
      <c r="F313" s="11" cm="1">
        <f t="array" aca="1" ref="F313" ca="1">INDEX('OD flujo mercancia carretera'!E$45:E$1646,MATCH(C313&amp;D313,'OD flujo mercancia carretera'!C$45:C$1646&amp;'OD flujo mercancia carretera'!D$45:D$1646,0))</f>
        <v>163400.02564102531</v>
      </c>
      <c r="G313" s="11" cm="1">
        <f t="array" aca="1" ref="G313" ca="1">INDEX('Coste Carretera'!E$46:E$1646,MATCH(C313&amp;D313,'Coste Carretera'!C$46:C$1646&amp;'Coste Carretera'!D$46:D$1646,0))</f>
        <v>1516639178.057143</v>
      </c>
      <c r="H313" s="11" cm="1">
        <f t="array" aca="1" ref="H313" ca="1">INDEX('Coste multimodal'!E$46:E$1646,MATCH(C313&amp;D313,'Coste multimodal'!C$46:C$1646&amp;'Coste multimodal'!D$46:D$1646,0))</f>
        <v>430252861.78994459</v>
      </c>
      <c r="I313" s="12" cm="1">
        <f t="array" aca="1" ref="I313" ca="1">INDEX('Tiempos intermodal (horas)'!E$45:E$1645,MATCH(C313&amp;D313,'Tiempos intermodal (horas)'!C$45:C$1645&amp;'Tiempos intermodal (horas)'!D$45:D$1645,0))</f>
        <v>34.122777818834464</v>
      </c>
      <c r="J313" s="2" cm="1">
        <f t="array" aca="1" ref="J313" ca="1">INDEX('Tiempos carretera (horas)'!E$45:E$1645,MATCH(C313&amp;D313,'Tiempos carretera (horas)'!C$45:C$1645&amp;'Tiempos carretera (horas)'!D$45:D$1645,0))</f>
        <v>8.01</v>
      </c>
      <c r="K313" s="12">
        <f t="shared" ca="1" si="30"/>
        <v>9.2817560591395409</v>
      </c>
      <c r="L313" s="12">
        <f t="shared" ca="1" si="31"/>
        <v>10.727504638058795</v>
      </c>
      <c r="M313" s="12">
        <f t="shared" ca="1" si="32"/>
        <v>0.19708096872034023</v>
      </c>
      <c r="N313" s="13">
        <f t="shared" ca="1" si="28"/>
        <v>-1.4457485789192539</v>
      </c>
      <c r="O313" s="13">
        <f t="shared" ca="1" si="29"/>
        <v>-26.112777818834466</v>
      </c>
      <c r="P313" s="12">
        <f t="shared" ca="1" si="33"/>
        <v>1.4046392230555584</v>
      </c>
    </row>
    <row r="314" spans="1:16" x14ac:dyDescent="0.25">
      <c r="A314">
        <v>21</v>
      </c>
      <c r="B314">
        <v>7</v>
      </c>
      <c r="C314" s="2" t="s">
        <v>20</v>
      </c>
      <c r="D314" s="2" t="s">
        <v>6</v>
      </c>
      <c r="E314" s="11" cm="1">
        <f t="array" aca="1" ref="E314" ca="1">INDEX('OD flujo mercancia multimodal'!E$45:E$1645,MATCH(C314&amp;D314,'OD flujo mercancia multimodal'!C$45:C$1645&amp;'OD flujo mercancia multimodal'!D$45:D$1645,0))</f>
        <v>28144.324175824171</v>
      </c>
      <c r="F314" s="11" cm="1">
        <f t="array" aca="1" ref="F314" ca="1">INDEX('OD flujo mercancia carretera'!E$45:E$1646,MATCH(C314&amp;D314,'OD flujo mercancia carretera'!C$45:C$1646&amp;'OD flujo mercancia carretera'!D$45:D$1646,0))</f>
        <v>172206.07692307691</v>
      </c>
      <c r="G314" s="11" cm="1">
        <f t="array" aca="1" ref="G314" ca="1">INDEX('Coste Carretera'!E$46:E$1646,MATCH(C314&amp;D314,'Coste Carretera'!C$46:C$1646&amp;'Coste Carretera'!D$46:D$1646,0))</f>
        <v>1064260732.1142856</v>
      </c>
      <c r="H314" s="11" cm="1">
        <f t="array" aca="1" ref="H314" ca="1">INDEX('Coste multimodal'!E$46:E$1646,MATCH(C314&amp;D314,'Coste multimodal'!C$46:C$1646&amp;'Coste multimodal'!D$46:D$1646,0))</f>
        <v>430252861.78994459</v>
      </c>
      <c r="I314" s="12" cm="1">
        <f t="array" aca="1" ref="I314" ca="1">INDEX('Tiempos intermodal (horas)'!E$45:E$1645,MATCH(C314&amp;D314,'Tiempos intermodal (horas)'!C$45:C$1645&amp;'Tiempos intermodal (horas)'!D$45:D$1645,0))</f>
        <v>34.122777818834464</v>
      </c>
      <c r="J314" s="2" cm="1">
        <f t="array" aca="1" ref="J314" ca="1">INDEX('Tiempos carretera (horas)'!E$45:E$1645,MATCH(C314&amp;D314,'Tiempos carretera (horas)'!C$45:C$1645&amp;'Tiempos carretera (horas)'!D$45:D$1645,0))</f>
        <v>8.01</v>
      </c>
      <c r="K314" s="12">
        <f t="shared" ca="1" si="30"/>
        <v>6.1801578151605101</v>
      </c>
      <c r="L314" s="12">
        <f t="shared" ca="1" si="31"/>
        <v>15.28737585248288</v>
      </c>
      <c r="M314" s="12">
        <f t="shared" ca="1" si="32"/>
        <v>0.14047550701898018</v>
      </c>
      <c r="N314" s="13">
        <f t="shared" ca="1" si="28"/>
        <v>-9.1072180373223688</v>
      </c>
      <c r="O314" s="13">
        <f t="shared" ca="1" si="29"/>
        <v>-26.112777818834466</v>
      </c>
      <c r="P314" s="12">
        <f t="shared" ca="1" si="33"/>
        <v>1.8113461748852697</v>
      </c>
    </row>
    <row r="315" spans="1:16" x14ac:dyDescent="0.25">
      <c r="A315">
        <v>6</v>
      </c>
      <c r="B315">
        <v>21</v>
      </c>
      <c r="C315" s="2" t="s">
        <v>5</v>
      </c>
      <c r="D315" s="2" t="s">
        <v>20</v>
      </c>
      <c r="E315" s="11" cm="1">
        <f t="array" aca="1" ref="E315" ca="1">INDEX('OD flujo mercancia multimodal'!E$45:E$1645,MATCH(C315&amp;D315,'OD flujo mercancia multimodal'!C$45:C$1645&amp;'OD flujo mercancia multimodal'!D$45:D$1645,0))</f>
        <v>48812.521978021992</v>
      </c>
      <c r="F315" s="11" cm="1">
        <f t="array" aca="1" ref="F315" ca="1">INDEX('OD flujo mercancia carretera'!E$45:E$1646,MATCH(C315&amp;D315,'OD flujo mercancia carretera'!C$45:C$1646&amp;'OD flujo mercancia carretera'!D$45:D$1646,0))</f>
        <v>235093.03296703263</v>
      </c>
      <c r="G315" s="11" cm="1">
        <f t="array" aca="1" ref="G315" ca="1">INDEX('Coste Carretera'!E$46:E$1646,MATCH(C315&amp;D315,'Coste Carretera'!C$46:C$1646&amp;'Coste Carretera'!D$46:D$1646,0))</f>
        <v>2402124734.0657148</v>
      </c>
      <c r="H315" s="11" cm="1">
        <f t="array" aca="1" ref="H315" ca="1">INDEX('Coste multimodal'!E$46:E$1646,MATCH(C315&amp;D315,'Coste multimodal'!C$46:C$1646&amp;'Coste multimodal'!D$46:D$1646,0))</f>
        <v>568941859.32423031</v>
      </c>
      <c r="I315" s="12" cm="1">
        <f t="array" aca="1" ref="I315" ca="1">INDEX('Tiempos intermodal (horas)'!E$45:E$1645,MATCH(C315&amp;D315,'Tiempos intermodal (horas)'!C$45:C$1645&amp;'Tiempos intermodal (horas)'!D$45:D$1645,0))</f>
        <v>36.228333374390019</v>
      </c>
      <c r="J315" s="2" cm="1">
        <f t="array" aca="1" ref="J315" ca="1">INDEX('Tiempos carretera (horas)'!E$45:E$1645,MATCH(C315&amp;D315,'Tiempos carretera (horas)'!C$45:C$1645&amp;'Tiempos carretera (horas)'!D$45:D$1645,0))</f>
        <v>10.1</v>
      </c>
      <c r="K315" s="12">
        <f t="shared" ca="1" si="30"/>
        <v>10.217762320513206</v>
      </c>
      <c r="L315" s="12">
        <f t="shared" ca="1" si="31"/>
        <v>11.655653841864559</v>
      </c>
      <c r="M315" s="12">
        <f t="shared" ca="1" si="32"/>
        <v>0.17193225397604098</v>
      </c>
      <c r="N315" s="13">
        <f t="shared" ca="1" si="28"/>
        <v>-1.4378915213513537</v>
      </c>
      <c r="O315" s="13">
        <f t="shared" ca="1" si="29"/>
        <v>-26.128333374390017</v>
      </c>
      <c r="P315" s="12">
        <f t="shared" ca="1" si="33"/>
        <v>1.5719944429147026</v>
      </c>
    </row>
    <row r="316" spans="1:16" x14ac:dyDescent="0.25">
      <c r="A316">
        <v>3</v>
      </c>
      <c r="B316">
        <v>10</v>
      </c>
      <c r="C316" s="2" t="s">
        <v>2</v>
      </c>
      <c r="D316" s="2" t="s">
        <v>9</v>
      </c>
      <c r="E316" s="11" cm="1">
        <f t="array" aca="1" ref="E316" ca="1">INDEX('OD flujo mercancia multimodal'!E$45:E$1645,MATCH(C316&amp;D316,'OD flujo mercancia multimodal'!C$45:C$1645&amp;'OD flujo mercancia multimodal'!D$45:D$1645,0))</f>
        <v>36057.785714285732</v>
      </c>
      <c r="F316" s="11" cm="1">
        <f t="array" aca="1" ref="F316" ca="1">INDEX('OD flujo mercancia carretera'!E$45:E$1646,MATCH(C316&amp;D316,'OD flujo mercancia carretera'!C$45:C$1646&amp;'OD flujo mercancia carretera'!D$45:D$1646,0))</f>
        <v>132048.69230769234</v>
      </c>
      <c r="G316" s="11" cm="1">
        <f t="array" aca="1" ref="G316" ca="1">INDEX('Coste Carretera'!E$46:E$1646,MATCH(C316&amp;D316,'Coste Carretera'!C$46:C$1646&amp;'Coste Carretera'!D$46:D$1646,0))</f>
        <v>1403272385.1342864</v>
      </c>
      <c r="H316" s="11" cm="1">
        <f t="array" aca="1" ref="H316" ca="1">INDEX('Coste multimodal'!E$46:E$1646,MATCH(C316&amp;D316,'Coste multimodal'!C$46:C$1646&amp;'Coste multimodal'!D$46:D$1646,0))</f>
        <v>699848489.49816465</v>
      </c>
      <c r="I316" s="12" cm="1">
        <f t="array" aca="1" ref="I316" ca="1">INDEX('Tiempos intermodal (horas)'!E$45:E$1645,MATCH(C316&amp;D316,'Tiempos intermodal (horas)'!C$45:C$1645&amp;'Tiempos intermodal (horas)'!D$45:D$1645,0))</f>
        <v>34.016099773601724</v>
      </c>
      <c r="J316" s="2" cm="1">
        <f t="array" aca="1" ref="J316" ca="1">INDEX('Tiempos carretera (horas)'!E$45:E$1645,MATCH(C316&amp;D316,'Tiempos carretera (horas)'!C$45:C$1645&amp;'Tiempos carretera (horas)'!D$45:D$1645,0))</f>
        <v>7.86</v>
      </c>
      <c r="K316" s="12">
        <f t="shared" ca="1" si="30"/>
        <v>10.626931328213846</v>
      </c>
      <c r="L316" s="12">
        <f t="shared" ca="1" si="31"/>
        <v>19.40908116331979</v>
      </c>
      <c r="M316" s="12">
        <f t="shared" ca="1" si="32"/>
        <v>0.21449373122653589</v>
      </c>
      <c r="N316" s="13">
        <f t="shared" ca="1" si="28"/>
        <v>-8.7821498351059439</v>
      </c>
      <c r="O316" s="13">
        <f t="shared" ca="1" si="29"/>
        <v>-26.156099773601724</v>
      </c>
      <c r="P316" s="12">
        <f t="shared" ca="1" si="33"/>
        <v>1.2980479253894199</v>
      </c>
    </row>
    <row r="317" spans="1:16" x14ac:dyDescent="0.25">
      <c r="A317">
        <v>35</v>
      </c>
      <c r="B317">
        <v>4</v>
      </c>
      <c r="C317" s="2" t="s">
        <v>34</v>
      </c>
      <c r="D317" s="2" t="s">
        <v>3</v>
      </c>
      <c r="E317" s="11" cm="1">
        <f t="array" aca="1" ref="E317" ca="1">INDEX('OD flujo mercancia multimodal'!E$45:E$1645,MATCH(C317&amp;D317,'OD flujo mercancia multimodal'!C$45:C$1645&amp;'OD flujo mercancia multimodal'!D$45:D$1645,0))</f>
        <v>40884.379120879094</v>
      </c>
      <c r="F317" s="11" cm="1">
        <f t="array" aca="1" ref="F317" ca="1">INDEX('OD flujo mercancia carretera'!E$45:E$1646,MATCH(C317&amp;D317,'OD flujo mercancia carretera'!C$45:C$1646&amp;'OD flujo mercancia carretera'!D$45:D$1646,0))</f>
        <v>45184.769230769212</v>
      </c>
      <c r="G317" s="11" cm="1">
        <f t="array" aca="1" ref="G317" ca="1">INDEX('Coste Carretera'!E$46:E$1646,MATCH(C317&amp;D317,'Coste Carretera'!C$46:C$1646&amp;'Coste Carretera'!D$46:D$1646,0))</f>
        <v>2823235185.0428567</v>
      </c>
      <c r="H317" s="11" cm="1">
        <f t="array" aca="1" ref="H317" ca="1">INDEX('Coste multimodal'!E$46:E$1646,MATCH(C317&amp;D317,'Coste multimodal'!C$46:C$1646&amp;'Coste multimodal'!D$46:D$1646,0))</f>
        <v>2188464895.3305206</v>
      </c>
      <c r="I317" s="12" cm="1">
        <f t="array" aca="1" ref="I317" ca="1">INDEX('Tiempos intermodal (horas)'!E$45:E$1645,MATCH(C317&amp;D317,'Tiempos intermodal (horas)'!C$45:C$1645&amp;'Tiempos intermodal (horas)'!D$45:D$1645,0))</f>
        <v>26.774971744205139</v>
      </c>
      <c r="J317" s="2" cm="1">
        <f t="array" aca="1" ref="J317" ca="1">INDEX('Tiempos carretera (horas)'!E$45:E$1645,MATCH(C317&amp;D317,'Tiempos carretera (horas)'!C$45:C$1645&amp;'Tiempos carretera (horas)'!D$45:D$1645,0))</f>
        <v>3.72</v>
      </c>
      <c r="K317" s="12">
        <f t="shared" ca="1" si="30"/>
        <v>62.482009604252546</v>
      </c>
      <c r="L317" s="12">
        <f t="shared" ca="1" si="31"/>
        <v>53.528143080272478</v>
      </c>
      <c r="M317" s="12">
        <f t="shared" ca="1" si="32"/>
        <v>0.4750178188569949</v>
      </c>
      <c r="N317" s="13">
        <f t="shared" ca="1" si="28"/>
        <v>8.9538665239800679</v>
      </c>
      <c r="O317" s="13">
        <f t="shared" ca="1" si="29"/>
        <v>-23.05497174420514</v>
      </c>
      <c r="P317" s="12">
        <f t="shared" ca="1" si="33"/>
        <v>0.10001200462145672</v>
      </c>
    </row>
    <row r="318" spans="1:16" x14ac:dyDescent="0.25">
      <c r="A318">
        <v>33</v>
      </c>
      <c r="B318">
        <v>6</v>
      </c>
      <c r="C318" s="2" t="s">
        <v>32</v>
      </c>
      <c r="D318" s="2" t="s">
        <v>5</v>
      </c>
      <c r="E318" s="11" cm="1">
        <f t="array" aca="1" ref="E318" ca="1">INDEX('OD flujo mercancia multimodal'!E$45:E$1645,MATCH(C318&amp;D318,'OD flujo mercancia multimodal'!C$45:C$1645&amp;'OD flujo mercancia multimodal'!D$45:D$1645,0))</f>
        <v>43361.401098901086</v>
      </c>
      <c r="F318" s="11" cm="1">
        <f t="array" aca="1" ref="F318" ca="1">INDEX('OD flujo mercancia carretera'!E$45:E$1646,MATCH(C318&amp;D318,'OD flujo mercancia carretera'!C$45:C$1646&amp;'OD flujo mercancia carretera'!D$45:D$1646,0))</f>
        <v>221366.7934065935</v>
      </c>
      <c r="G318" s="11" cm="1">
        <f t="array" aca="1" ref="G318" ca="1">INDEX('Coste Carretera'!E$46:E$1646,MATCH(C318&amp;D318,'Coste Carretera'!C$46:C$1646&amp;'Coste Carretera'!D$46:D$1646,0))</f>
        <v>496388708.25714231</v>
      </c>
      <c r="H318" s="11" cm="1">
        <f t="array" aca="1" ref="H318" ca="1">INDEX('Coste multimodal'!E$46:E$1646,MATCH(C318&amp;D318,'Coste multimodal'!C$46:C$1646&amp;'Coste multimodal'!D$46:D$1646,0))</f>
        <v>520681092.25458211</v>
      </c>
      <c r="I318" s="12" cm="1">
        <f t="array" aca="1" ref="I318" ca="1">INDEX('Tiempos intermodal (horas)'!E$45:E$1645,MATCH(C318&amp;D318,'Tiempos intermodal (horas)'!C$45:C$1645&amp;'Tiempos intermodal (horas)'!D$45:D$1645,0))</f>
        <v>28.441272203600086</v>
      </c>
      <c r="J318" s="2" cm="1">
        <f t="array" aca="1" ref="J318" ca="1">INDEX('Tiempos carretera (horas)'!E$45:E$1645,MATCH(C318&amp;D318,'Tiempos carretera (horas)'!C$45:C$1645&amp;'Tiempos carretera (horas)'!D$45:D$1645,0))</f>
        <v>7.42</v>
      </c>
      <c r="K318" s="12">
        <f t="shared" ca="1" si="30"/>
        <v>2.2423810754009739</v>
      </c>
      <c r="L318" s="12">
        <f t="shared" ca="1" si="31"/>
        <v>12.007939758841829</v>
      </c>
      <c r="M318" s="12">
        <f t="shared" ca="1" si="32"/>
        <v>0.16379593106770915</v>
      </c>
      <c r="N318" s="13">
        <f t="shared" ca="1" si="28"/>
        <v>-9.7655586834408545</v>
      </c>
      <c r="O318" s="13">
        <f t="shared" ca="1" si="29"/>
        <v>-21.021272203600084</v>
      </c>
      <c r="P318" s="12">
        <f t="shared" ca="1" si="33"/>
        <v>1.630251354636451</v>
      </c>
    </row>
    <row r="319" spans="1:16" x14ac:dyDescent="0.25">
      <c r="A319">
        <v>35</v>
      </c>
      <c r="B319">
        <v>6</v>
      </c>
      <c r="C319" s="2" t="s">
        <v>34</v>
      </c>
      <c r="D319" s="2" t="s">
        <v>5</v>
      </c>
      <c r="E319" s="11" cm="1">
        <f t="array" aca="1" ref="E319" ca="1">INDEX('OD flujo mercancia multimodal'!E$45:E$1645,MATCH(C319&amp;D319,'OD flujo mercancia multimodal'!C$45:C$1645&amp;'OD flujo mercancia multimodal'!D$45:D$1645,0))</f>
        <v>22949.093406593391</v>
      </c>
      <c r="F319" s="11" cm="1">
        <f t="array" aca="1" ref="F319" ca="1">INDEX('OD flujo mercancia carretera'!E$45:E$1646,MATCH(C319&amp;D319,'OD flujo mercancia carretera'!C$45:C$1646&amp;'OD flujo mercancia carretera'!D$45:D$1646,0))</f>
        <v>142774.15750915761</v>
      </c>
      <c r="G319" s="11" cm="1">
        <f t="array" aca="1" ref="G319" ca="1">INDEX('Coste Carretera'!E$46:E$1646,MATCH(C319&amp;D319,'Coste Carretera'!C$46:C$1646&amp;'Coste Carretera'!D$46:D$1646,0))</f>
        <v>4931345175.4714279</v>
      </c>
      <c r="H319" s="11" cm="1">
        <f t="array" aca="1" ref="H319" ca="1">INDEX('Coste multimodal'!E$46:E$1646,MATCH(C319&amp;D319,'Coste multimodal'!C$46:C$1646&amp;'Coste multimodal'!D$46:D$1646,0))</f>
        <v>2685780078.8980989</v>
      </c>
      <c r="I319" s="12" cm="1">
        <f t="array" aca="1" ref="I319" ca="1">INDEX('Tiempos intermodal (horas)'!E$45:E$1645,MATCH(C319&amp;D319,'Tiempos intermodal (horas)'!C$45:C$1645&amp;'Tiempos intermodal (horas)'!D$45:D$1645,0))</f>
        <v>31.507958570142407</v>
      </c>
      <c r="J319" s="2" cm="1">
        <f t="array" aca="1" ref="J319" ca="1">INDEX('Tiempos carretera (horas)'!E$45:E$1645,MATCH(C319&amp;D319,'Tiempos carretera (horas)'!C$45:C$1645&amp;'Tiempos carretera (horas)'!D$45:D$1645,0))</f>
        <v>7.08</v>
      </c>
      <c r="K319" s="12">
        <f t="shared" ca="1" si="30"/>
        <v>34.539480123741086</v>
      </c>
      <c r="L319" s="12">
        <f t="shared" ca="1" si="31"/>
        <v>117.03207753411561</v>
      </c>
      <c r="M319" s="12">
        <f t="shared" ca="1" si="32"/>
        <v>0.13847841675674138</v>
      </c>
      <c r="N319" s="13">
        <f t="shared" ca="1" si="28"/>
        <v>-82.492597410374529</v>
      </c>
      <c r="O319" s="13">
        <f t="shared" ca="1" si="29"/>
        <v>-24.427958570142408</v>
      </c>
      <c r="P319" s="12">
        <f t="shared" ca="1" si="33"/>
        <v>1.8279856309590325</v>
      </c>
    </row>
    <row r="320" spans="1:16" x14ac:dyDescent="0.25">
      <c r="A320">
        <v>4</v>
      </c>
      <c r="B320">
        <v>2</v>
      </c>
      <c r="C320" s="2" t="s">
        <v>3</v>
      </c>
      <c r="D320" s="2" t="s">
        <v>1</v>
      </c>
      <c r="E320" s="11" cm="1">
        <f t="array" aca="1" ref="E320" ca="1">INDEX('OD flujo mercancia multimodal'!E$45:E$1645,MATCH(C320&amp;D320,'OD flujo mercancia multimodal'!C$45:C$1645&amp;'OD flujo mercancia multimodal'!D$45:D$1645,0))</f>
        <v>50836.214285714261</v>
      </c>
      <c r="F320" s="11" cm="1">
        <f t="array" aca="1" ref="F320" ca="1">INDEX('OD flujo mercancia carretera'!E$45:E$1646,MATCH(C320&amp;D320,'OD flujo mercancia carretera'!C$45:C$1646&amp;'OD flujo mercancia carretera'!D$45:D$1646,0))</f>
        <v>70092.384615384653</v>
      </c>
      <c r="G320" s="11" cm="1">
        <f t="array" aca="1" ref="G320" ca="1">INDEX('Coste Carretera'!E$46:E$1646,MATCH(C320&amp;D320,'Coste Carretera'!C$46:C$1646&amp;'Coste Carretera'!D$46:D$1646,0))</f>
        <v>1332289069.1685708</v>
      </c>
      <c r="H320" s="11" cm="1">
        <f t="array" aca="1" ref="H320" ca="1">INDEX('Coste multimodal'!E$46:E$1646,MATCH(C320&amp;D320,'Coste multimodal'!C$46:C$1646&amp;'Coste multimodal'!D$46:D$1646,0))</f>
        <v>861365196.28918147</v>
      </c>
      <c r="I320" s="12" cm="1">
        <f t="array" aca="1" ref="I320" ca="1">INDEX('Tiempos intermodal (horas)'!E$45:E$1645,MATCH(C320&amp;D320,'Tiempos intermodal (horas)'!C$45:C$1645&amp;'Tiempos intermodal (horas)'!D$45:D$1645,0))</f>
        <v>31.679348437793262</v>
      </c>
      <c r="J320" s="2" cm="1">
        <f t="array" aca="1" ref="J320" ca="1">INDEX('Tiempos carretera (horas)'!E$45:E$1645,MATCH(C320&amp;D320,'Tiempos carretera (horas)'!C$45:C$1645&amp;'Tiempos carretera (horas)'!D$45:D$1645,0))</f>
        <v>5.45</v>
      </c>
      <c r="K320" s="12">
        <f t="shared" ca="1" si="30"/>
        <v>19.007615113670212</v>
      </c>
      <c r="L320" s="12">
        <f t="shared" ca="1" si="31"/>
        <v>16.943928819090647</v>
      </c>
      <c r="M320" s="12">
        <f t="shared" ca="1" si="32"/>
        <v>0.42038206634057262</v>
      </c>
      <c r="N320" s="13">
        <f t="shared" ca="1" si="28"/>
        <v>2.0636862945795649</v>
      </c>
      <c r="O320" s="13">
        <f t="shared" ca="1" si="29"/>
        <v>-26.229348437793263</v>
      </c>
      <c r="P320" s="12">
        <f t="shared" ca="1" si="33"/>
        <v>0.32120517187825426</v>
      </c>
    </row>
    <row r="321" spans="1:16" x14ac:dyDescent="0.25">
      <c r="A321">
        <v>2</v>
      </c>
      <c r="B321">
        <v>4</v>
      </c>
      <c r="C321" s="2" t="s">
        <v>1</v>
      </c>
      <c r="D321" s="2" t="s">
        <v>3</v>
      </c>
      <c r="E321" s="11" cm="1">
        <f t="array" aca="1" ref="E321" ca="1">INDEX('OD flujo mercancia multimodal'!E$45:E$1645,MATCH(C321&amp;D321,'OD flujo mercancia multimodal'!C$45:C$1645&amp;'OD flujo mercancia multimodal'!D$45:D$1645,0))</f>
        <v>37560.071428571398</v>
      </c>
      <c r="F321" s="11" cm="1">
        <f t="array" aca="1" ref="F321" ca="1">INDEX('OD flujo mercancia carretera'!E$45:E$1646,MATCH(C321&amp;D321,'OD flujo mercancia carretera'!C$45:C$1646&amp;'OD flujo mercancia carretera'!D$45:D$1646,0))</f>
        <v>69655.384615384595</v>
      </c>
      <c r="G321" s="11" cm="1">
        <f t="array" aca="1" ref="G321" ca="1">INDEX('Coste Carretera'!E$46:E$1646,MATCH(C321&amp;D321,'Coste Carretera'!C$46:C$1646&amp;'Coste Carretera'!D$46:D$1646,0))</f>
        <v>984354820.76285636</v>
      </c>
      <c r="H321" s="11" cm="1">
        <f t="array" aca="1" ref="H321" ca="1">INDEX('Coste multimodal'!E$46:E$1646,MATCH(C321&amp;D321,'Coste multimodal'!C$46:C$1646&amp;'Coste multimodal'!D$46:D$1646,0))</f>
        <v>861365196.28918147</v>
      </c>
      <c r="I321" s="12" cm="1">
        <f t="array" aca="1" ref="I321" ca="1">INDEX('Tiempos intermodal (horas)'!E$45:E$1645,MATCH(C321&amp;D321,'Tiempos intermodal (horas)'!C$45:C$1645&amp;'Tiempos intermodal (horas)'!D$45:D$1645,0))</f>
        <v>31.679348437793262</v>
      </c>
      <c r="J321" s="2" cm="1">
        <f t="array" aca="1" ref="J321" ca="1">INDEX('Tiempos carretera (horas)'!E$45:E$1645,MATCH(C321&amp;D321,'Tiempos carretera (horas)'!C$45:C$1645&amp;'Tiempos carretera (horas)'!D$45:D$1645,0))</f>
        <v>5.45</v>
      </c>
      <c r="K321" s="12">
        <f t="shared" ca="1" si="30"/>
        <v>14.131783582822177</v>
      </c>
      <c r="L321" s="12">
        <f t="shared" ca="1" si="31"/>
        <v>22.933002082470843</v>
      </c>
      <c r="M321" s="12">
        <f t="shared" ca="1" si="32"/>
        <v>0.35032329119761046</v>
      </c>
      <c r="N321" s="13">
        <f t="shared" ref="N321:N383" ca="1" si="34">K321-L321</f>
        <v>-8.801218499648666</v>
      </c>
      <c r="O321" s="13">
        <f t="shared" ref="O321:O383" ca="1" si="35">J321-I321</f>
        <v>-26.229348437793263</v>
      </c>
      <c r="P321" s="12">
        <f t="shared" ca="1" si="33"/>
        <v>0.61761845080522049</v>
      </c>
    </row>
    <row r="322" spans="1:16" x14ac:dyDescent="0.25">
      <c r="A322">
        <v>4</v>
      </c>
      <c r="B322">
        <v>21</v>
      </c>
      <c r="C322" s="2" t="s">
        <v>3</v>
      </c>
      <c r="D322" s="2" t="s">
        <v>20</v>
      </c>
      <c r="E322" s="11" cm="1">
        <f t="array" aca="1" ref="E322" ca="1">INDEX('OD flujo mercancia multimodal'!E$45:E$1645,MATCH(C322&amp;D322,'OD flujo mercancia multimodal'!C$45:C$1645&amp;'OD flujo mercancia multimodal'!D$45:D$1645,0))</f>
        <v>66921.450549450557</v>
      </c>
      <c r="F322" s="11" cm="1">
        <f t="array" aca="1" ref="F322" ca="1">INDEX('OD flujo mercancia carretera'!E$45:E$1646,MATCH(C322&amp;D322,'OD flujo mercancia carretera'!C$45:C$1646&amp;'OD flujo mercancia carretera'!D$45:D$1646,0))</f>
        <v>138448.48717948684</v>
      </c>
      <c r="G322" s="11" cm="1">
        <f t="array" aca="1" ref="G322" ca="1">INDEX('Coste Carretera'!E$46:E$1646,MATCH(C322&amp;D322,'Coste Carretera'!C$46:C$1646&amp;'Coste Carretera'!D$46:D$1646,0))</f>
        <v>2112343464.2971427</v>
      </c>
      <c r="H322" s="11" cm="1">
        <f t="array" aca="1" ref="H322" ca="1">INDEX('Coste multimodal'!E$46:E$1646,MATCH(C322&amp;D322,'Coste multimodal'!C$46:C$1646&amp;'Coste multimodal'!D$46:D$1646,0))</f>
        <v>326925874.49606782</v>
      </c>
      <c r="I322" s="12" cm="1">
        <f t="array" aca="1" ref="I322" ca="1">INDEX('Tiempos intermodal (horas)'!E$45:E$1645,MATCH(C322&amp;D322,'Tiempos intermodal (horas)'!C$45:C$1645&amp;'Tiempos intermodal (horas)'!D$45:D$1645,0))</f>
        <v>31.25593944725976</v>
      </c>
      <c r="J322" s="2" cm="1">
        <f t="array" aca="1" ref="J322" ca="1">INDEX('Tiempos carretera (horas)'!E$45:E$1645,MATCH(C322&amp;D322,'Tiempos carretera (horas)'!C$45:C$1645&amp;'Tiempos carretera (horas)'!D$45:D$1645,0))</f>
        <v>6.92</v>
      </c>
      <c r="K322" s="12">
        <f t="shared" ca="1" si="30"/>
        <v>15.257252046088931</v>
      </c>
      <c r="L322" s="12">
        <f t="shared" ca="1" si="31"/>
        <v>4.8852179953046759</v>
      </c>
      <c r="M322" s="12">
        <f t="shared" ca="1" si="32"/>
        <v>0.32585806515546833</v>
      </c>
      <c r="N322" s="13">
        <f t="shared" ca="1" si="34"/>
        <v>10.372034050784254</v>
      </c>
      <c r="O322" s="13">
        <f t="shared" ca="1" si="35"/>
        <v>-24.335939447259761</v>
      </c>
      <c r="P322" s="12">
        <f t="shared" ca="1" si="33"/>
        <v>0.72697877096363017</v>
      </c>
    </row>
    <row r="323" spans="1:16" x14ac:dyDescent="0.25">
      <c r="A323">
        <v>3</v>
      </c>
      <c r="B323">
        <v>7</v>
      </c>
      <c r="C323" s="2" t="s">
        <v>2</v>
      </c>
      <c r="D323" s="2" t="s">
        <v>6</v>
      </c>
      <c r="E323" s="11" cm="1">
        <f t="array" aca="1" ref="E323" ca="1">INDEX('OD flujo mercancia multimodal'!E$45:E$1645,MATCH(C323&amp;D323,'OD flujo mercancia multimodal'!C$45:C$1645&amp;'OD flujo mercancia multimodal'!D$45:D$1645,0))</f>
        <v>19932.357142857138</v>
      </c>
      <c r="F323" s="11" cm="1">
        <f t="array" aca="1" ref="F323" ca="1">INDEX('OD flujo mercancia carretera'!E$45:E$1646,MATCH(C323&amp;D323,'OD flujo mercancia carretera'!C$45:C$1646&amp;'OD flujo mercancia carretera'!D$45:D$1646,0))</f>
        <v>99741.846153846127</v>
      </c>
      <c r="G323" s="11" cm="1">
        <f t="array" aca="1" ref="G323" ca="1">INDEX('Coste Carretera'!E$46:E$1646,MATCH(C323&amp;D323,'Coste Carretera'!C$46:C$1646&amp;'Coste Carretera'!D$46:D$1646,0))</f>
        <v>700340908.68857121</v>
      </c>
      <c r="H323" s="11" cm="1">
        <f t="array" aca="1" ref="H323" ca="1">INDEX('Coste multimodal'!E$46:E$1646,MATCH(C323&amp;D323,'Coste multimodal'!C$46:C$1646&amp;'Coste multimodal'!D$46:D$1646,0))</f>
        <v>602664907.52959323</v>
      </c>
      <c r="I323" s="12" cm="1">
        <f t="array" aca="1" ref="I323" ca="1">INDEX('Tiempos intermodal (horas)'!E$45:E$1645,MATCH(C323&amp;D323,'Tiempos intermodal (horas)'!C$45:C$1645&amp;'Tiempos intermodal (horas)'!D$45:D$1645,0))</f>
        <v>33.467210884712841</v>
      </c>
      <c r="J323" s="2" cm="1">
        <f t="array" aca="1" ref="J323" ca="1">INDEX('Tiempos carretera (horas)'!E$45:E$1645,MATCH(C323&amp;D323,'Tiempos carretera (horas)'!C$45:C$1645&amp;'Tiempos carretera (horas)'!D$45:D$1645,0))</f>
        <v>7.13</v>
      </c>
      <c r="K323" s="12">
        <f t="shared" ca="1" si="30"/>
        <v>7.0215354507107799</v>
      </c>
      <c r="L323" s="12">
        <f t="shared" ca="1" si="31"/>
        <v>30.23550617773078</v>
      </c>
      <c r="M323" s="12">
        <f t="shared" ca="1" si="32"/>
        <v>0.16655516889834376</v>
      </c>
      <c r="N323" s="13">
        <f t="shared" ca="1" si="34"/>
        <v>-23.213970727020001</v>
      </c>
      <c r="O323" s="13">
        <f t="shared" ca="1" si="35"/>
        <v>-26.337210884712842</v>
      </c>
      <c r="P323" s="12">
        <f t="shared" ca="1" si="33"/>
        <v>1.6102409112873541</v>
      </c>
    </row>
    <row r="324" spans="1:16" x14ac:dyDescent="0.25">
      <c r="A324">
        <v>4</v>
      </c>
      <c r="B324">
        <v>1</v>
      </c>
      <c r="C324" s="2" t="s">
        <v>3</v>
      </c>
      <c r="D324" s="2" t="s">
        <v>0</v>
      </c>
      <c r="E324" s="11" cm="1">
        <f t="array" aca="1" ref="E324" ca="1">INDEX('OD flujo mercancia multimodal'!E$45:E$1645,MATCH(C324&amp;D324,'OD flujo mercancia multimodal'!C$45:C$1645&amp;'OD flujo mercancia multimodal'!D$45:D$1645,0))</f>
        <v>122097.21428571426</v>
      </c>
      <c r="F324" s="11" cm="1">
        <f t="array" aca="1" ref="F324" ca="1">INDEX('OD flujo mercancia carretera'!E$45:E$1646,MATCH(C324&amp;D324,'OD flujo mercancia carretera'!C$45:C$1646&amp;'OD flujo mercancia carretera'!D$45:D$1646,0))</f>
        <v>79704.000000000044</v>
      </c>
      <c r="G324" s="11" cm="1">
        <f t="array" aca="1" ref="G324" ca="1">INDEX('Coste Carretera'!E$46:E$1646,MATCH(C324&amp;D324,'Coste Carretera'!C$46:C$1646&amp;'Coste Carretera'!D$46:D$1646,0))</f>
        <v>2827932651.1799994</v>
      </c>
      <c r="H324" s="11" cm="1">
        <f t="array" aca="1" ref="H324" ca="1">INDEX('Coste multimodal'!E$46:E$1646,MATCH(C324&amp;D324,'Coste multimodal'!C$46:C$1646&amp;'Coste multimodal'!D$46:D$1646,0))</f>
        <v>984896664.85061002</v>
      </c>
      <c r="I324" s="12" cm="1">
        <f t="array" aca="1" ref="I324" ca="1">INDEX('Tiempos intermodal (horas)'!E$45:E$1645,MATCH(C324&amp;D324,'Tiempos intermodal (horas)'!C$45:C$1645&amp;'Tiempos intermodal (horas)'!D$45:D$1645,0))</f>
        <v>31.301570660015486</v>
      </c>
      <c r="J324" s="2" cm="1">
        <f t="array" aca="1" ref="J324" ca="1">INDEX('Tiempos carretera (horas)'!E$45:E$1645,MATCH(C324&amp;D324,'Tiempos carretera (horas)'!C$45:C$1645&amp;'Tiempos carretera (horas)'!D$45:D$1645,0))</f>
        <v>4.93</v>
      </c>
      <c r="K324" s="12">
        <f t="shared" ca="1" si="30"/>
        <v>35.480435752032491</v>
      </c>
      <c r="L324" s="12">
        <f t="shared" ca="1" si="31"/>
        <v>8.0664957887237065</v>
      </c>
      <c r="M324" s="12">
        <f t="shared" ca="1" si="32"/>
        <v>0.60503706440956551</v>
      </c>
      <c r="N324" s="13">
        <f t="shared" ca="1" si="34"/>
        <v>27.413939963308785</v>
      </c>
      <c r="O324" s="13">
        <f t="shared" ca="1" si="35"/>
        <v>-26.371570660015486</v>
      </c>
      <c r="P324" s="12">
        <f t="shared" ca="1" si="33"/>
        <v>-0.42649779309102126</v>
      </c>
    </row>
    <row r="325" spans="1:16" x14ac:dyDescent="0.25">
      <c r="A325">
        <v>1</v>
      </c>
      <c r="B325">
        <v>4</v>
      </c>
      <c r="C325" s="2" t="s">
        <v>0</v>
      </c>
      <c r="D325" s="2" t="s">
        <v>3</v>
      </c>
      <c r="E325" s="11" cm="1">
        <f t="array" aca="1" ref="E325" ca="1">INDEX('OD flujo mercancia multimodal'!E$45:E$1645,MATCH(C325&amp;D325,'OD flujo mercancia multimodal'!C$45:C$1645&amp;'OD flujo mercancia multimodal'!D$45:D$1645,0))</f>
        <v>116760.14285714284</v>
      </c>
      <c r="F325" s="11" cm="1">
        <f t="array" aca="1" ref="F325" ca="1">INDEX('OD flujo mercancia carretera'!E$45:E$1646,MATCH(C325&amp;D325,'OD flujo mercancia carretera'!C$45:C$1646&amp;'OD flujo mercancia carretera'!D$45:D$1646,0))</f>
        <v>79087.384615384595</v>
      </c>
      <c r="G325" s="11" cm="1">
        <f t="array" aca="1" ref="G325" ca="1">INDEX('Coste Carretera'!E$46:E$1646,MATCH(C325&amp;D325,'Coste Carretera'!C$46:C$1646&amp;'Coste Carretera'!D$46:D$1646,0))</f>
        <v>2704319031.9599996</v>
      </c>
      <c r="H325" s="11" cm="1">
        <f t="array" aca="1" ref="H325" ca="1">INDEX('Coste multimodal'!E$46:E$1646,MATCH(C325&amp;D325,'Coste multimodal'!C$46:C$1646&amp;'Coste multimodal'!D$46:D$1646,0))</f>
        <v>984896664.85061002</v>
      </c>
      <c r="I325" s="12" cm="1">
        <f t="array" aca="1" ref="I325" ca="1">INDEX('Tiempos intermodal (horas)'!E$45:E$1645,MATCH(C325&amp;D325,'Tiempos intermodal (horas)'!C$45:C$1645&amp;'Tiempos intermodal (horas)'!D$45:D$1645,0))</f>
        <v>31.301570660015486</v>
      </c>
      <c r="J325" s="2" cm="1">
        <f t="array" aca="1" ref="J325" ca="1">INDEX('Tiempos carretera (horas)'!E$45:E$1645,MATCH(C325&amp;D325,'Tiempos carretera (horas)'!C$45:C$1645&amp;'Tiempos carretera (horas)'!D$45:D$1645,0))</f>
        <v>4.93</v>
      </c>
      <c r="K325" s="12">
        <f t="shared" ca="1" si="30"/>
        <v>34.194063251826613</v>
      </c>
      <c r="L325" s="12">
        <f t="shared" ca="1" si="31"/>
        <v>8.4352129138420171</v>
      </c>
      <c r="M325" s="12">
        <f t="shared" ca="1" si="32"/>
        <v>0.59617879461624246</v>
      </c>
      <c r="N325" s="13">
        <f t="shared" ca="1" si="34"/>
        <v>25.758850337984597</v>
      </c>
      <c r="O325" s="13">
        <f t="shared" ca="1" si="35"/>
        <v>-26.371570660015486</v>
      </c>
      <c r="P325" s="12">
        <f t="shared" ca="1" si="33"/>
        <v>-0.38956839397304177</v>
      </c>
    </row>
    <row r="326" spans="1:16" x14ac:dyDescent="0.25">
      <c r="A326">
        <v>31</v>
      </c>
      <c r="B326">
        <v>34</v>
      </c>
      <c r="C326" s="2" t="s">
        <v>30</v>
      </c>
      <c r="D326" s="2" t="s">
        <v>33</v>
      </c>
      <c r="E326" s="11" cm="1">
        <f t="array" aca="1" ref="E326" ca="1">INDEX('OD flujo mercancia multimodal'!E$45:E$1645,MATCH(C326&amp;D326,'OD flujo mercancia multimodal'!C$45:C$1645&amp;'OD flujo mercancia multimodal'!D$45:D$1645,0))</f>
        <v>298612.61538461567</v>
      </c>
      <c r="F326" s="11" cm="1">
        <f t="array" aca="1" ref="F326" ca="1">INDEX('OD flujo mercancia carretera'!E$45:E$1646,MATCH(C326&amp;D326,'OD flujo mercancia carretera'!C$45:C$1646&amp;'OD flujo mercancia carretera'!D$45:D$1646,0))</f>
        <v>287227.69658119668</v>
      </c>
      <c r="G326" s="11" cm="1">
        <f t="array" aca="1" ref="G326" ca="1">INDEX('Coste Carretera'!E$46:E$1646,MATCH(C326&amp;D326,'Coste Carretera'!C$46:C$1646&amp;'Coste Carretera'!D$46:D$1646,0))</f>
        <v>835409408.27999961</v>
      </c>
      <c r="H326" s="11" cm="1">
        <f t="array" aca="1" ref="H326" ca="1">INDEX('Coste multimodal'!E$46:E$1646,MATCH(C326&amp;D326,'Coste multimodal'!C$46:C$1646&amp;'Coste multimodal'!D$46:D$1646,0))</f>
        <v>2999903447.4870915</v>
      </c>
      <c r="I326" s="12" cm="1">
        <f t="array" aca="1" ref="I326" ca="1">INDEX('Tiempos intermodal (horas)'!E$45:E$1645,MATCH(C326&amp;D326,'Tiempos intermodal (horas)'!C$45:C$1645&amp;'Tiempos intermodal (horas)'!D$45:D$1645,0))</f>
        <v>27.106082855316252</v>
      </c>
      <c r="J326" s="2" cm="1">
        <f t="array" aca="1" ref="J326" ca="1">INDEX('Tiempos carretera (horas)'!E$45:E$1645,MATCH(C326&amp;D326,'Tiempos carretera (horas)'!C$45:C$1645&amp;'Tiempos carretera (horas)'!D$45:D$1645,0))</f>
        <v>2.63</v>
      </c>
      <c r="K326" s="12">
        <f t="shared" ca="1" si="30"/>
        <v>2.9085266435781794</v>
      </c>
      <c r="L326" s="12">
        <f t="shared" ca="1" si="31"/>
        <v>10.046137681166583</v>
      </c>
      <c r="M326" s="12">
        <f t="shared" ca="1" si="32"/>
        <v>0.50971674240478293</v>
      </c>
      <c r="N326" s="13">
        <f t="shared" ca="1" si="34"/>
        <v>-7.1376110375884032</v>
      </c>
      <c r="O326" s="13">
        <f t="shared" ca="1" si="35"/>
        <v>-24.476082855316253</v>
      </c>
      <c r="P326" s="12">
        <f t="shared" ca="1" si="33"/>
        <v>-3.8871863565677379E-2</v>
      </c>
    </row>
    <row r="327" spans="1:16" x14ac:dyDescent="0.25">
      <c r="A327">
        <v>34</v>
      </c>
      <c r="B327">
        <v>31</v>
      </c>
      <c r="C327" s="2" t="s">
        <v>33</v>
      </c>
      <c r="D327" s="2" t="s">
        <v>30</v>
      </c>
      <c r="E327" s="11" cm="1">
        <f t="array" aca="1" ref="E327" ca="1">INDEX('OD flujo mercancia multimodal'!E$45:E$1645,MATCH(C327&amp;D327,'OD flujo mercancia multimodal'!C$45:C$1645&amp;'OD flujo mercancia multimodal'!D$45:D$1645,0))</f>
        <v>127317.23076923078</v>
      </c>
      <c r="F327" s="11" cm="1">
        <f t="array" aca="1" ref="F327" ca="1">INDEX('OD flujo mercancia carretera'!E$45:E$1646,MATCH(C327&amp;D327,'OD flujo mercancia carretera'!C$45:C$1646&amp;'OD flujo mercancia carretera'!D$45:D$1646,0))</f>
        <v>298870.91880341881</v>
      </c>
      <c r="G327" s="11" cm="1">
        <f t="array" aca="1" ref="G327" ca="1">INDEX('Coste Carretera'!E$46:E$1646,MATCH(C327&amp;D327,'Coste Carretera'!C$46:C$1646&amp;'Coste Carretera'!D$46:D$1646,0))</f>
        <v>479863244.83599997</v>
      </c>
      <c r="H327" s="11" cm="1">
        <f t="array" aca="1" ref="H327" ca="1">INDEX('Coste multimodal'!E$46:E$1646,MATCH(C327&amp;D327,'Coste multimodal'!C$46:C$1646&amp;'Coste multimodal'!D$46:D$1646,0))</f>
        <v>2999903447.4870915</v>
      </c>
      <c r="I327" s="12" cm="1">
        <f t="array" aca="1" ref="I327" ca="1">INDEX('Tiempos intermodal (horas)'!E$45:E$1645,MATCH(C327&amp;D327,'Tiempos intermodal (horas)'!C$45:C$1645&amp;'Tiempos intermodal (horas)'!D$45:D$1645,0))</f>
        <v>27.106082855316252</v>
      </c>
      <c r="J327" s="2" cm="1">
        <f t="array" aca="1" ref="J327" ca="1">INDEX('Tiempos carretera (horas)'!E$45:E$1645,MATCH(C327&amp;D327,'Tiempos carretera (horas)'!C$45:C$1645&amp;'Tiempos carretera (horas)'!D$45:D$1645,0))</f>
        <v>2.63</v>
      </c>
      <c r="K327" s="12">
        <f t="shared" ca="1" si="30"/>
        <v>1.6055869428755902</v>
      </c>
      <c r="L327" s="12">
        <f t="shared" ca="1" si="31"/>
        <v>23.562430861574231</v>
      </c>
      <c r="M327" s="12">
        <f t="shared" ca="1" si="32"/>
        <v>0.29873479799214314</v>
      </c>
      <c r="N327" s="13">
        <f t="shared" ca="1" si="34"/>
        <v>-21.956843918698642</v>
      </c>
      <c r="O327" s="13">
        <f t="shared" ca="1" si="35"/>
        <v>-24.476082855316253</v>
      </c>
      <c r="P327" s="12">
        <f t="shared" ca="1" si="33"/>
        <v>0.85332991847544082</v>
      </c>
    </row>
    <row r="328" spans="1:16" x14ac:dyDescent="0.25">
      <c r="A328">
        <v>3</v>
      </c>
      <c r="B328">
        <v>6</v>
      </c>
      <c r="C328" s="2" t="s">
        <v>2</v>
      </c>
      <c r="D328" s="2" t="s">
        <v>5</v>
      </c>
      <c r="E328" s="11" cm="1">
        <f t="array" aca="1" ref="E328" ca="1">INDEX('OD flujo mercancia multimodal'!E$45:E$1645,MATCH(C328&amp;D328,'OD flujo mercancia multimodal'!C$45:C$1645&amp;'OD flujo mercancia multimodal'!D$45:D$1645,0))</f>
        <v>28182.35714285713</v>
      </c>
      <c r="F328" s="11" cm="1">
        <f t="array" aca="1" ref="F328" ca="1">INDEX('OD flujo mercancia carretera'!E$45:E$1646,MATCH(C328&amp;D328,'OD flujo mercancia carretera'!C$45:C$1646&amp;'OD flujo mercancia carretera'!D$45:D$1646,0))</f>
        <v>166195.54212454223</v>
      </c>
      <c r="G328" s="11" cm="1">
        <f t="array" aca="1" ref="G328" ca="1">INDEX('Coste Carretera'!E$46:E$1646,MATCH(C328&amp;D328,'Coste Carretera'!C$46:C$1646&amp;'Coste Carretera'!D$46:D$1646,0))</f>
        <v>1311401733.8685708</v>
      </c>
      <c r="H328" s="11" cm="1">
        <f t="array" aca="1" ref="H328" ca="1">INDEX('Coste multimodal'!E$46:E$1646,MATCH(C328&amp;D328,'Coste multimodal'!C$46:C$1646&amp;'Coste multimodal'!D$46:D$1646,0))</f>
        <v>624546052.52959323</v>
      </c>
      <c r="I328" s="12" cm="1">
        <f t="array" aca="1" ref="I328" ca="1">INDEX('Tiempos intermodal (horas)'!E$45:E$1645,MATCH(C328&amp;D328,'Tiempos intermodal (horas)'!C$45:C$1645&amp;'Tiempos intermodal (horas)'!D$45:D$1645,0))</f>
        <v>35.572766440268396</v>
      </c>
      <c r="J328" s="2" cm="1">
        <f t="array" aca="1" ref="J328" ca="1">INDEX('Tiempos carretera (horas)'!E$45:E$1645,MATCH(C328&amp;D328,'Tiempos carretera (horas)'!C$45:C$1645&amp;'Tiempos carretera (horas)'!D$45:D$1645,0))</f>
        <v>9.0500000000000007</v>
      </c>
      <c r="K328" s="12">
        <f t="shared" ca="1" si="30"/>
        <v>7.8907154614643238</v>
      </c>
      <c r="L328" s="12">
        <f t="shared" ca="1" si="31"/>
        <v>22.160887727160379</v>
      </c>
      <c r="M328" s="12">
        <f t="shared" ca="1" si="32"/>
        <v>0.14498745613094408</v>
      </c>
      <c r="N328" s="13">
        <f t="shared" ca="1" si="34"/>
        <v>-14.270172265696054</v>
      </c>
      <c r="O328" s="13">
        <f t="shared" ca="1" si="35"/>
        <v>-26.522766440268395</v>
      </c>
      <c r="P328" s="12">
        <f t="shared" ca="1" si="33"/>
        <v>1.7744689107843656</v>
      </c>
    </row>
    <row r="329" spans="1:16" x14ac:dyDescent="0.25">
      <c r="A329">
        <v>21</v>
      </c>
      <c r="B329">
        <v>8</v>
      </c>
      <c r="C329" s="2" t="s">
        <v>20</v>
      </c>
      <c r="D329" s="2" t="s">
        <v>7</v>
      </c>
      <c r="E329" s="11" cm="1">
        <f t="array" aca="1" ref="E329" ca="1">INDEX('OD flujo mercancia multimodal'!E$45:E$1645,MATCH(C329&amp;D329,'OD flujo mercancia multimodal'!C$45:C$1645&amp;'OD flujo mercancia multimodal'!D$45:D$1645,0))</f>
        <v>57791.395604395562</v>
      </c>
      <c r="F329" s="11" cm="1">
        <f t="array" aca="1" ref="F329" ca="1">INDEX('OD flujo mercancia carretera'!E$45:E$1646,MATCH(C329&amp;D329,'OD flujo mercancia carretera'!C$45:C$1646&amp;'OD flujo mercancia carretera'!D$45:D$1646,0))</f>
        <v>229803.84615384601</v>
      </c>
      <c r="G329" s="11" cm="1">
        <f t="array" aca="1" ref="G329" ca="1">INDEX('Coste Carretera'!E$46:E$1646,MATCH(C329&amp;D329,'Coste Carretera'!C$46:C$1646&amp;'Coste Carretera'!D$46:D$1646,0))</f>
        <v>2115537255.7085698</v>
      </c>
      <c r="H329" s="11" cm="1">
        <f t="array" aca="1" ref="H329" ca="1">INDEX('Coste multimodal'!E$46:E$1646,MATCH(C329&amp;D329,'Coste multimodal'!C$46:C$1646&amp;'Coste multimodal'!D$46:D$1646,0))</f>
        <v>243989687.03949636</v>
      </c>
      <c r="I329" s="12" cm="1">
        <f t="array" aca="1" ref="I329" ca="1">INDEX('Tiempos intermodal (horas)'!E$45:E$1645,MATCH(C329&amp;D329,'Tiempos intermodal (horas)'!C$45:C$1645&amp;'Tiempos intermodal (horas)'!D$45:D$1645,0))</f>
        <v>31.409272780593092</v>
      </c>
      <c r="J329" s="2" cm="1">
        <f t="array" aca="1" ref="J329" ca="1">INDEX('Tiempos carretera (horas)'!E$45:E$1645,MATCH(C329&amp;D329,'Tiempos carretera (horas)'!C$45:C$1645&amp;'Tiempos carretera (horas)'!D$45:D$1645,0))</f>
        <v>6.88</v>
      </c>
      <c r="K329" s="12">
        <f t="shared" ca="1" si="30"/>
        <v>9.205839202065782</v>
      </c>
      <c r="L329" s="12">
        <f t="shared" ca="1" si="31"/>
        <v>4.2219033558161509</v>
      </c>
      <c r="M329" s="12">
        <f t="shared" ca="1" si="32"/>
        <v>0.20094698108036221</v>
      </c>
      <c r="N329" s="13">
        <f t="shared" ca="1" si="34"/>
        <v>4.983935846249631</v>
      </c>
      <c r="O329" s="13">
        <f t="shared" ca="1" si="35"/>
        <v>-24.529272780593093</v>
      </c>
      <c r="P329" s="12">
        <f t="shared" ca="1" si="33"/>
        <v>1.3803862026155138</v>
      </c>
    </row>
    <row r="330" spans="1:16" x14ac:dyDescent="0.25">
      <c r="A330">
        <v>8</v>
      </c>
      <c r="B330">
        <v>21</v>
      </c>
      <c r="C330" s="2" t="s">
        <v>7</v>
      </c>
      <c r="D330" s="2" t="s">
        <v>20</v>
      </c>
      <c r="E330" s="11" cm="1">
        <f t="array" aca="1" ref="E330" ca="1">INDEX('OD flujo mercancia multimodal'!E$45:E$1645,MATCH(C330&amp;D330,'OD flujo mercancia multimodal'!C$45:C$1645&amp;'OD flujo mercancia multimodal'!D$45:D$1645,0))</f>
        <v>44263.950549450557</v>
      </c>
      <c r="F330" s="11" cm="1">
        <f t="array" aca="1" ref="F330" ca="1">INDEX('OD flujo mercancia carretera'!E$45:E$1646,MATCH(C330&amp;D330,'OD flujo mercancia carretera'!C$45:C$1646&amp;'OD flujo mercancia carretera'!D$45:D$1646,0))</f>
        <v>224396.25641025609</v>
      </c>
      <c r="G330" s="11" cm="1">
        <f t="array" aca="1" ref="G330" ca="1">INDEX('Coste Carretera'!E$46:E$1646,MATCH(C330&amp;D330,'Coste Carretera'!C$46:C$1646&amp;'Coste Carretera'!D$46:D$1646,0))</f>
        <v>1620345649.9514287</v>
      </c>
      <c r="H330" s="11" cm="1">
        <f t="array" aca="1" ref="H330" ca="1">INDEX('Coste multimodal'!E$46:E$1646,MATCH(C330&amp;D330,'Coste multimodal'!C$46:C$1646&amp;'Coste multimodal'!D$46:D$1646,0))</f>
        <v>243989687.03949636</v>
      </c>
      <c r="I330" s="12" cm="1">
        <f t="array" aca="1" ref="I330" ca="1">INDEX('Tiempos intermodal (horas)'!E$45:E$1645,MATCH(C330&amp;D330,'Tiempos intermodal (horas)'!C$45:C$1645&amp;'Tiempos intermodal (horas)'!D$45:D$1645,0))</f>
        <v>31.409272780593092</v>
      </c>
      <c r="J330" s="2" cm="1">
        <f t="array" aca="1" ref="J330" ca="1">INDEX('Tiempos carretera (horas)'!E$45:E$1645,MATCH(C330&amp;D330,'Tiempos carretera (horas)'!C$45:C$1645&amp;'Tiempos carretera (horas)'!D$45:D$1645,0))</f>
        <v>6.88</v>
      </c>
      <c r="K330" s="12">
        <f t="shared" ca="1" si="30"/>
        <v>7.2209121304992072</v>
      </c>
      <c r="L330" s="12">
        <f t="shared" ca="1" si="31"/>
        <v>5.5121534343600294</v>
      </c>
      <c r="M330" s="12">
        <f t="shared" ca="1" si="32"/>
        <v>0.16475811974673726</v>
      </c>
      <c r="N330" s="13">
        <f t="shared" ca="1" si="34"/>
        <v>1.7087586961391779</v>
      </c>
      <c r="O330" s="13">
        <f t="shared" ca="1" si="35"/>
        <v>-24.529272780593093</v>
      </c>
      <c r="P330" s="12">
        <f t="shared" ca="1" si="33"/>
        <v>1.6232429024235415</v>
      </c>
    </row>
    <row r="331" spans="1:16" x14ac:dyDescent="0.25">
      <c r="A331">
        <v>2</v>
      </c>
      <c r="B331">
        <v>8</v>
      </c>
      <c r="C331" s="2" t="s">
        <v>1</v>
      </c>
      <c r="D331" s="2" t="s">
        <v>7</v>
      </c>
      <c r="E331" s="11" cm="1">
        <f t="array" aca="1" ref="E331" ca="1">INDEX('OD flujo mercancia multimodal'!E$45:E$1645,MATCH(C331&amp;D331,'OD flujo mercancia multimodal'!C$45:C$1645&amp;'OD flujo mercancia multimodal'!D$45:D$1645,0))</f>
        <v>41021.857142857101</v>
      </c>
      <c r="F331" s="11" cm="1">
        <f t="array" aca="1" ref="F331" ca="1">INDEX('OD flujo mercancia carretera'!E$45:E$1646,MATCH(C331&amp;D331,'OD flujo mercancia carretera'!C$45:C$1646&amp;'OD flujo mercancia carretera'!D$45:D$1646,0))</f>
        <v>158388.84615384601</v>
      </c>
      <c r="G331" s="11" cm="1">
        <f t="array" aca="1" ref="G331" ca="1">INDEX('Coste Carretera'!E$46:E$1646,MATCH(C331&amp;D331,'Coste Carretera'!C$46:C$1646&amp;'Coste Carretera'!D$46:D$1646,0))</f>
        <v>1055689289.1999991</v>
      </c>
      <c r="H331" s="11" cm="1">
        <f t="array" aca="1" ref="H331" ca="1">INDEX('Coste multimodal'!E$46:E$1646,MATCH(C331&amp;D331,'Coste multimodal'!C$46:C$1646&amp;'Coste multimodal'!D$46:D$1646,0))</f>
        <v>899820401.81261015</v>
      </c>
      <c r="I331" s="12" cm="1">
        <f t="array" aca="1" ref="I331" ca="1">INDEX('Tiempos intermodal (horas)'!E$45:E$1645,MATCH(C331&amp;D331,'Tiempos intermodal (horas)'!C$45:C$1645&amp;'Tiempos intermodal (horas)'!D$45:D$1645,0))</f>
        <v>31.832681771126598</v>
      </c>
      <c r="J331" s="2" cm="1">
        <f t="array" aca="1" ref="J331" ca="1">INDEX('Tiempos carretera (horas)'!E$45:E$1645,MATCH(C331&amp;D331,'Tiempos carretera (horas)'!C$45:C$1645&amp;'Tiempos carretera (horas)'!D$45:D$1645,0))</f>
        <v>5.28</v>
      </c>
      <c r="K331" s="12">
        <f t="shared" ca="1" si="30"/>
        <v>6.6651744414792216</v>
      </c>
      <c r="L331" s="12">
        <f t="shared" ca="1" si="31"/>
        <v>21.935145419648329</v>
      </c>
      <c r="M331" s="12">
        <f t="shared" ca="1" si="32"/>
        <v>0.20571542281670155</v>
      </c>
      <c r="N331" s="13">
        <f t="shared" ca="1" si="34"/>
        <v>-15.269970978169107</v>
      </c>
      <c r="O331" s="13">
        <f t="shared" ca="1" si="35"/>
        <v>-26.552681771126597</v>
      </c>
      <c r="P331" s="12">
        <f t="shared" ca="1" si="33"/>
        <v>1.350948035503885</v>
      </c>
    </row>
    <row r="332" spans="1:16" x14ac:dyDescent="0.25">
      <c r="A332">
        <v>8</v>
      </c>
      <c r="B332">
        <v>2</v>
      </c>
      <c r="C332" s="2" t="s">
        <v>7</v>
      </c>
      <c r="D332" s="2" t="s">
        <v>1</v>
      </c>
      <c r="E332" s="11" cm="1">
        <f t="array" aca="1" ref="E332" ca="1">INDEX('OD flujo mercancia multimodal'!E$45:E$1645,MATCH(C332&amp;D332,'OD flujo mercancia multimodal'!C$45:C$1645&amp;'OD flujo mercancia multimodal'!D$45:D$1645,0))</f>
        <v>28178.714285714253</v>
      </c>
      <c r="F332" s="11" cm="1">
        <f t="array" aca="1" ref="F332" ca="1">INDEX('OD flujo mercancia carretera'!E$45:E$1646,MATCH(C332&amp;D332,'OD flujo mercancia carretera'!C$45:C$1646&amp;'OD flujo mercancia carretera'!D$45:D$1646,0))</f>
        <v>156040.15384615387</v>
      </c>
      <c r="G332" s="11" cm="1">
        <f t="array" aca="1" ref="G332" ca="1">INDEX('Coste Carretera'!E$46:E$1646,MATCH(C332&amp;D332,'Coste Carretera'!C$46:C$1646&amp;'Coste Carretera'!D$46:D$1646,0))</f>
        <v>725173576.39999926</v>
      </c>
      <c r="H332" s="11" cm="1">
        <f t="array" aca="1" ref="H332" ca="1">INDEX('Coste multimodal'!E$46:E$1646,MATCH(C332&amp;D332,'Coste multimodal'!C$46:C$1646&amp;'Coste multimodal'!D$46:D$1646,0))</f>
        <v>899820401.81261015</v>
      </c>
      <c r="I332" s="12" cm="1">
        <f t="array" aca="1" ref="I332" ca="1">INDEX('Tiempos intermodal (horas)'!E$45:E$1645,MATCH(C332&amp;D332,'Tiempos intermodal (horas)'!C$45:C$1645&amp;'Tiempos intermodal (horas)'!D$45:D$1645,0))</f>
        <v>31.832681771126598</v>
      </c>
      <c r="J332" s="2" cm="1">
        <f t="array" aca="1" ref="J332" ca="1">INDEX('Tiempos carretera (horas)'!E$45:E$1645,MATCH(C332&amp;D332,'Tiempos carretera (horas)'!C$45:C$1645&amp;'Tiempos carretera (horas)'!D$45:D$1645,0))</f>
        <v>5.28</v>
      </c>
      <c r="K332" s="12">
        <f t="shared" ca="1" si="30"/>
        <v>4.6473523546700441</v>
      </c>
      <c r="L332" s="12">
        <f t="shared" ca="1" si="31"/>
        <v>31.932628035793371</v>
      </c>
      <c r="M332" s="12">
        <f t="shared" ca="1" si="32"/>
        <v>0.15296323645601426</v>
      </c>
      <c r="N332" s="13">
        <f t="shared" ca="1" si="34"/>
        <v>-27.285275681123327</v>
      </c>
      <c r="O332" s="13">
        <f t="shared" ca="1" si="35"/>
        <v>-26.552681771126597</v>
      </c>
      <c r="P332" s="12">
        <f t="shared" ca="1" si="33"/>
        <v>1.7115464902121484</v>
      </c>
    </row>
    <row r="333" spans="1:16" x14ac:dyDescent="0.25">
      <c r="A333">
        <v>32</v>
      </c>
      <c r="B333">
        <v>6</v>
      </c>
      <c r="C333" s="2" t="s">
        <v>31</v>
      </c>
      <c r="D333" s="2" t="s">
        <v>5</v>
      </c>
      <c r="E333" s="11" cm="1">
        <f t="array" aca="1" ref="E333" ca="1">INDEX('OD flujo mercancia multimodal'!E$45:E$1645,MATCH(C333&amp;D333,'OD flujo mercancia multimodal'!C$45:C$1645&amp;'OD flujo mercancia multimodal'!D$45:D$1645,0))</f>
        <v>13311.862637362623</v>
      </c>
      <c r="F333" s="11" cm="1">
        <f t="array" aca="1" ref="F333" ca="1">INDEX('OD flujo mercancia carretera'!E$45:E$1646,MATCH(C333&amp;D333,'OD flujo mercancia carretera'!C$45:C$1646&amp;'OD flujo mercancia carretera'!D$45:D$1646,0))</f>
        <v>175256.37289377299</v>
      </c>
      <c r="G333" s="11" cm="1">
        <f t="array" aca="1" ref="G333" ca="1">INDEX('Coste Carretera'!E$46:E$1646,MATCH(C333&amp;D333,'Coste Carretera'!C$46:C$1646&amp;'Coste Carretera'!D$46:D$1646,0))</f>
        <v>465254460.66571373</v>
      </c>
      <c r="H333" s="11" cm="1">
        <f t="array" aca="1" ref="H333" ca="1">INDEX('Coste multimodal'!E$46:E$1646,MATCH(C333&amp;D333,'Coste multimodal'!C$46:C$1646&amp;'Coste multimodal'!D$46:D$1646,0))</f>
        <v>441777471.89058208</v>
      </c>
      <c r="I333" s="12" cm="1">
        <f t="array" aca="1" ref="I333" ca="1">INDEX('Tiempos intermodal (horas)'!E$45:E$1645,MATCH(C333&amp;D333,'Tiempos intermodal (horas)'!C$45:C$1645&amp;'Tiempos intermodal (horas)'!D$45:D$1645,0))</f>
        <v>29.749049981377862</v>
      </c>
      <c r="J333" s="2" cm="1">
        <f t="array" aca="1" ref="J333" ca="1">INDEX('Tiempos carretera (horas)'!E$45:E$1645,MATCH(C333&amp;D333,'Tiempos carretera (horas)'!C$45:C$1645&amp;'Tiempos carretera (horas)'!D$45:D$1645,0))</f>
        <v>4.4000000000000004</v>
      </c>
      <c r="K333" s="12">
        <f t="shared" ca="1" si="30"/>
        <v>2.6547078031091935</v>
      </c>
      <c r="L333" s="12">
        <f t="shared" ca="1" si="31"/>
        <v>33.186751090011853</v>
      </c>
      <c r="M333" s="12">
        <f t="shared" ca="1" si="32"/>
        <v>7.0594406315928129E-2</v>
      </c>
      <c r="N333" s="13">
        <f t="shared" ca="1" si="34"/>
        <v>-30.53204328690266</v>
      </c>
      <c r="O333" s="13">
        <f t="shared" ca="1" si="35"/>
        <v>-25.34904998137786</v>
      </c>
      <c r="P333" s="12">
        <f t="shared" ca="1" si="33"/>
        <v>2.5775943245220816</v>
      </c>
    </row>
    <row r="334" spans="1:16" x14ac:dyDescent="0.25">
      <c r="A334">
        <v>36</v>
      </c>
      <c r="B334">
        <v>10</v>
      </c>
      <c r="C334" s="2" t="s">
        <v>35</v>
      </c>
      <c r="D334" s="2" t="s">
        <v>9</v>
      </c>
      <c r="E334" s="11" cm="1">
        <f t="array" aca="1" ref="E334" ca="1">INDEX('OD flujo mercancia multimodal'!E$45:E$1645,MATCH(C334&amp;D334,'OD flujo mercancia multimodal'!C$45:C$1645&amp;'OD flujo mercancia multimodal'!D$45:D$1645,0))</f>
        <v>23188.44505494507</v>
      </c>
      <c r="F334" s="11" cm="1">
        <f t="array" aca="1" ref="F334" ca="1">INDEX('OD flujo mercancia carretera'!E$45:E$1646,MATCH(C334&amp;D334,'OD flujo mercancia carretera'!C$45:C$1646&amp;'OD flujo mercancia carretera'!D$45:D$1646,0))</f>
        <v>187126.84615384619</v>
      </c>
      <c r="G334" s="11" cm="1">
        <f t="array" aca="1" ref="G334" ca="1">INDEX('Coste Carretera'!E$46:E$1646,MATCH(C334&amp;D334,'Coste Carretera'!C$46:C$1646&amp;'Coste Carretera'!D$46:D$1646,0))</f>
        <v>935726450.89714313</v>
      </c>
      <c r="H334" s="11" cm="1">
        <f t="array" aca="1" ref="H334" ca="1">INDEX('Coste multimodal'!E$46:E$1646,MATCH(C334&amp;D334,'Coste multimodal'!C$46:C$1646&amp;'Coste multimodal'!D$46:D$1646,0))</f>
        <v>832077499.61394703</v>
      </c>
      <c r="I334" s="12" cm="1">
        <f t="array" aca="1" ref="I334" ca="1">INDEX('Tiempos intermodal (horas)'!E$45:E$1645,MATCH(C334&amp;D334,'Tiempos intermodal (horas)'!C$45:C$1645&amp;'Tiempos intermodal (horas)'!D$45:D$1645,0))</f>
        <v>32.888324960702889</v>
      </c>
      <c r="J334" s="2" cm="1">
        <f t="array" aca="1" ref="J334" ca="1">INDEX('Tiempos carretera (horas)'!E$45:E$1645,MATCH(C334&amp;D334,'Tiempos carretera (horas)'!C$45:C$1645&amp;'Tiempos carretera (horas)'!D$45:D$1645,0))</f>
        <v>6.25</v>
      </c>
      <c r="K334" s="12">
        <f t="shared" ca="1" si="30"/>
        <v>5.000492821472748</v>
      </c>
      <c r="L334" s="12">
        <f t="shared" ca="1" si="31"/>
        <v>35.883281420653155</v>
      </c>
      <c r="M334" s="12">
        <f t="shared" ca="1" si="32"/>
        <v>0.11025563059000146</v>
      </c>
      <c r="N334" s="13">
        <f t="shared" ca="1" si="34"/>
        <v>-30.882788599180408</v>
      </c>
      <c r="O334" s="13">
        <f t="shared" ca="1" si="35"/>
        <v>-26.638324960702889</v>
      </c>
      <c r="P334" s="12">
        <f t="shared" ca="1" si="33"/>
        <v>2.0881326119530561</v>
      </c>
    </row>
    <row r="335" spans="1:16" x14ac:dyDescent="0.25">
      <c r="A335">
        <v>10</v>
      </c>
      <c r="B335">
        <v>36</v>
      </c>
      <c r="C335" s="2" t="s">
        <v>9</v>
      </c>
      <c r="D335" s="2" t="s">
        <v>35</v>
      </c>
      <c r="E335" s="11" cm="1">
        <f t="array" aca="1" ref="E335" ca="1">INDEX('OD flujo mercancia multimodal'!E$45:E$1645,MATCH(C335&amp;D335,'OD flujo mercancia multimodal'!C$45:C$1645&amp;'OD flujo mercancia multimodal'!D$45:D$1645,0))</f>
        <v>17771.41758241758</v>
      </c>
      <c r="F335" s="11" cm="1">
        <f t="array" aca="1" ref="F335" ca="1">INDEX('OD flujo mercancia carretera'!E$45:E$1646,MATCH(C335&amp;D335,'OD flujo mercancia carretera'!C$45:C$1646&amp;'OD flujo mercancia carretera'!D$45:D$1646,0))</f>
        <v>181985.84615384619</v>
      </c>
      <c r="G335" s="11" cm="1">
        <f t="array" aca="1" ref="G335" ca="1">INDEX('Coste Carretera'!E$46:E$1646,MATCH(C335&amp;D335,'Coste Carretera'!C$46:C$1646&amp;'Coste Carretera'!D$46:D$1646,0))</f>
        <v>1127660805.3257148</v>
      </c>
      <c r="H335" s="11" cm="1">
        <f t="array" aca="1" ref="H335" ca="1">INDEX('Coste multimodal'!E$46:E$1646,MATCH(C335&amp;D335,'Coste multimodal'!C$46:C$1646&amp;'Coste multimodal'!D$46:D$1646,0))</f>
        <v>832077499.61394703</v>
      </c>
      <c r="I335" s="12" cm="1">
        <f t="array" aca="1" ref="I335" ca="1">INDEX('Tiempos intermodal (horas)'!E$45:E$1645,MATCH(C335&amp;D335,'Tiempos intermodal (horas)'!C$45:C$1645&amp;'Tiempos intermodal (horas)'!D$45:D$1645,0))</f>
        <v>32.888324960702889</v>
      </c>
      <c r="J335" s="2" cm="1">
        <f t="array" aca="1" ref="J335" ca="1">INDEX('Tiempos carretera (horas)'!E$45:E$1645,MATCH(C335&amp;D335,'Tiempos carretera (horas)'!C$45:C$1645&amp;'Tiempos carretera (horas)'!D$45:D$1645,0))</f>
        <v>6.25</v>
      </c>
      <c r="K335" s="12">
        <f t="shared" ca="1" si="30"/>
        <v>6.1964203764089394</v>
      </c>
      <c r="L335" s="12">
        <f t="shared" ca="1" si="31"/>
        <v>46.821110119947626</v>
      </c>
      <c r="M335" s="12">
        <f t="shared" ca="1" si="32"/>
        <v>8.8965063147245005E-2</v>
      </c>
      <c r="N335" s="13">
        <f t="shared" ca="1" si="34"/>
        <v>-40.624689743538688</v>
      </c>
      <c r="O335" s="13">
        <f t="shared" ca="1" si="35"/>
        <v>-26.638324960702889</v>
      </c>
      <c r="P335" s="12">
        <f t="shared" ca="1" si="33"/>
        <v>2.3263375027703512</v>
      </c>
    </row>
    <row r="336" spans="1:16" x14ac:dyDescent="0.25">
      <c r="A336">
        <v>5</v>
      </c>
      <c r="B336">
        <v>36</v>
      </c>
      <c r="C336" s="2" t="s">
        <v>4</v>
      </c>
      <c r="D336" s="2" t="s">
        <v>35</v>
      </c>
      <c r="E336" s="11" cm="1">
        <f t="array" aca="1" ref="E336" ca="1">INDEX('OD flujo mercancia multimodal'!E$45:E$1645,MATCH(C336&amp;D336,'OD flujo mercancia multimodal'!C$45:C$1645&amp;'OD flujo mercancia multimodal'!D$45:D$1645,0))</f>
        <v>50262.917582417576</v>
      </c>
      <c r="F336" s="11" cm="1">
        <f t="array" aca="1" ref="F336" ca="1">INDEX('OD flujo mercancia carretera'!E$45:E$1646,MATCH(C336&amp;D336,'OD flujo mercancia carretera'!C$45:C$1646&amp;'OD flujo mercancia carretera'!D$45:D$1646,0))</f>
        <v>156583.00000000003</v>
      </c>
      <c r="G336" s="11" cm="1">
        <f t="array" aca="1" ref="G336" ca="1">INDEX('Coste Carretera'!E$46:E$1646,MATCH(C336&amp;D336,'Coste Carretera'!C$46:C$1646&amp;'Coste Carretera'!D$46:D$1646,0))</f>
        <v>1795795101.2314286</v>
      </c>
      <c r="H336" s="11" cm="1">
        <f t="array" aca="1" ref="H336" ca="1">INDEX('Coste multimodal'!E$46:E$1646,MATCH(C336&amp;D336,'Coste multimodal'!C$46:C$1646&amp;'Coste multimodal'!D$46:D$1646,0))</f>
        <v>784741722.55394709</v>
      </c>
      <c r="I336" s="12" cm="1">
        <f t="array" aca="1" ref="I336" ca="1">INDEX('Tiempos intermodal (horas)'!E$45:E$1645,MATCH(C336&amp;D336,'Tiempos intermodal (horas)'!C$45:C$1645&amp;'Tiempos intermodal (horas)'!D$45:D$1645,0))</f>
        <v>31.900547182925113</v>
      </c>
      <c r="J336" s="2" cm="1">
        <f t="array" aca="1" ref="J336" ca="1">INDEX('Tiempos carretera (horas)'!E$45:E$1645,MATCH(C336&amp;D336,'Tiempos carretera (horas)'!C$45:C$1645&amp;'Tiempos carretera (horas)'!D$45:D$1645,0))</f>
        <v>5.23</v>
      </c>
      <c r="K336" s="12">
        <f t="shared" ca="1" si="30"/>
        <v>11.468646668102082</v>
      </c>
      <c r="L336" s="12">
        <f t="shared" ca="1" si="31"/>
        <v>15.612737188747213</v>
      </c>
      <c r="M336" s="12">
        <f t="shared" ca="1" si="32"/>
        <v>0.24299690402345192</v>
      </c>
      <c r="N336" s="13">
        <f t="shared" ca="1" si="34"/>
        <v>-4.1440905206451308</v>
      </c>
      <c r="O336" s="13">
        <f t="shared" ca="1" si="35"/>
        <v>-26.670547182925112</v>
      </c>
      <c r="P336" s="12">
        <f t="shared" ca="1" si="33"/>
        <v>1.13631864061122</v>
      </c>
    </row>
    <row r="337" spans="1:16" x14ac:dyDescent="0.25">
      <c r="A337">
        <v>27</v>
      </c>
      <c r="B337">
        <v>5</v>
      </c>
      <c r="C337" s="2" t="s">
        <v>145</v>
      </c>
      <c r="D337" s="2" t="s">
        <v>4</v>
      </c>
      <c r="E337" s="11" cm="1">
        <f t="array" aca="1" ref="E337" ca="1">INDEX('OD flujo mercancia multimodal'!E$45:E$1645,MATCH(C337&amp;D337,'OD flujo mercancia multimodal'!C$45:C$1645&amp;'OD flujo mercancia multimodal'!D$45:D$1645,0))</f>
        <v>98141.642857142899</v>
      </c>
      <c r="F337" s="11" cm="1">
        <f t="array" aca="1" ref="F337" ca="1">INDEX('OD flujo mercancia carretera'!E$45:E$1646,MATCH(C337&amp;D337,'OD flujo mercancia carretera'!C$45:C$1646&amp;'OD flujo mercancia carretera'!D$45:D$1646,0))</f>
        <v>482627.66153846146</v>
      </c>
      <c r="G337" s="11" cm="1">
        <f t="array" aca="1" ref="G337" ca="1">INDEX('Coste Carretera'!E$46:E$1646,MATCH(C337&amp;D337,'Coste Carretera'!C$46:C$1646&amp;'Coste Carretera'!D$46:D$1646,0))</f>
        <v>4680194367.2342873</v>
      </c>
      <c r="H337" s="11" cm="1">
        <f t="array" aca="1" ref="H337" ca="1">INDEX('Coste multimodal'!E$46:E$1646,MATCH(C337&amp;D337,'Coste multimodal'!C$46:C$1646&amp;'Coste multimodal'!D$46:D$1646,0))</f>
        <v>1141589292.8978963</v>
      </c>
      <c r="I337" s="12" cm="1">
        <f t="array" aca="1" ref="I337" ca="1">INDEX('Tiempos intermodal (horas)'!E$45:E$1645,MATCH(C337&amp;D337,'Tiempos intermodal (horas)'!C$45:C$1645&amp;'Tiempos intermodal (horas)'!D$45:D$1645,0))</f>
        <v>41.31098385739255</v>
      </c>
      <c r="J337" s="2" cm="1">
        <f t="array" aca="1" ref="J337" ca="1">INDEX('Tiempos carretera (horas)'!E$45:E$1645,MATCH(C337&amp;D337,'Tiempos carretera (horas)'!C$45:C$1645&amp;'Tiempos carretera (horas)'!D$45:D$1645,0))</f>
        <v>9.92</v>
      </c>
      <c r="K337" s="12">
        <f t="shared" ca="1" si="30"/>
        <v>9.697318948348995</v>
      </c>
      <c r="L337" s="12">
        <f t="shared" ca="1" si="31"/>
        <v>11.632058111760147</v>
      </c>
      <c r="M337" s="12">
        <f t="shared" ca="1" si="32"/>
        <v>0.16898558879463688</v>
      </c>
      <c r="N337" s="13">
        <f t="shared" ca="1" si="34"/>
        <v>-1.9347391634111517</v>
      </c>
      <c r="O337" s="13">
        <f t="shared" ca="1" si="35"/>
        <v>-31.390983857392548</v>
      </c>
      <c r="P337" s="12">
        <f t="shared" ca="1" si="33"/>
        <v>1.5928336988265501</v>
      </c>
    </row>
    <row r="338" spans="1:16" x14ac:dyDescent="0.25">
      <c r="A338">
        <v>1</v>
      </c>
      <c r="B338">
        <v>8</v>
      </c>
      <c r="C338" s="2" t="s">
        <v>0</v>
      </c>
      <c r="D338" s="2" t="s">
        <v>7</v>
      </c>
      <c r="E338" s="11" cm="1">
        <f t="array" aca="1" ref="E338" ca="1">INDEX('OD flujo mercancia multimodal'!E$45:E$1645,MATCH(C338&amp;D338,'OD flujo mercancia multimodal'!C$45:C$1645&amp;'OD flujo mercancia multimodal'!D$45:D$1645,0))</f>
        <v>120221.92857142854</v>
      </c>
      <c r="F338" s="11" cm="1">
        <f t="array" aca="1" ref="F338" ca="1">INDEX('OD flujo mercancia carretera'!E$45:E$1646,MATCH(C338&amp;D338,'OD flujo mercancia carretera'!C$45:C$1646&amp;'OD flujo mercancia carretera'!D$45:D$1646,0))</f>
        <v>167820.84615384601</v>
      </c>
      <c r="G338" s="11" cm="1">
        <f t="array" aca="1" ref="G338" ca="1">INDEX('Coste Carretera'!E$46:E$1646,MATCH(C338&amp;D338,'Coste Carretera'!C$46:C$1646&amp;'Coste Carretera'!D$46:D$1646,0))</f>
        <v>1685852868.8485708</v>
      </c>
      <c r="H338" s="11" cm="1">
        <f t="array" aca="1" ref="H338" ca="1">INDEX('Coste multimodal'!E$46:E$1646,MATCH(C338&amp;D338,'Coste multimodal'!C$46:C$1646&amp;'Coste multimodal'!D$46:D$1646,0))</f>
        <v>1023351870.3740387</v>
      </c>
      <c r="I338" s="12" cm="1">
        <f t="array" aca="1" ref="I338" ca="1">INDEX('Tiempos intermodal (horas)'!E$45:E$1645,MATCH(C338&amp;D338,'Tiempos intermodal (horas)'!C$45:C$1645&amp;'Tiempos intermodal (horas)'!D$45:D$1645,0))</f>
        <v>31.454903993348818</v>
      </c>
      <c r="J338" s="2" cm="1">
        <f t="array" aca="1" ref="J338" ca="1">INDEX('Tiempos carretera (horas)'!E$45:E$1645,MATCH(C338&amp;D338,'Tiempos carretera (horas)'!C$45:C$1645&amp;'Tiempos carretera (horas)'!D$45:D$1645,0))</f>
        <v>4.75</v>
      </c>
      <c r="K338" s="12">
        <f t="shared" ca="1" si="30"/>
        <v>10.045550999683929</v>
      </c>
      <c r="L338" s="12">
        <f t="shared" ca="1" si="31"/>
        <v>8.5121897688242907</v>
      </c>
      <c r="M338" s="12">
        <f t="shared" ca="1" si="32"/>
        <v>0.41737526201131814</v>
      </c>
      <c r="N338" s="13">
        <f t="shared" ca="1" si="34"/>
        <v>1.5333612308596383</v>
      </c>
      <c r="O338" s="13">
        <f t="shared" ca="1" si="35"/>
        <v>-26.704903993348818</v>
      </c>
      <c r="P338" s="12">
        <f t="shared" ca="1" si="33"/>
        <v>0.33355757896087684</v>
      </c>
    </row>
    <row r="339" spans="1:16" x14ac:dyDescent="0.25">
      <c r="A339">
        <v>8</v>
      </c>
      <c r="B339">
        <v>1</v>
      </c>
      <c r="C339" s="2" t="s">
        <v>7</v>
      </c>
      <c r="D339" s="2" t="s">
        <v>0</v>
      </c>
      <c r="E339" s="11" cm="1">
        <f t="array" aca="1" ref="E339" ca="1">INDEX('OD flujo mercancia multimodal'!E$45:E$1645,MATCH(C339&amp;D339,'OD flujo mercancia multimodal'!C$45:C$1645&amp;'OD flujo mercancia multimodal'!D$45:D$1645,0))</f>
        <v>99439.714285714261</v>
      </c>
      <c r="F339" s="11" cm="1">
        <f t="array" aca="1" ref="F339" ca="1">INDEX('OD flujo mercancia carretera'!E$45:E$1646,MATCH(C339&amp;D339,'OD flujo mercancia carretera'!C$45:C$1646&amp;'OD flujo mercancia carretera'!D$45:D$1646,0))</f>
        <v>165651.76923076928</v>
      </c>
      <c r="G339" s="11" cm="1">
        <f t="array" aca="1" ref="G339" ca="1">INDEX('Coste Carretera'!E$46:E$1646,MATCH(C339&amp;D339,'Coste Carretera'!C$46:C$1646&amp;'Coste Carretera'!D$46:D$1646,0))</f>
        <v>1394427203.074285</v>
      </c>
      <c r="H339" s="11" cm="1">
        <f t="array" aca="1" ref="H339" ca="1">INDEX('Coste multimodal'!E$46:E$1646,MATCH(C339&amp;D339,'Coste multimodal'!C$46:C$1646&amp;'Coste multimodal'!D$46:D$1646,0))</f>
        <v>1023351870.3740387</v>
      </c>
      <c r="I339" s="12" cm="1">
        <f t="array" aca="1" ref="I339" ca="1">INDEX('Tiempos intermodal (horas)'!E$45:E$1645,MATCH(C339&amp;D339,'Tiempos intermodal (horas)'!C$45:C$1645&amp;'Tiempos intermodal (horas)'!D$45:D$1645,0))</f>
        <v>31.454903993348818</v>
      </c>
      <c r="J339" s="2" cm="1">
        <f t="array" aca="1" ref="J339" ca="1">INDEX('Tiempos carretera (horas)'!E$45:E$1645,MATCH(C339&amp;D339,'Tiempos carretera (horas)'!C$45:C$1645&amp;'Tiempos carretera (horas)'!D$45:D$1645,0))</f>
        <v>4.75</v>
      </c>
      <c r="K339" s="12">
        <f t="shared" ca="1" si="30"/>
        <v>8.4178225777456692</v>
      </c>
      <c r="L339" s="12">
        <f t="shared" ca="1" si="31"/>
        <v>10.291178707872211</v>
      </c>
      <c r="M339" s="12">
        <f t="shared" ca="1" si="32"/>
        <v>0.37511470744600905</v>
      </c>
      <c r="N339" s="13">
        <f t="shared" ca="1" si="34"/>
        <v>-1.8733561301265418</v>
      </c>
      <c r="O339" s="13">
        <f t="shared" ca="1" si="35"/>
        <v>-26.704903993348818</v>
      </c>
      <c r="P339" s="12">
        <f t="shared" ca="1" si="33"/>
        <v>0.51033623525938698</v>
      </c>
    </row>
    <row r="340" spans="1:16" x14ac:dyDescent="0.25">
      <c r="A340">
        <v>38</v>
      </c>
      <c r="B340">
        <v>11</v>
      </c>
      <c r="C340" s="2" t="s">
        <v>37</v>
      </c>
      <c r="D340" s="2" t="s">
        <v>10</v>
      </c>
      <c r="E340" s="11" cm="1">
        <f t="array" aca="1" ref="E340" ca="1">INDEX('OD flujo mercancia multimodal'!E$45:E$1645,MATCH(C340&amp;D340,'OD flujo mercancia multimodal'!C$45:C$1645&amp;'OD flujo mercancia multimodal'!D$45:D$1645,0))</f>
        <v>21269.384615384599</v>
      </c>
      <c r="F340" s="11" cm="1">
        <f t="array" aca="1" ref="F340" ca="1">INDEX('OD flujo mercancia carretera'!E$45:E$1646,MATCH(C340&amp;D340,'OD flujo mercancia carretera'!C$45:C$1646&amp;'OD flujo mercancia carretera'!D$45:D$1646,0))</f>
        <v>102655.69230769231</v>
      </c>
      <c r="G340" s="11" cm="1">
        <f t="array" aca="1" ref="G340" ca="1">INDEX('Coste Carretera'!E$46:E$1646,MATCH(C340&amp;D340,'Coste Carretera'!C$46:C$1646&amp;'Coste Carretera'!D$46:D$1646,0))</f>
        <v>1105342125.4399993</v>
      </c>
      <c r="H340" s="11" cm="1">
        <f t="array" aca="1" ref="H340" ca="1">INDEX('Coste multimodal'!E$46:E$1646,MATCH(C340&amp;D340,'Coste multimodal'!C$46:C$1646&amp;'Coste multimodal'!D$46:D$1646,0))</f>
        <v>149804250.81197733</v>
      </c>
      <c r="I340" s="12" cm="1">
        <f t="array" aca="1" ref="I340" ca="1">INDEX('Tiempos intermodal (horas)'!E$45:E$1645,MATCH(C340&amp;D340,'Tiempos intermodal (horas)'!C$45:C$1645&amp;'Tiempos intermodal (horas)'!D$45:D$1645,0))</f>
        <v>34.54916179998358</v>
      </c>
      <c r="J340" s="2" cm="1">
        <f t="array" aca="1" ref="J340" ca="1">INDEX('Tiempos carretera (horas)'!E$45:E$1645,MATCH(C340&amp;D340,'Tiempos carretera (horas)'!C$45:C$1645&amp;'Tiempos carretera (horas)'!D$45:D$1645,0))</f>
        <v>7.72</v>
      </c>
      <c r="K340" s="12">
        <f t="shared" ca="1" si="30"/>
        <v>10.767470371997799</v>
      </c>
      <c r="L340" s="12">
        <f t="shared" ca="1" si="31"/>
        <v>7.0431868867339364</v>
      </c>
      <c r="M340" s="12">
        <f t="shared" ca="1" si="32"/>
        <v>0.17163099788581923</v>
      </c>
      <c r="N340" s="13">
        <f t="shared" ca="1" si="34"/>
        <v>3.7242834852638627</v>
      </c>
      <c r="O340" s="13">
        <f t="shared" ca="1" si="35"/>
        <v>-26.829161799983581</v>
      </c>
      <c r="P340" s="12">
        <f t="shared" ca="1" si="33"/>
        <v>1.5741118987373484</v>
      </c>
    </row>
    <row r="341" spans="1:16" x14ac:dyDescent="0.25">
      <c r="A341">
        <v>11</v>
      </c>
      <c r="B341">
        <v>38</v>
      </c>
      <c r="C341" s="2" t="s">
        <v>10</v>
      </c>
      <c r="D341" s="2" t="s">
        <v>37</v>
      </c>
      <c r="E341" s="11" cm="1">
        <f t="array" aca="1" ref="E341" ca="1">INDEX('OD flujo mercancia multimodal'!E$45:E$1645,MATCH(C341&amp;D341,'OD flujo mercancia multimodal'!C$45:C$1645&amp;'OD flujo mercancia multimodal'!D$45:D$1645,0))</f>
        <v>10800.76923076923</v>
      </c>
      <c r="F341" s="11" cm="1">
        <f t="array" aca="1" ref="F341" ca="1">INDEX('OD flujo mercancia carretera'!E$45:E$1646,MATCH(C341&amp;D341,'OD flujo mercancia carretera'!C$45:C$1646&amp;'OD flujo mercancia carretera'!D$45:D$1646,0))</f>
        <v>104836.6153846154</v>
      </c>
      <c r="G341" s="11" cm="1">
        <f t="array" aca="1" ref="G341" ca="1">INDEX('Coste Carretera'!E$46:E$1646,MATCH(C341&amp;D341,'Coste Carretera'!C$46:C$1646&amp;'Coste Carretera'!D$46:D$1646,0))</f>
        <v>857797104.64000177</v>
      </c>
      <c r="H341" s="11" cm="1">
        <f t="array" aca="1" ref="H341" ca="1">INDEX('Coste multimodal'!E$46:E$1646,MATCH(C341&amp;D341,'Coste multimodal'!C$46:C$1646&amp;'Coste multimodal'!D$46:D$1646,0))</f>
        <v>149804250.81197733</v>
      </c>
      <c r="I341" s="12" cm="1">
        <f t="array" aca="1" ref="I341" ca="1">INDEX('Tiempos intermodal (horas)'!E$45:E$1645,MATCH(C341&amp;D341,'Tiempos intermodal (horas)'!C$45:C$1645&amp;'Tiempos intermodal (horas)'!D$45:D$1645,0))</f>
        <v>34.54916179998358</v>
      </c>
      <c r="J341" s="2" cm="1">
        <f t="array" aca="1" ref="J341" ca="1">INDEX('Tiempos carretera (horas)'!E$45:E$1645,MATCH(C341&amp;D341,'Tiempos carretera (horas)'!C$45:C$1645&amp;'Tiempos carretera (horas)'!D$45:D$1645,0))</f>
        <v>7.72</v>
      </c>
      <c r="K341" s="12">
        <f t="shared" ca="1" si="30"/>
        <v>8.1822281413129438</v>
      </c>
      <c r="L341" s="12">
        <f t="shared" ca="1" si="31"/>
        <v>13.869776088282212</v>
      </c>
      <c r="M341" s="12">
        <f t="shared" ca="1" si="32"/>
        <v>9.3402053900588422E-2</v>
      </c>
      <c r="N341" s="13">
        <f t="shared" ca="1" si="34"/>
        <v>-5.6875479469692678</v>
      </c>
      <c r="O341" s="13">
        <f t="shared" ca="1" si="35"/>
        <v>-26.829161799983581</v>
      </c>
      <c r="P341" s="12">
        <f t="shared" ca="1" si="33"/>
        <v>2.2727857376427325</v>
      </c>
    </row>
    <row r="342" spans="1:16" x14ac:dyDescent="0.25">
      <c r="A342">
        <v>36</v>
      </c>
      <c r="B342">
        <v>7</v>
      </c>
      <c r="C342" s="2" t="s">
        <v>35</v>
      </c>
      <c r="D342" s="2" t="s">
        <v>6</v>
      </c>
      <c r="E342" s="11" cm="1">
        <f t="array" aca="1" ref="E342" ca="1">INDEX('OD flujo mercancia multimodal'!E$45:E$1645,MATCH(C342&amp;D342,'OD flujo mercancia multimodal'!C$45:C$1645&amp;'OD flujo mercancia multimodal'!D$45:D$1645,0))</f>
        <v>7063.0164835164796</v>
      </c>
      <c r="F342" s="11" cm="1">
        <f t="array" aca="1" ref="F342" ca="1">INDEX('OD flujo mercancia carretera'!E$45:E$1646,MATCH(C342&amp;D342,'OD flujo mercancia carretera'!C$45:C$1646&amp;'OD flujo mercancia carretera'!D$45:D$1646,0))</f>
        <v>154819.99999999997</v>
      </c>
      <c r="G342" s="11" cm="1">
        <f t="array" aca="1" ref="G342" ca="1">INDEX('Coste Carretera'!E$46:E$1646,MATCH(C342&amp;D342,'Coste Carretera'!C$46:C$1646&amp;'Coste Carretera'!D$46:D$1646,0))</f>
        <v>385998192.85714269</v>
      </c>
      <c r="H342" s="11" cm="1">
        <f t="array" aca="1" ref="H342" ca="1">INDEX('Coste multimodal'!E$46:E$1646,MATCH(C342&amp;D342,'Coste multimodal'!C$46:C$1646&amp;'Coste multimodal'!D$46:D$1646,0))</f>
        <v>765509498.78251851</v>
      </c>
      <c r="I342" s="12" cm="1">
        <f t="array" aca="1" ref="I342" ca="1">INDEX('Tiempos intermodal (horas)'!E$45:E$1645,MATCH(C342&amp;D342,'Tiempos intermodal (horas)'!C$45:C$1645&amp;'Tiempos intermodal (horas)'!D$45:D$1645,0))</f>
        <v>32.339436071814006</v>
      </c>
      <c r="J342" s="2" cm="1">
        <f t="array" aca="1" ref="J342" ca="1">INDEX('Tiempos carretera (horas)'!E$45:E$1645,MATCH(C342&amp;D342,'Tiempos carretera (horas)'!C$45:C$1645&amp;'Tiempos carretera (horas)'!D$45:D$1645,0))</f>
        <v>5.45</v>
      </c>
      <c r="K342" s="12">
        <f t="shared" ca="1" si="30"/>
        <v>2.4932062579585503</v>
      </c>
      <c r="L342" s="12">
        <f t="shared" ca="1" si="31"/>
        <v>108.38279941283565</v>
      </c>
      <c r="M342" s="12">
        <f t="shared" ca="1" si="32"/>
        <v>4.3630373568160331E-2</v>
      </c>
      <c r="N342" s="13">
        <f t="shared" ca="1" si="34"/>
        <v>-105.8895931548771</v>
      </c>
      <c r="O342" s="13">
        <f t="shared" ca="1" si="35"/>
        <v>-26.889436071814007</v>
      </c>
      <c r="P342" s="12">
        <f t="shared" ca="1" si="33"/>
        <v>3.0873909275684928</v>
      </c>
    </row>
    <row r="343" spans="1:16" x14ac:dyDescent="0.25">
      <c r="A343">
        <v>7</v>
      </c>
      <c r="B343">
        <v>36</v>
      </c>
      <c r="C343" s="2" t="s">
        <v>6</v>
      </c>
      <c r="D343" s="2" t="s">
        <v>35</v>
      </c>
      <c r="E343" s="11" cm="1">
        <f t="array" aca="1" ref="E343" ca="1">INDEX('OD flujo mercancia multimodal'!E$45:E$1645,MATCH(C343&amp;D343,'OD flujo mercancia multimodal'!C$45:C$1645&amp;'OD flujo mercancia multimodal'!D$45:D$1645,0))</f>
        <v>6522.9890109890075</v>
      </c>
      <c r="F343" s="11" cm="1">
        <f t="array" aca="1" ref="F343" ca="1">INDEX('OD flujo mercancia carretera'!E$45:E$1646,MATCH(C343&amp;D343,'OD flujo mercancia carretera'!C$45:C$1646&amp;'OD flujo mercancia carretera'!D$45:D$1646,0))</f>
        <v>147444.61538461543</v>
      </c>
      <c r="G343" s="11" cm="1">
        <f t="array" aca="1" ref="G343" ca="1">INDEX('Coste Carretera'!E$46:E$1646,MATCH(C343&amp;D343,'Coste Carretera'!C$46:C$1646&amp;'Coste Carretera'!D$46:D$1646,0))</f>
        <v>680101391.42857194</v>
      </c>
      <c r="H343" s="11" cm="1">
        <f t="array" aca="1" ref="H343" ca="1">INDEX('Coste multimodal'!E$46:E$1646,MATCH(C343&amp;D343,'Coste multimodal'!C$46:C$1646&amp;'Coste multimodal'!D$46:D$1646,0))</f>
        <v>765509498.78251851</v>
      </c>
      <c r="I343" s="12" cm="1">
        <f t="array" aca="1" ref="I343" ca="1">INDEX('Tiempos intermodal (horas)'!E$45:E$1645,MATCH(C343&amp;D343,'Tiempos intermodal (horas)'!C$45:C$1645&amp;'Tiempos intermodal (horas)'!D$45:D$1645,0))</f>
        <v>32.339436071814006</v>
      </c>
      <c r="J343" s="2" cm="1">
        <f t="array" aca="1" ref="J343" ca="1">INDEX('Tiempos carretera (horas)'!E$45:E$1645,MATCH(C343&amp;D343,'Tiempos carretera (horas)'!C$45:C$1645&amp;'Tiempos carretera (horas)'!D$45:D$1645,0))</f>
        <v>5.45</v>
      </c>
      <c r="K343" s="12">
        <f t="shared" ca="1" si="30"/>
        <v>4.6125888670433923</v>
      </c>
      <c r="L343" s="12">
        <f t="shared" ca="1" si="31"/>
        <v>117.35563213319791</v>
      </c>
      <c r="M343" s="12">
        <f t="shared" ca="1" si="32"/>
        <v>4.2365983653475811E-2</v>
      </c>
      <c r="N343" s="13">
        <f t="shared" ca="1" si="34"/>
        <v>-112.74304326615453</v>
      </c>
      <c r="O343" s="13">
        <f t="shared" ca="1" si="35"/>
        <v>-26.889436071814007</v>
      </c>
      <c r="P343" s="12">
        <f t="shared" ca="1" si="33"/>
        <v>3.1181199081918427</v>
      </c>
    </row>
    <row r="344" spans="1:16" x14ac:dyDescent="0.25">
      <c r="A344">
        <v>6</v>
      </c>
      <c r="B344">
        <v>36</v>
      </c>
      <c r="C344" s="2" t="s">
        <v>5</v>
      </c>
      <c r="D344" s="2" t="s">
        <v>35</v>
      </c>
      <c r="E344" s="11" cm="1">
        <f t="array" aca="1" ref="E344" ca="1">INDEX('OD flujo mercancia multimodal'!E$45:E$1645,MATCH(C344&amp;D344,'OD flujo mercancia multimodal'!C$45:C$1645&amp;'OD flujo mercancia multimodal'!D$45:D$1645,0))</f>
        <v>15228.060439560437</v>
      </c>
      <c r="F344" s="11" cm="1">
        <f t="array" aca="1" ref="F344" ca="1">INDEX('OD flujo mercancia carretera'!E$45:E$1646,MATCH(C344&amp;D344,'OD flujo mercancia carretera'!C$45:C$1646&amp;'OD flujo mercancia carretera'!D$45:D$1646,0))</f>
        <v>219137.62271062273</v>
      </c>
      <c r="G344" s="11" cm="1">
        <f t="array" aca="1" ref="G344" ca="1">INDEX('Coste Carretera'!E$46:E$1646,MATCH(C344&amp;D344,'Coste Carretera'!C$46:C$1646&amp;'Coste Carretera'!D$46:D$1646,0))</f>
        <v>1303070877.2828577</v>
      </c>
      <c r="H344" s="11" cm="1">
        <f t="array" aca="1" ref="H344" ca="1">INDEX('Coste multimodal'!E$46:E$1646,MATCH(C344&amp;D344,'Coste multimodal'!C$46:C$1646&amp;'Coste multimodal'!D$46:D$1646,0))</f>
        <v>904198496.31680417</v>
      </c>
      <c r="I344" s="12" cm="1">
        <f t="array" aca="1" ref="I344" ca="1">INDEX('Tiempos intermodal (horas)'!E$45:E$1645,MATCH(C344&amp;D344,'Tiempos intermodal (horas)'!C$45:C$1645&amp;'Tiempos intermodal (horas)'!D$45:D$1645,0))</f>
        <v>34.444991627369561</v>
      </c>
      <c r="J344" s="2" cm="1">
        <f t="array" aca="1" ref="J344" ca="1">INDEX('Tiempos carretera (horas)'!E$45:E$1645,MATCH(C344&amp;D344,'Tiempos carretera (horas)'!C$45:C$1645&amp;'Tiempos carretera (horas)'!D$45:D$1645,0))</f>
        <v>7.5</v>
      </c>
      <c r="K344" s="12">
        <f t="shared" ca="1" si="30"/>
        <v>5.9463585538828205</v>
      </c>
      <c r="L344" s="12">
        <f t="shared" ca="1" si="31"/>
        <v>59.377128157951027</v>
      </c>
      <c r="M344" s="12">
        <f t="shared" ca="1" si="32"/>
        <v>6.4975640780148641E-2</v>
      </c>
      <c r="N344" s="13">
        <f t="shared" ca="1" si="34"/>
        <v>-53.430769604068203</v>
      </c>
      <c r="O344" s="13">
        <f t="shared" ca="1" si="35"/>
        <v>-26.944991627369561</v>
      </c>
      <c r="P344" s="12">
        <f t="shared" ca="1" si="33"/>
        <v>2.6665601391627596</v>
      </c>
    </row>
    <row r="345" spans="1:16" x14ac:dyDescent="0.25">
      <c r="A345">
        <v>40</v>
      </c>
      <c r="B345">
        <v>41</v>
      </c>
      <c r="C345" s="2" t="s">
        <v>39</v>
      </c>
      <c r="D345" s="2" t="s">
        <v>40</v>
      </c>
      <c r="E345" s="11" cm="1">
        <f t="array" aca="1" ref="E345" ca="1">INDEX('OD flujo mercancia multimodal'!E$45:E$1645,MATCH(C345&amp;D345,'OD flujo mercancia multimodal'!C$45:C$1645&amp;'OD flujo mercancia multimodal'!D$45:D$1645,0))</f>
        <v>24785.615384615379</v>
      </c>
      <c r="F345" s="11" cm="1">
        <f t="array" aca="1" ref="F345" ca="1">INDEX('OD flujo mercancia carretera'!E$45:E$1646,MATCH(C345&amp;D345,'OD flujo mercancia carretera'!C$45:C$1646&amp;'OD flujo mercancia carretera'!D$45:D$1646,0))</f>
        <v>120452.00549450553</v>
      </c>
      <c r="G345" s="11" cm="1">
        <f t="array" aca="1" ref="G345" ca="1">INDEX('Coste Carretera'!E$46:E$1646,MATCH(C345&amp;D345,'Coste Carretera'!C$46:C$1646&amp;'Coste Carretera'!D$46:D$1646,0))</f>
        <v>229819662.19999996</v>
      </c>
      <c r="H345" s="11" cm="1">
        <f t="array" aca="1" ref="H345" ca="1">INDEX('Coste multimodal'!E$46:E$1646,MATCH(C345&amp;D345,'Coste multimodal'!C$46:C$1646&amp;'Coste multimodal'!D$46:D$1646,0))</f>
        <v>156966216.96000001</v>
      </c>
      <c r="I345" s="12" cm="1">
        <f t="array" aca="1" ref="I345" ca="1">INDEX('Tiempos intermodal (horas)'!E$45:E$1645,MATCH(C345&amp;D345,'Tiempos intermodal (horas)'!C$45:C$1645&amp;'Tiempos intermodal (horas)'!D$45:D$1645,0))</f>
        <v>29.882249047924876</v>
      </c>
      <c r="J345" s="2" cm="1">
        <f t="array" aca="1" ref="J345" ca="1">INDEX('Tiempos carretera (horas)'!E$45:E$1645,MATCH(C345&amp;D345,'Tiempos carretera (horas)'!C$45:C$1645&amp;'Tiempos carretera (horas)'!D$45:D$1645,0))</f>
        <v>4.26</v>
      </c>
      <c r="K345" s="12">
        <f t="shared" ca="1" si="30"/>
        <v>1.9079770507472646</v>
      </c>
      <c r="L345" s="12">
        <f t="shared" ca="1" si="31"/>
        <v>6.3329562136847377</v>
      </c>
      <c r="M345" s="12">
        <f t="shared" ca="1" si="32"/>
        <v>0.17065561412111035</v>
      </c>
      <c r="N345" s="13">
        <f t="shared" ca="1" si="34"/>
        <v>-4.4249791629374728</v>
      </c>
      <c r="O345" s="13">
        <f t="shared" ca="1" si="35"/>
        <v>-25.622249047924875</v>
      </c>
      <c r="P345" s="12">
        <f t="shared" ca="1" si="33"/>
        <v>1.5809879188613467</v>
      </c>
    </row>
    <row r="346" spans="1:16" x14ac:dyDescent="0.25">
      <c r="A346">
        <v>3</v>
      </c>
      <c r="B346">
        <v>4</v>
      </c>
      <c r="C346" s="2" t="s">
        <v>2</v>
      </c>
      <c r="D346" s="2" t="s">
        <v>3</v>
      </c>
      <c r="E346" s="11" cm="1">
        <f t="array" aca="1" ref="E346" ca="1">INDEX('OD flujo mercancia multimodal'!E$45:E$1645,MATCH(C346&amp;D346,'OD flujo mercancia multimodal'!C$45:C$1645&amp;'OD flujo mercancia multimodal'!D$45:D$1645,0))</f>
        <v>46117.642857142826</v>
      </c>
      <c r="F346" s="11" cm="1">
        <f t="array" aca="1" ref="F346" ca="1">INDEX('OD flujo mercancia carretera'!E$45:E$1646,MATCH(C346&amp;D346,'OD flujo mercancia carretera'!C$45:C$1646&amp;'OD flujo mercancia carretera'!D$45:D$1646,0))</f>
        <v>68606.153846153829</v>
      </c>
      <c r="G346" s="11" cm="1">
        <f t="array" aca="1" ref="G346" ca="1">INDEX('Coste Carretera'!E$46:E$1646,MATCH(C346&amp;D346,'Coste Carretera'!C$46:C$1646&amp;'Coste Carretera'!D$46:D$1646,0))</f>
        <v>1336998428.777142</v>
      </c>
      <c r="H346" s="11" cm="1">
        <f t="array" aca="1" ref="H346" ca="1">INDEX('Coste multimodal'!E$46:E$1646,MATCH(C346&amp;D346,'Coste multimodal'!C$46:C$1646&amp;'Coste multimodal'!D$46:D$1646,0))</f>
        <v>553816592.89154589</v>
      </c>
      <c r="I346" s="12" cm="1">
        <f t="array" aca="1" ref="I346" ca="1">INDEX('Tiempos intermodal (horas)'!E$45:E$1645,MATCH(C346&amp;D346,'Tiempos intermodal (horas)'!C$45:C$1645&amp;'Tiempos intermodal (horas)'!D$45:D$1645,0))</f>
        <v>31.059883110160939</v>
      </c>
      <c r="J346" s="2" cm="1">
        <f t="array" aca="1" ref="J346" ca="1">INDEX('Tiempos carretera (horas)'!E$45:E$1645,MATCH(C346&amp;D346,'Tiempos carretera (horas)'!C$45:C$1645&amp;'Tiempos carretera (horas)'!D$45:D$1645,0))</f>
        <v>6.05</v>
      </c>
      <c r="K346" s="12">
        <f t="shared" ref="K346:K409" ca="1" si="36">G346/(F346*1000)</f>
        <v>19.488024817355306</v>
      </c>
      <c r="L346" s="12">
        <f t="shared" ref="L346:L409" ca="1" si="37">H346/(E346*1000)</f>
        <v>12.008779256283461</v>
      </c>
      <c r="M346" s="12">
        <f t="shared" ref="M346:M409" ca="1" si="38">E346/(E346+F346)</f>
        <v>0.40198846431498558</v>
      </c>
      <c r="N346" s="13">
        <f t="shared" ca="1" si="34"/>
        <v>7.4792455610718456</v>
      </c>
      <c r="O346" s="13">
        <f t="shared" ca="1" si="35"/>
        <v>-25.009883110160938</v>
      </c>
      <c r="P346" s="12">
        <f t="shared" ref="P346:P409" ca="1" si="39">LN(1/M346-1)</f>
        <v>0.39718665173431761</v>
      </c>
    </row>
    <row r="347" spans="1:16" x14ac:dyDescent="0.25">
      <c r="A347">
        <v>38</v>
      </c>
      <c r="B347">
        <v>40</v>
      </c>
      <c r="C347" s="2" t="s">
        <v>37</v>
      </c>
      <c r="D347" s="2" t="s">
        <v>39</v>
      </c>
      <c r="E347" s="11" cm="1">
        <f t="array" aca="1" ref="E347" ca="1">INDEX('OD flujo mercancia multimodal'!E$45:E$1645,MATCH(C347&amp;D347,'OD flujo mercancia multimodal'!C$45:C$1645&amp;'OD flujo mercancia multimodal'!D$45:D$1645,0))</f>
        <v>9745.7692307692305</v>
      </c>
      <c r="F347" s="11" cm="1">
        <f t="array" aca="1" ref="F347" ca="1">INDEX('OD flujo mercancia carretera'!E$45:E$1646,MATCH(C347&amp;D347,'OD flujo mercancia carretera'!C$45:C$1646&amp;'OD flujo mercancia carretera'!D$45:D$1646,0))</f>
        <v>77990.835164835211</v>
      </c>
      <c r="G347" s="11" cm="1">
        <f t="array" aca="1" ref="G347" ca="1">INDEX('Coste Carretera'!E$46:E$1646,MATCH(C347&amp;D347,'Coste Carretera'!C$46:C$1646&amp;'Coste Carretera'!D$46:D$1646,0))</f>
        <v>247009575.36000004</v>
      </c>
      <c r="H347" s="11" cm="1">
        <f t="array" aca="1" ref="H347" ca="1">INDEX('Coste multimodal'!E$46:E$1646,MATCH(C347&amp;D347,'Coste multimodal'!C$46:C$1646&amp;'Coste multimodal'!D$46:D$1646,0))</f>
        <v>121279066.03200001</v>
      </c>
      <c r="I347" s="12" cm="1">
        <f t="array" aca="1" ref="I347" ca="1">INDEX('Tiempos intermodal (horas)'!E$45:E$1645,MATCH(C347&amp;D347,'Tiempos intermodal (horas)'!C$45:C$1645&amp;'Tiempos intermodal (horas)'!D$45:D$1645,0))</f>
        <v>0</v>
      </c>
      <c r="J347" s="2" cm="1">
        <f t="array" aca="1" ref="J347" ca="1">INDEX('Tiempos carretera (horas)'!E$45:E$1645,MATCH(C347&amp;D347,'Tiempos carretera (horas)'!C$45:C$1645&amp;'Tiempos carretera (horas)'!D$45:D$1645,0))</f>
        <v>2.68</v>
      </c>
      <c r="K347" s="12">
        <f t="shared" ca="1" si="36"/>
        <v>3.1671615624828262</v>
      </c>
      <c r="L347" s="12">
        <f t="shared" ca="1" si="37"/>
        <v>12.444278451525317</v>
      </c>
      <c r="M347" s="12">
        <f t="shared" ca="1" si="38"/>
        <v>0.11107985427411285</v>
      </c>
      <c r="N347" s="13">
        <f t="shared" ca="1" si="34"/>
        <v>-9.2771168890424907</v>
      </c>
      <c r="O347" s="13">
        <f t="shared" ca="1" si="35"/>
        <v>2.68</v>
      </c>
      <c r="P347" s="12">
        <f t="shared" ca="1" si="39"/>
        <v>2.0797580561117179</v>
      </c>
    </row>
    <row r="348" spans="1:16" x14ac:dyDescent="0.25">
      <c r="A348">
        <v>40</v>
      </c>
      <c r="B348">
        <v>38</v>
      </c>
      <c r="C348" s="2" t="s">
        <v>39</v>
      </c>
      <c r="D348" s="2" t="s">
        <v>37</v>
      </c>
      <c r="E348" s="11" cm="1">
        <f t="array" aca="1" ref="E348" ca="1">INDEX('OD flujo mercancia multimodal'!E$45:E$1645,MATCH(C348&amp;D348,'OD flujo mercancia multimodal'!C$45:C$1645&amp;'OD flujo mercancia multimodal'!D$45:D$1645,0))</f>
        <v>2809.9230769230771</v>
      </c>
      <c r="F348" s="11" cm="1">
        <f t="array" aca="1" ref="F348" ca="1">INDEX('OD flujo mercancia carretera'!E$45:E$1646,MATCH(C348&amp;D348,'OD flujo mercancia carretera'!C$45:C$1646&amp;'OD flujo mercancia carretera'!D$45:D$1646,0))</f>
        <v>106783.89743589745</v>
      </c>
      <c r="G348" s="11" cm="1">
        <f t="array" aca="1" ref="G348" ca="1">INDEX('Coste Carretera'!E$46:E$1646,MATCH(C348&amp;D348,'Coste Carretera'!C$46:C$1646&amp;'Coste Carretera'!D$46:D$1646,0))</f>
        <v>90186451.160000414</v>
      </c>
      <c r="H348" s="11" cm="1">
        <f t="array" aca="1" ref="H348" ca="1">INDEX('Coste multimodal'!E$46:E$1646,MATCH(C348&amp;D348,'Coste multimodal'!C$46:C$1646&amp;'Coste multimodal'!D$46:D$1646,0))</f>
        <v>214172318.3270098</v>
      </c>
      <c r="I348" s="12" cm="1">
        <f t="array" aca="1" ref="I348" ca="1">INDEX('Tiempos intermodal (horas)'!E$45:E$1645,MATCH(C348&amp;D348,'Tiempos intermodal (horas)'!C$45:C$1645&amp;'Tiempos intermodal (horas)'!D$45:D$1645,0))</f>
        <v>30.482249047924874</v>
      </c>
      <c r="J348" s="2" cm="1">
        <f t="array" aca="1" ref="J348" ca="1">INDEX('Tiempos carretera (horas)'!E$45:E$1645,MATCH(C348&amp;D348,'Tiempos carretera (horas)'!C$45:C$1645&amp;'Tiempos carretera (horas)'!D$45:D$1645,0))</f>
        <v>4.92</v>
      </c>
      <c r="K348" s="12">
        <f t="shared" ca="1" si="36"/>
        <v>0.84456976496984937</v>
      </c>
      <c r="L348" s="12">
        <f t="shared" ca="1" si="37"/>
        <v>76.219993382001348</v>
      </c>
      <c r="M348" s="12">
        <f t="shared" ca="1" si="38"/>
        <v>2.5639429885504959E-2</v>
      </c>
      <c r="N348" s="13">
        <f t="shared" ca="1" si="34"/>
        <v>-75.375423617031501</v>
      </c>
      <c r="O348" s="13">
        <f t="shared" ca="1" si="35"/>
        <v>-25.562249047924873</v>
      </c>
      <c r="P348" s="12">
        <f t="shared" ca="1" si="39"/>
        <v>3.6376500338760831</v>
      </c>
    </row>
    <row r="349" spans="1:16" x14ac:dyDescent="0.25">
      <c r="A349">
        <v>41</v>
      </c>
      <c r="B349">
        <v>11</v>
      </c>
      <c r="C349" s="2" t="s">
        <v>40</v>
      </c>
      <c r="D349" s="2" t="s">
        <v>10</v>
      </c>
      <c r="E349" s="11" cm="1">
        <f t="array" aca="1" ref="E349" ca="1">INDEX('OD flujo mercancia multimodal'!E$45:E$1645,MATCH(C349&amp;D349,'OD flujo mercancia multimodal'!C$45:C$1645&amp;'OD flujo mercancia multimodal'!D$45:D$1645,0))</f>
        <v>28926.538461538446</v>
      </c>
      <c r="F349" s="11" cm="1">
        <f t="array" aca="1" ref="F349" ca="1">INDEX('OD flujo mercancia carretera'!E$45:E$1646,MATCH(C349&amp;D349,'OD flujo mercancia carretera'!C$45:C$1646&amp;'OD flujo mercancia carretera'!D$45:D$1646,0))</f>
        <v>163935.5</v>
      </c>
      <c r="G349" s="11" cm="1">
        <f t="array" aca="1" ref="G349" ca="1">INDEX('Coste Carretera'!E$46:E$1646,MATCH(C349&amp;D349,'Coste Carretera'!C$46:C$1646&amp;'Coste Carretera'!D$46:D$1646,0))</f>
        <v>683023496.87999952</v>
      </c>
      <c r="H349" s="11" cm="1">
        <f t="array" aca="1" ref="H349" ca="1">INDEX('Coste multimodal'!E$46:E$1646,MATCH(C349&amp;D349,'Coste multimodal'!C$46:C$1646&amp;'Coste multimodal'!D$46:D$1646,0))</f>
        <v>245158608.35347027</v>
      </c>
      <c r="I349" s="12" cm="1">
        <f t="array" aca="1" ref="I349" ca="1">INDEX('Tiempos intermodal (horas)'!E$45:E$1645,MATCH(C349&amp;D349,'Tiempos intermodal (horas)'!C$45:C$1645&amp;'Tiempos intermodal (horas)'!D$45:D$1645,0))</f>
        <v>31.063918917745873</v>
      </c>
      <c r="J349" s="2" cm="1">
        <f t="array" aca="1" ref="J349" ca="1">INDEX('Tiempos carretera (horas)'!E$45:E$1645,MATCH(C349&amp;D349,'Tiempos carretera (horas)'!C$45:C$1645&amp;'Tiempos carretera (horas)'!D$45:D$1645,0))</f>
        <v>5.58</v>
      </c>
      <c r="K349" s="12">
        <f t="shared" ca="1" si="36"/>
        <v>4.1664160409429289</v>
      </c>
      <c r="L349" s="12">
        <f t="shared" ca="1" si="37"/>
        <v>8.4752141594626043</v>
      </c>
      <c r="M349" s="12">
        <f t="shared" ca="1" si="38"/>
        <v>0.14998565136138561</v>
      </c>
      <c r="N349" s="13">
        <f t="shared" ca="1" si="34"/>
        <v>-4.3087981185196753</v>
      </c>
      <c r="O349" s="13">
        <f t="shared" ca="1" si="35"/>
        <v>-25.483918917745875</v>
      </c>
      <c r="P349" s="12">
        <f t="shared" ca="1" si="39"/>
        <v>1.7347135981631809</v>
      </c>
    </row>
    <row r="350" spans="1:16" x14ac:dyDescent="0.25">
      <c r="A350">
        <v>11</v>
      </c>
      <c r="B350">
        <v>41</v>
      </c>
      <c r="C350" s="2" t="s">
        <v>10</v>
      </c>
      <c r="D350" s="2" t="s">
        <v>40</v>
      </c>
      <c r="E350" s="11" cm="1">
        <f t="array" aca="1" ref="E350" ca="1">INDEX('OD flujo mercancia multimodal'!E$45:E$1645,MATCH(C350&amp;D350,'OD flujo mercancia multimodal'!C$45:C$1645&amp;'OD flujo mercancia multimodal'!D$45:D$1645,0))</f>
        <v>32776.461538461532</v>
      </c>
      <c r="F350" s="11" cm="1">
        <f t="array" aca="1" ref="F350" ca="1">INDEX('OD flujo mercancia carretera'!E$45:E$1646,MATCH(C350&amp;D350,'OD flujo mercancia carretera'!C$45:C$1646&amp;'OD flujo mercancia carretera'!D$45:D$1646,0))</f>
        <v>118504.72344322348</v>
      </c>
      <c r="G350" s="11" cm="1">
        <f t="array" aca="1" ref="G350" ca="1">INDEX('Coste Carretera'!E$46:E$1646,MATCH(C350&amp;D350,'Coste Carretera'!C$46:C$1646&amp;'Coste Carretera'!D$46:D$1646,0))</f>
        <v>745268738.39999986</v>
      </c>
      <c r="H350" s="11" cm="1">
        <f t="array" aca="1" ref="H350" ca="1">INDEX('Coste multimodal'!E$46:E$1646,MATCH(C350&amp;D350,'Coste multimodal'!C$46:C$1646&amp;'Coste multimodal'!D$46:D$1646,0))</f>
        <v>306770467.77197731</v>
      </c>
      <c r="I350" s="12" cm="1">
        <f t="array" aca="1" ref="I350" ca="1">INDEX('Tiempos intermodal (horas)'!E$45:E$1645,MATCH(C350&amp;D350,'Tiempos intermodal (horas)'!C$45:C$1645&amp;'Tiempos intermodal (horas)'!D$45:D$1645,0))</f>
        <v>33.949161799983578</v>
      </c>
      <c r="J350" s="2" cm="1">
        <f t="array" aca="1" ref="J350" ca="1">INDEX('Tiempos carretera (horas)'!E$45:E$1645,MATCH(C350&amp;D350,'Tiempos carretera (horas)'!C$45:C$1645&amp;'Tiempos carretera (horas)'!D$45:D$1645,0))</f>
        <v>6.71</v>
      </c>
      <c r="K350" s="12">
        <f t="shared" ca="1" si="36"/>
        <v>6.2889369870312706</v>
      </c>
      <c r="L350" s="12">
        <f t="shared" ca="1" si="37"/>
        <v>9.3594748600912148</v>
      </c>
      <c r="M350" s="12">
        <f t="shared" ca="1" si="38"/>
        <v>0.2166592067772978</v>
      </c>
      <c r="N350" s="13">
        <f t="shared" ca="1" si="34"/>
        <v>-3.0705378730599442</v>
      </c>
      <c r="O350" s="13">
        <f t="shared" ca="1" si="35"/>
        <v>-27.239161799983577</v>
      </c>
      <c r="P350" s="12">
        <f t="shared" ca="1" si="39"/>
        <v>1.2852421983175606</v>
      </c>
    </row>
    <row r="351" spans="1:16" x14ac:dyDescent="0.25">
      <c r="A351">
        <v>3</v>
      </c>
      <c r="B351">
        <v>8</v>
      </c>
      <c r="C351" s="2" t="s">
        <v>2</v>
      </c>
      <c r="D351" s="2" t="s">
        <v>7</v>
      </c>
      <c r="E351" s="11" cm="1">
        <f t="array" aca="1" ref="E351" ca="1">INDEX('OD flujo mercancia multimodal'!E$45:E$1645,MATCH(C351&amp;D351,'OD flujo mercancia multimodal'!C$45:C$1645&amp;'OD flujo mercancia multimodal'!D$45:D$1645,0))</f>
        <v>49579.428571428529</v>
      </c>
      <c r="F351" s="11" cm="1">
        <f t="array" aca="1" ref="F351" ca="1">INDEX('OD flujo mercancia carretera'!E$45:E$1646,MATCH(C351&amp;D351,'OD flujo mercancia carretera'!C$45:C$1646&amp;'OD flujo mercancia carretera'!D$45:D$1646,0))</f>
        <v>157339.61538461523</v>
      </c>
      <c r="G351" s="11" cm="1">
        <f t="array" aca="1" ref="G351" ca="1">INDEX('Coste Carretera'!E$46:E$1646,MATCH(C351&amp;D351,'Coste Carretera'!C$46:C$1646&amp;'Coste Carretera'!D$46:D$1646,0))</f>
        <v>1416527904.1828558</v>
      </c>
      <c r="H351" s="11" cm="1">
        <f t="array" aca="1" ref="H351" ca="1">INDEX('Coste multimodal'!E$46:E$1646,MATCH(C351&amp;D351,'Coste multimodal'!C$46:C$1646&amp;'Coste multimodal'!D$46:D$1646,0))</f>
        <v>592271798.41497445</v>
      </c>
      <c r="I351" s="12" cm="1">
        <f t="array" aca="1" ref="I351" ca="1">INDEX('Tiempos intermodal (horas)'!E$45:E$1645,MATCH(C351&amp;D351,'Tiempos intermodal (horas)'!C$45:C$1645&amp;'Tiempos intermodal (horas)'!D$45:D$1645,0))</f>
        <v>31.213216443494275</v>
      </c>
      <c r="J351" s="2" cm="1">
        <f t="array" aca="1" ref="J351" ca="1">INDEX('Tiempos carretera (horas)'!E$45:E$1645,MATCH(C351&amp;D351,'Tiempos carretera (horas)'!C$45:C$1645&amp;'Tiempos carretera (horas)'!D$45:D$1645,0))</f>
        <v>5.88</v>
      </c>
      <c r="K351" s="12">
        <f t="shared" ca="1" si="36"/>
        <v>9.0029958489485722</v>
      </c>
      <c r="L351" s="12">
        <f t="shared" ca="1" si="37"/>
        <v>11.945918206009475</v>
      </c>
      <c r="M351" s="12">
        <f t="shared" ca="1" si="38"/>
        <v>0.23960785640378654</v>
      </c>
      <c r="N351" s="13">
        <f t="shared" ca="1" si="34"/>
        <v>-2.9429223570609029</v>
      </c>
      <c r="O351" s="13">
        <f t="shared" ca="1" si="35"/>
        <v>-25.333216443494276</v>
      </c>
      <c r="P351" s="12">
        <f t="shared" ca="1" si="39"/>
        <v>1.1548306232564125</v>
      </c>
    </row>
    <row r="352" spans="1:16" x14ac:dyDescent="0.25">
      <c r="A352">
        <v>33</v>
      </c>
      <c r="B352">
        <v>3</v>
      </c>
      <c r="C352" s="2" t="s">
        <v>32</v>
      </c>
      <c r="D352" s="2" t="s">
        <v>2</v>
      </c>
      <c r="E352" s="11" cm="1">
        <f t="array" aca="1" ref="E352" ca="1">INDEX('OD flujo mercancia multimodal'!E$45:E$1645,MATCH(C352&amp;D352,'OD flujo mercancia multimodal'!C$45:C$1645&amp;'OD flujo mercancia multimodal'!D$45:D$1645,0))</f>
        <v>46640.32967032968</v>
      </c>
      <c r="F352" s="11" cm="1">
        <f t="array" aca="1" ref="F352" ca="1">INDEX('OD flujo mercancia carretera'!E$45:E$1646,MATCH(C352&amp;D352,'OD flujo mercancia carretera'!C$45:C$1646&amp;'OD flujo mercancia carretera'!D$45:D$1646,0))</f>
        <v>134670.48205128202</v>
      </c>
      <c r="G352" s="11" cm="1">
        <f t="array" aca="1" ref="G352" ca="1">INDEX('Coste Carretera'!E$46:E$1646,MATCH(C352&amp;D352,'Coste Carretera'!C$46:C$1646&amp;'Coste Carretera'!D$46:D$1646,0))</f>
        <v>258790461.22285736</v>
      </c>
      <c r="H352" s="11" cm="1">
        <f t="array" aca="1" ref="H352" ca="1">INDEX('Coste multimodal'!E$46:E$1646,MATCH(C352&amp;D352,'Coste multimodal'!C$46:C$1646&amp;'Coste multimodal'!D$46:D$1646,0))</f>
        <v>286125925.73740339</v>
      </c>
      <c r="I352" s="12" cm="1">
        <f t="array" aca="1" ref="I352" ca="1">INDEX('Tiempos intermodal (horas)'!E$45:E$1645,MATCH(C352&amp;D352,'Tiempos intermodal (horas)'!C$45:C$1645&amp;'Tiempos intermodal (horas)'!D$45:D$1645,0))</f>
        <v>27.392898298200546</v>
      </c>
      <c r="J352" s="2" cm="1">
        <f t="array" aca="1" ref="J352" ca="1">INDEX('Tiempos carretera (horas)'!E$45:E$1645,MATCH(C352&amp;D352,'Tiempos carretera (horas)'!C$45:C$1645&amp;'Tiempos carretera (horas)'!D$45:D$1645,0))</f>
        <v>3.26</v>
      </c>
      <c r="K352" s="12">
        <f t="shared" ca="1" si="36"/>
        <v>1.9216569012080236</v>
      </c>
      <c r="L352" s="12">
        <f t="shared" ca="1" si="37"/>
        <v>6.1347320604258684</v>
      </c>
      <c r="M352" s="12">
        <f t="shared" ca="1" si="38"/>
        <v>0.25723964956895229</v>
      </c>
      <c r="N352" s="13">
        <f t="shared" ca="1" si="34"/>
        <v>-4.213075159217845</v>
      </c>
      <c r="O352" s="13">
        <f t="shared" ca="1" si="35"/>
        <v>-24.132898298200544</v>
      </c>
      <c r="P352" s="12">
        <f t="shared" ca="1" si="39"/>
        <v>1.0603653105351194</v>
      </c>
    </row>
    <row r="353" spans="1:16" x14ac:dyDescent="0.25">
      <c r="A353">
        <v>14</v>
      </c>
      <c r="B353">
        <v>12</v>
      </c>
      <c r="C353" s="2" t="s">
        <v>13</v>
      </c>
      <c r="D353" s="2" t="s">
        <v>11</v>
      </c>
      <c r="E353" s="11" cm="1">
        <f t="array" aca="1" ref="E353" ca="1">INDEX('OD flujo mercancia multimodal'!E$45:E$1645,MATCH(C353&amp;D353,'OD flujo mercancia multimodal'!C$45:C$1645&amp;'OD flujo mercancia multimodal'!D$45:D$1645,0))</f>
        <v>29770.076923076922</v>
      </c>
      <c r="F353" s="11" cm="1">
        <f t="array" aca="1" ref="F353" ca="1">INDEX('OD flujo mercancia carretera'!E$45:E$1646,MATCH(C353&amp;D353,'OD flujo mercancia carretera'!C$45:C$1646&amp;'OD flujo mercancia carretera'!D$45:D$1646,0))</f>
        <v>146130.69230769228</v>
      </c>
      <c r="G353" s="11" cm="1">
        <f t="array" aca="1" ref="G353" ca="1">INDEX('Coste Carretera'!E$46:E$1646,MATCH(C353&amp;D353,'Coste Carretera'!C$46:C$1646&amp;'Coste Carretera'!D$46:D$1646,0))</f>
        <v>555051176.19999981</v>
      </c>
      <c r="H353" s="11" cm="1">
        <f t="array" aca="1" ref="H353" ca="1">INDEX('Coste multimodal'!E$46:E$1646,MATCH(C353&amp;D353,'Coste multimodal'!C$46:C$1646&amp;'Coste multimodal'!D$46:D$1646,0))</f>
        <v>239011811.37530771</v>
      </c>
      <c r="I353" s="12" cm="1">
        <f t="array" aca="1" ref="I353" ca="1">INDEX('Tiempos intermodal (horas)'!E$45:E$1645,MATCH(C353&amp;D353,'Tiempos intermodal (horas)'!C$45:C$1645&amp;'Tiempos intermodal (horas)'!D$45:D$1645,0))</f>
        <v>31.221732941681918</v>
      </c>
      <c r="J353" s="2" cm="1">
        <f t="array" aca="1" ref="J353" ca="1">INDEX('Tiempos carretera (horas)'!E$45:E$1645,MATCH(C353&amp;D353,'Tiempos carretera (horas)'!C$45:C$1645&amp;'Tiempos carretera (horas)'!D$45:D$1645,0))</f>
        <v>3.72</v>
      </c>
      <c r="K353" s="12">
        <f t="shared" ca="1" si="36"/>
        <v>3.7983203079014087</v>
      </c>
      <c r="L353" s="12">
        <f t="shared" ca="1" si="37"/>
        <v>8.0285923342721546</v>
      </c>
      <c r="M353" s="12">
        <f t="shared" ca="1" si="38"/>
        <v>0.16924358576295204</v>
      </c>
      <c r="N353" s="13">
        <f t="shared" ca="1" si="34"/>
        <v>-4.2302720263707458</v>
      </c>
      <c r="O353" s="13">
        <f t="shared" ca="1" si="35"/>
        <v>-27.501732941681919</v>
      </c>
      <c r="P353" s="12">
        <f t="shared" ca="1" si="39"/>
        <v>1.5909976151535159</v>
      </c>
    </row>
    <row r="354" spans="1:16" x14ac:dyDescent="0.25">
      <c r="A354">
        <v>12</v>
      </c>
      <c r="B354">
        <v>14</v>
      </c>
      <c r="C354" s="2" t="s">
        <v>11</v>
      </c>
      <c r="D354" s="2" t="s">
        <v>13</v>
      </c>
      <c r="E354" s="11" cm="1">
        <f t="array" aca="1" ref="E354" ca="1">INDEX('OD flujo mercancia multimodal'!E$45:E$1645,MATCH(C354&amp;D354,'OD flujo mercancia multimodal'!C$45:C$1645&amp;'OD flujo mercancia multimodal'!D$45:D$1645,0))</f>
        <v>29275.769230769212</v>
      </c>
      <c r="F354" s="11" cm="1">
        <f t="array" aca="1" ref="F354" ca="1">INDEX('OD flujo mercancia carretera'!E$45:E$1646,MATCH(C354&amp;D354,'OD flujo mercancia carretera'!C$45:C$1646&amp;'OD flujo mercancia carretera'!D$45:D$1646,0))</f>
        <v>211624.99999999977</v>
      </c>
      <c r="G354" s="11" cm="1">
        <f t="array" aca="1" ref="G354" ca="1">INDEX('Coste Carretera'!E$46:E$1646,MATCH(C354&amp;D354,'Coste Carretera'!C$46:C$1646&amp;'Coste Carretera'!D$46:D$1646,0))</f>
        <v>545835006.99999964</v>
      </c>
      <c r="H354" s="11" cm="1">
        <f t="array" aca="1" ref="H354" ca="1">INDEX('Coste multimodal'!E$46:E$1646,MATCH(C354&amp;D354,'Coste multimodal'!C$46:C$1646&amp;'Coste multimodal'!D$46:D$1646,0))</f>
        <v>239011811.37530771</v>
      </c>
      <c r="I354" s="12" cm="1">
        <f t="array" aca="1" ref="I354" ca="1">INDEX('Tiempos intermodal (horas)'!E$45:E$1645,MATCH(C354&amp;D354,'Tiempos intermodal (horas)'!C$45:C$1645&amp;'Tiempos intermodal (horas)'!D$45:D$1645,0))</f>
        <v>31.221732941681918</v>
      </c>
      <c r="J354" s="2" cm="1">
        <f t="array" aca="1" ref="J354" ca="1">INDEX('Tiempos carretera (horas)'!E$45:E$1645,MATCH(C354&amp;D354,'Tiempos carretera (horas)'!C$45:C$1645&amp;'Tiempos carretera (horas)'!D$45:D$1645,0))</f>
        <v>3.72</v>
      </c>
      <c r="K354" s="12">
        <f t="shared" ca="1" si="36"/>
        <v>2.5792557920850574</v>
      </c>
      <c r="L354" s="12">
        <f t="shared" ca="1" si="37"/>
        <v>8.1641513666566006</v>
      </c>
      <c r="M354" s="12">
        <f t="shared" ca="1" si="38"/>
        <v>0.12152625881706804</v>
      </c>
      <c r="N354" s="13">
        <f t="shared" ca="1" si="34"/>
        <v>-5.5848955745715436</v>
      </c>
      <c r="O354" s="13">
        <f t="shared" ca="1" si="35"/>
        <v>-27.501732941681919</v>
      </c>
      <c r="P354" s="12">
        <f t="shared" ca="1" si="39"/>
        <v>1.9780556552850348</v>
      </c>
    </row>
    <row r="355" spans="1:16" x14ac:dyDescent="0.25">
      <c r="A355">
        <v>20</v>
      </c>
      <c r="B355">
        <v>33</v>
      </c>
      <c r="C355" s="2" t="s">
        <v>19</v>
      </c>
      <c r="D355" s="2" t="s">
        <v>32</v>
      </c>
      <c r="E355" s="11" cm="1">
        <f t="array" aca="1" ref="E355" ca="1">INDEX('OD flujo mercancia multimodal'!E$45:E$1645,MATCH(C355&amp;D355,'OD flujo mercancia multimodal'!C$45:C$1645&amp;'OD flujo mercancia multimodal'!D$45:D$1645,0))</f>
        <v>96137.538461538425</v>
      </c>
      <c r="F355" s="11" cm="1">
        <f t="array" aca="1" ref="F355" ca="1">INDEX('OD flujo mercancia carretera'!E$45:E$1646,MATCH(C355&amp;D355,'OD flujo mercancia carretera'!C$45:C$1646&amp;'OD flujo mercancia carretera'!D$45:D$1646,0))</f>
        <v>161099.05641025642</v>
      </c>
      <c r="G355" s="11" cm="1">
        <f t="array" aca="1" ref="G355" ca="1">INDEX('Coste Carretera'!E$46:E$1646,MATCH(C355&amp;D355,'Coste Carretera'!C$46:C$1646&amp;'Coste Carretera'!D$46:D$1646,0))</f>
        <v>990493029.67999983</v>
      </c>
      <c r="H355" s="11" cm="1">
        <f t="array" aca="1" ref="H355" ca="1">INDEX('Coste multimodal'!E$46:E$1646,MATCH(C355&amp;D355,'Coste multimodal'!C$46:C$1646&amp;'Coste multimodal'!D$46:D$1646,0))</f>
        <v>211142220.63599998</v>
      </c>
      <c r="I355" s="12" cm="1">
        <f t="array" aca="1" ref="I355" ca="1">INDEX('Tiempos intermodal (horas)'!E$45:E$1645,MATCH(C355&amp;D355,'Tiempos intermodal (horas)'!C$45:C$1645&amp;'Tiempos intermodal (horas)'!D$45:D$1645,0))</f>
        <v>33.68259750228745</v>
      </c>
      <c r="J355" s="2" cm="1">
        <f t="array" aca="1" ref="J355" ca="1">INDEX('Tiempos carretera (horas)'!E$45:E$1645,MATCH(C355&amp;D355,'Tiempos carretera (horas)'!C$45:C$1645&amp;'Tiempos carretera (horas)'!D$45:D$1645,0))</f>
        <v>6.15</v>
      </c>
      <c r="K355" s="12">
        <f t="shared" ca="1" si="36"/>
        <v>6.1483478038356765</v>
      </c>
      <c r="L355" s="12">
        <f t="shared" ca="1" si="37"/>
        <v>2.1962515788821793</v>
      </c>
      <c r="M355" s="12">
        <f t="shared" ca="1" si="38"/>
        <v>0.37373196651686663</v>
      </c>
      <c r="N355" s="13">
        <f t="shared" ca="1" si="34"/>
        <v>3.9520962249534972</v>
      </c>
      <c r="O355" s="13">
        <f t="shared" ca="1" si="35"/>
        <v>-27.532597502287452</v>
      </c>
      <c r="P355" s="12">
        <f t="shared" ca="1" si="39"/>
        <v>0.51623957454680403</v>
      </c>
    </row>
    <row r="356" spans="1:16" x14ac:dyDescent="0.25">
      <c r="A356">
        <v>33</v>
      </c>
      <c r="B356">
        <v>20</v>
      </c>
      <c r="C356" s="2" t="s">
        <v>32</v>
      </c>
      <c r="D356" s="2" t="s">
        <v>19</v>
      </c>
      <c r="E356" s="11" cm="1">
        <f t="array" aca="1" ref="E356" ca="1">INDEX('OD flujo mercancia multimodal'!E$45:E$1645,MATCH(C356&amp;D356,'OD flujo mercancia multimodal'!C$45:C$1645&amp;'OD flujo mercancia multimodal'!D$45:D$1645,0))</f>
        <v>88616.307692307688</v>
      </c>
      <c r="F356" s="11" cm="1">
        <f t="array" aca="1" ref="F356" ca="1">INDEX('OD flujo mercancia carretera'!E$45:E$1646,MATCH(C356&amp;D356,'OD flujo mercancia carretera'!C$45:C$1646&amp;'OD flujo mercancia carretera'!D$45:D$1646,0))</f>
        <v>155840.6871794872</v>
      </c>
      <c r="G356" s="11" cm="1">
        <f t="array" aca="1" ref="G356" ca="1">INDEX('Coste Carretera'!E$46:E$1646,MATCH(C356&amp;D356,'Coste Carretera'!C$46:C$1646&amp;'Coste Carretera'!D$46:D$1646,0))</f>
        <v>1787113424.3199995</v>
      </c>
      <c r="H356" s="11" cm="1">
        <f t="array" aca="1" ref="H356" ca="1">INDEX('Coste multimodal'!E$46:E$1646,MATCH(C356&amp;D356,'Coste multimodal'!C$46:C$1646&amp;'Coste multimodal'!D$46:D$1646,0))</f>
        <v>211142220.63599998</v>
      </c>
      <c r="I356" s="12" cm="1">
        <f t="array" aca="1" ref="I356" ca="1">INDEX('Tiempos intermodal (horas)'!E$45:E$1645,MATCH(C356&amp;D356,'Tiempos intermodal (horas)'!C$45:C$1645&amp;'Tiempos intermodal (horas)'!D$45:D$1645,0))</f>
        <v>33.68259750228745</v>
      </c>
      <c r="J356" s="2" cm="1">
        <f t="array" aca="1" ref="J356" ca="1">INDEX('Tiempos carretera (horas)'!E$45:E$1645,MATCH(C356&amp;D356,'Tiempos carretera (horas)'!C$45:C$1645&amp;'Tiempos carretera (horas)'!D$45:D$1645,0))</f>
        <v>6.15</v>
      </c>
      <c r="K356" s="12">
        <f t="shared" ca="1" si="36"/>
        <v>11.467566376049909</v>
      </c>
      <c r="L356" s="12">
        <f t="shared" ca="1" si="37"/>
        <v>2.3826564899219802</v>
      </c>
      <c r="M356" s="12">
        <f t="shared" ca="1" si="38"/>
        <v>0.36250264689207351</v>
      </c>
      <c r="N356" s="13">
        <f t="shared" ca="1" si="34"/>
        <v>9.084909886127928</v>
      </c>
      <c r="O356" s="13">
        <f t="shared" ca="1" si="35"/>
        <v>-27.532597502287452</v>
      </c>
      <c r="P356" s="12">
        <f t="shared" ca="1" si="39"/>
        <v>0.56451834899708653</v>
      </c>
    </row>
    <row r="357" spans="1:16" x14ac:dyDescent="0.25">
      <c r="A357">
        <v>31</v>
      </c>
      <c r="B357">
        <v>35</v>
      </c>
      <c r="C357" s="2" t="s">
        <v>30</v>
      </c>
      <c r="D357" s="2" t="s">
        <v>34</v>
      </c>
      <c r="E357" s="11" cm="1">
        <f t="array" aca="1" ref="E357" ca="1">INDEX('OD flujo mercancia multimodal'!E$45:E$1645,MATCH(C357&amp;D357,'OD flujo mercancia multimodal'!C$45:C$1645&amp;'OD flujo mercancia multimodal'!D$45:D$1645,0))</f>
        <v>24930.923076923093</v>
      </c>
      <c r="F357" s="11" cm="1">
        <f t="array" aca="1" ref="F357" ca="1">INDEX('OD flujo mercancia carretera'!E$45:E$1646,MATCH(C357&amp;D357,'OD flujo mercancia carretera'!C$45:C$1646&amp;'OD flujo mercancia carretera'!D$45:D$1646,0))</f>
        <v>35637.846153846192</v>
      </c>
      <c r="G357" s="11" cm="1">
        <f t="array" aca="1" ref="G357" ca="1">INDEX('Coste Carretera'!E$46:E$1646,MATCH(C357&amp;D357,'Coste Carretera'!C$46:C$1646&amp;'Coste Carretera'!D$46:D$1646,0))</f>
        <v>3387557064.9600034</v>
      </c>
      <c r="H357" s="11" cm="1">
        <f t="array" aca="1" ref="H357" ca="1">INDEX('Coste multimodal'!E$46:E$1646,MATCH(C357&amp;D357,'Coste multimodal'!C$46:C$1646&amp;'Coste multimodal'!D$46:D$1646,0))</f>
        <v>2370168838.5590916</v>
      </c>
      <c r="I357" s="12" cm="1">
        <f t="array" aca="1" ref="I357" ca="1">INDEX('Tiempos intermodal (horas)'!E$45:E$1645,MATCH(C357&amp;D357,'Tiempos intermodal (horas)'!C$45:C$1645&amp;'Tiempos intermodal (horas)'!D$45:D$1645,0))</f>
        <v>28.030527299760696</v>
      </c>
      <c r="J357" s="2" cm="1">
        <f t="array" aca="1" ref="J357" ca="1">INDEX('Tiempos carretera (horas)'!E$45:E$1645,MATCH(C357&amp;D357,'Tiempos carretera (horas)'!C$45:C$1645&amp;'Tiempos carretera (horas)'!D$45:D$1645,0))</f>
        <v>2.48</v>
      </c>
      <c r="K357" s="12">
        <f t="shared" ca="1" si="36"/>
        <v>95.055044862592055</v>
      </c>
      <c r="L357" s="12">
        <f t="shared" ca="1" si="37"/>
        <v>95.069437711794976</v>
      </c>
      <c r="M357" s="12">
        <f t="shared" ca="1" si="38"/>
        <v>0.41161349972186723</v>
      </c>
      <c r="N357" s="13">
        <f t="shared" ca="1" si="34"/>
        <v>-1.4392849202920388E-2</v>
      </c>
      <c r="O357" s="13">
        <f t="shared" ca="1" si="35"/>
        <v>-25.550527299760695</v>
      </c>
      <c r="P357" s="12">
        <f t="shared" ca="1" si="39"/>
        <v>0.35729924378084965</v>
      </c>
    </row>
    <row r="358" spans="1:16" x14ac:dyDescent="0.25">
      <c r="A358">
        <v>35</v>
      </c>
      <c r="B358">
        <v>31</v>
      </c>
      <c r="C358" s="2" t="s">
        <v>34</v>
      </c>
      <c r="D358" s="2" t="s">
        <v>30</v>
      </c>
      <c r="E358" s="11" cm="1">
        <f t="array" aca="1" ref="E358" ca="1">INDEX('OD flujo mercancia multimodal'!E$45:E$1645,MATCH(C358&amp;D358,'OD flujo mercancia multimodal'!C$45:C$1645&amp;'OD flujo mercancia multimodal'!D$45:D$1645,0))</f>
        <v>12388.76923076923</v>
      </c>
      <c r="F358" s="11" cm="1">
        <f t="array" aca="1" ref="F358" ca="1">INDEX('OD flujo mercancia carretera'!E$45:E$1646,MATCH(C358&amp;D358,'OD flujo mercancia carretera'!C$45:C$1646&amp;'OD flujo mercancia carretera'!D$45:D$1646,0))</f>
        <v>38369.076923076915</v>
      </c>
      <c r="G358" s="11" cm="1">
        <f t="array" aca="1" ref="G358" ca="1">INDEX('Coste Carretera'!E$46:E$1646,MATCH(C358&amp;D358,'Coste Carretera'!C$46:C$1646&amp;'Coste Carretera'!D$46:D$1646,0))</f>
        <v>1502306394.336</v>
      </c>
      <c r="H358" s="11" cm="1">
        <f t="array" aca="1" ref="H358" ca="1">INDEX('Coste multimodal'!E$46:E$1646,MATCH(C358&amp;D358,'Coste multimodal'!C$46:C$1646&amp;'Coste multimodal'!D$46:D$1646,0))</f>
        <v>2370168838.5590916</v>
      </c>
      <c r="I358" s="12" cm="1">
        <f t="array" aca="1" ref="I358" ca="1">INDEX('Tiempos intermodal (horas)'!E$45:E$1645,MATCH(C358&amp;D358,'Tiempos intermodal (horas)'!C$45:C$1645&amp;'Tiempos intermodal (horas)'!D$45:D$1645,0))</f>
        <v>28.030527299760696</v>
      </c>
      <c r="J358" s="2" cm="1">
        <f t="array" aca="1" ref="J358" ca="1">INDEX('Tiempos carretera (horas)'!E$45:E$1645,MATCH(C358&amp;D358,'Tiempos carretera (horas)'!C$45:C$1645&amp;'Tiempos carretera (horas)'!D$45:D$1645,0))</f>
        <v>2.48</v>
      </c>
      <c r="K358" s="12">
        <f t="shared" ca="1" si="36"/>
        <v>39.154092691566532</v>
      </c>
      <c r="L358" s="12">
        <f t="shared" ca="1" si="37"/>
        <v>191.3159244804115</v>
      </c>
      <c r="M358" s="12">
        <f t="shared" ca="1" si="38"/>
        <v>0.24407594430266186</v>
      </c>
      <c r="N358" s="13">
        <f t="shared" ca="1" si="34"/>
        <v>-152.16183178884495</v>
      </c>
      <c r="O358" s="13">
        <f t="shared" ca="1" si="35"/>
        <v>-25.550527299760695</v>
      </c>
      <c r="P358" s="12">
        <f t="shared" ca="1" si="39"/>
        <v>1.1304614916988318</v>
      </c>
    </row>
    <row r="359" spans="1:16" x14ac:dyDescent="0.25">
      <c r="A359">
        <v>40</v>
      </c>
      <c r="B359">
        <v>12</v>
      </c>
      <c r="C359" s="2" t="s">
        <v>39</v>
      </c>
      <c r="D359" s="2" t="s">
        <v>11</v>
      </c>
      <c r="E359" s="11" cm="1">
        <f t="array" aca="1" ref="E359" ca="1">INDEX('OD flujo mercancia multimodal'!E$45:E$1645,MATCH(C359&amp;D359,'OD flujo mercancia multimodal'!C$45:C$1645&amp;'OD flujo mercancia multimodal'!D$45:D$1645,0))</f>
        <v>20918.923076923078</v>
      </c>
      <c r="F359" s="11" cm="1">
        <f t="array" aca="1" ref="F359" ca="1">INDEX('OD flujo mercancia carretera'!E$45:E$1646,MATCH(C359&amp;D359,'OD flujo mercancia carretera'!C$45:C$1646&amp;'OD flujo mercancia carretera'!D$45:D$1646,0))</f>
        <v>141664.58974358972</v>
      </c>
      <c r="G359" s="11" cm="1">
        <f t="array" aca="1" ref="G359" ca="1">INDEX('Coste Carretera'!E$46:E$1646,MATCH(C359&amp;D359,'Coste Carretera'!C$46:C$1646&amp;'Coste Carretera'!D$46:D$1646,0))</f>
        <v>504792093.52000004</v>
      </c>
      <c r="H359" s="11" cm="1">
        <f t="array" aca="1" ref="H359" ca="1">INDEX('Coste multimodal'!E$46:E$1646,MATCH(C359&amp;D359,'Coste multimodal'!C$46:C$1646&amp;'Coste multimodal'!D$46:D$1646,0))</f>
        <v>191088326.137936</v>
      </c>
      <c r="I359" s="12" cm="1">
        <f t="array" aca="1" ref="I359" ca="1">INDEX('Tiempos intermodal (horas)'!E$45:E$1645,MATCH(C359&amp;D359,'Tiempos intermodal (horas)'!C$45:C$1645&amp;'Tiempos intermodal (horas)'!D$45:D$1645,0))</f>
        <v>28.101034438491229</v>
      </c>
      <c r="J359" s="2" cm="1">
        <f t="array" aca="1" ref="J359" ca="1">INDEX('Tiempos carretera (horas)'!E$45:E$1645,MATCH(C359&amp;D359,'Tiempos carretera (horas)'!C$45:C$1645&amp;'Tiempos carretera (horas)'!D$45:D$1645,0))</f>
        <v>5.16</v>
      </c>
      <c r="K359" s="12">
        <f t="shared" ca="1" si="36"/>
        <v>3.5632905472967122</v>
      </c>
      <c r="L359" s="12">
        <f t="shared" ca="1" si="37"/>
        <v>9.1347114493067281</v>
      </c>
      <c r="M359" s="12">
        <f t="shared" ca="1" si="38"/>
        <v>0.12866570978827924</v>
      </c>
      <c r="N359" s="13">
        <f t="shared" ca="1" si="34"/>
        <v>-5.5714209020100158</v>
      </c>
      <c r="O359" s="13">
        <f t="shared" ca="1" si="35"/>
        <v>-22.941034438491229</v>
      </c>
      <c r="P359" s="12">
        <f t="shared" ca="1" si="39"/>
        <v>1.9128080598022312</v>
      </c>
    </row>
    <row r="360" spans="1:16" x14ac:dyDescent="0.25">
      <c r="A360">
        <v>12</v>
      </c>
      <c r="B360">
        <v>40</v>
      </c>
      <c r="C360" s="2" t="s">
        <v>11</v>
      </c>
      <c r="D360" s="2" t="s">
        <v>39</v>
      </c>
      <c r="E360" s="11" cm="1">
        <f t="array" aca="1" ref="E360" ca="1">INDEX('OD flujo mercancia multimodal'!E$45:E$1645,MATCH(C360&amp;D360,'OD flujo mercancia multimodal'!C$45:C$1645&amp;'OD flujo mercancia multimodal'!D$45:D$1645,0))</f>
        <v>15080.153846153846</v>
      </c>
      <c r="F360" s="11" cm="1">
        <f t="array" aca="1" ref="F360" ca="1">INDEX('OD flujo mercancia carretera'!E$45:E$1646,MATCH(C360&amp;D360,'OD flujo mercancia carretera'!C$45:C$1646&amp;'OD flujo mercancia carretera'!D$45:D$1646,0))</f>
        <v>114081.37362637366</v>
      </c>
      <c r="G360" s="11" cm="1">
        <f t="array" aca="1" ref="G360" ca="1">INDEX('Coste Carretera'!E$46:E$1646,MATCH(C360&amp;D360,'Coste Carretera'!C$46:C$1646&amp;'Coste Carretera'!D$46:D$1646,0))</f>
        <v>355417493.08000016</v>
      </c>
      <c r="H360" s="11" cm="1">
        <f t="array" aca="1" ref="H360" ca="1">INDEX('Coste multimodal'!E$46:E$1646,MATCH(C360&amp;D360,'Coste multimodal'!C$46:C$1646&amp;'Coste multimodal'!D$46:D$1646,0))</f>
        <v>122386154.51936096</v>
      </c>
      <c r="I360" s="12" cm="1">
        <f t="array" aca="1" ref="I360" ca="1">INDEX('Tiempos intermodal (horas)'!E$45:E$1645,MATCH(C360&amp;D360,'Tiempos intermodal (horas)'!C$45:C$1645&amp;'Tiempos intermodal (horas)'!D$45:D$1645,0))</f>
        <v>36.62016740158127</v>
      </c>
      <c r="J360" s="2" cm="1">
        <f t="array" aca="1" ref="J360" ca="1">INDEX('Tiempos carretera (horas)'!E$45:E$1645,MATCH(C360&amp;D360,'Tiempos carretera (horas)'!C$45:C$1645&amp;'Tiempos carretera (horas)'!D$45:D$1645,0))</f>
        <v>7.56</v>
      </c>
      <c r="K360" s="12">
        <f t="shared" ca="1" si="36"/>
        <v>3.1154734711033818</v>
      </c>
      <c r="L360" s="12">
        <f t="shared" ca="1" si="37"/>
        <v>8.1157099435411411</v>
      </c>
      <c r="M360" s="12">
        <f t="shared" ca="1" si="38"/>
        <v>0.11675422350019339</v>
      </c>
      <c r="N360" s="13">
        <f t="shared" ca="1" si="34"/>
        <v>-5.0002364724377593</v>
      </c>
      <c r="O360" s="13">
        <f t="shared" ca="1" si="35"/>
        <v>-29.060167401581271</v>
      </c>
      <c r="P360" s="12">
        <f t="shared" ca="1" si="39"/>
        <v>2.0235324329705304</v>
      </c>
    </row>
    <row r="361" spans="1:16" x14ac:dyDescent="0.25">
      <c r="A361">
        <v>4</v>
      </c>
      <c r="B361">
        <v>36</v>
      </c>
      <c r="C361" s="2" t="s">
        <v>3</v>
      </c>
      <c r="D361" s="2" t="s">
        <v>35</v>
      </c>
      <c r="E361" s="11" cm="1">
        <f t="array" aca="1" ref="E361" ca="1">INDEX('OD flujo mercancia multimodal'!E$45:E$1645,MATCH(C361&amp;D361,'OD flujo mercancia multimodal'!C$45:C$1645&amp;'OD flujo mercancia multimodal'!D$45:D$1645,0))</f>
        <v>33336.989010989011</v>
      </c>
      <c r="F361" s="11" cm="1">
        <f t="array" aca="1" ref="F361" ca="1">INDEX('OD flujo mercancia carretera'!E$45:E$1646,MATCH(C361&amp;D361,'OD flujo mercancia carretera'!C$45:C$1646&amp;'OD flujo mercancia carretera'!D$45:D$1646,0))</f>
        <v>122493.07692307695</v>
      </c>
      <c r="G361" s="11" cm="1">
        <f t="array" aca="1" ref="G361" ca="1">INDEX('Coste Carretera'!E$46:E$1646,MATCH(C361&amp;D361,'Coste Carretera'!C$46:C$1646&amp;'Coste Carretera'!D$46:D$1646,0))</f>
        <v>1054788617.9485718</v>
      </c>
      <c r="H361" s="11" cm="1">
        <f t="array" aca="1" ref="H361" ca="1">INDEX('Coste multimodal'!E$46:E$1646,MATCH(C361&amp;D361,'Coste multimodal'!C$46:C$1646&amp;'Coste multimodal'!D$46:D$1646,0))</f>
        <v>850236633.75889587</v>
      </c>
      <c r="I361" s="12" cm="1">
        <f t="array" aca="1" ref="I361" ca="1">INDEX('Tiempos intermodal (horas)'!E$45:E$1645,MATCH(C361&amp;D361,'Tiempos intermodal (horas)'!C$45:C$1645&amp;'Tiempos intermodal (horas)'!D$45:D$1645,0))</f>
        <v>31.921570660015487</v>
      </c>
      <c r="J361" s="2" cm="1">
        <f t="array" aca="1" ref="J361" ca="1">INDEX('Tiempos carretera (horas)'!E$45:E$1645,MATCH(C361&amp;D361,'Tiempos carretera (horas)'!C$45:C$1645&amp;'Tiempos carretera (horas)'!D$45:D$1645,0))</f>
        <v>4.2300000000000004</v>
      </c>
      <c r="K361" s="12">
        <f t="shared" ca="1" si="36"/>
        <v>8.6110059804519121</v>
      </c>
      <c r="L361" s="12">
        <f t="shared" ca="1" si="37"/>
        <v>25.504301947564276</v>
      </c>
      <c r="M361" s="12">
        <f t="shared" ca="1" si="38"/>
        <v>0.21393168777259192</v>
      </c>
      <c r="N361" s="13">
        <f t="shared" ca="1" si="34"/>
        <v>-16.893295967112365</v>
      </c>
      <c r="O361" s="13">
        <f t="shared" ca="1" si="35"/>
        <v>-27.691570660015486</v>
      </c>
      <c r="P361" s="12">
        <f t="shared" ca="1" si="39"/>
        <v>1.3013869518377952</v>
      </c>
    </row>
    <row r="362" spans="1:16" x14ac:dyDescent="0.25">
      <c r="A362">
        <v>9</v>
      </c>
      <c r="B362">
        <v>4</v>
      </c>
      <c r="C362" s="2" t="s">
        <v>148</v>
      </c>
      <c r="D362" s="2" t="s">
        <v>3</v>
      </c>
      <c r="E362" s="11" cm="1">
        <f t="array" aca="1" ref="E362" ca="1">INDEX('OD flujo mercancia multimodal'!E$45:E$1645,MATCH(C362&amp;D362,'OD flujo mercancia multimodal'!C$45:C$1645&amp;'OD flujo mercancia multimodal'!D$45:D$1645,0))</f>
        <v>32057.571428571398</v>
      </c>
      <c r="F362" s="11" cm="1">
        <f t="array" aca="1" ref="F362" ca="1">INDEX('OD flujo mercancia carretera'!E$45:E$1646,MATCH(C362&amp;D362,'OD flujo mercancia carretera'!C$45:C$1646&amp;'OD flujo mercancia carretera'!D$45:D$1646,0))</f>
        <v>606233.68162393174</v>
      </c>
      <c r="G362" s="11" cm="1">
        <f t="array" aca="1" ref="G362" ca="1">INDEX('Coste Carretera'!E$46:E$1646,MATCH(C362&amp;D362,'Coste Carretera'!C$46:C$1646&amp;'Coste Carretera'!D$46:D$1646,0))</f>
        <v>397344621.73714244</v>
      </c>
      <c r="H362" s="11" cm="1">
        <f t="array" aca="1" ref="H362" ca="1">INDEX('Coste multimodal'!E$46:E$1646,MATCH(C362&amp;D362,'Coste multimodal'!C$46:C$1646&amp;'Coste multimodal'!D$46:D$1646,0))</f>
        <v>840024704.78762317</v>
      </c>
      <c r="I362" s="12" cm="1">
        <f t="array" aca="1" ref="I362" ca="1">INDEX('Tiempos intermodal (horas)'!E$45:E$1645,MATCH(C362&amp;D362,'Tiempos intermodal (horas)'!C$45:C$1645&amp;'Tiempos intermodal (horas)'!D$45:D$1645,0))</f>
        <v>33.762681771126594</v>
      </c>
      <c r="J362" s="2" cm="1">
        <f t="array" aca="1" ref="J362" ca="1">INDEX('Tiempos carretera (horas)'!E$45:E$1645,MATCH(C362&amp;D362,'Tiempos carretera (horas)'!C$45:C$1645&amp;'Tiempos carretera (horas)'!D$45:D$1645,0))</f>
        <v>2.65</v>
      </c>
      <c r="K362" s="12">
        <f t="shared" ca="1" si="36"/>
        <v>0.65543145123967128</v>
      </c>
      <c r="L362" s="12">
        <f t="shared" ca="1" si="37"/>
        <v>26.203628888710792</v>
      </c>
      <c r="M362" s="12">
        <f t="shared" ca="1" si="38"/>
        <v>5.0224049405756907E-2</v>
      </c>
      <c r="N362" s="13">
        <f t="shared" ca="1" si="34"/>
        <v>-25.548197437471121</v>
      </c>
      <c r="O362" s="13">
        <f t="shared" ca="1" si="35"/>
        <v>-31.112681771126596</v>
      </c>
      <c r="P362" s="12">
        <f t="shared" ca="1" si="39"/>
        <v>2.9397321314926277</v>
      </c>
    </row>
    <row r="363" spans="1:16" x14ac:dyDescent="0.25">
      <c r="A363">
        <v>36</v>
      </c>
      <c r="B363">
        <v>8</v>
      </c>
      <c r="C363" s="2" t="s">
        <v>35</v>
      </c>
      <c r="D363" s="2" t="s">
        <v>7</v>
      </c>
      <c r="E363" s="11" cm="1">
        <f t="array" aca="1" ref="E363" ca="1">INDEX('OD flujo mercancia multimodal'!E$45:E$1645,MATCH(C363&amp;D363,'OD flujo mercancia multimodal'!C$45:C$1645&amp;'OD flujo mercancia multimodal'!D$45:D$1645,0))</f>
        <v>36710.087912087867</v>
      </c>
      <c r="F363" s="11" cm="1">
        <f t="array" aca="1" ref="F363" ca="1">INDEX('OD flujo mercancia carretera'!E$45:E$1646,MATCH(C363&amp;D363,'OD flujo mercancia carretera'!C$45:C$1646&amp;'OD flujo mercancia carretera'!D$45:D$1646,0))</f>
        <v>212417.76923076907</v>
      </c>
      <c r="G363" s="11" cm="1">
        <f t="array" aca="1" ref="G363" ca="1">INDEX('Coste Carretera'!E$46:E$1646,MATCH(C363&amp;D363,'Coste Carretera'!C$46:C$1646&amp;'Coste Carretera'!D$46:D$1646,0))</f>
        <v>854765231.81142759</v>
      </c>
      <c r="H363" s="11" cm="1">
        <f t="array" aca="1" ref="H363" ca="1">INDEX('Coste multimodal'!E$46:E$1646,MATCH(C363&amp;D363,'Coste multimodal'!C$46:C$1646&amp;'Coste multimodal'!D$46:D$1646,0))</f>
        <v>767300446.30232441</v>
      </c>
      <c r="I363" s="12" cm="1">
        <f t="array" aca="1" ref="I363" ca="1">INDEX('Tiempos intermodal (horas)'!E$45:E$1645,MATCH(C363&amp;D363,'Tiempos intermodal (horas)'!C$45:C$1645&amp;'Tiempos intermodal (horas)'!D$45:D$1645,0))</f>
        <v>32.074903993348819</v>
      </c>
      <c r="J363" s="2" cm="1">
        <f t="array" aca="1" ref="J363" ca="1">INDEX('Tiempos carretera (horas)'!E$45:E$1645,MATCH(C363&amp;D363,'Tiempos carretera (horas)'!C$45:C$1645&amp;'Tiempos carretera (horas)'!D$45:D$1645,0))</f>
        <v>4.08</v>
      </c>
      <c r="K363" s="12">
        <f t="shared" ca="1" si="36"/>
        <v>4.0239817737790906</v>
      </c>
      <c r="L363" s="12">
        <f t="shared" ca="1" si="37"/>
        <v>20.901623775454606</v>
      </c>
      <c r="M363" s="12">
        <f t="shared" ca="1" si="38"/>
        <v>0.14735440802606539</v>
      </c>
      <c r="N363" s="13">
        <f t="shared" ca="1" si="34"/>
        <v>-16.877642001675515</v>
      </c>
      <c r="O363" s="13">
        <f t="shared" ca="1" si="35"/>
        <v>-27.994903993348821</v>
      </c>
      <c r="P363" s="12">
        <f t="shared" ca="1" si="39"/>
        <v>1.7555033528690287</v>
      </c>
    </row>
    <row r="364" spans="1:16" x14ac:dyDescent="0.25">
      <c r="A364">
        <v>8</v>
      </c>
      <c r="B364">
        <v>36</v>
      </c>
      <c r="C364" s="2" t="s">
        <v>7</v>
      </c>
      <c r="D364" s="2" t="s">
        <v>35</v>
      </c>
      <c r="E364" s="11" cm="1">
        <f t="array" aca="1" ref="E364" ca="1">INDEX('OD flujo mercancia multimodal'!E$45:E$1645,MATCH(C364&amp;D364,'OD flujo mercancia multimodal'!C$45:C$1645&amp;'OD flujo mercancia multimodal'!D$45:D$1645,0))</f>
        <v>10679.489010989008</v>
      </c>
      <c r="F364" s="11" cm="1">
        <f t="array" aca="1" ref="F364" ca="1">INDEX('OD flujo mercancia carretera'!E$45:E$1646,MATCH(C364&amp;D364,'OD flujo mercancia carretera'!C$45:C$1646&amp;'OD flujo mercancia carretera'!D$45:D$1646,0))</f>
        <v>208440.84615384619</v>
      </c>
      <c r="G364" s="11" cm="1">
        <f t="array" aca="1" ref="G364" ca="1">INDEX('Coste Carretera'!E$46:E$1646,MATCH(C364&amp;D364,'Coste Carretera'!C$46:C$1646&amp;'Coste Carretera'!D$46:D$1646,0))</f>
        <v>579310293.76857185</v>
      </c>
      <c r="H364" s="11" cm="1">
        <f t="array" aca="1" ref="H364" ca="1">INDEX('Coste multimodal'!E$46:E$1646,MATCH(C364&amp;D364,'Coste multimodal'!C$46:C$1646&amp;'Coste multimodal'!D$46:D$1646,0))</f>
        <v>767300446.30232441</v>
      </c>
      <c r="I364" s="12" cm="1">
        <f t="array" aca="1" ref="I364" ca="1">INDEX('Tiempos intermodal (horas)'!E$45:E$1645,MATCH(C364&amp;D364,'Tiempos intermodal (horas)'!C$45:C$1645&amp;'Tiempos intermodal (horas)'!D$45:D$1645,0))</f>
        <v>32.074903993348819</v>
      </c>
      <c r="J364" s="2" cm="1">
        <f t="array" aca="1" ref="J364" ca="1">INDEX('Tiempos carretera (horas)'!E$45:E$1645,MATCH(C364&amp;D364,'Tiempos carretera (horas)'!C$45:C$1645&amp;'Tiempos carretera (horas)'!D$45:D$1645,0))</f>
        <v>4.08</v>
      </c>
      <c r="K364" s="12">
        <f t="shared" ca="1" si="36"/>
        <v>2.7792551434040624</v>
      </c>
      <c r="L364" s="12">
        <f t="shared" ca="1" si="37"/>
        <v>71.84804867655987</v>
      </c>
      <c r="M364" s="12">
        <f t="shared" ca="1" si="38"/>
        <v>4.8738009655540503E-2</v>
      </c>
      <c r="N364" s="13">
        <f t="shared" ca="1" si="34"/>
        <v>-69.068793533155812</v>
      </c>
      <c r="O364" s="13">
        <f t="shared" ca="1" si="35"/>
        <v>-27.994903993348821</v>
      </c>
      <c r="P364" s="12">
        <f t="shared" ca="1" si="39"/>
        <v>2.9713303025183859</v>
      </c>
    </row>
    <row r="365" spans="1:16" x14ac:dyDescent="0.25">
      <c r="A365">
        <v>32</v>
      </c>
      <c r="B365">
        <v>20</v>
      </c>
      <c r="C365" s="2" t="s">
        <v>31</v>
      </c>
      <c r="D365" s="2" t="s">
        <v>19</v>
      </c>
      <c r="E365" s="11" cm="1">
        <f t="array" aca="1" ref="E365" ca="1">INDEX('OD flujo mercancia multimodal'!E$45:E$1645,MATCH(C365&amp;D365,'OD flujo mercancia multimodal'!C$45:C$1645&amp;'OD flujo mercancia multimodal'!D$45:D$1645,0))</f>
        <v>58566.76923076922</v>
      </c>
      <c r="F365" s="11" cm="1">
        <f t="array" aca="1" ref="F365" ca="1">INDEX('OD flujo mercancia carretera'!E$45:E$1646,MATCH(C365&amp;D365,'OD flujo mercancia carretera'!C$45:C$1646&amp;'OD flujo mercancia carretera'!D$45:D$1646,0))</f>
        <v>109730.26666666669</v>
      </c>
      <c r="G365" s="11" cm="1">
        <f t="array" aca="1" ref="G365" ca="1">INDEX('Coste Carretera'!E$46:E$1646,MATCH(C365&amp;D365,'Coste Carretera'!C$46:C$1646&amp;'Coste Carretera'!D$46:D$1646,0))</f>
        <v>2131184658.1999996</v>
      </c>
      <c r="H365" s="11" cm="1">
        <f t="array" aca="1" ref="H365" ca="1">INDEX('Coste multimodal'!E$46:E$1646,MATCH(C365&amp;D365,'Coste multimodal'!C$46:C$1646&amp;'Coste multimodal'!D$46:D$1646,0))</f>
        <v>281879353.74776113</v>
      </c>
      <c r="I365" s="12" cm="1">
        <f t="array" aca="1" ref="I365" ca="1">INDEX('Tiempos intermodal (horas)'!E$45:E$1645,MATCH(C365&amp;D365,'Tiempos intermodal (horas)'!C$45:C$1645&amp;'Tiempos intermodal (horas)'!D$45:D$1645,0))</f>
        <v>34.990375280065223</v>
      </c>
      <c r="J365" s="2" cm="1">
        <f t="array" aca="1" ref="J365" ca="1">INDEX('Tiempos carretera (horas)'!E$45:E$1645,MATCH(C365&amp;D365,'Tiempos carretera (horas)'!C$45:C$1645&amp;'Tiempos carretera (horas)'!D$45:D$1645,0))</f>
        <v>6.96</v>
      </c>
      <c r="K365" s="12">
        <f t="shared" ca="1" si="36"/>
        <v>19.422031158221913</v>
      </c>
      <c r="L365" s="12">
        <f t="shared" ca="1" si="37"/>
        <v>4.8129572016697519</v>
      </c>
      <c r="M365" s="12">
        <f t="shared" ca="1" si="38"/>
        <v>0.34799643926266866</v>
      </c>
      <c r="N365" s="13">
        <f t="shared" ca="1" si="34"/>
        <v>14.609073956552161</v>
      </c>
      <c r="O365" s="13">
        <f t="shared" ca="1" si="35"/>
        <v>-28.030375280065222</v>
      </c>
      <c r="P365" s="12">
        <f t="shared" ca="1" si="39"/>
        <v>0.62785777544701482</v>
      </c>
    </row>
    <row r="366" spans="1:16" x14ac:dyDescent="0.25">
      <c r="A366">
        <v>20</v>
      </c>
      <c r="B366">
        <v>32</v>
      </c>
      <c r="C366" s="2" t="s">
        <v>19</v>
      </c>
      <c r="D366" s="2" t="s">
        <v>31</v>
      </c>
      <c r="E366" s="11" cm="1">
        <f t="array" aca="1" ref="E366" ca="1">INDEX('OD flujo mercancia multimodal'!E$45:E$1645,MATCH(C366&amp;D366,'OD flujo mercancia multimodal'!C$45:C$1645&amp;'OD flujo mercancia multimodal'!D$45:D$1645,0))</f>
        <v>32460.153846153844</v>
      </c>
      <c r="F366" s="11" cm="1">
        <f t="array" aca="1" ref="F366" ca="1">INDEX('OD flujo mercancia carretera'!E$45:E$1646,MATCH(C366&amp;D366,'OD flujo mercancia carretera'!C$45:C$1646&amp;'OD flujo mercancia carretera'!D$45:D$1646,0))</f>
        <v>111388.83333333334</v>
      </c>
      <c r="G366" s="11" cm="1">
        <f t="array" aca="1" ref="G366" ca="1">INDEX('Coste Carretera'!E$46:E$1646,MATCH(C366&amp;D366,'Coste Carretera'!C$46:C$1646&amp;'Coste Carretera'!D$46:D$1646,0))</f>
        <v>1223508562.1600001</v>
      </c>
      <c r="H366" s="11" cm="1">
        <f t="array" aca="1" ref="H366" ca="1">INDEX('Coste multimodal'!E$46:E$1646,MATCH(C366&amp;D366,'Coste multimodal'!C$46:C$1646&amp;'Coste multimodal'!D$46:D$1646,0))</f>
        <v>281879353.74776113</v>
      </c>
      <c r="I366" s="12" cm="1">
        <f t="array" aca="1" ref="I366" ca="1">INDEX('Tiempos intermodal (horas)'!E$45:E$1645,MATCH(C366&amp;D366,'Tiempos intermodal (horas)'!C$45:C$1645&amp;'Tiempos intermodal (horas)'!D$45:D$1645,0))</f>
        <v>34.990375280065223</v>
      </c>
      <c r="J366" s="2" cm="1">
        <f t="array" aca="1" ref="J366" ca="1">INDEX('Tiempos carretera (horas)'!E$45:E$1645,MATCH(C366&amp;D366,'Tiempos carretera (horas)'!C$45:C$1645&amp;'Tiempos carretera (horas)'!D$45:D$1645,0))</f>
        <v>6.96</v>
      </c>
      <c r="K366" s="12">
        <f t="shared" ca="1" si="36"/>
        <v>10.984122245886407</v>
      </c>
      <c r="L366" s="12">
        <f t="shared" ca="1" si="37"/>
        <v>8.6838576022695158</v>
      </c>
      <c r="M366" s="12">
        <f t="shared" ca="1" si="38"/>
        <v>0.22565437882195008</v>
      </c>
      <c r="N366" s="13">
        <f t="shared" ca="1" si="34"/>
        <v>2.3002646436168916</v>
      </c>
      <c r="O366" s="13">
        <f t="shared" ca="1" si="35"/>
        <v>-28.030375280065222</v>
      </c>
      <c r="P366" s="12">
        <f t="shared" ca="1" si="39"/>
        <v>1.2330137814549336</v>
      </c>
    </row>
    <row r="367" spans="1:16" x14ac:dyDescent="0.25">
      <c r="A367">
        <v>36</v>
      </c>
      <c r="B367">
        <v>5</v>
      </c>
      <c r="C367" s="2" t="s">
        <v>35</v>
      </c>
      <c r="D367" s="2" t="s">
        <v>4</v>
      </c>
      <c r="E367" s="11" cm="1">
        <f t="array" aca="1" ref="E367" ca="1">INDEX('OD flujo mercancia multimodal'!E$45:E$1645,MATCH(C367&amp;D367,'OD flujo mercancia multimodal'!C$45:C$1645&amp;'OD flujo mercancia multimodal'!D$45:D$1645,0))</f>
        <v>66984.873626373665</v>
      </c>
      <c r="F367" s="11" cm="1">
        <f t="array" aca="1" ref="F367" ca="1">INDEX('OD flujo mercancia carretera'!E$45:E$1646,MATCH(C367&amp;D367,'OD flujo mercancia carretera'!C$45:C$1646&amp;'OD flujo mercancia carretera'!D$45:D$1646,0))</f>
        <v>155484.38461538457</v>
      </c>
      <c r="G367" s="11" cm="1">
        <f t="array" aca="1" ref="G367" ca="1">INDEX('Coste Carretera'!E$46:E$1646,MATCH(C367&amp;D367,'Coste Carretera'!C$46:C$1646&amp;'Coste Carretera'!D$46:D$1646,0))</f>
        <v>1924274330.5228581</v>
      </c>
      <c r="H367" s="11" cm="1">
        <f t="array" aca="1" ref="H367" ca="1">INDEX('Coste multimodal'!E$46:E$1646,MATCH(C367&amp;D367,'Coste multimodal'!C$46:C$1646&amp;'Coste multimodal'!D$46:D$1646,0))</f>
        <v>784741722.55394709</v>
      </c>
      <c r="I367" s="12" cm="1">
        <f t="array" aca="1" ref="I367" ca="1">INDEX('Tiempos intermodal (horas)'!E$45:E$1645,MATCH(C367&amp;D367,'Tiempos intermodal (horas)'!C$45:C$1645&amp;'Tiempos intermodal (horas)'!D$45:D$1645,0))</f>
        <v>31.900547182925113</v>
      </c>
      <c r="J367" s="2" cm="1">
        <f t="array" aca="1" ref="J367" ca="1">INDEX('Tiempos carretera (horas)'!E$45:E$1645,MATCH(C367&amp;D367,'Tiempos carretera (horas)'!C$45:C$1645&amp;'Tiempos carretera (horas)'!D$45:D$1645,0))</f>
        <v>5.23</v>
      </c>
      <c r="K367" s="12">
        <f t="shared" ca="1" si="36"/>
        <v>12.375997340715967</v>
      </c>
      <c r="L367" s="12">
        <f t="shared" ca="1" si="37"/>
        <v>11.715207927853344</v>
      </c>
      <c r="M367" s="12">
        <f t="shared" ca="1" si="38"/>
        <v>0.30109721296225539</v>
      </c>
      <c r="N367" s="13">
        <f t="shared" ca="1" si="34"/>
        <v>0.66078941286262349</v>
      </c>
      <c r="O367" s="13">
        <f t="shared" ca="1" si="35"/>
        <v>-26.670547182925112</v>
      </c>
      <c r="P367" s="12">
        <f t="shared" ca="1" si="39"/>
        <v>0.84207847896570287</v>
      </c>
    </row>
    <row r="368" spans="1:16" x14ac:dyDescent="0.25">
      <c r="A368">
        <v>10</v>
      </c>
      <c r="B368">
        <v>20</v>
      </c>
      <c r="C368" s="2" t="s">
        <v>9</v>
      </c>
      <c r="D368" s="2" t="s">
        <v>19</v>
      </c>
      <c r="E368" s="11" cm="1">
        <f t="array" aca="1" ref="E368" ca="1">INDEX('OD flujo mercancia multimodal'!E$45:E$1645,MATCH(C368&amp;D368,'OD flujo mercancia multimodal'!C$45:C$1645&amp;'OD flujo mercancia multimodal'!D$45:D$1645,0))</f>
        <v>72511.263736263732</v>
      </c>
      <c r="F368" s="11" cm="1">
        <f t="array" aca="1" ref="F368" ca="1">INDEX('OD flujo mercancia carretera'!E$45:E$1646,MATCH(C368&amp;D368,'OD flujo mercancia carretera'!C$45:C$1646&amp;'OD flujo mercancia carretera'!D$45:D$1646,0))</f>
        <v>153789.58974358978</v>
      </c>
      <c r="G368" s="11" cm="1">
        <f t="array" aca="1" ref="G368" ca="1">INDEX('Coste Carretera'!E$46:E$1646,MATCH(C368&amp;D368,'Coste Carretera'!C$46:C$1646&amp;'Coste Carretera'!D$46:D$1646,0))</f>
        <v>3895882277.5714278</v>
      </c>
      <c r="H368" s="11" cm="1">
        <f t="array" aca="1" ref="H368" ca="1">INDEX('Coste multimodal'!E$46:E$1646,MATCH(C368&amp;D368,'Coste multimodal'!C$46:C$1646&amp;'Coste multimodal'!D$46:D$1646,0))</f>
        <v>778767386.7978965</v>
      </c>
      <c r="I368" s="12" cm="1">
        <f t="array" aca="1" ref="I368" ca="1">INDEX('Tiempos intermodal (horas)'!E$45:E$1645,MATCH(C368&amp;D368,'Tiempos intermodal (horas)'!C$45:C$1645&amp;'Tiempos intermodal (horas)'!D$45:D$1645,0))</f>
        <v>40.852094968503657</v>
      </c>
      <c r="J368" s="2" cm="1">
        <f t="array" aca="1" ref="J368" ca="1">INDEX('Tiempos carretera (horas)'!E$45:E$1645,MATCH(C368&amp;D368,'Tiempos carretera (horas)'!C$45:C$1645&amp;'Tiempos carretera (horas)'!D$45:D$1645,0))</f>
        <v>12.66</v>
      </c>
      <c r="K368" s="12">
        <f t="shared" ca="1" si="36"/>
        <v>25.332548737966931</v>
      </c>
      <c r="L368" s="12">
        <f t="shared" ca="1" si="37"/>
        <v>10.739950549343767</v>
      </c>
      <c r="M368" s="12">
        <f t="shared" ca="1" si="38"/>
        <v>0.32041975370949743</v>
      </c>
      <c r="N368" s="13">
        <f t="shared" ca="1" si="34"/>
        <v>14.592598188623164</v>
      </c>
      <c r="O368" s="13">
        <f t="shared" ca="1" si="35"/>
        <v>-28.192094968503657</v>
      </c>
      <c r="P368" s="12">
        <f t="shared" ca="1" si="39"/>
        <v>0.7518434561351971</v>
      </c>
    </row>
    <row r="369" spans="1:16" x14ac:dyDescent="0.25">
      <c r="A369">
        <v>20</v>
      </c>
      <c r="B369">
        <v>10</v>
      </c>
      <c r="C369" s="2" t="s">
        <v>19</v>
      </c>
      <c r="D369" s="2" t="s">
        <v>9</v>
      </c>
      <c r="E369" s="11" cm="1">
        <f t="array" aca="1" ref="E369" ca="1">INDEX('OD flujo mercancia multimodal'!E$45:E$1645,MATCH(C369&amp;D369,'OD flujo mercancia multimodal'!C$45:C$1645&amp;'OD flujo mercancia multimodal'!D$45:D$1645,0))</f>
        <v>53050.983516483531</v>
      </c>
      <c r="F369" s="11" cm="1">
        <f t="array" aca="1" ref="F369" ca="1">INDEX('OD flujo mercancia carretera'!E$45:E$1646,MATCH(C369&amp;D369,'OD flujo mercancia carretera'!C$45:C$1646&amp;'OD flujo mercancia carretera'!D$45:D$1646,0))</f>
        <v>156100.25641025644</v>
      </c>
      <c r="G369" s="11" cm="1">
        <f t="array" aca="1" ref="G369" ca="1">INDEX('Coste Carretera'!E$46:E$1646,MATCH(C369&amp;D369,'Coste Carretera'!C$46:C$1646&amp;'Coste Carretera'!D$46:D$1646,0))</f>
        <v>2850321120.3342862</v>
      </c>
      <c r="H369" s="11" cm="1">
        <f t="array" aca="1" ref="H369" ca="1">INDEX('Coste multimodal'!E$46:E$1646,MATCH(C369&amp;D369,'Coste multimodal'!C$46:C$1646&amp;'Coste multimodal'!D$46:D$1646,0))</f>
        <v>778767386.7978965</v>
      </c>
      <c r="I369" s="12" cm="1">
        <f t="array" aca="1" ref="I369" ca="1">INDEX('Tiempos intermodal (horas)'!E$45:E$1645,MATCH(C369&amp;D369,'Tiempos intermodal (horas)'!C$45:C$1645&amp;'Tiempos intermodal (horas)'!D$45:D$1645,0))</f>
        <v>40.852094968503657</v>
      </c>
      <c r="J369" s="2" cm="1">
        <f t="array" aca="1" ref="J369" ca="1">INDEX('Tiempos carretera (horas)'!E$45:E$1645,MATCH(C369&amp;D369,'Tiempos carretera (horas)'!C$45:C$1645&amp;'Tiempos carretera (horas)'!D$45:D$1645,0))</f>
        <v>12.66</v>
      </c>
      <c r="K369" s="12">
        <f t="shared" ca="1" si="36"/>
        <v>18.259554377945328</v>
      </c>
      <c r="L369" s="12">
        <f t="shared" ca="1" si="37"/>
        <v>14.679603188806572</v>
      </c>
      <c r="M369" s="12">
        <f t="shared" ca="1" si="38"/>
        <v>0.25364890753249114</v>
      </c>
      <c r="N369" s="13">
        <f t="shared" ca="1" si="34"/>
        <v>3.5799511891387557</v>
      </c>
      <c r="O369" s="13">
        <f t="shared" ca="1" si="35"/>
        <v>-28.192094968503657</v>
      </c>
      <c r="P369" s="12">
        <f t="shared" ca="1" si="39"/>
        <v>1.0792450658096775</v>
      </c>
    </row>
    <row r="370" spans="1:16" x14ac:dyDescent="0.25">
      <c r="A370">
        <v>12</v>
      </c>
      <c r="B370">
        <v>22</v>
      </c>
      <c r="C370" s="2" t="s">
        <v>11</v>
      </c>
      <c r="D370" s="2" t="s">
        <v>21</v>
      </c>
      <c r="E370" s="11" cm="1">
        <f t="array" aca="1" ref="E370" ca="1">INDEX('OD flujo mercancia multimodal'!E$45:E$1645,MATCH(C370&amp;D370,'OD flujo mercancia multimodal'!C$45:C$1645&amp;'OD flujo mercancia multimodal'!D$45:D$1645,0))</f>
        <v>27100.538461538417</v>
      </c>
      <c r="F370" s="11" cm="1">
        <f t="array" aca="1" ref="F370" ca="1">INDEX('OD flujo mercancia carretera'!E$45:E$1646,MATCH(C370&amp;D370,'OD flujo mercancia carretera'!C$45:C$1646&amp;'OD flujo mercancia carretera'!D$45:D$1646,0))</f>
        <v>167881.56410256377</v>
      </c>
      <c r="G370" s="11" cm="1">
        <f t="array" aca="1" ref="G370" ca="1">INDEX('Coste Carretera'!E$46:E$1646,MATCH(C370&amp;D370,'Coste Carretera'!C$46:C$1646&amp;'Coste Carretera'!D$46:D$1646,0))</f>
        <v>1416203678.5999978</v>
      </c>
      <c r="H370" s="11" cm="1">
        <f t="array" aca="1" ref="H370" ca="1">INDEX('Coste multimodal'!E$46:E$1646,MATCH(C370&amp;D370,'Coste multimodal'!C$46:C$1646&amp;'Coste multimodal'!D$46:D$1646,0))</f>
        <v>1166278737.3432894</v>
      </c>
      <c r="I370" s="12" cm="1">
        <f t="array" aca="1" ref="I370" ca="1">INDEX('Tiempos intermodal (horas)'!E$45:E$1645,MATCH(C370&amp;D370,'Tiempos intermodal (horas)'!C$45:C$1645&amp;'Tiempos intermodal (horas)'!D$45:D$1645,0))</f>
        <v>61.686316997994091</v>
      </c>
      <c r="J370" s="2" cm="1">
        <f t="array" aca="1" ref="J370" ca="1">INDEX('Tiempos carretera (horas)'!E$45:E$1645,MATCH(C370&amp;D370,'Tiempos carretera (horas)'!C$45:C$1645&amp;'Tiempos carretera (horas)'!D$45:D$1645,0))</f>
        <v>10.45</v>
      </c>
      <c r="K370" s="12">
        <f t="shared" ca="1" si="36"/>
        <v>8.4357307853934298</v>
      </c>
      <c r="L370" s="12">
        <f t="shared" ca="1" si="37"/>
        <v>43.035260683048548</v>
      </c>
      <c r="M370" s="12">
        <f t="shared" ca="1" si="38"/>
        <v>0.13898987704591431</v>
      </c>
      <c r="N370" s="13">
        <f t="shared" ca="1" si="34"/>
        <v>-34.599529897655117</v>
      </c>
      <c r="O370" s="13">
        <f t="shared" ca="1" si="35"/>
        <v>-51.236316997994095</v>
      </c>
      <c r="P370" s="12">
        <f t="shared" ca="1" si="39"/>
        <v>1.823705158093424</v>
      </c>
    </row>
    <row r="371" spans="1:16" x14ac:dyDescent="0.25">
      <c r="A371">
        <v>22</v>
      </c>
      <c r="B371">
        <v>12</v>
      </c>
      <c r="C371" s="2" t="s">
        <v>21</v>
      </c>
      <c r="D371" s="2" t="s">
        <v>11</v>
      </c>
      <c r="E371" s="11" cm="1">
        <f t="array" aca="1" ref="E371" ca="1">INDEX('OD flujo mercancia multimodal'!E$45:E$1645,MATCH(C371&amp;D371,'OD flujo mercancia multimodal'!C$45:C$1645&amp;'OD flujo mercancia multimodal'!D$45:D$1645,0))</f>
        <v>26880.538461538461</v>
      </c>
      <c r="F371" s="11" cm="1">
        <f t="array" aca="1" ref="F371" ca="1">INDEX('OD flujo mercancia carretera'!E$45:E$1646,MATCH(C371&amp;D371,'OD flujo mercancia carretera'!C$45:C$1646&amp;'OD flujo mercancia carretera'!D$45:D$1646,0))</f>
        <v>169150.74358974356</v>
      </c>
      <c r="G371" s="11" cm="1">
        <f t="array" aca="1" ref="G371" ca="1">INDEX('Coste Carretera'!E$46:E$1646,MATCH(C371&amp;D371,'Coste Carretera'!C$46:C$1646&amp;'Coste Carretera'!D$46:D$1646,0))</f>
        <v>1404707050.5999999</v>
      </c>
      <c r="H371" s="11" cm="1">
        <f t="array" aca="1" ref="H371" ca="1">INDEX('Coste multimodal'!E$46:E$1646,MATCH(C371&amp;D371,'Coste multimodal'!C$46:C$1646&amp;'Coste multimodal'!D$46:D$1646,0))</f>
        <v>1166278737.3432894</v>
      </c>
      <c r="I371" s="12" cm="1">
        <f t="array" aca="1" ref="I371" ca="1">INDEX('Tiempos intermodal (horas)'!E$45:E$1645,MATCH(C371&amp;D371,'Tiempos intermodal (horas)'!C$45:C$1645&amp;'Tiempos intermodal (horas)'!D$45:D$1645,0))</f>
        <v>61.686316997994091</v>
      </c>
      <c r="J371" s="2" cm="1">
        <f t="array" aca="1" ref="J371" ca="1">INDEX('Tiempos carretera (horas)'!E$45:E$1645,MATCH(C371&amp;D371,'Tiempos carretera (horas)'!C$45:C$1645&amp;'Tiempos carretera (horas)'!D$45:D$1645,0))</f>
        <v>10.45</v>
      </c>
      <c r="K371" s="12">
        <f t="shared" ca="1" si="36"/>
        <v>8.3044686697148773</v>
      </c>
      <c r="L371" s="12">
        <f t="shared" ca="1" si="37"/>
        <v>43.387476743147779</v>
      </c>
      <c r="M371" s="12">
        <f t="shared" ca="1" si="38"/>
        <v>0.13712371913430876</v>
      </c>
      <c r="N371" s="13">
        <f t="shared" ca="1" si="34"/>
        <v>-35.0830080734329</v>
      </c>
      <c r="O371" s="13">
        <f t="shared" ca="1" si="35"/>
        <v>-51.236316997994095</v>
      </c>
      <c r="P371" s="12">
        <f t="shared" ca="1" si="39"/>
        <v>1.8393877437489656</v>
      </c>
    </row>
    <row r="372" spans="1:16" x14ac:dyDescent="0.25">
      <c r="A372">
        <v>12</v>
      </c>
      <c r="B372">
        <v>29</v>
      </c>
      <c r="C372" s="2" t="s">
        <v>11</v>
      </c>
      <c r="D372" s="2" t="s">
        <v>147</v>
      </c>
      <c r="E372" s="11" cm="1">
        <f t="array" aca="1" ref="E372" ca="1">INDEX('OD flujo mercancia multimodal'!E$45:E$1645,MATCH(C372&amp;D372,'OD flujo mercancia multimodal'!C$45:C$1645&amp;'OD flujo mercancia multimodal'!D$45:D$1645,0))</f>
        <v>41904.68461538462</v>
      </c>
      <c r="F372" s="11" cm="1">
        <f t="array" aca="1" ref="F372" ca="1">INDEX('OD flujo mercancia carretera'!E$45:E$1646,MATCH(C372&amp;D372,'OD flujo mercancia carretera'!C$45:C$1646&amp;'OD flujo mercancia carretera'!D$45:D$1646,0))</f>
        <v>402822.63076923077</v>
      </c>
      <c r="G372" s="11" cm="1">
        <f t="array" aca="1" ref="G372" ca="1">INDEX('Coste Carretera'!E$46:E$1646,MATCH(C372&amp;D372,'Coste Carretera'!C$46:C$1646&amp;'Coste Carretera'!D$46:D$1646,0))</f>
        <v>2350490750.4480004</v>
      </c>
      <c r="H372" s="11" cm="1">
        <f t="array" aca="1" ref="H372" ca="1">INDEX('Coste multimodal'!E$46:E$1646,MATCH(C372&amp;D372,'Coste multimodal'!C$46:C$1646&amp;'Coste multimodal'!D$46:D$1646,0))</f>
        <v>1346233467.3432894</v>
      </c>
      <c r="I372" s="12" cm="1">
        <f t="array" aca="1" ref="I372" ca="1">INDEX('Tiempos intermodal (horas)'!E$45:E$1645,MATCH(C372&amp;D372,'Tiempos intermodal (horas)'!C$45:C$1645&amp;'Tiempos intermodal (horas)'!D$45:D$1645,0))</f>
        <v>62.130761442438533</v>
      </c>
      <c r="J372" s="2" cm="1">
        <f t="array" aca="1" ref="J372" ca="1">INDEX('Tiempos carretera (horas)'!E$45:E$1645,MATCH(C372&amp;D372,'Tiempos carretera (horas)'!C$45:C$1645&amp;'Tiempos carretera (horas)'!D$45:D$1645,0))</f>
        <v>10.73</v>
      </c>
      <c r="K372" s="12">
        <f t="shared" ca="1" si="36"/>
        <v>5.8350513871564251</v>
      </c>
      <c r="L372" s="12">
        <f t="shared" ca="1" si="37"/>
        <v>32.126085178768811</v>
      </c>
      <c r="M372" s="12">
        <f t="shared" ca="1" si="38"/>
        <v>9.4225569614818955E-2</v>
      </c>
      <c r="N372" s="13">
        <f t="shared" ca="1" si="34"/>
        <v>-26.291033791612385</v>
      </c>
      <c r="O372" s="13">
        <f t="shared" ca="1" si="35"/>
        <v>-51.400761442438537</v>
      </c>
      <c r="P372" s="12">
        <f t="shared" ca="1" si="39"/>
        <v>2.2630987175622455</v>
      </c>
    </row>
    <row r="373" spans="1:16" x14ac:dyDescent="0.25">
      <c r="A373">
        <v>29</v>
      </c>
      <c r="B373">
        <v>12</v>
      </c>
      <c r="C373" s="2" t="s">
        <v>147</v>
      </c>
      <c r="D373" s="2" t="s">
        <v>11</v>
      </c>
      <c r="E373" s="11" cm="1">
        <f t="array" aca="1" ref="E373" ca="1">INDEX('OD flujo mercancia multimodal'!E$45:E$1645,MATCH(C373&amp;D373,'OD flujo mercancia multimodal'!C$45:C$1645&amp;'OD flujo mercancia multimodal'!D$45:D$1645,0))</f>
        <v>41493.800000000003</v>
      </c>
      <c r="F373" s="11" cm="1">
        <f t="array" aca="1" ref="F373" ca="1">INDEX('OD flujo mercancia carretera'!E$45:E$1646,MATCH(C373&amp;D373,'OD flujo mercancia carretera'!C$45:C$1646&amp;'OD flujo mercancia carretera'!D$45:D$1646,0))</f>
        <v>404695.17692307686</v>
      </c>
      <c r="G373" s="11" cm="1">
        <f t="array" aca="1" ref="G373" ca="1">INDEX('Coste Carretera'!E$46:E$1646,MATCH(C373&amp;D373,'Coste Carretera'!C$46:C$1646&amp;'Coste Carretera'!D$46:D$1646,0))</f>
        <v>2327443673.5679998</v>
      </c>
      <c r="H373" s="11" cm="1">
        <f t="array" aca="1" ref="H373" ca="1">INDEX('Coste multimodal'!E$46:E$1646,MATCH(C373&amp;D373,'Coste multimodal'!C$46:C$1646&amp;'Coste multimodal'!D$46:D$1646,0))</f>
        <v>1346233467.3432894</v>
      </c>
      <c r="I373" s="12" cm="1">
        <f t="array" aca="1" ref="I373" ca="1">INDEX('Tiempos intermodal (horas)'!E$45:E$1645,MATCH(C373&amp;D373,'Tiempos intermodal (horas)'!C$45:C$1645&amp;'Tiempos intermodal (horas)'!D$45:D$1645,0))</f>
        <v>62.130761442438533</v>
      </c>
      <c r="J373" s="2" cm="1">
        <f t="array" aca="1" ref="J373" ca="1">INDEX('Tiempos carretera (horas)'!E$45:E$1645,MATCH(C373&amp;D373,'Tiempos carretera (horas)'!C$45:C$1645&amp;'Tiempos carretera (horas)'!D$45:D$1645,0))</f>
        <v>10.73</v>
      </c>
      <c r="K373" s="12">
        <f t="shared" ca="1" si="36"/>
        <v>5.7511030679033581</v>
      </c>
      <c r="L373" s="12">
        <f t="shared" ca="1" si="37"/>
        <v>32.444207745332783</v>
      </c>
      <c r="M373" s="12">
        <f t="shared" ca="1" si="38"/>
        <v>9.2996022192528421E-2</v>
      </c>
      <c r="N373" s="13">
        <f t="shared" ca="1" si="34"/>
        <v>-26.693104677429424</v>
      </c>
      <c r="O373" s="13">
        <f t="shared" ca="1" si="35"/>
        <v>-51.400761442438537</v>
      </c>
      <c r="P373" s="12">
        <f t="shared" ca="1" si="39"/>
        <v>2.2775901156656393</v>
      </c>
    </row>
    <row r="374" spans="1:16" x14ac:dyDescent="0.25">
      <c r="A374">
        <v>27</v>
      </c>
      <c r="B374">
        <v>6</v>
      </c>
      <c r="C374" s="2" t="s">
        <v>145</v>
      </c>
      <c r="D374" s="2" t="s">
        <v>5</v>
      </c>
      <c r="E374" s="11" cm="1">
        <f t="array" aca="1" ref="E374" ca="1">INDEX('OD flujo mercancia multimodal'!E$45:E$1645,MATCH(C374&amp;D374,'OD flujo mercancia multimodal'!C$45:C$1645&amp;'OD flujo mercancia multimodal'!D$45:D$1645,0))</f>
        <v>46469.785714285696</v>
      </c>
      <c r="F374" s="11" cm="1">
        <f t="array" aca="1" ref="F374" ca="1">INDEX('OD flujo mercancia carretera'!E$45:E$1646,MATCH(C374&amp;D374,'OD flujo mercancia carretera'!C$45:C$1646&amp;'OD flujo mercancia carretera'!D$45:D$1646,0))</f>
        <v>548416.972893773</v>
      </c>
      <c r="G374" s="11" cm="1">
        <f t="array" aca="1" ref="G374" ca="1">INDEX('Coste Carretera'!E$46:E$1646,MATCH(C374&amp;D374,'Coste Carretera'!C$46:C$1646&amp;'Coste Carretera'!D$46:D$1646,0))</f>
        <v>2767632627.2399988</v>
      </c>
      <c r="H374" s="11" cm="1">
        <f t="array" aca="1" ref="H374" ca="1">INDEX('Coste multimodal'!E$46:E$1646,MATCH(C374&amp;D374,'Coste multimodal'!C$46:C$1646&amp;'Coste multimodal'!D$46:D$1646,0))</f>
        <v>1261046066.6607535</v>
      </c>
      <c r="I374" s="12" cm="1">
        <f t="array" aca="1" ref="I374" ca="1">INDEX('Tiempos intermodal (horas)'!E$45:E$1645,MATCH(C374&amp;D374,'Tiempos intermodal (horas)'!C$45:C$1645&amp;'Tiempos intermodal (horas)'!D$45:D$1645,0))</f>
        <v>43.855428301836994</v>
      </c>
      <c r="J374" s="2" cm="1">
        <f t="array" aca="1" ref="J374" ca="1">INDEX('Tiempos carretera (horas)'!E$45:E$1645,MATCH(C374&amp;D374,'Tiempos carretera (horas)'!C$45:C$1645&amp;'Tiempos carretera (horas)'!D$45:D$1645,0))</f>
        <v>11.55</v>
      </c>
      <c r="K374" s="12">
        <f t="shared" ca="1" si="36"/>
        <v>5.0465845588919844</v>
      </c>
      <c r="L374" s="12">
        <f t="shared" ca="1" si="37"/>
        <v>27.136902984966508</v>
      </c>
      <c r="M374" s="12">
        <f t="shared" ca="1" si="38"/>
        <v>7.811534723519091E-2</v>
      </c>
      <c r="N374" s="13">
        <f t="shared" ca="1" si="34"/>
        <v>-22.090318426074525</v>
      </c>
      <c r="O374" s="13">
        <f t="shared" ca="1" si="35"/>
        <v>-32.305428301836997</v>
      </c>
      <c r="P374" s="12">
        <f t="shared" ca="1" si="39"/>
        <v>2.4682335652356779</v>
      </c>
    </row>
    <row r="375" spans="1:16" x14ac:dyDescent="0.25">
      <c r="A375">
        <v>5</v>
      </c>
      <c r="B375">
        <v>19</v>
      </c>
      <c r="C375" s="2" t="s">
        <v>4</v>
      </c>
      <c r="D375" s="2" t="s">
        <v>18</v>
      </c>
      <c r="E375" s="11" cm="1">
        <f t="array" aca="1" ref="E375" ca="1">INDEX('OD flujo mercancia multimodal'!E$45:E$1645,MATCH(C375&amp;D375,'OD flujo mercancia multimodal'!C$45:C$1645&amp;'OD flujo mercancia multimodal'!D$45:D$1645,0))</f>
        <v>47830.994505494506</v>
      </c>
      <c r="F375" s="11" cm="1">
        <f t="array" aca="1" ref="F375" ca="1">INDEX('OD flujo mercancia carretera'!E$45:E$1646,MATCH(C375&amp;D375,'OD flujo mercancia carretera'!C$45:C$1646&amp;'OD flujo mercancia carretera'!D$45:D$1646,0))</f>
        <v>156571.4615384615</v>
      </c>
      <c r="G375" s="11" cm="1">
        <f t="array" aca="1" ref="G375" ca="1">INDEX('Coste Carretera'!E$46:E$1646,MATCH(C375&amp;D375,'Coste Carretera'!C$46:C$1646&amp;'Coste Carretera'!D$46:D$1646,0))</f>
        <v>2803485555.8742857</v>
      </c>
      <c r="H375" s="11" cm="1">
        <f t="array" aca="1" ref="H375" ca="1">INDEX('Coste multimodal'!E$46:E$1646,MATCH(C375&amp;D375,'Coste multimodal'!C$46:C$1646&amp;'Coste multimodal'!D$46:D$1646,0))</f>
        <v>593072965.67800093</v>
      </c>
      <c r="I375" s="12" cm="1">
        <f t="array" aca="1" ref="I375" ca="1">INDEX('Tiempos intermodal (horas)'!E$45:E$1645,MATCH(C375&amp;D375,'Tiempos intermodal (horas)'!C$45:C$1645&amp;'Tiempos intermodal (horas)'!D$45:D$1645,0))</f>
        <v>40.38431391792183</v>
      </c>
      <c r="J375" s="2" cm="1">
        <f t="array" aca="1" ref="J375" ca="1">INDEX('Tiempos carretera (horas)'!E$45:E$1645,MATCH(C375&amp;D375,'Tiempos carretera (horas)'!C$45:C$1645&amp;'Tiempos carretera (horas)'!D$45:D$1645,0))</f>
        <v>11.86</v>
      </c>
      <c r="K375" s="12">
        <f t="shared" ca="1" si="36"/>
        <v>17.905469670701223</v>
      </c>
      <c r="L375" s="12">
        <f t="shared" ca="1" si="37"/>
        <v>12.399344228769332</v>
      </c>
      <c r="M375" s="12">
        <f t="shared" ca="1" si="38"/>
        <v>0.23400401067200788</v>
      </c>
      <c r="N375" s="13">
        <f t="shared" ca="1" si="34"/>
        <v>5.506125441931891</v>
      </c>
      <c r="O375" s="13">
        <f t="shared" ca="1" si="35"/>
        <v>-28.52431391792183</v>
      </c>
      <c r="P375" s="12">
        <f t="shared" ca="1" si="39"/>
        <v>1.185838679027859</v>
      </c>
    </row>
    <row r="376" spans="1:16" x14ac:dyDescent="0.25">
      <c r="A376">
        <v>4</v>
      </c>
      <c r="B376">
        <v>19</v>
      </c>
      <c r="C376" s="2" t="s">
        <v>3</v>
      </c>
      <c r="D376" s="2" t="s">
        <v>18</v>
      </c>
      <c r="E376" s="11" cm="1">
        <f t="array" aca="1" ref="E376" ca="1">INDEX('OD flujo mercancia multimodal'!E$45:E$1645,MATCH(C376&amp;D376,'OD flujo mercancia multimodal'!C$45:C$1645&amp;'OD flujo mercancia multimodal'!D$45:D$1645,0))</f>
        <v>30905.06593406594</v>
      </c>
      <c r="F376" s="11" cm="1">
        <f t="array" aca="1" ref="F376" ca="1">INDEX('OD flujo mercancia carretera'!E$45:E$1646,MATCH(C376&amp;D376,'OD flujo mercancia carretera'!C$45:C$1646&amp;'OD flujo mercancia carretera'!D$45:D$1646,0))</f>
        <v>122481.53846153844</v>
      </c>
      <c r="G376" s="11" cm="1">
        <f t="array" aca="1" ref="G376" ca="1">INDEX('Coste Carretera'!E$46:E$1646,MATCH(C376&amp;D376,'Coste Carretera'!C$46:C$1646&amp;'Coste Carretera'!D$46:D$1646,0))</f>
        <v>1606902722.2285717</v>
      </c>
      <c r="H376" s="11" cm="1">
        <f t="array" aca="1" ref="H376" ca="1">INDEX('Coste multimodal'!E$46:E$1646,MATCH(C376&amp;D376,'Coste multimodal'!C$46:C$1646&amp;'Coste multimodal'!D$46:D$1646,0))</f>
        <v>467830484.49790776</v>
      </c>
      <c r="I376" s="12" cm="1">
        <f t="array" aca="1" ref="I376" ca="1">INDEX('Tiempos intermodal (horas)'!E$45:E$1645,MATCH(C376&amp;D376,'Tiempos intermodal (horas)'!C$45:C$1645&amp;'Tiempos intermodal (horas)'!D$45:D$1645,0))</f>
        <v>39.234595669399866</v>
      </c>
      <c r="J376" s="2" cm="1">
        <f t="array" aca="1" ref="J376" ca="1">INDEX('Tiempos carretera (horas)'!E$45:E$1645,MATCH(C376&amp;D376,'Tiempos carretera (horas)'!C$45:C$1645&amp;'Tiempos carretera (horas)'!D$45:D$1645,0))</f>
        <v>10.65</v>
      </c>
      <c r="K376" s="12">
        <f t="shared" ca="1" si="36"/>
        <v>13.119550443376983</v>
      </c>
      <c r="L376" s="12">
        <f t="shared" ca="1" si="37"/>
        <v>15.137663368717456</v>
      </c>
      <c r="M376" s="12">
        <f t="shared" ca="1" si="38"/>
        <v>0.20148477799506978</v>
      </c>
      <c r="N376" s="13">
        <f t="shared" ca="1" si="34"/>
        <v>-2.018112925340473</v>
      </c>
      <c r="O376" s="13">
        <f t="shared" ca="1" si="35"/>
        <v>-28.584595669399867</v>
      </c>
      <c r="P376" s="12">
        <f t="shared" ca="1" si="39"/>
        <v>1.3770401956387193</v>
      </c>
    </row>
    <row r="377" spans="1:16" x14ac:dyDescent="0.25">
      <c r="A377">
        <v>32</v>
      </c>
      <c r="B377">
        <v>3</v>
      </c>
      <c r="C377" s="2" t="s">
        <v>31</v>
      </c>
      <c r="D377" s="2" t="s">
        <v>2</v>
      </c>
      <c r="E377" s="11" cm="1">
        <f t="array" aca="1" ref="E377" ca="1">INDEX('OD flujo mercancia multimodal'!E$45:E$1645,MATCH(C377&amp;D377,'OD flujo mercancia multimodal'!C$45:C$1645&amp;'OD flujo mercancia multimodal'!D$45:D$1645,0))</f>
        <v>16590.791208791223</v>
      </c>
      <c r="F377" s="11" cm="1">
        <f t="array" aca="1" ref="F377" ca="1">INDEX('OD flujo mercancia carretera'!E$45:E$1646,MATCH(C377&amp;D377,'OD flujo mercancia carretera'!C$45:C$1646&amp;'OD flujo mercancia carretera'!D$45:D$1646,0))</f>
        <v>88560.061538461494</v>
      </c>
      <c r="G377" s="11" cm="1">
        <f t="array" aca="1" ref="G377" ca="1">INDEX('Coste Carretera'!E$46:E$1646,MATCH(C377&amp;D377,'Coste Carretera'!C$46:C$1646&amp;'Coste Carretera'!D$46:D$1646,0))</f>
        <v>374262748.33714306</v>
      </c>
      <c r="H377" s="11" cm="1">
        <f t="array" aca="1" ref="H377" ca="1">INDEX('Coste multimodal'!E$46:E$1646,MATCH(C377&amp;D377,'Coste multimodal'!C$46:C$1646&amp;'Coste multimodal'!D$46:D$1646,0))</f>
        <v>207222305.37340337</v>
      </c>
      <c r="I377" s="12" cm="1">
        <f t="array" aca="1" ref="I377" ca="1">INDEX('Tiempos intermodal (horas)'!E$45:E$1645,MATCH(C377&amp;D377,'Tiempos intermodal (horas)'!C$45:C$1645&amp;'Tiempos intermodal (horas)'!D$45:D$1645,0))</f>
        <v>28.700676075978322</v>
      </c>
      <c r="J377" s="2" cm="1">
        <f t="array" aca="1" ref="J377" ca="1">INDEX('Tiempos carretera (horas)'!E$45:E$1645,MATCH(C377&amp;D377,'Tiempos carretera (horas)'!C$45:C$1645&amp;'Tiempos carretera (horas)'!D$45:D$1645,0))</f>
        <v>4.16</v>
      </c>
      <c r="K377" s="12">
        <f t="shared" ca="1" si="36"/>
        <v>4.2260895242784056</v>
      </c>
      <c r="L377" s="12">
        <f t="shared" ca="1" si="37"/>
        <v>12.490200302418323</v>
      </c>
      <c r="M377" s="12">
        <f t="shared" ca="1" si="38"/>
        <v>0.15778085270187875</v>
      </c>
      <c r="N377" s="13">
        <f t="shared" ca="1" si="34"/>
        <v>-8.2641107781399175</v>
      </c>
      <c r="O377" s="13">
        <f t="shared" ca="1" si="35"/>
        <v>-24.540676075978322</v>
      </c>
      <c r="P377" s="12">
        <f t="shared" ca="1" si="39"/>
        <v>1.6748331883034924</v>
      </c>
    </row>
    <row r="378" spans="1:16" x14ac:dyDescent="0.25">
      <c r="A378">
        <v>19</v>
      </c>
      <c r="B378">
        <v>8</v>
      </c>
      <c r="C378" s="2" t="s">
        <v>18</v>
      </c>
      <c r="D378" s="2" t="s">
        <v>7</v>
      </c>
      <c r="E378" s="11" cm="1">
        <f t="array" aca="1" ref="E378" ca="1">INDEX('OD flujo mercancia multimodal'!E$45:E$1645,MATCH(C378&amp;D378,'OD flujo mercancia multimodal'!C$45:C$1645&amp;'OD flujo mercancia multimodal'!D$45:D$1645,0))</f>
        <v>36409.780219780179</v>
      </c>
      <c r="F378" s="11" cm="1">
        <f t="array" aca="1" ref="F378" ca="1">INDEX('OD flujo mercancia carretera'!E$45:E$1646,MATCH(C378&amp;D378,'OD flujo mercancia carretera'!C$45:C$1646&amp;'OD flujo mercancia carretera'!D$45:D$1646,0))</f>
        <v>159824.84615384601</v>
      </c>
      <c r="G378" s="11" cm="1">
        <f t="array" aca="1" ref="G378" ca="1">INDEX('Coste Carretera'!E$46:E$1646,MATCH(C378&amp;D378,'Coste Carretera'!C$46:C$1646&amp;'Coste Carretera'!D$46:D$1646,0))</f>
        <v>1866347857.3714263</v>
      </c>
      <c r="H378" s="11" cm="1">
        <f t="array" aca="1" ref="H378" ca="1">INDEX('Coste multimodal'!E$46:E$1646,MATCH(C378&amp;D378,'Coste multimodal'!C$46:C$1646&amp;'Coste multimodal'!D$46:D$1646,0))</f>
        <v>384894297.04133636</v>
      </c>
      <c r="I378" s="12" cm="1">
        <f t="array" aca="1" ref="I378" ca="1">INDEX('Tiempos intermodal (horas)'!E$45:E$1645,MATCH(C378&amp;D378,'Tiempos intermodal (horas)'!C$45:C$1645&amp;'Tiempos intermodal (horas)'!D$45:D$1645,0))</f>
        <v>39.387929002733202</v>
      </c>
      <c r="J378" s="2" cm="1">
        <f t="array" aca="1" ref="J378" ca="1">INDEX('Tiempos carretera (horas)'!E$45:E$1645,MATCH(C378&amp;D378,'Tiempos carretera (horas)'!C$45:C$1645&amp;'Tiempos carretera (horas)'!D$45:D$1645,0))</f>
        <v>10.63</v>
      </c>
      <c r="K378" s="12">
        <f t="shared" ca="1" si="36"/>
        <v>11.677457556097979</v>
      </c>
      <c r="L378" s="12">
        <f t="shared" ca="1" si="37"/>
        <v>10.571178807397375</v>
      </c>
      <c r="M378" s="12">
        <f t="shared" ca="1" si="38"/>
        <v>0.18554207732154673</v>
      </c>
      <c r="N378" s="13">
        <f t="shared" ca="1" si="34"/>
        <v>1.1062787487006034</v>
      </c>
      <c r="O378" s="13">
        <f t="shared" ca="1" si="35"/>
        <v>-28.757929002733199</v>
      </c>
      <c r="P378" s="12">
        <f t="shared" ca="1" si="39"/>
        <v>1.4792410781517205</v>
      </c>
    </row>
    <row r="379" spans="1:16" x14ac:dyDescent="0.25">
      <c r="A379">
        <v>8</v>
      </c>
      <c r="B379">
        <v>19</v>
      </c>
      <c r="C379" s="2" t="s">
        <v>7</v>
      </c>
      <c r="D379" s="2" t="s">
        <v>18</v>
      </c>
      <c r="E379" s="11" cm="1">
        <f t="array" aca="1" ref="E379" ca="1">INDEX('OD flujo mercancia multimodal'!E$45:E$1645,MATCH(C379&amp;D379,'OD flujo mercancia multimodal'!C$45:C$1645&amp;'OD flujo mercancia multimodal'!D$45:D$1645,0))</f>
        <v>8247.5659340659367</v>
      </c>
      <c r="F379" s="11" cm="1">
        <f t="array" aca="1" ref="F379" ca="1">INDEX('OD flujo mercancia carretera'!E$45:E$1646,MATCH(C379&amp;D379,'OD flujo mercancia carretera'!C$45:C$1646&amp;'OD flujo mercancia carretera'!D$45:D$1646,0))</f>
        <v>208429.30769230769</v>
      </c>
      <c r="G379" s="11" cm="1">
        <f t="array" aca="1" ref="G379" ca="1">INDEX('Coste Carretera'!E$46:E$1646,MATCH(C379&amp;D379,'Coste Carretera'!C$46:C$1646&amp;'Coste Carretera'!D$46:D$1646,0))</f>
        <v>422766270.94857162</v>
      </c>
      <c r="H379" s="11" cm="1">
        <f t="array" aca="1" ref="H379" ca="1">INDEX('Coste multimodal'!E$46:E$1646,MATCH(C379&amp;D379,'Coste multimodal'!C$46:C$1646&amp;'Coste multimodal'!D$46:D$1646,0))</f>
        <v>384894297.04133636</v>
      </c>
      <c r="I379" s="12" cm="1">
        <f t="array" aca="1" ref="I379" ca="1">INDEX('Tiempos intermodal (horas)'!E$45:E$1645,MATCH(C379&amp;D379,'Tiempos intermodal (horas)'!C$45:C$1645&amp;'Tiempos intermodal (horas)'!D$45:D$1645,0))</f>
        <v>39.387929002733202</v>
      </c>
      <c r="J379" s="2" cm="1">
        <f t="array" aca="1" ref="J379" ca="1">INDEX('Tiempos carretera (horas)'!E$45:E$1645,MATCH(C379&amp;D379,'Tiempos carretera (horas)'!C$45:C$1645&amp;'Tiempos carretera (horas)'!D$45:D$1645,0))</f>
        <v>10.63</v>
      </c>
      <c r="K379" s="12">
        <f t="shared" ca="1" si="36"/>
        <v>2.028343689423358</v>
      </c>
      <c r="L379" s="12">
        <f t="shared" ca="1" si="37"/>
        <v>46.667622922729244</v>
      </c>
      <c r="M379" s="12">
        <f t="shared" ca="1" si="38"/>
        <v>3.8063895772686901E-2</v>
      </c>
      <c r="N379" s="13">
        <f t="shared" ca="1" si="34"/>
        <v>-44.639279233305885</v>
      </c>
      <c r="O379" s="13">
        <f t="shared" ca="1" si="35"/>
        <v>-28.757929002733199</v>
      </c>
      <c r="P379" s="12">
        <f t="shared" ca="1" si="39"/>
        <v>3.2296818133931411</v>
      </c>
    </row>
    <row r="380" spans="1:16" x14ac:dyDescent="0.25">
      <c r="A380">
        <v>31</v>
      </c>
      <c r="B380">
        <v>1</v>
      </c>
      <c r="C380" s="2" t="s">
        <v>30</v>
      </c>
      <c r="D380" s="2" t="s">
        <v>0</v>
      </c>
      <c r="E380" s="11" cm="1">
        <f t="array" aca="1" ref="E380" ca="1">INDEX('OD flujo mercancia multimodal'!E$45:E$1645,MATCH(C380&amp;D380,'OD flujo mercancia multimodal'!C$45:C$1645&amp;'OD flujo mercancia multimodal'!D$45:D$1645,0))</f>
        <v>94315.379120879094</v>
      </c>
      <c r="F380" s="11" cm="1">
        <f t="array" aca="1" ref="F380" ca="1">INDEX('OD flujo mercancia carretera'!E$45:E$1646,MATCH(C380&amp;D380,'OD flujo mercancia carretera'!C$45:C$1646&amp;'OD flujo mercancia carretera'!D$45:D$1646,0))</f>
        <v>68695.153846153888</v>
      </c>
      <c r="G380" s="11" cm="1">
        <f t="array" aca="1" ref="G380" ca="1">INDEX('Coste Carretera'!E$46:E$1646,MATCH(C380&amp;D380,'Coste Carretera'!C$46:C$1646&amp;'Coste Carretera'!D$46:D$1646,0))</f>
        <v>1581247112.461714</v>
      </c>
      <c r="H380" s="11" cm="1">
        <f t="array" aca="1" ref="H380" ca="1">INDEX('Coste multimodal'!E$46:E$1646,MATCH(C380&amp;D380,'Coste multimodal'!C$46:C$1646&amp;'Coste multimodal'!D$46:D$1646,0))</f>
        <v>889208272.16489577</v>
      </c>
      <c r="I380" s="12" cm="1">
        <f t="array" aca="1" ref="I380" ca="1">INDEX('Tiempos intermodal (horas)'!E$45:E$1645,MATCH(C380&amp;D380,'Tiempos intermodal (horas)'!C$45:C$1645&amp;'Tiempos intermodal (horas)'!D$45:D$1645,0))</f>
        <v>32.557126215571039</v>
      </c>
      <c r="J380" s="2" cm="1">
        <f t="array" aca="1" ref="J380" ca="1">INDEX('Tiempos carretera (horas)'!E$45:E$1645,MATCH(C380&amp;D380,'Tiempos carretera (horas)'!C$45:C$1645&amp;'Tiempos carretera (horas)'!D$45:D$1645,0))</f>
        <v>3.68</v>
      </c>
      <c r="K380" s="12">
        <f t="shared" ca="1" si="36"/>
        <v>23.018321146830726</v>
      </c>
      <c r="L380" s="12">
        <f t="shared" ca="1" si="37"/>
        <v>9.4280305126616089</v>
      </c>
      <c r="M380" s="12">
        <f t="shared" ca="1" si="38"/>
        <v>0.57858456999188701</v>
      </c>
      <c r="N380" s="13">
        <f t="shared" ca="1" si="34"/>
        <v>13.590290634169117</v>
      </c>
      <c r="O380" s="13">
        <f t="shared" ca="1" si="35"/>
        <v>-28.877126215571039</v>
      </c>
      <c r="P380" s="12">
        <f t="shared" ca="1" si="39"/>
        <v>-0.31696560759279191</v>
      </c>
    </row>
    <row r="381" spans="1:16" x14ac:dyDescent="0.25">
      <c r="A381">
        <v>1</v>
      </c>
      <c r="B381">
        <v>31</v>
      </c>
      <c r="C381" s="2" t="s">
        <v>0</v>
      </c>
      <c r="D381" s="2" t="s">
        <v>30</v>
      </c>
      <c r="E381" s="11" cm="1">
        <f t="array" aca="1" ref="E381" ca="1">INDEX('OD flujo mercancia multimodal'!E$45:E$1645,MATCH(C381&amp;D381,'OD flujo mercancia multimodal'!C$45:C$1645&amp;'OD flujo mercancia multimodal'!D$45:D$1645,0))</f>
        <v>88264.532967032981</v>
      </c>
      <c r="F381" s="11" cm="1">
        <f t="array" aca="1" ref="F381" ca="1">INDEX('OD flujo mercancia carretera'!E$45:E$1646,MATCH(C381&amp;D381,'OD flujo mercancia carretera'!C$45:C$1646&amp;'OD flujo mercancia carretera'!D$45:D$1646,0))</f>
        <v>72271.692307692298</v>
      </c>
      <c r="G381" s="11" cm="1">
        <f t="array" aca="1" ref="G381" ca="1">INDEX('Coste Carretera'!E$46:E$1646,MATCH(C381&amp;D381,'Coste Carretera'!C$46:C$1646&amp;'Coste Carretera'!D$46:D$1646,0))</f>
        <v>1530071246.3177145</v>
      </c>
      <c r="H381" s="11" cm="1">
        <f t="array" aca="1" ref="H381" ca="1">INDEX('Coste multimodal'!E$46:E$1646,MATCH(C381&amp;D381,'Coste multimodal'!C$46:C$1646&amp;'Coste multimodal'!D$46:D$1646,0))</f>
        <v>889208272.16489577</v>
      </c>
      <c r="I381" s="12" cm="1">
        <f t="array" aca="1" ref="I381" ca="1">INDEX('Tiempos intermodal (horas)'!E$45:E$1645,MATCH(C381&amp;D381,'Tiempos intermodal (horas)'!C$45:C$1645&amp;'Tiempos intermodal (horas)'!D$45:D$1645,0))</f>
        <v>32.557126215571039</v>
      </c>
      <c r="J381" s="2" cm="1">
        <f t="array" aca="1" ref="J381" ca="1">INDEX('Tiempos carretera (horas)'!E$45:E$1645,MATCH(C381&amp;D381,'Tiempos carretera (horas)'!C$45:C$1645&amp;'Tiempos carretera (horas)'!D$45:D$1645,0))</f>
        <v>3.68</v>
      </c>
      <c r="K381" s="12">
        <f t="shared" ca="1" si="36"/>
        <v>21.17110029475344</v>
      </c>
      <c r="L381" s="12">
        <f t="shared" ca="1" si="37"/>
        <v>10.074355375527984</v>
      </c>
      <c r="M381" s="12">
        <f t="shared" ca="1" si="38"/>
        <v>0.54981069111339875</v>
      </c>
      <c r="N381" s="13">
        <f t="shared" ca="1" si="34"/>
        <v>11.096744919225456</v>
      </c>
      <c r="O381" s="13">
        <f t="shared" ca="1" si="35"/>
        <v>-28.877126215571039</v>
      </c>
      <c r="P381" s="12">
        <f t="shared" ca="1" si="39"/>
        <v>-0.1999058402858441</v>
      </c>
    </row>
    <row r="382" spans="1:16" x14ac:dyDescent="0.25">
      <c r="A382">
        <v>31</v>
      </c>
      <c r="B382">
        <v>2</v>
      </c>
      <c r="C382" s="2" t="s">
        <v>30</v>
      </c>
      <c r="D382" s="2" t="s">
        <v>1</v>
      </c>
      <c r="E382" s="11" cm="1">
        <f t="array" aca="1" ref="E382" ca="1">INDEX('OD flujo mercancia multimodal'!E$45:E$1645,MATCH(C382&amp;D382,'OD flujo mercancia multimodal'!C$45:C$1645&amp;'OD flujo mercancia multimodal'!D$45:D$1645,0))</f>
        <v>23054.37912087909</v>
      </c>
      <c r="F382" s="11" cm="1">
        <f t="array" aca="1" ref="F382" ca="1">INDEX('OD flujo mercancia carretera'!E$45:E$1646,MATCH(C382&amp;D382,'OD flujo mercancia carretera'!C$45:C$1646&amp;'OD flujo mercancia carretera'!D$45:D$1646,0))</f>
        <v>59083.538461538497</v>
      </c>
      <c r="G382" s="11" cm="1">
        <f t="array" aca="1" ref="G382" ca="1">INDEX('Coste Carretera'!E$46:E$1646,MATCH(C382&amp;D382,'Coste Carretera'!C$46:C$1646&amp;'Coste Carretera'!D$46:D$1646,0))</f>
        <v>444369468.85428512</v>
      </c>
      <c r="H382" s="11" cm="1">
        <f t="array" aca="1" ref="H382" ca="1">INDEX('Coste multimodal'!E$46:E$1646,MATCH(C382&amp;D382,'Coste multimodal'!C$46:C$1646&amp;'Coste multimodal'!D$46:D$1646,0))</f>
        <v>765676803.60346723</v>
      </c>
      <c r="I382" s="12" cm="1">
        <f t="array" aca="1" ref="I382" ca="1">INDEX('Tiempos intermodal (horas)'!E$45:E$1645,MATCH(C382&amp;D382,'Tiempos intermodal (horas)'!C$45:C$1645&amp;'Tiempos intermodal (horas)'!D$45:D$1645,0))</f>
        <v>32.934903993348819</v>
      </c>
      <c r="J382" s="2" cm="1">
        <f t="array" aca="1" ref="J382" ca="1">INDEX('Tiempos carretera (horas)'!E$45:E$1645,MATCH(C382&amp;D382,'Tiempos carretera (horas)'!C$45:C$1645&amp;'Tiempos carretera (horas)'!D$45:D$1645,0))</f>
        <v>4.05</v>
      </c>
      <c r="K382" s="12">
        <f t="shared" ca="1" si="36"/>
        <v>7.5210368306487858</v>
      </c>
      <c r="L382" s="12">
        <f t="shared" ca="1" si="37"/>
        <v>33.211772895242952</v>
      </c>
      <c r="M382" s="12">
        <f t="shared" ca="1" si="38"/>
        <v>0.28067888497107579</v>
      </c>
      <c r="N382" s="13">
        <f t="shared" ca="1" si="34"/>
        <v>-25.690736064594166</v>
      </c>
      <c r="O382" s="13">
        <f t="shared" ca="1" si="35"/>
        <v>-28.884903993348818</v>
      </c>
      <c r="P382" s="12">
        <f t="shared" ca="1" si="39"/>
        <v>0.94109661363329777</v>
      </c>
    </row>
    <row r="383" spans="1:16" x14ac:dyDescent="0.25">
      <c r="A383">
        <v>2</v>
      </c>
      <c r="B383">
        <v>31</v>
      </c>
      <c r="C383" s="2" t="s">
        <v>1</v>
      </c>
      <c r="D383" s="2" t="s">
        <v>30</v>
      </c>
      <c r="E383" s="11" cm="1">
        <f t="array" aca="1" ref="E383" ca="1">INDEX('OD flujo mercancia multimodal'!E$45:E$1645,MATCH(C383&amp;D383,'OD flujo mercancia multimodal'!C$45:C$1645&amp;'OD flujo mercancia multimodal'!D$45:D$1645,0))</f>
        <v>9064.461538461539</v>
      </c>
      <c r="F383" s="11" cm="1">
        <f t="array" aca="1" ref="F383" ca="1">INDEX('OD flujo mercancia carretera'!E$45:E$1646,MATCH(C383&amp;D383,'OD flujo mercancia carretera'!C$45:C$1646&amp;'OD flujo mercancia carretera'!D$45:D$1646,0))</f>
        <v>62839.692307692298</v>
      </c>
      <c r="G383" s="11" cm="1">
        <f t="array" aca="1" ref="G383" ca="1">INDEX('Coste Carretera'!E$46:E$1646,MATCH(C383&amp;D383,'Coste Carretera'!C$46:C$1646&amp;'Coste Carretera'!D$46:D$1646,0))</f>
        <v>273226639.45199996</v>
      </c>
      <c r="H383" s="11" cm="1">
        <f t="array" aca="1" ref="H383" ca="1">INDEX('Coste multimodal'!E$46:E$1646,MATCH(C383&amp;D383,'Coste multimodal'!C$46:C$1646&amp;'Coste multimodal'!D$46:D$1646,0))</f>
        <v>765676803.60346723</v>
      </c>
      <c r="I383" s="12" cm="1">
        <f t="array" aca="1" ref="I383" ca="1">INDEX('Tiempos intermodal (horas)'!E$45:E$1645,MATCH(C383&amp;D383,'Tiempos intermodal (horas)'!C$45:C$1645&amp;'Tiempos intermodal (horas)'!D$45:D$1645,0))</f>
        <v>32.934903993348819</v>
      </c>
      <c r="J383" s="2" cm="1">
        <f t="array" aca="1" ref="J383" ca="1">INDEX('Tiempos carretera (horas)'!E$45:E$1645,MATCH(C383&amp;D383,'Tiempos carretera (horas)'!C$45:C$1645&amp;'Tiempos carretera (horas)'!D$45:D$1645,0))</f>
        <v>4.05</v>
      </c>
      <c r="K383" s="12">
        <f t="shared" ca="1" si="36"/>
        <v>4.3479945464111367</v>
      </c>
      <c r="L383" s="12">
        <f t="shared" ca="1" si="37"/>
        <v>84.470191677091194</v>
      </c>
      <c r="M383" s="12">
        <f t="shared" ca="1" si="38"/>
        <v>0.12606311393157987</v>
      </c>
      <c r="N383" s="13">
        <f t="shared" ca="1" si="34"/>
        <v>-80.122197130680064</v>
      </c>
      <c r="O383" s="13">
        <f t="shared" ca="1" si="35"/>
        <v>-28.884903993348818</v>
      </c>
      <c r="P383" s="12">
        <f t="shared" ca="1" si="39"/>
        <v>1.9362254745519838</v>
      </c>
    </row>
    <row r="384" spans="1:16" x14ac:dyDescent="0.25">
      <c r="A384">
        <v>31</v>
      </c>
      <c r="B384">
        <v>21</v>
      </c>
      <c r="C384" s="2" t="s">
        <v>30</v>
      </c>
      <c r="D384" s="2" t="s">
        <v>20</v>
      </c>
      <c r="E384" s="11" cm="1">
        <f t="array" aca="1" ref="E384" ca="1">INDEX('OD flujo mercancia multimodal'!E$45:E$1645,MATCH(C384&amp;D384,'OD flujo mercancia multimodal'!C$45:C$1645&amp;'OD flujo mercancia multimodal'!D$45:D$1645,0))</f>
        <v>39139.615384615397</v>
      </c>
      <c r="F384" s="11" cm="1">
        <f t="array" aca="1" ref="F384" ca="1">INDEX('OD flujo mercancia carretera'!E$45:E$1646,MATCH(C384&amp;D384,'OD flujo mercancia carretera'!C$45:C$1646&amp;'OD flujo mercancia carretera'!D$45:D$1646,0))</f>
        <v>127439.64102564068</v>
      </c>
      <c r="G384" s="11" cm="1">
        <f t="array" aca="1" ref="G384" ca="1">INDEX('Coste Carretera'!E$46:E$1646,MATCH(C384&amp;D384,'Coste Carretera'!C$46:C$1646&amp;'Coste Carretera'!D$46:D$1646,0))</f>
        <v>968193534.60000038</v>
      </c>
      <c r="H384" s="11" cm="1">
        <f t="array" aca="1" ref="H384" ca="1">INDEX('Coste multimodal'!E$46:E$1646,MATCH(C384&amp;D384,'Coste multimodal'!C$46:C$1646&amp;'Coste multimodal'!D$46:D$1646,0))</f>
        <v>357121867.00463921</v>
      </c>
      <c r="I384" s="12" cm="1">
        <f t="array" aca="1" ref="I384" ca="1">INDEX('Tiempos intermodal (horas)'!E$45:E$1645,MATCH(C384&amp;D384,'Tiempos intermodal (horas)'!C$45:C$1645&amp;'Tiempos intermodal (horas)'!D$45:D$1645,0))</f>
        <v>32.511495002815316</v>
      </c>
      <c r="J384" s="2" cm="1">
        <f t="array" aca="1" ref="J384" ca="1">INDEX('Tiempos carretera (horas)'!E$45:E$1645,MATCH(C384&amp;D384,'Tiempos carretera (horas)'!C$45:C$1645&amp;'Tiempos carretera (horas)'!D$45:D$1645,0))</f>
        <v>5.45</v>
      </c>
      <c r="K384" s="12">
        <f t="shared" ca="1" si="36"/>
        <v>7.5972713577025939</v>
      </c>
      <c r="L384" s="12">
        <f t="shared" ca="1" si="37"/>
        <v>9.1243070095423846</v>
      </c>
      <c r="M384" s="12">
        <f t="shared" ca="1" si="38"/>
        <v>0.23496092027341778</v>
      </c>
      <c r="N384" s="13">
        <f t="shared" ref="N384:N447" ca="1" si="40">K384-L384</f>
        <v>-1.5270356518397907</v>
      </c>
      <c r="O384" s="13">
        <f t="shared" ref="O384:O447" ca="1" si="41">J384-I384</f>
        <v>-27.061495002815317</v>
      </c>
      <c r="P384" s="12">
        <f t="shared" ca="1" si="39"/>
        <v>1.1805077135252053</v>
      </c>
    </row>
    <row r="385" spans="1:16" x14ac:dyDescent="0.25">
      <c r="A385">
        <v>21</v>
      </c>
      <c r="B385">
        <v>31</v>
      </c>
      <c r="C385" s="2" t="s">
        <v>20</v>
      </c>
      <c r="D385" s="2" t="s">
        <v>30</v>
      </c>
      <c r="E385" s="11" cm="1">
        <f t="array" aca="1" ref="E385" ca="1">INDEX('OD flujo mercancia multimodal'!E$45:E$1645,MATCH(C385&amp;D385,'OD flujo mercancia multimodal'!C$45:C$1645&amp;'OD flujo mercancia multimodal'!D$45:D$1645,0))</f>
        <v>25834</v>
      </c>
      <c r="F385" s="11" cm="1">
        <f t="array" aca="1" ref="F385" ca="1">INDEX('OD flujo mercancia carretera'!E$45:E$1646,MATCH(C385&amp;D385,'OD flujo mercancia carretera'!C$45:C$1646&amp;'OD flujo mercancia carretera'!D$45:D$1646,0))</f>
        <v>134254.69230769231</v>
      </c>
      <c r="G385" s="11" cm="1">
        <f t="array" aca="1" ref="G385" ca="1">INDEX('Coste Carretera'!E$46:E$1646,MATCH(C385&amp;D385,'Coste Carretera'!C$46:C$1646&amp;'Coste Carretera'!D$46:D$1646,0))</f>
        <v>765479993.43599999</v>
      </c>
      <c r="H385" s="11" cm="1">
        <f t="array" aca="1" ref="H385" ca="1">INDEX('Coste multimodal'!E$46:E$1646,MATCH(C385&amp;D385,'Coste multimodal'!C$46:C$1646&amp;'Coste multimodal'!D$46:D$1646,0))</f>
        <v>357121867.00463921</v>
      </c>
      <c r="I385" s="12" cm="1">
        <f t="array" aca="1" ref="I385" ca="1">INDEX('Tiempos intermodal (horas)'!E$45:E$1645,MATCH(C385&amp;D385,'Tiempos intermodal (horas)'!C$45:C$1645&amp;'Tiempos intermodal (horas)'!D$45:D$1645,0))</f>
        <v>32.511495002815316</v>
      </c>
      <c r="J385" s="2" cm="1">
        <f t="array" aca="1" ref="J385" ca="1">INDEX('Tiempos carretera (horas)'!E$45:E$1645,MATCH(C385&amp;D385,'Tiempos carretera (horas)'!C$45:C$1645&amp;'Tiempos carretera (horas)'!D$45:D$1645,0))</f>
        <v>5.45</v>
      </c>
      <c r="K385" s="12">
        <f t="shared" ca="1" si="36"/>
        <v>5.7017001065529289</v>
      </c>
      <c r="L385" s="12">
        <f t="shared" ca="1" si="37"/>
        <v>13.823715530101387</v>
      </c>
      <c r="M385" s="12">
        <f t="shared" ca="1" si="38"/>
        <v>0.16137304657562418</v>
      </c>
      <c r="N385" s="13">
        <f t="shared" ca="1" si="40"/>
        <v>-8.1220154235484578</v>
      </c>
      <c r="O385" s="13">
        <f t="shared" ca="1" si="41"/>
        <v>-27.061495002815317</v>
      </c>
      <c r="P385" s="12">
        <f t="shared" ca="1" si="39"/>
        <v>1.6480472309809486</v>
      </c>
    </row>
    <row r="386" spans="1:16" x14ac:dyDescent="0.25">
      <c r="A386">
        <v>19</v>
      </c>
      <c r="B386">
        <v>7</v>
      </c>
      <c r="C386" s="2" t="s">
        <v>18</v>
      </c>
      <c r="D386" s="2" t="s">
        <v>6</v>
      </c>
      <c r="E386" s="11" cm="1">
        <f t="array" aca="1" ref="E386" ca="1">INDEX('OD flujo mercancia multimodal'!E$45:E$1645,MATCH(C386&amp;D386,'OD flujo mercancia multimodal'!C$45:C$1645&amp;'OD flujo mercancia multimodal'!D$45:D$1645,0))</f>
        <v>6762.7087912087873</v>
      </c>
      <c r="F386" s="11" cm="1">
        <f t="array" aca="1" ref="F386" ca="1">INDEX('OD flujo mercancia carretera'!E$45:E$1646,MATCH(C386&amp;D386,'OD flujo mercancia carretera'!C$45:C$1646&amp;'OD flujo mercancia carretera'!D$45:D$1646,0))</f>
        <v>102227.07692307691</v>
      </c>
      <c r="G386" s="11" cm="1">
        <f t="array" aca="1" ref="G386" ca="1">INDEX('Coste Carretera'!E$46:E$1646,MATCH(C386&amp;D386,'Coste Carretera'!C$46:C$1646&amp;'Coste Carretera'!D$46:D$1646,0))</f>
        <v>389629679.88857114</v>
      </c>
      <c r="H386" s="11" cm="1">
        <f t="array" aca="1" ref="H386" ca="1">INDEX('Coste multimodal'!E$46:E$1646,MATCH(C386&amp;D386,'Coste multimodal'!C$46:C$1646&amp;'Coste multimodal'!D$46:D$1646,0))</f>
        <v>573840741.90657234</v>
      </c>
      <c r="I386" s="12" cm="1">
        <f t="array" aca="1" ref="I386" ca="1">INDEX('Tiempos intermodal (horas)'!E$45:E$1645,MATCH(C386&amp;D386,'Tiempos intermodal (horas)'!C$45:C$1645&amp;'Tiempos intermodal (horas)'!D$45:D$1645,0))</f>
        <v>40.82320280681072</v>
      </c>
      <c r="J386" s="2" cm="1">
        <f t="array" aca="1" ref="J386" ca="1">INDEX('Tiempos carretera (horas)'!E$45:E$1645,MATCH(C386&amp;D386,'Tiempos carretera (horas)'!C$45:C$1645&amp;'Tiempos carretera (horas)'!D$45:D$1645,0))</f>
        <v>11.7</v>
      </c>
      <c r="K386" s="12">
        <f t="shared" ca="1" si="36"/>
        <v>3.8114136842801134</v>
      </c>
      <c r="L386" s="12">
        <f t="shared" ca="1" si="37"/>
        <v>84.85368210036475</v>
      </c>
      <c r="M386" s="12">
        <f t="shared" ca="1" si="38"/>
        <v>6.2049014473127585E-2</v>
      </c>
      <c r="N386" s="13">
        <f t="shared" ca="1" si="40"/>
        <v>-81.042268416084639</v>
      </c>
      <c r="O386" s="13">
        <f t="shared" ca="1" si="41"/>
        <v>-29.12320280681072</v>
      </c>
      <c r="P386" s="12">
        <f t="shared" ca="1" si="39"/>
        <v>2.7157730646667155</v>
      </c>
    </row>
    <row r="387" spans="1:16" x14ac:dyDescent="0.25">
      <c r="A387">
        <v>7</v>
      </c>
      <c r="B387">
        <v>19</v>
      </c>
      <c r="C387" s="2" t="s">
        <v>6</v>
      </c>
      <c r="D387" s="2" t="s">
        <v>18</v>
      </c>
      <c r="E387" s="11" cm="1">
        <f t="array" aca="1" ref="E387" ca="1">INDEX('OD flujo mercancia multimodal'!E$45:E$1645,MATCH(C387&amp;D387,'OD flujo mercancia multimodal'!C$45:C$1645&amp;'OD flujo mercancia multimodal'!D$45:D$1645,0))</f>
        <v>4091.0659340659377</v>
      </c>
      <c r="F387" s="11" cm="1">
        <f t="array" aca="1" ref="F387" ca="1">INDEX('OD flujo mercancia carretera'!E$45:E$1646,MATCH(C387&amp;D387,'OD flujo mercancia carretera'!C$45:C$1646&amp;'OD flujo mercancia carretera'!D$45:D$1646,0))</f>
        <v>147433.07692307691</v>
      </c>
      <c r="G387" s="11" cm="1">
        <f t="array" aca="1" ref="G387" ca="1">INDEX('Coste Carretera'!E$46:E$1646,MATCH(C387&amp;D387,'Coste Carretera'!C$46:C$1646&amp;'Coste Carretera'!D$46:D$1646,0))</f>
        <v>235704472.79428589</v>
      </c>
      <c r="H387" s="11" cm="1">
        <f t="array" aca="1" ref="H387" ca="1">INDEX('Coste multimodal'!E$46:E$1646,MATCH(C387&amp;D387,'Coste multimodal'!C$46:C$1646&amp;'Coste multimodal'!D$46:D$1646,0))</f>
        <v>573840741.90657234</v>
      </c>
      <c r="I387" s="12" cm="1">
        <f t="array" aca="1" ref="I387" ca="1">INDEX('Tiempos intermodal (horas)'!E$45:E$1645,MATCH(C387&amp;D387,'Tiempos intermodal (horas)'!C$45:C$1645&amp;'Tiempos intermodal (horas)'!D$45:D$1645,0))</f>
        <v>40.82320280681072</v>
      </c>
      <c r="J387" s="2" cm="1">
        <f t="array" aca="1" ref="J387" ca="1">INDEX('Tiempos carretera (horas)'!E$45:E$1645,MATCH(C387&amp;D387,'Tiempos carretera (horas)'!C$45:C$1645&amp;'Tiempos carretera (horas)'!D$45:D$1645,0))</f>
        <v>11.7</v>
      </c>
      <c r="K387" s="12">
        <f t="shared" ca="1" si="36"/>
        <v>1.5987217910215936</v>
      </c>
      <c r="L387" s="12">
        <f t="shared" ca="1" si="37"/>
        <v>140.26680360447193</v>
      </c>
      <c r="M387" s="12">
        <f t="shared" ca="1" si="38"/>
        <v>2.6999432941343215E-2</v>
      </c>
      <c r="N387" s="13">
        <f t="shared" ca="1" si="40"/>
        <v>-138.66808181345033</v>
      </c>
      <c r="O387" s="13">
        <f t="shared" ca="1" si="41"/>
        <v>-29.12320280681072</v>
      </c>
      <c r="P387" s="12">
        <f t="shared" ca="1" si="39"/>
        <v>3.5845688013686257</v>
      </c>
    </row>
    <row r="388" spans="1:16" x14ac:dyDescent="0.25">
      <c r="A388">
        <v>6</v>
      </c>
      <c r="B388">
        <v>19</v>
      </c>
      <c r="C388" s="2" t="s">
        <v>5</v>
      </c>
      <c r="D388" s="2" t="s">
        <v>18</v>
      </c>
      <c r="E388" s="11" cm="1">
        <f t="array" aca="1" ref="E388" ca="1">INDEX('OD flujo mercancia multimodal'!E$45:E$1645,MATCH(C388&amp;D388,'OD flujo mercancia multimodal'!C$45:C$1645&amp;'OD flujo mercancia multimodal'!D$45:D$1645,0))</f>
        <v>12796.137362637366</v>
      </c>
      <c r="F388" s="11" cm="1">
        <f t="array" aca="1" ref="F388" ca="1">INDEX('OD flujo mercancia carretera'!E$45:E$1646,MATCH(C388&amp;D388,'OD flujo mercancia carretera'!C$45:C$1646&amp;'OD flujo mercancia carretera'!D$45:D$1646,0))</f>
        <v>219126.08424908423</v>
      </c>
      <c r="G388" s="11" cm="1">
        <f t="array" aca="1" ref="G388" ca="1">INDEX('Coste Carretera'!E$46:E$1646,MATCH(C388&amp;D388,'Coste Carretera'!C$46:C$1646&amp;'Coste Carretera'!D$46:D$1646,0))</f>
        <v>903239412.48000014</v>
      </c>
      <c r="H388" s="11" cm="1">
        <f t="array" aca="1" ref="H388" ca="1">INDEX('Coste multimodal'!E$46:E$1646,MATCH(C388&amp;D388,'Coste multimodal'!C$46:C$1646&amp;'Coste multimodal'!D$46:D$1646,0))</f>
        <v>712529739.44085801</v>
      </c>
      <c r="I388" s="12" cm="1">
        <f t="array" aca="1" ref="I388" ca="1">INDEX('Tiempos intermodal (horas)'!E$45:E$1645,MATCH(C388&amp;D388,'Tiempos intermodal (horas)'!C$45:C$1645&amp;'Tiempos intermodal (horas)'!D$45:D$1645,0))</f>
        <v>42.928758362366274</v>
      </c>
      <c r="J388" s="2" cm="1">
        <f t="array" aca="1" ref="J388" ca="1">INDEX('Tiempos carretera (horas)'!E$45:E$1645,MATCH(C388&amp;D388,'Tiempos carretera (horas)'!C$45:C$1645&amp;'Tiempos carretera (horas)'!D$45:D$1645,0))</f>
        <v>13.75</v>
      </c>
      <c r="K388" s="12">
        <f t="shared" ca="1" si="36"/>
        <v>4.1220077270822442</v>
      </c>
      <c r="L388" s="12">
        <f t="shared" ca="1" si="37"/>
        <v>55.683189328783598</v>
      </c>
      <c r="M388" s="12">
        <f t="shared" ca="1" si="38"/>
        <v>5.5174261757721263E-2</v>
      </c>
      <c r="N388" s="13">
        <f t="shared" ca="1" si="40"/>
        <v>-51.561181601701357</v>
      </c>
      <c r="O388" s="13">
        <f t="shared" ca="1" si="41"/>
        <v>-29.178758362366274</v>
      </c>
      <c r="P388" s="12">
        <f t="shared" ca="1" si="39"/>
        <v>2.8405039344736416</v>
      </c>
    </row>
    <row r="389" spans="1:16" x14ac:dyDescent="0.25">
      <c r="A389">
        <v>20</v>
      </c>
      <c r="B389">
        <v>5</v>
      </c>
      <c r="C389" s="2" t="s">
        <v>19</v>
      </c>
      <c r="D389" s="2" t="s">
        <v>4</v>
      </c>
      <c r="E389" s="11" cm="1">
        <f t="array" aca="1" ref="E389" ca="1">INDEX('OD flujo mercancia multimodal'!E$45:E$1645,MATCH(C389&amp;D389,'OD flujo mercancia multimodal'!C$45:C$1645&amp;'OD flujo mercancia multimodal'!D$45:D$1645,0))</f>
        <v>96847.412087912133</v>
      </c>
      <c r="F389" s="11" cm="1">
        <f t="array" aca="1" ref="F389" ca="1">INDEX('OD flujo mercancia carretera'!E$45:E$1646,MATCH(C389&amp;D389,'OD flujo mercancia carretera'!C$45:C$1646&amp;'OD flujo mercancia carretera'!D$45:D$1646,0))</f>
        <v>124457.79487179485</v>
      </c>
      <c r="G389" s="11" cm="1">
        <f t="array" aca="1" ref="G389" ca="1">INDEX('Coste Carretera'!E$46:E$1646,MATCH(C389&amp;D389,'Coste Carretera'!C$46:C$1646&amp;'Coste Carretera'!D$46:D$1646,0))</f>
        <v>4888055465.6257153</v>
      </c>
      <c r="H389" s="11" cm="1">
        <f t="array" aca="1" ref="H389" ca="1">INDEX('Coste multimodal'!E$46:E$1646,MATCH(C389&amp;D389,'Coste multimodal'!C$46:C$1646&amp;'Coste multimodal'!D$46:D$1646,0))</f>
        <v>731431609.73789644</v>
      </c>
      <c r="I389" s="12" cm="1">
        <f t="array" aca="1" ref="I389" ca="1">INDEX('Tiempos intermodal (horas)'!E$45:E$1645,MATCH(C389&amp;D389,'Tiempos intermodal (horas)'!C$45:C$1645&amp;'Tiempos intermodal (horas)'!D$45:D$1645,0))</f>
        <v>39.864317190725885</v>
      </c>
      <c r="J389" s="2" cm="1">
        <f t="array" aca="1" ref="J389" ca="1">INDEX('Tiempos carretera (horas)'!E$45:E$1645,MATCH(C389&amp;D389,'Tiempos carretera (horas)'!C$45:C$1645&amp;'Tiempos carretera (horas)'!D$45:D$1645,0))</f>
        <v>10.33</v>
      </c>
      <c r="K389" s="12">
        <f t="shared" ca="1" si="36"/>
        <v>39.274803724916929</v>
      </c>
      <c r="L389" s="12">
        <f t="shared" ca="1" si="37"/>
        <v>7.5524125422571728</v>
      </c>
      <c r="M389" s="12">
        <f t="shared" ca="1" si="38"/>
        <v>0.43761922016387594</v>
      </c>
      <c r="N389" s="13">
        <f t="shared" ca="1" si="40"/>
        <v>31.722391182659756</v>
      </c>
      <c r="O389" s="13">
        <f t="shared" ca="1" si="41"/>
        <v>-29.534317190725886</v>
      </c>
      <c r="P389" s="12">
        <f t="shared" ca="1" si="39"/>
        <v>0.25082999274951923</v>
      </c>
    </row>
    <row r="390" spans="1:16" x14ac:dyDescent="0.25">
      <c r="A390">
        <v>23</v>
      </c>
      <c r="B390">
        <v>12</v>
      </c>
      <c r="C390" s="2" t="s">
        <v>22</v>
      </c>
      <c r="D390" s="2" t="s">
        <v>11</v>
      </c>
      <c r="E390" s="11" cm="1">
        <f t="array" aca="1" ref="E390" ca="1">INDEX('OD flujo mercancia multimodal'!E$45:E$1645,MATCH(C390&amp;D390,'OD flujo mercancia multimodal'!C$45:C$1645&amp;'OD flujo mercancia multimodal'!D$45:D$1645,0))</f>
        <v>19022.538461538461</v>
      </c>
      <c r="F390" s="11" cm="1">
        <f t="array" aca="1" ref="F390" ca="1">INDEX('OD flujo mercancia carretera'!E$45:E$1646,MATCH(C390&amp;D390,'OD flujo mercancia carretera'!C$45:C$1646&amp;'OD flujo mercancia carretera'!D$45:D$1646,0))</f>
        <v>147051.74358974356</v>
      </c>
      <c r="G390" s="11" cm="1">
        <f t="array" aca="1" ref="G390" ca="1">INDEX('Coste Carretera'!E$46:E$1646,MATCH(C390&amp;D390,'Coste Carretera'!C$46:C$1646&amp;'Coste Carretera'!D$46:D$1646,0))</f>
        <v>1041024396.2399999</v>
      </c>
      <c r="H390" s="11" cm="1">
        <f t="array" aca="1" ref="H390" ca="1">INDEX('Coste multimodal'!E$46:E$1646,MATCH(C390&amp;D390,'Coste multimodal'!C$46:C$1646&amp;'Coste multimodal'!D$46:D$1646,0))</f>
        <v>229299373.33802012</v>
      </c>
      <c r="I390" s="12" cm="1">
        <f t="array" aca="1" ref="I390" ca="1">INDEX('Tiempos intermodal (horas)'!E$45:E$1645,MATCH(C390&amp;D390,'Tiempos intermodal (horas)'!C$45:C$1645&amp;'Tiempos intermodal (horas)'!D$45:D$1645,0))</f>
        <v>39.679240144930084</v>
      </c>
      <c r="J390" s="2" cm="1">
        <f t="array" aca="1" ref="J390" ca="1">INDEX('Tiempos carretera (horas)'!E$45:E$1645,MATCH(C390&amp;D390,'Tiempos carretera (horas)'!C$45:C$1645&amp;'Tiempos carretera (horas)'!D$45:D$1645,0))</f>
        <v>10.36</v>
      </c>
      <c r="K390" s="12">
        <f t="shared" ca="1" si="36"/>
        <v>7.0793067176702857</v>
      </c>
      <c r="L390" s="12">
        <f t="shared" ca="1" si="37"/>
        <v>12.054089090246233</v>
      </c>
      <c r="M390" s="12">
        <f t="shared" ca="1" si="38"/>
        <v>0.11454234952323622</v>
      </c>
      <c r="N390" s="13">
        <f t="shared" ca="1" si="40"/>
        <v>-4.9747823725759472</v>
      </c>
      <c r="O390" s="13">
        <f t="shared" ca="1" si="41"/>
        <v>-29.319240144930085</v>
      </c>
      <c r="P390" s="12">
        <f t="shared" ca="1" si="39"/>
        <v>2.0451600110877495</v>
      </c>
    </row>
    <row r="391" spans="1:16" x14ac:dyDescent="0.25">
      <c r="A391">
        <v>12</v>
      </c>
      <c r="B391">
        <v>23</v>
      </c>
      <c r="C391" s="2" t="s">
        <v>11</v>
      </c>
      <c r="D391" s="2" t="s">
        <v>22</v>
      </c>
      <c r="E391" s="11" cm="1">
        <f t="array" aca="1" ref="E391" ca="1">INDEX('OD flujo mercancia multimodal'!E$45:E$1645,MATCH(C391&amp;D391,'OD flujo mercancia multimodal'!C$45:C$1645&amp;'OD flujo mercancia multimodal'!D$45:D$1645,0))</f>
        <v>11779.076923076926</v>
      </c>
      <c r="F391" s="11" cm="1">
        <f t="array" aca="1" ref="F391" ca="1">INDEX('OD flujo mercancia carretera'!E$45:E$1646,MATCH(C391&amp;D391,'OD flujo mercancia carretera'!C$45:C$1646&amp;'OD flujo mercancia carretera'!D$45:D$1646,0))</f>
        <v>151617.89743589779</v>
      </c>
      <c r="G391" s="11" cm="1">
        <f t="array" aca="1" ref="G391" ca="1">INDEX('Coste Carretera'!E$46:E$1646,MATCH(C391&amp;D391,'Coste Carretera'!C$46:C$1646&amp;'Coste Carretera'!D$46:D$1646,0))</f>
        <v>644619879.0400002</v>
      </c>
      <c r="H391" s="11" cm="1">
        <f t="array" aca="1" ref="H391" ca="1">INDEX('Coste multimodal'!E$46:E$1646,MATCH(C391&amp;D391,'Coste multimodal'!C$46:C$1646&amp;'Coste multimodal'!D$46:D$1646,0))</f>
        <v>229299373.33802012</v>
      </c>
      <c r="I391" s="12" cm="1">
        <f t="array" aca="1" ref="I391" ca="1">INDEX('Tiempos intermodal (horas)'!E$45:E$1645,MATCH(C391&amp;D391,'Tiempos intermodal (horas)'!C$45:C$1645&amp;'Tiempos intermodal (horas)'!D$45:D$1645,0))</f>
        <v>39.679240144930084</v>
      </c>
      <c r="J391" s="2" cm="1">
        <f t="array" aca="1" ref="J391" ca="1">INDEX('Tiempos carretera (horas)'!E$45:E$1645,MATCH(C391&amp;D391,'Tiempos carretera (horas)'!C$45:C$1645&amp;'Tiempos carretera (horas)'!D$45:D$1645,0))</f>
        <v>10.36</v>
      </c>
      <c r="K391" s="12">
        <f t="shared" ca="1" si="36"/>
        <v>4.2516080881054137</v>
      </c>
      <c r="L391" s="12">
        <f t="shared" ca="1" si="37"/>
        <v>19.466667450722667</v>
      </c>
      <c r="M391" s="12">
        <f t="shared" ca="1" si="38"/>
        <v>7.2088708920637054E-2</v>
      </c>
      <c r="N391" s="13">
        <f t="shared" ca="1" si="40"/>
        <v>-15.215059362617254</v>
      </c>
      <c r="O391" s="13">
        <f t="shared" ca="1" si="41"/>
        <v>-29.319240144930085</v>
      </c>
      <c r="P391" s="12">
        <f t="shared" ca="1" si="39"/>
        <v>2.5550387077228494</v>
      </c>
    </row>
    <row r="392" spans="1:16" x14ac:dyDescent="0.25">
      <c r="A392">
        <v>36</v>
      </c>
      <c r="B392">
        <v>4</v>
      </c>
      <c r="C392" s="2" t="s">
        <v>35</v>
      </c>
      <c r="D392" s="2" t="s">
        <v>3</v>
      </c>
      <c r="E392" s="11" cm="1">
        <f t="array" aca="1" ref="E392" ca="1">INDEX('OD flujo mercancia multimodal'!E$45:E$1645,MATCH(C392&amp;D392,'OD flujo mercancia multimodal'!C$45:C$1645&amp;'OD flujo mercancia multimodal'!D$45:D$1645,0))</f>
        <v>33248.302197802164</v>
      </c>
      <c r="F392" s="11" cm="1">
        <f t="array" aca="1" ref="F392" ca="1">INDEX('OD flujo mercancia carretera'!E$45:E$1646,MATCH(C392&amp;D392,'OD flujo mercancia carretera'!C$45:C$1646&amp;'OD flujo mercancia carretera'!D$45:D$1646,0))</f>
        <v>123684.30769230767</v>
      </c>
      <c r="G392" s="11" cm="1">
        <f t="array" aca="1" ref="G392" ca="1">INDEX('Coste Carretera'!E$46:E$1646,MATCH(C392&amp;D392,'Coste Carretera'!C$46:C$1646&amp;'Coste Carretera'!D$46:D$1646,0))</f>
        <v>818101332.33428514</v>
      </c>
      <c r="H392" s="11" cm="1">
        <f t="array" aca="1" ref="H392" ca="1">INDEX('Coste multimodal'!E$46:E$1646,MATCH(C392&amp;D392,'Coste multimodal'!C$46:C$1646&amp;'Coste multimodal'!D$46:D$1646,0))</f>
        <v>850236633.75889587</v>
      </c>
      <c r="I392" s="12" cm="1">
        <f t="array" aca="1" ref="I392" ca="1">INDEX('Tiempos intermodal (horas)'!E$45:E$1645,MATCH(C392&amp;D392,'Tiempos intermodal (horas)'!C$45:C$1645&amp;'Tiempos intermodal (horas)'!D$45:D$1645,0))</f>
        <v>31.921570660015487</v>
      </c>
      <c r="J392" s="2" cm="1">
        <f t="array" aca="1" ref="J392" ca="1">INDEX('Tiempos carretera (horas)'!E$45:E$1645,MATCH(C392&amp;D392,'Tiempos carretera (horas)'!C$45:C$1645&amp;'Tiempos carretera (horas)'!D$45:D$1645,0))</f>
        <v>4.2300000000000004</v>
      </c>
      <c r="K392" s="12">
        <f t="shared" ca="1" si="36"/>
        <v>6.6144311076995708</v>
      </c>
      <c r="L392" s="12">
        <f t="shared" ca="1" si="37"/>
        <v>25.572332346494964</v>
      </c>
      <c r="M392" s="12">
        <f t="shared" ca="1" si="38"/>
        <v>0.21186356501101897</v>
      </c>
      <c r="N392" s="13">
        <f t="shared" ca="1" si="40"/>
        <v>-18.957901238795394</v>
      </c>
      <c r="O392" s="13">
        <f t="shared" ca="1" si="41"/>
        <v>-27.691570660015486</v>
      </c>
      <c r="P392" s="12">
        <f t="shared" ca="1" si="39"/>
        <v>1.3137287094909034</v>
      </c>
    </row>
    <row r="393" spans="1:16" x14ac:dyDescent="0.25">
      <c r="A393">
        <v>27</v>
      </c>
      <c r="B393">
        <v>33</v>
      </c>
      <c r="C393" s="2" t="s">
        <v>145</v>
      </c>
      <c r="D393" s="2" t="s">
        <v>32</v>
      </c>
      <c r="E393" s="11" cm="1">
        <f t="array" aca="1" ref="E393" ca="1">INDEX('OD flujo mercancia multimodal'!E$45:E$1645,MATCH(C393&amp;D393,'OD flujo mercancia multimodal'!C$45:C$1645&amp;'OD flujo mercancia multimodal'!D$45:D$1645,0))</f>
        <v>97431.76923076919</v>
      </c>
      <c r="F393" s="11" cm="1">
        <f t="array" aca="1" ref="F393" ca="1">INDEX('OD flujo mercancia carretera'!E$45:E$1646,MATCH(C393&amp;D393,'OD flujo mercancia carretera'!C$45:C$1646&amp;'OD flujo mercancia carretera'!D$45:D$1646,0))</f>
        <v>519268.92307692306</v>
      </c>
      <c r="G393" s="11" cm="1">
        <f t="array" aca="1" ref="G393" ca="1">INDEX('Coste Carretera'!E$46:E$1646,MATCH(C393&amp;D393,'Coste Carretera'!C$46:C$1646&amp;'Coste Carretera'!D$46:D$1646,0))</f>
        <v>932482427.27999997</v>
      </c>
      <c r="H393" s="11" cm="1">
        <f t="array" aca="1" ref="H393" ca="1">INDEX('Coste multimodal'!E$46:E$1646,MATCH(C393&amp;D393,'Coste multimodal'!C$46:C$1646&amp;'Coste multimodal'!D$46:D$1646,0))</f>
        <v>252281644.72376114</v>
      </c>
      <c r="I393" s="12" cm="1">
        <f t="array" aca="1" ref="I393" ca="1">INDEX('Tiempos intermodal (horas)'!E$45:E$1645,MATCH(C393&amp;D393,'Tiempos intermodal (horas)'!C$45:C$1645&amp;'Tiempos intermodal (horas)'!D$45:D$1645,0))</f>
        <v>35.129264168954116</v>
      </c>
      <c r="J393" s="2" cm="1">
        <f t="array" aca="1" ref="J393" ca="1">INDEX('Tiempos carretera (horas)'!E$45:E$1645,MATCH(C393&amp;D393,'Tiempos carretera (horas)'!C$45:C$1645&amp;'Tiempos carretera (horas)'!D$45:D$1645,0))</f>
        <v>5.75</v>
      </c>
      <c r="K393" s="12">
        <f t="shared" ca="1" si="36"/>
        <v>1.7957601270543675</v>
      </c>
      <c r="L393" s="12">
        <f t="shared" ca="1" si="37"/>
        <v>2.5893160589768907</v>
      </c>
      <c r="M393" s="12">
        <f t="shared" ca="1" si="38"/>
        <v>0.15798874631740689</v>
      </c>
      <c r="N393" s="13">
        <f t="shared" ca="1" si="40"/>
        <v>-0.79355593192252316</v>
      </c>
      <c r="O393" s="13">
        <f t="shared" ca="1" si="41"/>
        <v>-29.379264168954116</v>
      </c>
      <c r="P393" s="12">
        <f t="shared" ca="1" si="39"/>
        <v>1.6732695749206776</v>
      </c>
    </row>
    <row r="394" spans="1:16" x14ac:dyDescent="0.25">
      <c r="A394">
        <v>33</v>
      </c>
      <c r="B394">
        <v>27</v>
      </c>
      <c r="C394" s="2" t="s">
        <v>32</v>
      </c>
      <c r="D394" s="2" t="s">
        <v>145</v>
      </c>
      <c r="E394" s="11" cm="1">
        <f t="array" aca="1" ref="E394" ca="1">INDEX('OD flujo mercancia multimodal'!E$45:E$1645,MATCH(C394&amp;D394,'OD flujo mercancia multimodal'!C$45:C$1645&amp;'OD flujo mercancia multimodal'!D$45:D$1645,0))</f>
        <v>89640.615384615376</v>
      </c>
      <c r="F394" s="11" cm="1">
        <f t="array" aca="1" ref="F394" ca="1">INDEX('OD flujo mercancia carretera'!E$45:E$1646,MATCH(C394&amp;D394,'OD flujo mercancia carretera'!C$45:C$1646&amp;'OD flujo mercancia carretera'!D$45:D$1646,0))</f>
        <v>509282.12051282049</v>
      </c>
      <c r="G394" s="11" cm="1">
        <f t="array" aca="1" ref="G394" ca="1">INDEX('Coste Carretera'!E$46:E$1646,MATCH(C394&amp;D394,'Coste Carretera'!C$46:C$1646&amp;'Coste Carretera'!D$46:D$1646,0))</f>
        <v>1646234487.3599999</v>
      </c>
      <c r="H394" s="11" cm="1">
        <f t="array" aca="1" ref="H394" ca="1">INDEX('Coste multimodal'!E$46:E$1646,MATCH(C394&amp;D394,'Coste multimodal'!C$46:C$1646&amp;'Coste multimodal'!D$46:D$1646,0))</f>
        <v>252281644.72376114</v>
      </c>
      <c r="I394" s="12" cm="1">
        <f t="array" aca="1" ref="I394" ca="1">INDEX('Tiempos intermodal (horas)'!E$45:E$1645,MATCH(C394&amp;D394,'Tiempos intermodal (horas)'!C$45:C$1645&amp;'Tiempos intermodal (horas)'!D$45:D$1645,0))</f>
        <v>35.129264168954116</v>
      </c>
      <c r="J394" s="2" cm="1">
        <f t="array" aca="1" ref="J394" ca="1">INDEX('Tiempos carretera (horas)'!E$45:E$1645,MATCH(C394&amp;D394,'Tiempos carretera (horas)'!C$45:C$1645&amp;'Tiempos carretera (horas)'!D$45:D$1645,0))</f>
        <v>5.75</v>
      </c>
      <c r="K394" s="12">
        <f t="shared" ca="1" si="36"/>
        <v>3.2324607934445604</v>
      </c>
      <c r="L394" s="12">
        <f t="shared" ca="1" si="37"/>
        <v>2.8143676127312611</v>
      </c>
      <c r="M394" s="12">
        <f t="shared" ca="1" si="38"/>
        <v>0.14966974872025252</v>
      </c>
      <c r="N394" s="13">
        <f t="shared" ca="1" si="40"/>
        <v>0.41809318071329926</v>
      </c>
      <c r="O394" s="13">
        <f t="shared" ca="1" si="41"/>
        <v>-29.379264168954116</v>
      </c>
      <c r="P394" s="12">
        <f t="shared" ca="1" si="39"/>
        <v>1.7371936132953523</v>
      </c>
    </row>
    <row r="395" spans="1:16" x14ac:dyDescent="0.25">
      <c r="A395">
        <v>25</v>
      </c>
      <c r="B395">
        <v>12</v>
      </c>
      <c r="C395" s="2" t="s">
        <v>24</v>
      </c>
      <c r="D395" s="2" t="s">
        <v>11</v>
      </c>
      <c r="E395" s="11" cm="1">
        <f t="array" aca="1" ref="E395" ca="1">INDEX('OD flujo mercancia multimodal'!E$45:E$1645,MATCH(C395&amp;D395,'OD flujo mercancia multimodal'!C$45:C$1645&amp;'OD flujo mercancia multimodal'!D$45:D$1645,0))</f>
        <v>21916.307692307691</v>
      </c>
      <c r="F395" s="11" cm="1">
        <f t="array" aca="1" ref="F395" ca="1">INDEX('OD flujo mercancia carretera'!E$45:E$1646,MATCH(C395&amp;D395,'OD flujo mercancia carretera'!C$45:C$1646&amp;'OD flujo mercancia carretera'!D$45:D$1646,0))</f>
        <v>107026.41025641022</v>
      </c>
      <c r="G395" s="11" cm="1">
        <f t="array" aca="1" ref="G395" ca="1">INDEX('Coste Carretera'!E$46:E$1646,MATCH(C395&amp;D395,'Coste Carretera'!C$46:C$1646&amp;'Coste Carretera'!D$46:D$1646,0))</f>
        <v>900116783.35999978</v>
      </c>
      <c r="H395" s="11" cm="1">
        <f t="array" aca="1" ref="H395" ca="1">INDEX('Coste multimodal'!E$46:E$1646,MATCH(C395&amp;D395,'Coste multimodal'!C$46:C$1646&amp;'Coste multimodal'!D$46:D$1646,0))</f>
        <v>162240170.83802012</v>
      </c>
      <c r="I395" s="12" cm="1">
        <f t="array" aca="1" ref="I395" ca="1">INDEX('Tiempos intermodal (horas)'!E$45:E$1645,MATCH(C395&amp;D395,'Tiempos intermodal (horas)'!C$45:C$1645&amp;'Tiempos intermodal (horas)'!D$45:D$1645,0))</f>
        <v>37.62924014493008</v>
      </c>
      <c r="J395" s="2" cm="1">
        <f t="array" aca="1" ref="J395" ca="1">INDEX('Tiempos carretera (horas)'!E$45:E$1645,MATCH(C395&amp;D395,'Tiempos carretera (horas)'!C$45:C$1645&amp;'Tiempos carretera (horas)'!D$45:D$1645,0))</f>
        <v>8.1300000000000008</v>
      </c>
      <c r="K395" s="12">
        <f t="shared" ca="1" si="36"/>
        <v>8.4102305328519442</v>
      </c>
      <c r="L395" s="12">
        <f t="shared" ca="1" si="37"/>
        <v>7.4027145957146825</v>
      </c>
      <c r="M395" s="12">
        <f t="shared" ca="1" si="38"/>
        <v>0.16996933243662565</v>
      </c>
      <c r="N395" s="13">
        <f t="shared" ca="1" si="40"/>
        <v>1.0075159371372617</v>
      </c>
      <c r="O395" s="13">
        <f t="shared" ca="1" si="41"/>
        <v>-29.499240144930077</v>
      </c>
      <c r="P395" s="12">
        <f t="shared" ca="1" si="39"/>
        <v>1.5858446256345122</v>
      </c>
    </row>
    <row r="396" spans="1:16" x14ac:dyDescent="0.25">
      <c r="A396">
        <v>12</v>
      </c>
      <c r="B396">
        <v>25</v>
      </c>
      <c r="C396" s="2" t="s">
        <v>11</v>
      </c>
      <c r="D396" s="2" t="s">
        <v>24</v>
      </c>
      <c r="E396" s="11" cm="1">
        <f t="array" aca="1" ref="E396" ca="1">INDEX('OD flujo mercancia multimodal'!E$45:E$1645,MATCH(C396&amp;D396,'OD flujo mercancia multimodal'!C$45:C$1645&amp;'OD flujo mercancia multimodal'!D$45:D$1645,0))</f>
        <v>10546.076923076926</v>
      </c>
      <c r="F396" s="11" cm="1">
        <f t="array" aca="1" ref="F396" ca="1">INDEX('OD flujo mercancia carretera'!E$45:E$1646,MATCH(C396&amp;D396,'OD flujo mercancia carretera'!C$45:C$1646&amp;'OD flujo mercancia carretera'!D$45:D$1646,0))</f>
        <v>102037.56410256407</v>
      </c>
      <c r="G396" s="11" cm="1">
        <f t="array" aca="1" ref="G396" ca="1">INDEX('Coste Carretera'!E$46:E$1646,MATCH(C396&amp;D396,'Coste Carretera'!C$46:C$1646&amp;'Coste Carretera'!D$46:D$1646,0))</f>
        <v>433134128.72000009</v>
      </c>
      <c r="H396" s="11" cm="1">
        <f t="array" aca="1" ref="H396" ca="1">INDEX('Coste multimodal'!E$46:E$1646,MATCH(C396&amp;D396,'Coste multimodal'!C$46:C$1646&amp;'Coste multimodal'!D$46:D$1646,0))</f>
        <v>162240170.83802012</v>
      </c>
      <c r="I396" s="12" cm="1">
        <f t="array" aca="1" ref="I396" ca="1">INDEX('Tiempos intermodal (horas)'!E$45:E$1645,MATCH(C396&amp;D396,'Tiempos intermodal (horas)'!C$45:C$1645&amp;'Tiempos intermodal (horas)'!D$45:D$1645,0))</f>
        <v>37.62924014493008</v>
      </c>
      <c r="J396" s="2" cm="1">
        <f t="array" aca="1" ref="J396" ca="1">INDEX('Tiempos carretera (horas)'!E$45:E$1645,MATCH(C396&amp;D396,'Tiempos carretera (horas)'!C$45:C$1645&amp;'Tiempos carretera (horas)'!D$45:D$1645,0))</f>
        <v>8.1300000000000008</v>
      </c>
      <c r="K396" s="12">
        <f t="shared" ca="1" si="36"/>
        <v>4.2448497524365738</v>
      </c>
      <c r="L396" s="12">
        <f t="shared" ca="1" si="37"/>
        <v>15.383935848505539</v>
      </c>
      <c r="M396" s="12">
        <f t="shared" ca="1" si="38"/>
        <v>9.3673262180915345E-2</v>
      </c>
      <c r="N396" s="13">
        <f t="shared" ca="1" si="40"/>
        <v>-11.139086096068965</v>
      </c>
      <c r="O396" s="13">
        <f t="shared" ca="1" si="41"/>
        <v>-29.499240144930077</v>
      </c>
      <c r="P396" s="12">
        <f t="shared" ca="1" si="39"/>
        <v>2.2695870858687157</v>
      </c>
    </row>
    <row r="397" spans="1:16" x14ac:dyDescent="0.25">
      <c r="A397">
        <v>13</v>
      </c>
      <c r="B397">
        <v>12</v>
      </c>
      <c r="C397" s="2" t="s">
        <v>12</v>
      </c>
      <c r="D397" s="2" t="s">
        <v>11</v>
      </c>
      <c r="E397" s="11" cm="1">
        <f t="array" aca="1" ref="E397" ca="1">INDEX('OD flujo mercancia multimodal'!E$45:E$1645,MATCH(C397&amp;D397,'OD flujo mercancia multimodal'!C$45:C$1645&amp;'OD flujo mercancia multimodal'!D$45:D$1645,0))</f>
        <v>20024.846153846152</v>
      </c>
      <c r="F397" s="11" cm="1">
        <f t="array" aca="1" ref="F397" ca="1">INDEX('OD flujo mercancia carretera'!E$45:E$1646,MATCH(C397&amp;D397,'OD flujo mercancia carretera'!C$45:C$1646&amp;'OD flujo mercancia carretera'!D$45:D$1646,0))</f>
        <v>65083.384615384595</v>
      </c>
      <c r="G397" s="11" cm="1">
        <f t="array" aca="1" ref="G397" ca="1">INDEX('Coste Carretera'!E$46:E$1646,MATCH(C397&amp;D397,'Coste Carretera'!C$46:C$1646&amp;'Coste Carretera'!D$46:D$1646,0))</f>
        <v>210340983.99999997</v>
      </c>
      <c r="H397" s="11" cm="1">
        <f t="array" aca="1" ref="H397" ca="1">INDEX('Coste multimodal'!E$46:E$1646,MATCH(C397&amp;D397,'Coste multimodal'!C$46:C$1646&amp;'Coste multimodal'!D$46:D$1646,0))</f>
        <v>152054175.8873077</v>
      </c>
      <c r="I397" s="12" cm="1">
        <f t="array" aca="1" ref="I397" ca="1">INDEX('Tiempos intermodal (horas)'!E$45:E$1645,MATCH(C397&amp;D397,'Tiempos intermodal (horas)'!C$45:C$1645&amp;'Tiempos intermodal (horas)'!D$45:D$1645,0))</f>
        <v>31.719510719459695</v>
      </c>
      <c r="J397" s="2" cm="1">
        <f t="array" aca="1" ref="J397" ca="1">INDEX('Tiempos carretera (horas)'!E$45:E$1645,MATCH(C397&amp;D397,'Tiempos carretera (horas)'!C$45:C$1645&amp;'Tiempos carretera (horas)'!D$45:D$1645,0))</f>
        <v>2.2200000000000002</v>
      </c>
      <c r="K397" s="12">
        <f t="shared" ca="1" si="36"/>
        <v>3.2318691666548482</v>
      </c>
      <c r="L397" s="12">
        <f t="shared" ca="1" si="37"/>
        <v>7.5932756096656862</v>
      </c>
      <c r="M397" s="12">
        <f t="shared" ca="1" si="38"/>
        <v>0.23528683386854932</v>
      </c>
      <c r="N397" s="13">
        <f t="shared" ca="1" si="40"/>
        <v>-4.3614064430108375</v>
      </c>
      <c r="O397" s="13">
        <f t="shared" ca="1" si="41"/>
        <v>-29.499510719459696</v>
      </c>
      <c r="P397" s="12">
        <f t="shared" ca="1" si="39"/>
        <v>1.1786954777752261</v>
      </c>
    </row>
    <row r="398" spans="1:16" x14ac:dyDescent="0.25">
      <c r="A398">
        <v>12</v>
      </c>
      <c r="B398">
        <v>13</v>
      </c>
      <c r="C398" s="2" t="s">
        <v>11</v>
      </c>
      <c r="D398" s="2" t="s">
        <v>12</v>
      </c>
      <c r="E398" s="11" cm="1">
        <f t="array" aca="1" ref="E398" ca="1">INDEX('OD flujo mercancia multimodal'!E$45:E$1645,MATCH(C398&amp;D398,'OD flujo mercancia multimodal'!C$45:C$1645&amp;'OD flujo mercancia multimodal'!D$45:D$1645,0))</f>
        <v>8650.7692307692341</v>
      </c>
      <c r="F398" s="11" cm="1">
        <f t="array" aca="1" ref="F398" ca="1">INDEX('OD flujo mercancia carretera'!E$45:E$1646,MATCH(C398&amp;D398,'OD flujo mercancia carretera'!C$45:C$1646&amp;'OD flujo mercancia carretera'!D$45:D$1646,0))</f>
        <v>65160.769230769263</v>
      </c>
      <c r="G398" s="11" cm="1">
        <f t="array" aca="1" ref="G398" ca="1">INDEX('Coste Carretera'!E$46:E$1646,MATCH(C398&amp;D398,'Coste Carretera'!C$46:C$1646&amp;'Coste Carretera'!D$46:D$1646,0))</f>
        <v>90867680.00000003</v>
      </c>
      <c r="H398" s="11" cm="1">
        <f t="array" aca="1" ref="H398" ca="1">INDEX('Coste multimodal'!E$46:E$1646,MATCH(C398&amp;D398,'Coste multimodal'!C$46:C$1646&amp;'Coste multimodal'!D$46:D$1646,0))</f>
        <v>152054175.8873077</v>
      </c>
      <c r="I398" s="12" cm="1">
        <f t="array" aca="1" ref="I398" ca="1">INDEX('Tiempos intermodal (horas)'!E$45:E$1645,MATCH(C398&amp;D398,'Tiempos intermodal (horas)'!C$45:C$1645&amp;'Tiempos intermodal (horas)'!D$45:D$1645,0))</f>
        <v>31.719510719459695</v>
      </c>
      <c r="J398" s="2" cm="1">
        <f t="array" aca="1" ref="J398" ca="1">INDEX('Tiempos carretera (horas)'!E$45:E$1645,MATCH(C398&amp;D398,'Tiempos carretera (horas)'!C$45:C$1645&amp;'Tiempos carretera (horas)'!D$45:D$1645,0))</f>
        <v>2.2200000000000002</v>
      </c>
      <c r="K398" s="12">
        <f t="shared" ca="1" si="36"/>
        <v>1.3945151518728822</v>
      </c>
      <c r="L398" s="12">
        <f t="shared" ca="1" si="37"/>
        <v>17.576954352969938</v>
      </c>
      <c r="M398" s="12">
        <f t="shared" ca="1" si="38"/>
        <v>0.1172007711948309</v>
      </c>
      <c r="N398" s="13">
        <f t="shared" ca="1" si="40"/>
        <v>-16.182439201097058</v>
      </c>
      <c r="O398" s="13">
        <f t="shared" ca="1" si="41"/>
        <v>-29.499510719459696</v>
      </c>
      <c r="P398" s="12">
        <f t="shared" ca="1" si="39"/>
        <v>2.0192093435220682</v>
      </c>
    </row>
    <row r="399" spans="1:16" x14ac:dyDescent="0.25">
      <c r="A399">
        <v>5</v>
      </c>
      <c r="B399">
        <v>20</v>
      </c>
      <c r="C399" s="2" t="s">
        <v>4</v>
      </c>
      <c r="D399" s="2" t="s">
        <v>19</v>
      </c>
      <c r="E399" s="11" cm="1">
        <f t="array" aca="1" ref="E399" ca="1">INDEX('OD flujo mercancia multimodal'!E$45:E$1645,MATCH(C399&amp;D399,'OD flujo mercancia multimodal'!C$45:C$1645&amp;'OD flujo mercancia multimodal'!D$45:D$1645,0))</f>
        <v>105002.76373626373</v>
      </c>
      <c r="F399" s="11" cm="1">
        <f t="array" aca="1" ref="F399" ca="1">INDEX('OD flujo mercancia carretera'!E$45:E$1646,MATCH(C399&amp;D399,'OD flujo mercancia carretera'!C$45:C$1646&amp;'OD flujo mercancia carretera'!D$45:D$1646,0))</f>
        <v>128386.74358974362</v>
      </c>
      <c r="G399" s="11" cm="1">
        <f t="array" aca="1" ref="G399" ca="1">INDEX('Coste Carretera'!E$46:E$1646,MATCH(C399&amp;D399,'Coste Carretera'!C$46:C$1646&amp;'Coste Carretera'!D$46:D$1646,0))</f>
        <v>5299670090.5228567</v>
      </c>
      <c r="H399" s="11" cm="1">
        <f t="array" aca="1" ref="H399" ca="1">INDEX('Coste multimodal'!E$46:E$1646,MATCH(C399&amp;D399,'Coste multimodal'!C$46:C$1646&amp;'Coste multimodal'!D$46:D$1646,0))</f>
        <v>731431609.73789644</v>
      </c>
      <c r="I399" s="12" cm="1">
        <f t="array" aca="1" ref="I399" ca="1">INDEX('Tiempos intermodal (horas)'!E$45:E$1645,MATCH(C399&amp;D399,'Tiempos intermodal (horas)'!C$45:C$1645&amp;'Tiempos intermodal (horas)'!D$45:D$1645,0))</f>
        <v>39.864317190725885</v>
      </c>
      <c r="J399" s="2" cm="1">
        <f t="array" aca="1" ref="J399" ca="1">INDEX('Tiempos carretera (horas)'!E$45:E$1645,MATCH(C399&amp;D399,'Tiempos carretera (horas)'!C$45:C$1645&amp;'Tiempos carretera (horas)'!D$45:D$1645,0))</f>
        <v>10.33</v>
      </c>
      <c r="K399" s="12">
        <f t="shared" ca="1" si="36"/>
        <v>41.278950944170759</v>
      </c>
      <c r="L399" s="12">
        <f t="shared" ca="1" si="37"/>
        <v>6.9658319810994591</v>
      </c>
      <c r="M399" s="12">
        <f t="shared" ca="1" si="38"/>
        <v>0.44990353225088164</v>
      </c>
      <c r="N399" s="13">
        <f t="shared" ca="1" si="40"/>
        <v>34.313118963071304</v>
      </c>
      <c r="O399" s="13">
        <f t="shared" ca="1" si="41"/>
        <v>-29.534317190725886</v>
      </c>
      <c r="P399" s="12">
        <f t="shared" ca="1" si="39"/>
        <v>0.20106047174652192</v>
      </c>
    </row>
    <row r="400" spans="1:16" x14ac:dyDescent="0.25">
      <c r="A400">
        <v>36</v>
      </c>
      <c r="B400">
        <v>6</v>
      </c>
      <c r="C400" s="2" t="s">
        <v>35</v>
      </c>
      <c r="D400" s="2" t="s">
        <v>5</v>
      </c>
      <c r="E400" s="11" cm="1">
        <f t="array" aca="1" ref="E400" ca="1">INDEX('OD flujo mercancia multimodal'!E$45:E$1645,MATCH(C400&amp;D400,'OD flujo mercancia multimodal'!C$45:C$1645&amp;'OD flujo mercancia multimodal'!D$45:D$1645,0))</f>
        <v>15313.016483516469</v>
      </c>
      <c r="F400" s="11" cm="1">
        <f t="array" aca="1" ref="F400" ca="1">INDEX('OD flujo mercancia carretera'!E$45:E$1646,MATCH(C400&amp;D400,'OD flujo mercancia carretera'!C$45:C$1646&amp;'OD flujo mercancia carretera'!D$45:D$1646,0))</f>
        <v>221273.69597069608</v>
      </c>
      <c r="G400" s="11" cm="1">
        <f t="array" aca="1" ref="G400" ca="1">INDEX('Coste Carretera'!E$46:E$1646,MATCH(C400&amp;D400,'Coste Carretera'!C$46:C$1646&amp;'Coste Carretera'!D$46:D$1646,0))</f>
        <v>864190338.55714214</v>
      </c>
      <c r="H400" s="11" cm="1">
        <f t="array" aca="1" ref="H400" ca="1">INDEX('Coste multimodal'!E$46:E$1646,MATCH(C400&amp;D400,'Coste multimodal'!C$46:C$1646&amp;'Coste multimodal'!D$46:D$1646,0))</f>
        <v>904198496.31680417</v>
      </c>
      <c r="I400" s="12" cm="1">
        <f t="array" aca="1" ref="I400" ca="1">INDEX('Tiempos intermodal (horas)'!E$45:E$1645,MATCH(C400&amp;D400,'Tiempos intermodal (horas)'!C$45:C$1645&amp;'Tiempos intermodal (horas)'!D$45:D$1645,0))</f>
        <v>34.444991627369561</v>
      </c>
      <c r="J400" s="2" cm="1">
        <f t="array" aca="1" ref="J400" ca="1">INDEX('Tiempos carretera (horas)'!E$45:E$1645,MATCH(C400&amp;D400,'Tiempos carretera (horas)'!C$45:C$1645&amp;'Tiempos carretera (horas)'!D$45:D$1645,0))</f>
        <v>7.5</v>
      </c>
      <c r="K400" s="12">
        <f t="shared" ca="1" si="36"/>
        <v>3.9055267494225312</v>
      </c>
      <c r="L400" s="12">
        <f t="shared" ca="1" si="37"/>
        <v>59.047706066934545</v>
      </c>
      <c r="M400" s="12">
        <f t="shared" ca="1" si="38"/>
        <v>6.4724752817553313E-2</v>
      </c>
      <c r="N400" s="13">
        <f t="shared" ca="1" si="40"/>
        <v>-55.142179317512017</v>
      </c>
      <c r="O400" s="13">
        <f t="shared" ca="1" si="41"/>
        <v>-26.944991627369561</v>
      </c>
      <c r="P400" s="12">
        <f t="shared" ca="1" si="39"/>
        <v>2.6706971613138344</v>
      </c>
    </row>
    <row r="401" spans="1:16" x14ac:dyDescent="0.25">
      <c r="A401">
        <v>19</v>
      </c>
      <c r="B401">
        <v>29</v>
      </c>
      <c r="C401" s="2" t="s">
        <v>18</v>
      </c>
      <c r="D401" s="2" t="s">
        <v>147</v>
      </c>
      <c r="E401" s="11" cm="1">
        <f t="array" aca="1" ref="E401" ca="1">INDEX('OD flujo mercancia multimodal'!E$45:E$1645,MATCH(C401&amp;D401,'OD flujo mercancia multimodal'!C$45:C$1645&amp;'OD flujo mercancia multimodal'!D$45:D$1645,0))</f>
        <v>38356.223076923081</v>
      </c>
      <c r="F401" s="11" cm="1">
        <f t="array" aca="1" ref="F401" ca="1">INDEX('OD flujo mercancia carretera'!E$45:E$1646,MATCH(C401&amp;D401,'OD flujo mercancia carretera'!C$45:C$1646&amp;'OD flujo mercancia carretera'!D$45:D$1646,0))</f>
        <v>401374.4</v>
      </c>
      <c r="G401" s="11" cm="1">
        <f t="array" aca="1" ref="G401" ca="1">INDEX('Coste Carretera'!E$46:E$1646,MATCH(C401&amp;D401,'Coste Carretera'!C$46:C$1646&amp;'Coste Carretera'!D$46:D$1646,0))</f>
        <v>300155856.56400001</v>
      </c>
      <c r="H401" s="11" cm="1">
        <f t="array" aca="1" ref="H401" ca="1">INDEX('Coste multimodal'!E$46:E$1646,MATCH(C401&amp;D401,'Coste multimodal'!C$46:C$1646&amp;'Coste multimodal'!D$46:D$1646,0))</f>
        <v>746296743.16290188</v>
      </c>
      <c r="I401" s="12" cm="1">
        <f t="array" aca="1" ref="I401" ca="1">INDEX('Tiempos intermodal (horas)'!E$45:E$1645,MATCH(C401&amp;D401,'Tiempos intermodal (horas)'!C$45:C$1645&amp;'Tiempos intermodal (horas)'!D$45:D$1645,0))</f>
        <v>46.448283939212644</v>
      </c>
      <c r="J401" s="2" cm="1">
        <f t="array" aca="1" ref="J401" ca="1">INDEX('Tiempos carretera (horas)'!E$45:E$1645,MATCH(C401&amp;D401,'Tiempos carretera (horas)'!C$45:C$1645&amp;'Tiempos carretera (horas)'!D$45:D$1645,0))</f>
        <v>4.6500000000000004</v>
      </c>
      <c r="K401" s="12">
        <f t="shared" ca="1" si="36"/>
        <v>0.74782013143837778</v>
      </c>
      <c r="L401" s="12">
        <f t="shared" ca="1" si="37"/>
        <v>19.456992458986644</v>
      </c>
      <c r="M401" s="12">
        <f t="shared" ca="1" si="38"/>
        <v>8.7226636181336276E-2</v>
      </c>
      <c r="N401" s="13">
        <f t="shared" ca="1" si="40"/>
        <v>-18.709172327548266</v>
      </c>
      <c r="O401" s="13">
        <f t="shared" ca="1" si="41"/>
        <v>-41.798283939212645</v>
      </c>
      <c r="P401" s="12">
        <f t="shared" ca="1" si="39"/>
        <v>2.3479778723136331</v>
      </c>
    </row>
    <row r="402" spans="1:16" x14ac:dyDescent="0.25">
      <c r="A402">
        <v>29</v>
      </c>
      <c r="B402">
        <v>19</v>
      </c>
      <c r="C402" s="2" t="s">
        <v>147</v>
      </c>
      <c r="D402" s="2" t="s">
        <v>18</v>
      </c>
      <c r="E402" s="11" cm="1">
        <f t="array" aca="1" ref="E402" ca="1">INDEX('OD flujo mercancia multimodal'!E$45:E$1645,MATCH(C402&amp;D402,'OD flujo mercancia multimodal'!C$45:C$1645&amp;'OD flujo mercancia multimodal'!D$45:D$1645,0))</f>
        <v>24565.723076923081</v>
      </c>
      <c r="F402" s="11" cm="1">
        <f t="array" aca="1" ref="F402" ca="1">INDEX('OD flujo mercancia carretera'!E$45:E$1646,MATCH(C402&amp;D402,'OD flujo mercancia carretera'!C$45:C$1646&amp;'OD flujo mercancia carretera'!D$45:D$1646,0))</f>
        <v>454010.4846153846</v>
      </c>
      <c r="G402" s="11" cm="1">
        <f t="array" aca="1" ref="G402" ca="1">INDEX('Coste Carretera'!E$46:E$1646,MATCH(C402&amp;D402,'Coste Carretera'!C$46:C$1646&amp;'Coste Carretera'!D$46:D$1646,0))</f>
        <v>192238574.62400004</v>
      </c>
      <c r="H402" s="11" cm="1">
        <f t="array" aca="1" ref="H402" ca="1">INDEX('Coste multimodal'!E$46:E$1646,MATCH(C402&amp;D402,'Coste multimodal'!C$46:C$1646&amp;'Coste multimodal'!D$46:D$1646,0))</f>
        <v>746296743.16290188</v>
      </c>
      <c r="I402" s="12" cm="1">
        <f t="array" aca="1" ref="I402" ca="1">INDEX('Tiempos intermodal (horas)'!E$45:E$1645,MATCH(C402&amp;D402,'Tiempos intermodal (horas)'!C$45:C$1645&amp;'Tiempos intermodal (horas)'!D$45:D$1645,0))</f>
        <v>46.448283939212644</v>
      </c>
      <c r="J402" s="2" cm="1">
        <f t="array" aca="1" ref="J402" ca="1">INDEX('Tiempos carretera (horas)'!E$45:E$1645,MATCH(C402&amp;D402,'Tiempos carretera (horas)'!C$45:C$1645&amp;'Tiempos carretera (horas)'!D$45:D$1645,0))</f>
        <v>4.6500000000000004</v>
      </c>
      <c r="K402" s="12">
        <f t="shared" ca="1" si="36"/>
        <v>0.42342320527433441</v>
      </c>
      <c r="L402" s="12">
        <f t="shared" ca="1" si="37"/>
        <v>30.379596025975289</v>
      </c>
      <c r="M402" s="12">
        <f t="shared" ca="1" si="38"/>
        <v>5.1330849051980432E-2</v>
      </c>
      <c r="N402" s="13">
        <f t="shared" ca="1" si="40"/>
        <v>-29.956172820700953</v>
      </c>
      <c r="O402" s="13">
        <f t="shared" ca="1" si="41"/>
        <v>-41.798283939212645</v>
      </c>
      <c r="P402" s="12">
        <f t="shared" ca="1" si="39"/>
        <v>2.9167681912034933</v>
      </c>
    </row>
    <row r="403" spans="1:16" x14ac:dyDescent="0.25">
      <c r="A403">
        <v>3</v>
      </c>
      <c r="B403">
        <v>31</v>
      </c>
      <c r="C403" s="2" t="s">
        <v>2</v>
      </c>
      <c r="D403" s="2" t="s">
        <v>30</v>
      </c>
      <c r="E403" s="11" cm="1">
        <f t="array" aca="1" ref="E403" ca="1">INDEX('OD flujo mercancia multimodal'!E$45:E$1645,MATCH(C403&amp;D403,'OD flujo mercancia multimodal'!C$45:C$1645&amp;'OD flujo mercancia multimodal'!D$45:D$1645,0))</f>
        <v>17622.03296703297</v>
      </c>
      <c r="F403" s="11" cm="1">
        <f t="array" aca="1" ref="F403" ca="1">INDEX('OD flujo mercancia carretera'!E$45:E$1646,MATCH(C403&amp;D403,'OD flujo mercancia carretera'!C$45:C$1646&amp;'OD flujo mercancia carretera'!D$45:D$1646,0))</f>
        <v>61790.461538461532</v>
      </c>
      <c r="G403" s="11" cm="1">
        <f t="array" aca="1" ref="G403" ca="1">INDEX('Coste Carretera'!E$46:E$1646,MATCH(C403&amp;D403,'Coste Carretera'!C$46:C$1646&amp;'Coste Carretera'!D$46:D$1646,0))</f>
        <v>502644701.52742863</v>
      </c>
      <c r="H403" s="11" cm="1">
        <f t="array" aca="1" ref="H403" ca="1">INDEX('Coste multimodal'!E$46:E$1646,MATCH(C403&amp;D403,'Coste multimodal'!C$46:C$1646&amp;'Coste multimodal'!D$46:D$1646,0))</f>
        <v>458128200.20583165</v>
      </c>
      <c r="I403" s="12" cm="1">
        <f t="array" aca="1" ref="I403" ca="1">INDEX('Tiempos intermodal (horas)'!E$45:E$1645,MATCH(C403&amp;D403,'Tiempos intermodal (horas)'!C$45:C$1645&amp;'Tiempos intermodal (horas)'!D$45:D$1645,0))</f>
        <v>32.315438665716499</v>
      </c>
      <c r="J403" s="2" cm="1">
        <f t="array" aca="1" ref="J403" ca="1">INDEX('Tiempos carretera (horas)'!E$45:E$1645,MATCH(C403&amp;D403,'Tiempos carretera (horas)'!C$45:C$1645&amp;'Tiempos carretera (horas)'!D$45:D$1645,0))</f>
        <v>4.5999999999999996</v>
      </c>
      <c r="K403" s="12">
        <f t="shared" ca="1" si="36"/>
        <v>8.1346649468633121</v>
      </c>
      <c r="L403" s="12">
        <f t="shared" ca="1" si="37"/>
        <v>25.997465846471343</v>
      </c>
      <c r="M403" s="12">
        <f t="shared" ca="1" si="38"/>
        <v>0.2219050424843878</v>
      </c>
      <c r="N403" s="13">
        <f t="shared" ca="1" si="40"/>
        <v>-17.862800899608033</v>
      </c>
      <c r="O403" s="13">
        <f t="shared" ca="1" si="41"/>
        <v>-27.715438665716498</v>
      </c>
      <c r="P403" s="12">
        <f t="shared" ca="1" si="39"/>
        <v>1.254599016282363</v>
      </c>
    </row>
    <row r="404" spans="1:16" x14ac:dyDescent="0.25">
      <c r="A404">
        <v>17</v>
      </c>
      <c r="B404">
        <v>41</v>
      </c>
      <c r="C404" s="2" t="s">
        <v>16</v>
      </c>
      <c r="D404" s="2" t="s">
        <v>40</v>
      </c>
      <c r="E404" s="11" cm="1">
        <f t="array" aca="1" ref="E404" ca="1">INDEX('OD flujo mercancia multimodal'!E$45:E$1645,MATCH(C404&amp;D404,'OD flujo mercancia multimodal'!C$45:C$1645&amp;'OD flujo mercancia multimodal'!D$45:D$1645,0))</f>
        <v>76295.538461538454</v>
      </c>
      <c r="F404" s="11" cm="1">
        <f t="array" aca="1" ref="F404" ca="1">INDEX('OD flujo mercancia carretera'!E$45:E$1646,MATCH(C404&amp;D404,'OD flujo mercancia carretera'!C$45:C$1646&amp;'OD flujo mercancia carretera'!D$45:D$1646,0))</f>
        <v>549734.26190476189</v>
      </c>
      <c r="G404" s="11" cm="1">
        <f t="array" aca="1" ref="G404" ca="1">INDEX('Coste Carretera'!E$46:E$1646,MATCH(C404&amp;D404,'Coste Carretera'!C$46:C$1646&amp;'Coste Carretera'!D$46:D$1646,0))</f>
        <v>1212220325.4400001</v>
      </c>
      <c r="H404" s="11" cm="1">
        <f t="array" aca="1" ref="H404" ca="1">INDEX('Coste multimodal'!E$46:E$1646,MATCH(C404&amp;D404,'Coste multimodal'!C$46:C$1646&amp;'Coste multimodal'!D$46:D$1646,0))</f>
        <v>902066050.96380424</v>
      </c>
      <c r="I404" s="12" cm="1">
        <f t="array" aca="1" ref="I404" ca="1">INDEX('Tiempos intermodal (horas)'!E$45:E$1645,MATCH(C404&amp;D404,'Tiempos intermodal (horas)'!C$45:C$1645&amp;'Tiempos intermodal (horas)'!D$45:D$1645,0))</f>
        <v>34.162011107298703</v>
      </c>
      <c r="J404" s="2" cm="1">
        <f t="array" aca="1" ref="J404" ca="1">INDEX('Tiempos carretera (horas)'!E$45:E$1645,MATCH(C404&amp;D404,'Tiempos carretera (horas)'!C$45:C$1645&amp;'Tiempos carretera (horas)'!D$45:D$1645,0))</f>
        <v>4.38</v>
      </c>
      <c r="K404" s="12">
        <f t="shared" ca="1" si="36"/>
        <v>2.2051023729898245</v>
      </c>
      <c r="L404" s="12">
        <f t="shared" ca="1" si="37"/>
        <v>11.823313252039597</v>
      </c>
      <c r="M404" s="12">
        <f t="shared" ca="1" si="38"/>
        <v>0.12187205531892678</v>
      </c>
      <c r="N404" s="13">
        <f t="shared" ca="1" si="40"/>
        <v>-9.6182108790497729</v>
      </c>
      <c r="O404" s="13">
        <f t="shared" ca="1" si="41"/>
        <v>-29.782011107298704</v>
      </c>
      <c r="P404" s="12">
        <f t="shared" ca="1" si="39"/>
        <v>1.9748205383495634</v>
      </c>
    </row>
    <row r="405" spans="1:16" x14ac:dyDescent="0.25">
      <c r="A405">
        <v>41</v>
      </c>
      <c r="B405">
        <v>17</v>
      </c>
      <c r="C405" s="2" t="s">
        <v>40</v>
      </c>
      <c r="D405" s="2" t="s">
        <v>16</v>
      </c>
      <c r="E405" s="11" cm="1">
        <f t="array" aca="1" ref="E405" ca="1">INDEX('OD flujo mercancia multimodal'!E$45:E$1645,MATCH(C405&amp;D405,'OD flujo mercancia multimodal'!C$45:C$1645&amp;'OD flujo mercancia multimodal'!D$45:D$1645,0))</f>
        <v>72149.461538461546</v>
      </c>
      <c r="F405" s="11" cm="1">
        <f t="array" aca="1" ref="F405" ca="1">INDEX('OD flujo mercancia carretera'!E$45:E$1646,MATCH(C405&amp;D405,'OD flujo mercancia carretera'!C$45:C$1646&amp;'OD flujo mercancia carretera'!D$45:D$1646,0))</f>
        <v>242087.038461538</v>
      </c>
      <c r="G405" s="11" cm="1">
        <f t="array" aca="1" ref="G405" ca="1">INDEX('Coste Carretera'!E$46:E$1646,MATCH(C405&amp;D405,'Coste Carretera'!C$46:C$1646&amp;'Coste Carretera'!D$46:D$1646,0))</f>
        <v>2010924705.6000004</v>
      </c>
      <c r="H405" s="11" cm="1">
        <f t="array" aca="1" ref="H405" ca="1">INDEX('Coste multimodal'!E$46:E$1646,MATCH(C405&amp;D405,'Coste multimodal'!C$46:C$1646&amp;'Coste multimodal'!D$46:D$1646,0))</f>
        <v>885818929.85196042</v>
      </c>
      <c r="I405" s="12" cm="1">
        <f t="array" aca="1" ref="I405" ca="1">INDEX('Tiempos intermodal (horas)'!E$45:E$1645,MATCH(C405&amp;D405,'Tiempos intermodal (horas)'!C$45:C$1645&amp;'Tiempos intermodal (horas)'!D$45:D$1645,0))</f>
        <v>50.879942306564367</v>
      </c>
      <c r="J405" s="2" cm="1">
        <f t="array" aca="1" ref="J405" ca="1">INDEX('Tiempos carretera (horas)'!E$45:E$1645,MATCH(C405&amp;D405,'Tiempos carretera (horas)'!C$45:C$1645&amp;'Tiempos carretera (horas)'!D$45:D$1645,0))</f>
        <v>5.75</v>
      </c>
      <c r="K405" s="12">
        <f t="shared" ca="1" si="36"/>
        <v>8.3066186375752178</v>
      </c>
      <c r="L405" s="12">
        <f t="shared" ca="1" si="37"/>
        <v>12.277554273634415</v>
      </c>
      <c r="M405" s="12">
        <f t="shared" ca="1" si="38"/>
        <v>0.22960242218348809</v>
      </c>
      <c r="N405" s="13">
        <f t="shared" ca="1" si="40"/>
        <v>-3.9709356360591972</v>
      </c>
      <c r="O405" s="13">
        <f t="shared" ca="1" si="41"/>
        <v>-45.129942306564367</v>
      </c>
      <c r="P405" s="12">
        <f t="shared" ca="1" si="39"/>
        <v>1.2105575024499922</v>
      </c>
    </row>
    <row r="406" spans="1:16" x14ac:dyDescent="0.25">
      <c r="A406">
        <v>21</v>
      </c>
      <c r="B406">
        <v>4</v>
      </c>
      <c r="C406" s="2" t="s">
        <v>20</v>
      </c>
      <c r="D406" s="2" t="s">
        <v>3</v>
      </c>
      <c r="E406" s="11" cm="1">
        <f t="array" aca="1" ref="E406" ca="1">INDEX('OD flujo mercancia multimodal'!E$45:E$1645,MATCH(C406&amp;D406,'OD flujo mercancia multimodal'!C$45:C$1645&amp;'OD flujo mercancia multimodal'!D$45:D$1645,0))</f>
        <v>54329.609890109859</v>
      </c>
      <c r="F406" s="11" cm="1">
        <f t="array" aca="1" ref="F406" ca="1">INDEX('OD flujo mercancia carretera'!E$45:E$1646,MATCH(C406&amp;D406,'OD flujo mercancia carretera'!C$45:C$1646&amp;'OD flujo mercancia carretera'!D$45:D$1646,0))</f>
        <v>141070.3846153846</v>
      </c>
      <c r="G406" s="11" cm="1">
        <f t="array" aca="1" ref="G406" ca="1">INDEX('Coste Carretera'!E$46:E$1646,MATCH(C406&amp;D406,'Coste Carretera'!C$46:C$1646&amp;'Coste Carretera'!D$46:D$1646,0))</f>
        <v>1714888057.9685702</v>
      </c>
      <c r="H406" s="11" cm="1">
        <f t="array" aca="1" ref="H406" ca="1">INDEX('Coste multimodal'!E$46:E$1646,MATCH(C406&amp;D406,'Coste multimodal'!C$46:C$1646&amp;'Coste multimodal'!D$46:D$1646,0))</f>
        <v>326925874.49606782</v>
      </c>
      <c r="I406" s="12" cm="1">
        <f t="array" aca="1" ref="I406" ca="1">INDEX('Tiempos intermodal (horas)'!E$45:E$1645,MATCH(C406&amp;D406,'Tiempos intermodal (horas)'!C$45:C$1645&amp;'Tiempos intermodal (horas)'!D$45:D$1645,0))</f>
        <v>31.25593944725976</v>
      </c>
      <c r="J406" s="2" cm="1">
        <f t="array" aca="1" ref="J406" ca="1">INDEX('Tiempos carretera (horas)'!E$45:E$1645,MATCH(C406&amp;D406,'Tiempos carretera (horas)'!C$45:C$1645&amp;'Tiempos carretera (horas)'!D$45:D$1645,0))</f>
        <v>6.92</v>
      </c>
      <c r="K406" s="12">
        <f t="shared" ca="1" si="36"/>
        <v>12.156258470862289</v>
      </c>
      <c r="L406" s="12">
        <f t="shared" ca="1" si="37"/>
        <v>6.0174530087244609</v>
      </c>
      <c r="M406" s="12">
        <f t="shared" ca="1" si="38"/>
        <v>0.27804304717409889</v>
      </c>
      <c r="N406" s="13">
        <f t="shared" ca="1" si="40"/>
        <v>6.1388054621378281</v>
      </c>
      <c r="O406" s="13">
        <f t="shared" ca="1" si="41"/>
        <v>-24.335939447259761</v>
      </c>
      <c r="P406" s="12">
        <f t="shared" ca="1" si="39"/>
        <v>0.95418956733732962</v>
      </c>
    </row>
    <row r="407" spans="1:16" x14ac:dyDescent="0.25">
      <c r="A407">
        <v>32</v>
      </c>
      <c r="B407">
        <v>27</v>
      </c>
      <c r="C407" s="2" t="s">
        <v>31</v>
      </c>
      <c r="D407" s="2" t="s">
        <v>145</v>
      </c>
      <c r="E407" s="11" cm="1">
        <f t="array" aca="1" ref="E407" ca="1">INDEX('OD flujo mercancia multimodal'!E$45:E$1645,MATCH(C407&amp;D407,'OD flujo mercancia multimodal'!C$45:C$1645&amp;'OD flujo mercancia multimodal'!D$45:D$1645,0))</f>
        <v>59591.076923076922</v>
      </c>
      <c r="F407" s="11" cm="1">
        <f t="array" aca="1" ref="F407" ca="1">INDEX('OD flujo mercancia carretera'!E$45:E$1646,MATCH(C407&amp;D407,'OD flujo mercancia carretera'!C$45:C$1646&amp;'OD flujo mercancia carretera'!D$45:D$1646,0))</f>
        <v>463171.69999999995</v>
      </c>
      <c r="G407" s="11" cm="1">
        <f t="array" aca="1" ref="G407" ca="1">INDEX('Coste Carretera'!E$46:E$1646,MATCH(C407&amp;D407,'Coste Carretera'!C$46:C$1646&amp;'Coste Carretera'!D$46:D$1646,0))</f>
        <v>1987042354.6800001</v>
      </c>
      <c r="H407" s="11" cm="1">
        <f t="array" aca="1" ref="H407" ca="1">INDEX('Coste multimodal'!E$46:E$1646,MATCH(C407&amp;D407,'Coste multimodal'!C$46:C$1646&amp;'Coste multimodal'!D$46:D$1646,0))</f>
        <v>173378024.35976115</v>
      </c>
      <c r="I407" s="12" cm="1">
        <f t="array" aca="1" ref="I407" ca="1">INDEX('Tiempos intermodal (horas)'!E$45:E$1645,MATCH(C407&amp;D407,'Tiempos intermodal (horas)'!C$45:C$1645&amp;'Tiempos intermodal (horas)'!D$45:D$1645,0))</f>
        <v>36.437041946731895</v>
      </c>
      <c r="J407" s="2" cm="1">
        <f t="array" aca="1" ref="J407" ca="1">INDEX('Tiempos carretera (horas)'!E$45:E$1645,MATCH(C407&amp;D407,'Tiempos carretera (horas)'!C$45:C$1645&amp;'Tiempos carretera (horas)'!D$45:D$1645,0))</f>
        <v>6.63</v>
      </c>
      <c r="K407" s="12">
        <f t="shared" ca="1" si="36"/>
        <v>4.2900772104167855</v>
      </c>
      <c r="L407" s="12">
        <f t="shared" ca="1" si="37"/>
        <v>2.9094628476603299</v>
      </c>
      <c r="M407" s="12">
        <f t="shared" ca="1" si="38"/>
        <v>0.11399257857229875</v>
      </c>
      <c r="N407" s="13">
        <f t="shared" ca="1" si="40"/>
        <v>1.3806143627564555</v>
      </c>
      <c r="O407" s="13">
        <f t="shared" ca="1" si="41"/>
        <v>-29.807041946731896</v>
      </c>
      <c r="P407" s="12">
        <f t="shared" ca="1" si="39"/>
        <v>2.0505919808668445</v>
      </c>
    </row>
    <row r="408" spans="1:16" x14ac:dyDescent="0.25">
      <c r="A408">
        <v>27</v>
      </c>
      <c r="B408">
        <v>32</v>
      </c>
      <c r="C408" s="2" t="s">
        <v>145</v>
      </c>
      <c r="D408" s="2" t="s">
        <v>31</v>
      </c>
      <c r="E408" s="11" cm="1">
        <f t="array" aca="1" ref="E408" ca="1">INDEX('OD flujo mercancia multimodal'!E$45:E$1645,MATCH(C408&amp;D408,'OD flujo mercancia multimodal'!C$45:C$1645&amp;'OD flujo mercancia multimodal'!D$45:D$1645,0))</f>
        <v>33754.384615384617</v>
      </c>
      <c r="F408" s="11" cm="1">
        <f t="array" aca="1" ref="F408" ca="1">INDEX('OD flujo mercancia carretera'!E$45:E$1646,MATCH(C408&amp;D408,'OD flujo mercancia carretera'!C$45:C$1646&amp;'OD flujo mercancia carretera'!D$45:D$1646,0))</f>
        <v>469558.69999999995</v>
      </c>
      <c r="G408" s="11" cm="1">
        <f t="array" aca="1" ref="G408" ca="1">INDEX('Coste Carretera'!E$46:E$1646,MATCH(C408&amp;D408,'Coste Carretera'!C$46:C$1646&amp;'Coste Carretera'!D$46:D$1646,0))</f>
        <v>1163640355.6399999</v>
      </c>
      <c r="H408" s="11" cm="1">
        <f t="array" aca="1" ref="H408" ca="1">INDEX('Coste multimodal'!E$46:E$1646,MATCH(C408&amp;D408,'Coste multimodal'!C$46:C$1646&amp;'Coste multimodal'!D$46:D$1646,0))</f>
        <v>173378024.35976115</v>
      </c>
      <c r="I408" s="12" cm="1">
        <f t="array" aca="1" ref="I408" ca="1">INDEX('Tiempos intermodal (horas)'!E$45:E$1645,MATCH(C408&amp;D408,'Tiempos intermodal (horas)'!C$45:C$1645&amp;'Tiempos intermodal (horas)'!D$45:D$1645,0))</f>
        <v>36.437041946731895</v>
      </c>
      <c r="J408" s="2" cm="1">
        <f t="array" aca="1" ref="J408" ca="1">INDEX('Tiempos carretera (horas)'!E$45:E$1645,MATCH(C408&amp;D408,'Tiempos carretera (horas)'!C$45:C$1645&amp;'Tiempos carretera (horas)'!D$45:D$1645,0))</f>
        <v>6.63</v>
      </c>
      <c r="K408" s="12">
        <f t="shared" ca="1" si="36"/>
        <v>2.4781573755102397</v>
      </c>
      <c r="L408" s="12">
        <f t="shared" ca="1" si="37"/>
        <v>5.136459346995137</v>
      </c>
      <c r="M408" s="12">
        <f t="shared" ca="1" si="38"/>
        <v>6.7064389238317965E-2</v>
      </c>
      <c r="N408" s="13">
        <f t="shared" ca="1" si="40"/>
        <v>-2.6583019714848972</v>
      </c>
      <c r="O408" s="13">
        <f t="shared" ca="1" si="41"/>
        <v>-29.807041946731896</v>
      </c>
      <c r="P408" s="12">
        <f t="shared" ca="1" si="39"/>
        <v>2.6326829940469172</v>
      </c>
    </row>
    <row r="409" spans="1:16" x14ac:dyDescent="0.25">
      <c r="A409">
        <v>31</v>
      </c>
      <c r="B409">
        <v>36</v>
      </c>
      <c r="C409" s="2" t="s">
        <v>30</v>
      </c>
      <c r="D409" s="2" t="s">
        <v>35</v>
      </c>
      <c r="E409" s="11" cm="1">
        <f t="array" aca="1" ref="E409" ca="1">INDEX('OD flujo mercancia multimodal'!E$45:E$1645,MATCH(C409&amp;D409,'OD flujo mercancia multimodal'!C$45:C$1645&amp;'OD flujo mercancia multimodal'!D$45:D$1645,0))</f>
        <v>5555.1538461538421</v>
      </c>
      <c r="F409" s="11" cm="1">
        <f t="array" aca="1" ref="F409" ca="1">INDEX('OD flujo mercancia carretera'!E$45:E$1646,MATCH(C409&amp;D409,'OD flujo mercancia carretera'!C$45:C$1646&amp;'OD flujo mercancia carretera'!D$45:D$1646,0))</f>
        <v>111484.23076923079</v>
      </c>
      <c r="G409" s="11" cm="1">
        <f t="array" aca="1" ref="G409" ca="1">INDEX('Coste Carretera'!E$46:E$1646,MATCH(C409&amp;D409,'Coste Carretera'!C$46:C$1646&amp;'Coste Carretera'!D$46:D$1646,0))</f>
        <v>354839833.68000019</v>
      </c>
      <c r="H409" s="11" cm="1">
        <f t="array" aca="1" ref="H409" ca="1">INDEX('Coste multimodal'!E$46:E$1646,MATCH(C409&amp;D409,'Coste multimodal'!C$46:C$1646&amp;'Coste multimodal'!D$46:D$1646,0))</f>
        <v>1031940576.9874672</v>
      </c>
      <c r="I409" s="12" cm="1">
        <f t="array" aca="1" ref="I409" ca="1">INDEX('Tiempos intermodal (horas)'!E$45:E$1645,MATCH(C409&amp;D409,'Tiempos intermodal (horas)'!C$45:C$1645&amp;'Tiempos intermodal (horas)'!D$45:D$1645,0))</f>
        <v>33.177126215571043</v>
      </c>
      <c r="J409" s="2" cm="1">
        <f t="array" aca="1" ref="J409" ca="1">INDEX('Tiempos carretera (horas)'!E$45:E$1645,MATCH(C409&amp;D409,'Tiempos carretera (horas)'!C$45:C$1645&amp;'Tiempos carretera (horas)'!D$45:D$1645,0))</f>
        <v>3.08</v>
      </c>
      <c r="K409" s="12">
        <f t="shared" ca="1" si="36"/>
        <v>3.182870180218659</v>
      </c>
      <c r="L409" s="12">
        <f t="shared" ca="1" si="37"/>
        <v>185.76273593249627</v>
      </c>
      <c r="M409" s="12">
        <f t="shared" ca="1" si="38"/>
        <v>4.7463970050844115E-2</v>
      </c>
      <c r="N409" s="13">
        <f t="shared" ca="1" si="40"/>
        <v>-182.57986575227761</v>
      </c>
      <c r="O409" s="13">
        <f t="shared" ca="1" si="41"/>
        <v>-30.097126215571045</v>
      </c>
      <c r="P409" s="12">
        <f t="shared" ca="1" si="39"/>
        <v>2.9991570350343411</v>
      </c>
    </row>
    <row r="410" spans="1:16" x14ac:dyDescent="0.25">
      <c r="A410">
        <v>36</v>
      </c>
      <c r="B410">
        <v>31</v>
      </c>
      <c r="C410" s="2" t="s">
        <v>35</v>
      </c>
      <c r="D410" s="2" t="s">
        <v>30</v>
      </c>
      <c r="E410" s="11" cm="1">
        <f t="array" aca="1" ref="E410" ca="1">INDEX('OD flujo mercancia multimodal'!E$45:E$1645,MATCH(C410&amp;D410,'OD flujo mercancia multimodal'!C$45:C$1645&amp;'OD flujo mercancia multimodal'!D$45:D$1645,0))</f>
        <v>4752.6923076923085</v>
      </c>
      <c r="F410" s="11" cm="1">
        <f t="array" aca="1" ref="F410" ca="1">INDEX('OD flujo mercancia carretera'!E$45:E$1646,MATCH(C410&amp;D410,'OD flujo mercancia carretera'!C$45:C$1646&amp;'OD flujo mercancia carretera'!D$45:D$1646,0))</f>
        <v>116868.61538461538</v>
      </c>
      <c r="G410" s="11" cm="1">
        <f t="array" aca="1" ref="G410" ca="1">INDEX('Coste Carretera'!E$46:E$1646,MATCH(C410&amp;D410,'Coste Carretera'!C$46:C$1646&amp;'Coste Carretera'!D$46:D$1646,0))</f>
        <v>249070516.31599995</v>
      </c>
      <c r="H410" s="11" cm="1">
        <f t="array" aca="1" ref="H410" ca="1">INDEX('Coste multimodal'!E$46:E$1646,MATCH(C410&amp;D410,'Coste multimodal'!C$46:C$1646&amp;'Coste multimodal'!D$46:D$1646,0))</f>
        <v>1031940576.9874672</v>
      </c>
      <c r="I410" s="12" cm="1">
        <f t="array" aca="1" ref="I410" ca="1">INDEX('Tiempos intermodal (horas)'!E$45:E$1645,MATCH(C410&amp;D410,'Tiempos intermodal (horas)'!C$45:C$1645&amp;'Tiempos intermodal (horas)'!D$45:D$1645,0))</f>
        <v>33.177126215571043</v>
      </c>
      <c r="J410" s="2" cm="1">
        <f t="array" aca="1" ref="J410" ca="1">INDEX('Tiempos carretera (horas)'!E$45:E$1645,MATCH(C410&amp;D410,'Tiempos carretera (horas)'!C$45:C$1645&amp;'Tiempos carretera (horas)'!D$45:D$1645,0))</f>
        <v>3.08</v>
      </c>
      <c r="K410" s="12">
        <f t="shared" ref="K410:K473" ca="1" si="42">G410/(F410*1000)</f>
        <v>2.1312010542463198</v>
      </c>
      <c r="L410" s="12">
        <f t="shared" ref="L410:L473" ca="1" si="43">H410/(E410*1000)</f>
        <v>217.12757952313783</v>
      </c>
      <c r="M410" s="12">
        <f t="shared" ref="M410:M473" ca="1" si="44">E410/(E410+F410)</f>
        <v>3.9077793175158464E-2</v>
      </c>
      <c r="N410" s="13">
        <f t="shared" ca="1" si="40"/>
        <v>-214.99637846889149</v>
      </c>
      <c r="O410" s="13">
        <f t="shared" ca="1" si="41"/>
        <v>-30.097126215571045</v>
      </c>
      <c r="P410" s="12">
        <f t="shared" ref="P410:P473" ca="1" si="45">LN(1/M410-1)</f>
        <v>3.2023390992968692</v>
      </c>
    </row>
    <row r="411" spans="1:16" x14ac:dyDescent="0.25">
      <c r="A411">
        <v>7</v>
      </c>
      <c r="B411">
        <v>20</v>
      </c>
      <c r="C411" s="2" t="s">
        <v>6</v>
      </c>
      <c r="D411" s="2" t="s">
        <v>19</v>
      </c>
      <c r="E411" s="11" cm="1">
        <f t="array" aca="1" ref="E411" ca="1">INDEX('OD flujo mercancia multimodal'!E$45:E$1645,MATCH(C411&amp;D411,'OD flujo mercancia multimodal'!C$45:C$1645&amp;'OD flujo mercancia multimodal'!D$45:D$1645,0))</f>
        <v>61262.835164835153</v>
      </c>
      <c r="F411" s="11" cm="1">
        <f t="array" aca="1" ref="F411" ca="1">INDEX('OD flujo mercancia carretera'!E$45:E$1646,MATCH(C411&amp;D411,'OD flujo mercancia carretera'!C$45:C$1646&amp;'OD flujo mercancia carretera'!D$45:D$1646,0))</f>
        <v>119248.35897435901</v>
      </c>
      <c r="G411" s="11" cm="1">
        <f t="array" aca="1" ref="G411" ca="1">INDEX('Coste Carretera'!E$46:E$1646,MATCH(C411&amp;D411,'Coste Carretera'!C$46:C$1646&amp;'Coste Carretera'!D$46:D$1646,0))</f>
        <v>3030907704.891428</v>
      </c>
      <c r="H411" s="11" cm="1">
        <f t="array" aca="1" ref="H411" ca="1">INDEX('Coste multimodal'!E$46:E$1646,MATCH(C411&amp;D411,'Coste multimodal'!C$46:C$1646&amp;'Coste multimodal'!D$46:D$1646,0))</f>
        <v>712199385.96646786</v>
      </c>
      <c r="I411" s="12" cm="1">
        <f t="array" aca="1" ref="I411" ca="1">INDEX('Tiempos intermodal (horas)'!E$45:E$1645,MATCH(C411&amp;D411,'Tiempos intermodal (horas)'!C$45:C$1645&amp;'Tiempos intermodal (horas)'!D$45:D$1645,0))</f>
        <v>40.303206079614768</v>
      </c>
      <c r="J411" s="2" cm="1">
        <f t="array" aca="1" ref="J411" ca="1">INDEX('Tiempos carretera (horas)'!E$45:E$1645,MATCH(C411&amp;D411,'Tiempos carretera (horas)'!C$45:C$1645&amp;'Tiempos carretera (horas)'!D$45:D$1645,0))</f>
        <v>10.130000000000001</v>
      </c>
      <c r="K411" s="12">
        <f t="shared" ca="1" si="42"/>
        <v>25.416766578256553</v>
      </c>
      <c r="L411" s="12">
        <f t="shared" ca="1" si="43"/>
        <v>11.625308950364577</v>
      </c>
      <c r="M411" s="12">
        <f t="shared" ca="1" si="44"/>
        <v>0.3393852412144297</v>
      </c>
      <c r="N411" s="13">
        <f t="shared" ca="1" si="40"/>
        <v>13.791457627891976</v>
      </c>
      <c r="O411" s="13">
        <f t="shared" ca="1" si="41"/>
        <v>-30.173206079614765</v>
      </c>
      <c r="P411" s="12">
        <f t="shared" ca="1" si="45"/>
        <v>0.66603498726933719</v>
      </c>
    </row>
    <row r="412" spans="1:16" x14ac:dyDescent="0.25">
      <c r="A412">
        <v>20</v>
      </c>
      <c r="B412">
        <v>7</v>
      </c>
      <c r="C412" s="2" t="s">
        <v>19</v>
      </c>
      <c r="D412" s="2" t="s">
        <v>6</v>
      </c>
      <c r="E412" s="11" cm="1">
        <f t="array" aca="1" ref="E412" ca="1">INDEX('OD flujo mercancia multimodal'!E$45:E$1645,MATCH(C412&amp;D412,'OD flujo mercancia multimodal'!C$45:C$1645&amp;'OD flujo mercancia multimodal'!D$45:D$1645,0))</f>
        <v>36925.554945054944</v>
      </c>
      <c r="F412" s="11" cm="1">
        <f t="array" aca="1" ref="F412" ca="1">INDEX('OD flujo mercancia carretera'!E$45:E$1646,MATCH(C412&amp;D412,'OD flujo mercancia carretera'!C$45:C$1646&amp;'OD flujo mercancia carretera'!D$45:D$1646,0))</f>
        <v>123793.41025641024</v>
      </c>
      <c r="G412" s="11" cm="1">
        <f t="array" aca="1" ref="G412" ca="1">INDEX('Coste Carretera'!E$46:E$1646,MATCH(C412&amp;D412,'Coste Carretera'!C$46:C$1646&amp;'Coste Carretera'!D$46:D$1646,0))</f>
        <v>1826848997.262857</v>
      </c>
      <c r="H412" s="11" cm="1">
        <f t="array" aca="1" ref="H412" ca="1">INDEX('Coste multimodal'!E$46:E$1646,MATCH(C412&amp;D412,'Coste multimodal'!C$46:C$1646&amp;'Coste multimodal'!D$46:D$1646,0))</f>
        <v>712199385.96646786</v>
      </c>
      <c r="I412" s="12" cm="1">
        <f t="array" aca="1" ref="I412" ca="1">INDEX('Tiempos intermodal (horas)'!E$45:E$1645,MATCH(C412&amp;D412,'Tiempos intermodal (horas)'!C$45:C$1645&amp;'Tiempos intermodal (horas)'!D$45:D$1645,0))</f>
        <v>40.303206079614768</v>
      </c>
      <c r="J412" s="2" cm="1">
        <f t="array" aca="1" ref="J412" ca="1">INDEX('Tiempos carretera (horas)'!E$45:E$1645,MATCH(C412&amp;D412,'Tiempos carretera (horas)'!C$45:C$1645&amp;'Tiempos carretera (horas)'!D$45:D$1645,0))</f>
        <v>10.130000000000001</v>
      </c>
      <c r="K412" s="12">
        <f t="shared" ca="1" si="42"/>
        <v>14.757239448198007</v>
      </c>
      <c r="L412" s="12">
        <f t="shared" ca="1" si="43"/>
        <v>19.28743893019935</v>
      </c>
      <c r="M412" s="12">
        <f t="shared" ca="1" si="44"/>
        <v>0.22975231889259523</v>
      </c>
      <c r="N412" s="13">
        <f t="shared" ca="1" si="40"/>
        <v>-4.5301994820013434</v>
      </c>
      <c r="O412" s="13">
        <f t="shared" ca="1" si="41"/>
        <v>-30.173206079614765</v>
      </c>
      <c r="P412" s="12">
        <f t="shared" ca="1" si="45"/>
        <v>1.2097102726035245</v>
      </c>
    </row>
    <row r="413" spans="1:16" x14ac:dyDescent="0.25">
      <c r="A413">
        <v>9</v>
      </c>
      <c r="B413">
        <v>10</v>
      </c>
      <c r="C413" s="2" t="s">
        <v>148</v>
      </c>
      <c r="D413" s="2" t="s">
        <v>9</v>
      </c>
      <c r="E413" s="11" cm="1">
        <f t="array" aca="1" ref="E413" ca="1">INDEX('OD flujo mercancia multimodal'!E$45:E$1645,MATCH(C413&amp;D413,'OD flujo mercancia multimodal'!C$45:C$1645&amp;'OD flujo mercancia multimodal'!D$45:D$1645,0))</f>
        <v>21997.714285714301</v>
      </c>
      <c r="F413" s="11" cm="1">
        <f t="array" aca="1" ref="F413" ca="1">INDEX('OD flujo mercancia carretera'!E$45:E$1646,MATCH(C413&amp;D413,'OD flujo mercancia carretera'!C$45:C$1646&amp;'OD flujo mercancia carretera'!D$45:D$1646,0))</f>
        <v>669676.22008547024</v>
      </c>
      <c r="G413" s="11" cm="1">
        <f t="array" aca="1" ref="G413" ca="1">INDEX('Coste Carretera'!E$46:E$1646,MATCH(C413&amp;D413,'Coste Carretera'!C$46:C$1646&amp;'Coste Carretera'!D$46:D$1646,0))</f>
        <v>491010980.57142889</v>
      </c>
      <c r="H413" s="11" cm="1">
        <f t="array" aca="1" ref="H413" ca="1">INDEX('Coste multimodal'!E$46:E$1646,MATCH(C413&amp;D413,'Coste multimodal'!C$46:C$1646&amp;'Coste multimodal'!D$46:D$1646,0))</f>
        <v>864744493.51137567</v>
      </c>
      <c r="I413" s="12" cm="1">
        <f t="array" aca="1" ref="I413" ca="1">INDEX('Tiempos intermodal (horas)'!E$45:E$1645,MATCH(C413&amp;D413,'Tiempos intermodal (horas)'!C$45:C$1645&amp;'Tiempos intermodal (horas)'!D$45:D$1645,0))</f>
        <v>34.729436071814007</v>
      </c>
      <c r="J413" s="2" cm="1">
        <f t="array" aca="1" ref="J413" ca="1">INDEX('Tiempos carretera (horas)'!E$45:E$1645,MATCH(C413&amp;D413,'Tiempos carretera (horas)'!C$45:C$1645&amp;'Tiempos carretera (horas)'!D$45:D$1645,0))</f>
        <v>4.46</v>
      </c>
      <c r="K413" s="12">
        <f t="shared" ca="1" si="42"/>
        <v>0.73320653450821593</v>
      </c>
      <c r="L413" s="12">
        <f t="shared" ca="1" si="43"/>
        <v>39.310652110476575</v>
      </c>
      <c r="M413" s="12">
        <f t="shared" ca="1" si="44"/>
        <v>3.1803590091497219E-2</v>
      </c>
      <c r="N413" s="13">
        <f t="shared" ca="1" si="40"/>
        <v>-38.577445575968362</v>
      </c>
      <c r="O413" s="13">
        <f t="shared" ca="1" si="41"/>
        <v>-30.269436071814006</v>
      </c>
      <c r="P413" s="12">
        <f t="shared" ca="1" si="45"/>
        <v>3.4158557901197342</v>
      </c>
    </row>
    <row r="414" spans="1:16" x14ac:dyDescent="0.25">
      <c r="A414">
        <v>10</v>
      </c>
      <c r="B414">
        <v>9</v>
      </c>
      <c r="C414" s="2" t="s">
        <v>9</v>
      </c>
      <c r="D414" s="2" t="s">
        <v>148</v>
      </c>
      <c r="E414" s="11" cm="1">
        <f t="array" aca="1" ref="E414" ca="1">INDEX('OD flujo mercancia multimodal'!E$45:E$1645,MATCH(C414&amp;D414,'OD flujo mercancia multimodal'!C$45:C$1645&amp;'OD flujo mercancia multimodal'!D$45:D$1645,0))</f>
        <v>14649.025974025973</v>
      </c>
      <c r="F414" s="11" cm="1">
        <f t="array" aca="1" ref="F414" ca="1">INDEX('OD flujo mercancia carretera'!E$45:E$1646,MATCH(C414&amp;D414,'OD flujo mercancia carretera'!C$45:C$1646&amp;'OD flujo mercancia carretera'!D$45:D$1646,0))</f>
        <v>660792.54487179511</v>
      </c>
      <c r="G414" s="11" cm="1">
        <f t="array" aca="1" ref="G414" ca="1">INDEX('Coste Carretera'!E$46:E$1646,MATCH(C414&amp;D414,'Coste Carretera'!C$46:C$1646&amp;'Coste Carretera'!D$46:D$1646,0))</f>
        <v>326980908.76623374</v>
      </c>
      <c r="H414" s="11" cm="1">
        <f t="array" aca="1" ref="H414" ca="1">INDEX('Coste multimodal'!E$46:E$1646,MATCH(C414&amp;D414,'Coste multimodal'!C$46:C$1646&amp;'Coste multimodal'!D$46:D$1646,0))</f>
        <v>864744493.51137567</v>
      </c>
      <c r="I414" s="12" cm="1">
        <f t="array" aca="1" ref="I414" ca="1">INDEX('Tiempos intermodal (horas)'!E$45:E$1645,MATCH(C414&amp;D414,'Tiempos intermodal (horas)'!C$45:C$1645&amp;'Tiempos intermodal (horas)'!D$45:D$1645,0))</f>
        <v>34.729436071814007</v>
      </c>
      <c r="J414" s="2" cm="1">
        <f t="array" aca="1" ref="J414" ca="1">INDEX('Tiempos carretera (horas)'!E$45:E$1645,MATCH(C414&amp;D414,'Tiempos carretera (horas)'!C$45:C$1645&amp;'Tiempos carretera (horas)'!D$45:D$1645,0))</f>
        <v>4.46</v>
      </c>
      <c r="K414" s="12">
        <f t="shared" ca="1" si="42"/>
        <v>0.4948314131323524</v>
      </c>
      <c r="L414" s="12">
        <f t="shared" ca="1" si="43"/>
        <v>59.030852634478535</v>
      </c>
      <c r="M414" s="12">
        <f t="shared" ca="1" si="44"/>
        <v>2.1688072819802524E-2</v>
      </c>
      <c r="N414" s="13">
        <f t="shared" ca="1" si="40"/>
        <v>-58.536021221346182</v>
      </c>
      <c r="O414" s="13">
        <f t="shared" ca="1" si="41"/>
        <v>-30.269436071814006</v>
      </c>
      <c r="P414" s="12">
        <f t="shared" ca="1" si="45"/>
        <v>3.8090660933313032</v>
      </c>
    </row>
    <row r="415" spans="1:16" x14ac:dyDescent="0.25">
      <c r="A415">
        <v>6</v>
      </c>
      <c r="B415">
        <v>20</v>
      </c>
      <c r="C415" s="2" t="s">
        <v>5</v>
      </c>
      <c r="D415" s="2" t="s">
        <v>19</v>
      </c>
      <c r="E415" s="11" cm="1">
        <f t="array" aca="1" ref="E415" ca="1">INDEX('OD flujo mercancia multimodal'!E$45:E$1645,MATCH(C415&amp;D415,'OD flujo mercancia multimodal'!C$45:C$1645&amp;'OD flujo mercancia multimodal'!D$45:D$1645,0))</f>
        <v>69967.906593406587</v>
      </c>
      <c r="F415" s="11" cm="1">
        <f t="array" aca="1" ref="F415" ca="1">INDEX('OD flujo mercancia carretera'!E$45:E$1646,MATCH(C415&amp;D415,'OD flujo mercancia carretera'!C$45:C$1646&amp;'OD flujo mercancia carretera'!D$45:D$1646,0))</f>
        <v>190941.36630036632</v>
      </c>
      <c r="G415" s="11" cm="1">
        <f t="array" aca="1" ref="G415" ca="1">INDEX('Coste Carretera'!E$46:E$1646,MATCH(C415&amp;D415,'Coste Carretera'!C$46:C$1646&amp;'Coste Carretera'!D$46:D$1646,0))</f>
        <v>4369235486.1457138</v>
      </c>
      <c r="H415" s="11" cm="1">
        <f t="array" aca="1" ref="H415" ca="1">INDEX('Coste multimodal'!E$46:E$1646,MATCH(C415&amp;D415,'Coste multimodal'!C$46:C$1646&amp;'Coste multimodal'!D$46:D$1646,0))</f>
        <v>850888383.50075352</v>
      </c>
      <c r="I415" s="12" cm="1">
        <f t="array" aca="1" ref="I415" ca="1">INDEX('Tiempos intermodal (horas)'!E$45:E$1645,MATCH(C415&amp;D415,'Tiempos intermodal (horas)'!C$45:C$1645&amp;'Tiempos intermodal (horas)'!D$45:D$1645,0))</f>
        <v>42.408761635170322</v>
      </c>
      <c r="J415" s="2" cm="1">
        <f t="array" aca="1" ref="J415" ca="1">INDEX('Tiempos carretera (horas)'!E$45:E$1645,MATCH(C415&amp;D415,'Tiempos carretera (horas)'!C$45:C$1645&amp;'Tiempos carretera (horas)'!D$45:D$1645,0))</f>
        <v>12.13</v>
      </c>
      <c r="K415" s="12">
        <f t="shared" ca="1" si="42"/>
        <v>22.882603025226867</v>
      </c>
      <c r="L415" s="12">
        <f t="shared" ca="1" si="43"/>
        <v>12.161123934225822</v>
      </c>
      <c r="M415" s="12">
        <f t="shared" ca="1" si="44"/>
        <v>0.26816948979001387</v>
      </c>
      <c r="N415" s="13">
        <f t="shared" ca="1" si="40"/>
        <v>10.721479091001045</v>
      </c>
      <c r="O415" s="13">
        <f t="shared" ca="1" si="41"/>
        <v>-30.278761635170319</v>
      </c>
      <c r="P415" s="12">
        <f t="shared" ca="1" si="45"/>
        <v>1.0039297385177077</v>
      </c>
    </row>
    <row r="416" spans="1:16" x14ac:dyDescent="0.25">
      <c r="A416">
        <v>6</v>
      </c>
      <c r="B416">
        <v>9</v>
      </c>
      <c r="C416" s="2" t="s">
        <v>5</v>
      </c>
      <c r="D416" s="2" t="s">
        <v>148</v>
      </c>
      <c r="E416" s="11" cm="1">
        <f t="array" aca="1" ref="E416" ca="1">INDEX('OD flujo mercancia multimodal'!E$45:E$1645,MATCH(C416&amp;D416,'OD flujo mercancia multimodal'!C$45:C$1645&amp;'OD flujo mercancia multimodal'!D$45:D$1645,0))</f>
        <v>12105.66883116883</v>
      </c>
      <c r="F416" s="11" cm="1">
        <f t="array" aca="1" ref="F416" ca="1">INDEX('OD flujo mercancia carretera'!E$45:E$1646,MATCH(C416&amp;D416,'OD flujo mercancia carretera'!C$45:C$1646&amp;'OD flujo mercancia carretera'!D$45:D$1646,0))</f>
        <v>697944.32142857159</v>
      </c>
      <c r="G416" s="11" cm="1">
        <f t="array" aca="1" ref="G416" ca="1">INDEX('Coste Carretera'!E$46:E$1646,MATCH(C416&amp;D416,'Coste Carretera'!C$46:C$1646&amp;'Coste Carretera'!D$46:D$1646,0))</f>
        <v>368122251.94051945</v>
      </c>
      <c r="H416" s="11" cm="1">
        <f t="array" aca="1" ref="H416" ca="1">INDEX('Coste multimodal'!E$46:E$1646,MATCH(C416&amp;D416,'Coste multimodal'!C$46:C$1646&amp;'Coste multimodal'!D$46:D$1646,0))</f>
        <v>893986567.34553146</v>
      </c>
      <c r="I416" s="12" cm="1">
        <f t="array" aca="1" ref="I416" ca="1">INDEX('Tiempos intermodal (horas)'!E$45:E$1645,MATCH(C416&amp;D416,'Tiempos intermodal (horas)'!C$45:C$1645&amp;'Tiempos intermodal (horas)'!D$45:D$1645,0))</f>
        <v>36.286102738480672</v>
      </c>
      <c r="J416" s="2" cm="1">
        <f t="array" aca="1" ref="J416" ca="1">INDEX('Tiempos carretera (horas)'!E$45:E$1645,MATCH(C416&amp;D416,'Tiempos carretera (horas)'!C$45:C$1645&amp;'Tiempos carretera (horas)'!D$45:D$1645,0))</f>
        <v>5.86</v>
      </c>
      <c r="K416" s="12">
        <f t="shared" ca="1" si="42"/>
        <v>0.52743784946489247</v>
      </c>
      <c r="L416" s="12">
        <f t="shared" ca="1" si="43"/>
        <v>73.848589434708245</v>
      </c>
      <c r="M416" s="12">
        <f t="shared" ca="1" si="44"/>
        <v>1.7049037387833085E-2</v>
      </c>
      <c r="N416" s="13">
        <f t="shared" ca="1" si="40"/>
        <v>-73.321151585243356</v>
      </c>
      <c r="O416" s="13">
        <f t="shared" ca="1" si="41"/>
        <v>-30.426102738480672</v>
      </c>
      <c r="P416" s="12">
        <f t="shared" ca="1" si="45"/>
        <v>4.0544654895184342</v>
      </c>
    </row>
    <row r="417" spans="1:16" x14ac:dyDescent="0.25">
      <c r="A417">
        <v>4</v>
      </c>
      <c r="B417">
        <v>20</v>
      </c>
      <c r="C417" s="2" t="s">
        <v>3</v>
      </c>
      <c r="D417" s="2" t="s">
        <v>19</v>
      </c>
      <c r="E417" s="11" cm="1">
        <f t="array" aca="1" ref="E417" ca="1">INDEX('OD flujo mercancia multimodal'!E$45:E$1645,MATCH(C417&amp;D417,'OD flujo mercancia multimodal'!C$45:C$1645&amp;'OD flujo mercancia multimodal'!D$45:D$1645,0))</f>
        <v>88076.835164835153</v>
      </c>
      <c r="F417" s="11" cm="1">
        <f t="array" aca="1" ref="F417" ca="1">INDEX('OD flujo mercancia carretera'!E$45:E$1646,MATCH(C417&amp;D417,'OD flujo mercancia carretera'!C$45:C$1646&amp;'OD flujo mercancia carretera'!D$45:D$1646,0))</f>
        <v>94296.820512820545</v>
      </c>
      <c r="G417" s="11" cm="1">
        <f t="array" aca="1" ref="G417" ca="1">INDEX('Coste Carretera'!E$46:E$1646,MATCH(C417&amp;D417,'Coste Carretera'!C$46:C$1646&amp;'Coste Carretera'!D$46:D$1646,0))</f>
        <v>3862539144.6857138</v>
      </c>
      <c r="H417" s="11" cm="1">
        <f t="array" aca="1" ref="H417" ca="1">INDEX('Coste multimodal'!E$46:E$1646,MATCH(C417&amp;D417,'Coste multimodal'!C$46:C$1646&amp;'Coste multimodal'!D$46:D$1646,0))</f>
        <v>949252578.90999544</v>
      </c>
      <c r="I417" s="12" cm="1">
        <f t="array" aca="1" ref="I417" ca="1">INDEX('Tiempos intermodal (horas)'!E$45:E$1645,MATCH(C417&amp;D417,'Tiempos intermodal (horas)'!C$45:C$1645&amp;'Tiempos intermodal (horas)'!D$45:D$1645,0))</f>
        <v>39.518504532364396</v>
      </c>
      <c r="J417" s="2" cm="1">
        <f t="array" aca="1" ref="J417" ca="1">INDEX('Tiempos carretera (horas)'!E$45:E$1645,MATCH(C417&amp;D417,'Tiempos carretera (horas)'!C$45:C$1645&amp;'Tiempos carretera (horas)'!D$45:D$1645,0))</f>
        <v>9.01</v>
      </c>
      <c r="K417" s="12">
        <f t="shared" ca="1" si="42"/>
        <v>40.961499270917251</v>
      </c>
      <c r="L417" s="12">
        <f t="shared" ca="1" si="43"/>
        <v>10.777550954612256</v>
      </c>
      <c r="M417" s="12">
        <f t="shared" ca="1" si="44"/>
        <v>0.48294713859610516</v>
      </c>
      <c r="N417" s="13">
        <f t="shared" ca="1" si="40"/>
        <v>30.183948316304996</v>
      </c>
      <c r="O417" s="13">
        <f t="shared" ca="1" si="41"/>
        <v>-30.508504532364398</v>
      </c>
      <c r="P417" s="12">
        <f t="shared" ca="1" si="45"/>
        <v>6.8237911948067775E-2</v>
      </c>
    </row>
    <row r="418" spans="1:16" x14ac:dyDescent="0.25">
      <c r="A418">
        <v>40</v>
      </c>
      <c r="B418">
        <v>17</v>
      </c>
      <c r="C418" s="2" t="s">
        <v>39</v>
      </c>
      <c r="D418" s="2" t="s">
        <v>16</v>
      </c>
      <c r="E418" s="11" cm="1">
        <f t="array" aca="1" ref="E418" ca="1">INDEX('OD flujo mercancia multimodal'!E$45:E$1645,MATCH(C418&amp;D418,'OD flujo mercancia multimodal'!C$45:C$1645&amp;'OD flujo mercancia multimodal'!D$45:D$1645,0))</f>
        <v>67173.23076923078</v>
      </c>
      <c r="F418" s="11" cm="1">
        <f t="array" aca="1" ref="F418" ca="1">INDEX('OD flujo mercancia carretera'!E$45:E$1646,MATCH(C418&amp;D418,'OD flujo mercancia carretera'!C$45:C$1646&amp;'OD flujo mercancia carretera'!D$45:D$1646,0))</f>
        <v>275090.05128205084</v>
      </c>
      <c r="G418" s="11" cm="1">
        <f t="array" aca="1" ref="G418" ca="1">INDEX('Coste Carretera'!E$46:E$1646,MATCH(C418&amp;D418,'Coste Carretera'!C$46:C$1646&amp;'Coste Carretera'!D$46:D$1646,0))</f>
        <v>2367608064</v>
      </c>
      <c r="H418" s="11" cm="1">
        <f t="array" aca="1" ref="H418" ca="1">INDEX('Coste multimodal'!E$46:E$1646,MATCH(C418&amp;D418,'Coste multimodal'!C$46:C$1646&amp;'Coste multimodal'!D$46:D$1646,0))</f>
        <v>769680285.63363147</v>
      </c>
      <c r="I418" s="12" cm="1">
        <f t="array" aca="1" ref="I418" ca="1">INDEX('Tiempos intermodal (horas)'!E$45:E$1645,MATCH(C418&amp;D418,'Tiempos intermodal (horas)'!C$45:C$1645&amp;'Tiempos intermodal (horas)'!D$45:D$1645,0))</f>
        <v>49.184962782118049</v>
      </c>
      <c r="J418" s="2" cm="1">
        <f t="array" aca="1" ref="J418" ca="1">INDEX('Tiempos carretera (horas)'!E$45:E$1645,MATCH(C418&amp;D418,'Tiempos carretera (horas)'!C$45:C$1645&amp;'Tiempos carretera (horas)'!D$45:D$1645,0))</f>
        <v>7.46</v>
      </c>
      <c r="K418" s="12">
        <f t="shared" ca="1" si="42"/>
        <v>8.606665537215239</v>
      </c>
      <c r="L418" s="12">
        <f t="shared" ca="1" si="43"/>
        <v>11.458140048047078</v>
      </c>
      <c r="M418" s="12">
        <f t="shared" ca="1" si="44"/>
        <v>0.19626186708268095</v>
      </c>
      <c r="N418" s="13">
        <f t="shared" ca="1" si="40"/>
        <v>-2.8514745108318387</v>
      </c>
      <c r="O418" s="13">
        <f t="shared" ca="1" si="41"/>
        <v>-41.724962782118048</v>
      </c>
      <c r="P418" s="12">
        <f t="shared" ca="1" si="45"/>
        <v>1.4098236867533069</v>
      </c>
    </row>
    <row r="419" spans="1:16" x14ac:dyDescent="0.25">
      <c r="A419">
        <v>17</v>
      </c>
      <c r="B419">
        <v>40</v>
      </c>
      <c r="C419" s="2" t="s">
        <v>16</v>
      </c>
      <c r="D419" s="2" t="s">
        <v>39</v>
      </c>
      <c r="E419" s="11" cm="1">
        <f t="array" aca="1" ref="E419" ca="1">INDEX('OD flujo mercancia multimodal'!E$45:E$1645,MATCH(C419&amp;D419,'OD flujo mercancia multimodal'!C$45:C$1645&amp;'OD flujo mercancia multimodal'!D$45:D$1645,0))</f>
        <v>63936.61538461539</v>
      </c>
      <c r="F419" s="11" cm="1">
        <f t="array" aca="1" ref="F419" ca="1">INDEX('OD flujo mercancia carretera'!E$45:E$1646,MATCH(C419&amp;D419,'OD flujo mercancia carretera'!C$45:C$1646&amp;'OD flujo mercancia carretera'!D$45:D$1646,0))</f>
        <v>601555.91208791221</v>
      </c>
      <c r="G419" s="11" cm="1">
        <f t="array" aca="1" ref="G419" ca="1">INDEX('Coste Carretera'!E$46:E$1646,MATCH(C419&amp;D419,'Coste Carretera'!C$46:C$1646&amp;'Coste Carretera'!D$46:D$1646,0))</f>
        <v>1718056904.4000001</v>
      </c>
      <c r="H419" s="11" cm="1">
        <f t="array" aca="1" ref="H419" ca="1">INDEX('Coste multimodal'!E$46:E$1646,MATCH(C419&amp;D419,'Coste multimodal'!C$46:C$1646&amp;'Coste multimodal'!D$46:D$1646,0))</f>
        <v>885818929.85196042</v>
      </c>
      <c r="I419" s="12" cm="1">
        <f t="array" aca="1" ref="I419" ca="1">INDEX('Tiempos intermodal (horas)'!E$45:E$1645,MATCH(C419&amp;D419,'Tiempos intermodal (horas)'!C$45:C$1645&amp;'Tiempos intermodal (horas)'!D$45:D$1645,0))</f>
        <v>50.879942306564367</v>
      </c>
      <c r="J419" s="2" cm="1">
        <f t="array" aca="1" ref="J419" ca="1">INDEX('Tiempos carretera (horas)'!E$45:E$1645,MATCH(C419&amp;D419,'Tiempos carretera (horas)'!C$45:C$1645&amp;'Tiempos carretera (horas)'!D$45:D$1645,0))</f>
        <v>5.75</v>
      </c>
      <c r="K419" s="12">
        <f t="shared" ca="1" si="42"/>
        <v>2.8560219754750262</v>
      </c>
      <c r="L419" s="12">
        <f t="shared" ca="1" si="43"/>
        <v>13.854642203426812</v>
      </c>
      <c r="M419" s="12">
        <f t="shared" ca="1" si="44"/>
        <v>9.6074129678720963E-2</v>
      </c>
      <c r="N419" s="13">
        <f t="shared" ca="1" si="40"/>
        <v>-10.998620227951786</v>
      </c>
      <c r="O419" s="13">
        <f t="shared" ca="1" si="41"/>
        <v>-45.129942306564367</v>
      </c>
      <c r="P419" s="12">
        <f t="shared" ca="1" si="45"/>
        <v>2.2416272775324644</v>
      </c>
    </row>
    <row r="420" spans="1:16" x14ac:dyDescent="0.25">
      <c r="A420">
        <v>20</v>
      </c>
      <c r="B420">
        <v>6</v>
      </c>
      <c r="C420" s="2" t="s">
        <v>19</v>
      </c>
      <c r="D420" s="2" t="s">
        <v>5</v>
      </c>
      <c r="E420" s="11" cm="1">
        <f t="array" aca="1" ref="E420" ca="1">INDEX('OD flujo mercancia multimodal'!E$45:E$1645,MATCH(C420&amp;D420,'OD flujo mercancia multimodal'!C$45:C$1645&amp;'OD flujo mercancia multimodal'!D$45:D$1645,0))</f>
        <v>45175.55494505493</v>
      </c>
      <c r="F420" s="11" cm="1">
        <f t="array" aca="1" ref="F420" ca="1">INDEX('OD flujo mercancia carretera'!E$45:E$1646,MATCH(C420&amp;D420,'OD flujo mercancia carretera'!C$45:C$1646&amp;'OD flujo mercancia carretera'!D$45:D$1646,0))</f>
        <v>190247.10622710633</v>
      </c>
      <c r="G420" s="11" cm="1">
        <f t="array" aca="1" ref="G420" ca="1">INDEX('Coste Carretera'!E$46:E$1646,MATCH(C420&amp;D420,'Coste Carretera'!C$46:C$1646&amp;'Coste Carretera'!D$46:D$1646,0))</f>
        <v>2821045353.2542849</v>
      </c>
      <c r="H420" s="11" cm="1">
        <f t="array" aca="1" ref="H420" ca="1">INDEX('Coste multimodal'!E$46:E$1646,MATCH(C420&amp;D420,'Coste multimodal'!C$46:C$1646&amp;'Coste multimodal'!D$46:D$1646,0))</f>
        <v>850888383.50075352</v>
      </c>
      <c r="I420" s="12" cm="1">
        <f t="array" aca="1" ref="I420" ca="1">INDEX('Tiempos intermodal (horas)'!E$45:E$1645,MATCH(C420&amp;D420,'Tiempos intermodal (horas)'!C$45:C$1645&amp;'Tiempos intermodal (horas)'!D$45:D$1645,0))</f>
        <v>42.408761635170322</v>
      </c>
      <c r="J420" s="2" cm="1">
        <f t="array" aca="1" ref="J420" ca="1">INDEX('Tiempos carretera (horas)'!E$45:E$1645,MATCH(C420&amp;D420,'Tiempos carretera (horas)'!C$45:C$1645&amp;'Tiempos carretera (horas)'!D$45:D$1645,0))</f>
        <v>12.13</v>
      </c>
      <c r="K420" s="12">
        <f t="shared" ca="1" si="42"/>
        <v>14.828322013406495</v>
      </c>
      <c r="L420" s="12">
        <f t="shared" ca="1" si="43"/>
        <v>18.835150659148564</v>
      </c>
      <c r="M420" s="12">
        <f t="shared" ca="1" si="44"/>
        <v>0.19189127639678955</v>
      </c>
      <c r="N420" s="13">
        <f t="shared" ca="1" si="40"/>
        <v>-4.0068286457420683</v>
      </c>
      <c r="O420" s="13">
        <f t="shared" ca="1" si="41"/>
        <v>-30.278761635170319</v>
      </c>
      <c r="P420" s="12">
        <f t="shared" ca="1" si="45"/>
        <v>1.4377676655133711</v>
      </c>
    </row>
    <row r="421" spans="1:16" x14ac:dyDescent="0.25">
      <c r="A421">
        <v>9</v>
      </c>
      <c r="B421">
        <v>7</v>
      </c>
      <c r="C421" s="2" t="s">
        <v>148</v>
      </c>
      <c r="D421" s="2" t="s">
        <v>6</v>
      </c>
      <c r="E421" s="11" cm="1">
        <f t="array" aca="1" ref="E421" ca="1">INDEX('OD flujo mercancia multimodal'!E$45:E$1645,MATCH(C421&amp;D421,'OD flujo mercancia multimodal'!C$45:C$1645&amp;'OD flujo mercancia multimodal'!D$45:D$1645,0))</f>
        <v>5872.2857142857101</v>
      </c>
      <c r="F421" s="11" cm="1">
        <f t="array" aca="1" ref="F421" ca="1">INDEX('OD flujo mercancia carretera'!E$45:E$1646,MATCH(C421&amp;D421,'OD flujo mercancia carretera'!C$45:C$1646&amp;'OD flujo mercancia carretera'!D$45:D$1646,0))</f>
        <v>637369.373931624</v>
      </c>
      <c r="G421" s="11" cm="1">
        <f t="array" aca="1" ref="G421" ca="1">INDEX('Coste Carretera'!E$46:E$1646,MATCH(C421&amp;D421,'Coste Carretera'!C$46:C$1646&amp;'Coste Carretera'!D$46:D$1646,0))</f>
        <v>102392931.97714278</v>
      </c>
      <c r="H421" s="11" cm="1">
        <f t="array" aca="1" ref="H421" ca="1">INDEX('Coste multimodal'!E$46:E$1646,MATCH(C421&amp;D421,'Coste multimodal'!C$46:C$1646&amp;'Coste multimodal'!D$46:D$1646,0))</f>
        <v>755297569.8112458</v>
      </c>
      <c r="I421" s="12" cm="1">
        <f t="array" aca="1" ref="I421" ca="1">INDEX('Tiempos intermodal (horas)'!E$45:E$1645,MATCH(C421&amp;D421,'Tiempos intermodal (horas)'!C$45:C$1645&amp;'Tiempos intermodal (horas)'!D$45:D$1645,0))</f>
        <v>34.180547182925118</v>
      </c>
      <c r="J421" s="2" cm="1">
        <f t="array" aca="1" ref="J421" ca="1">INDEX('Tiempos carretera (horas)'!E$45:E$1645,MATCH(C421&amp;D421,'Tiempos carretera (horas)'!C$45:C$1645&amp;'Tiempos carretera (horas)'!D$45:D$1645,0))</f>
        <v>3.63</v>
      </c>
      <c r="K421" s="12">
        <f t="shared" ca="1" si="42"/>
        <v>0.16064928150772326</v>
      </c>
      <c r="L421" s="12">
        <f t="shared" ca="1" si="43"/>
        <v>128.62071202935641</v>
      </c>
      <c r="M421" s="12">
        <f t="shared" ca="1" si="44"/>
        <v>9.1292061486164845E-3</v>
      </c>
      <c r="N421" s="13">
        <f t="shared" ca="1" si="40"/>
        <v>-128.4600627478487</v>
      </c>
      <c r="O421" s="13">
        <f t="shared" ca="1" si="41"/>
        <v>-30.550547182925119</v>
      </c>
      <c r="P421" s="12">
        <f t="shared" ca="1" si="45"/>
        <v>4.6871054052067915</v>
      </c>
    </row>
    <row r="422" spans="1:16" x14ac:dyDescent="0.25">
      <c r="A422">
        <v>7</v>
      </c>
      <c r="B422">
        <v>9</v>
      </c>
      <c r="C422" s="2" t="s">
        <v>6</v>
      </c>
      <c r="D422" s="2" t="s">
        <v>148</v>
      </c>
      <c r="E422" s="11" cm="1">
        <f t="array" aca="1" ref="E422" ca="1">INDEX('OD flujo mercancia multimodal'!E$45:E$1645,MATCH(C422&amp;D422,'OD flujo mercancia multimodal'!C$45:C$1645&amp;'OD flujo mercancia multimodal'!D$45:D$1645,0))</f>
        <v>3400.5974025974024</v>
      </c>
      <c r="F422" s="11" cm="1">
        <f t="array" aca="1" ref="F422" ca="1">INDEX('OD flujo mercancia carretera'!E$45:E$1646,MATCH(C422&amp;D422,'OD flujo mercancia carretera'!C$45:C$1646&amp;'OD flujo mercancia carretera'!D$45:D$1646,0))</f>
        <v>626251.31410256424</v>
      </c>
      <c r="G422" s="11" cm="1">
        <f t="array" aca="1" ref="G422" ca="1">INDEX('Coste Carretera'!E$46:E$1646,MATCH(C422&amp;D422,'Coste Carretera'!C$46:C$1646&amp;'Coste Carretera'!D$46:D$1646,0))</f>
        <v>59294992.694025964</v>
      </c>
      <c r="H422" s="11" cm="1">
        <f t="array" aca="1" ref="H422" ca="1">INDEX('Coste multimodal'!E$46:E$1646,MATCH(C422&amp;D422,'Coste multimodal'!C$46:C$1646&amp;'Coste multimodal'!D$46:D$1646,0))</f>
        <v>755297569.8112458</v>
      </c>
      <c r="I422" s="12" cm="1">
        <f t="array" aca="1" ref="I422" ca="1">INDEX('Tiempos intermodal (horas)'!E$45:E$1645,MATCH(C422&amp;D422,'Tiempos intermodal (horas)'!C$45:C$1645&amp;'Tiempos intermodal (horas)'!D$45:D$1645,0))</f>
        <v>34.180547182925118</v>
      </c>
      <c r="J422" s="2" cm="1">
        <f t="array" aca="1" ref="J422" ca="1">INDEX('Tiempos carretera (horas)'!E$45:E$1645,MATCH(C422&amp;D422,'Tiempos carretera (horas)'!C$45:C$1645&amp;'Tiempos carretera (horas)'!D$45:D$1645,0))</f>
        <v>3.63</v>
      </c>
      <c r="K422" s="12">
        <f t="shared" ca="1" si="42"/>
        <v>9.4682424385803265E-2</v>
      </c>
      <c r="L422" s="12">
        <f t="shared" ca="1" si="43"/>
        <v>222.10731833010982</v>
      </c>
      <c r="M422" s="12">
        <f t="shared" ca="1" si="44"/>
        <v>5.4007576892260815E-3</v>
      </c>
      <c r="N422" s="13">
        <f t="shared" ca="1" si="40"/>
        <v>-222.01263590572401</v>
      </c>
      <c r="O422" s="13">
        <f t="shared" ca="1" si="41"/>
        <v>-30.550547182925119</v>
      </c>
      <c r="P422" s="12">
        <f t="shared" ca="1" si="45"/>
        <v>5.2158006279304354</v>
      </c>
    </row>
    <row r="423" spans="1:16" x14ac:dyDescent="0.25">
      <c r="A423">
        <v>20</v>
      </c>
      <c r="B423">
        <v>8</v>
      </c>
      <c r="C423" s="2" t="s">
        <v>19</v>
      </c>
      <c r="D423" s="2" t="s">
        <v>7</v>
      </c>
      <c r="E423" s="11" cm="1">
        <f t="array" aca="1" ref="E423" ca="1">INDEX('OD flujo mercancia multimodal'!E$45:E$1645,MATCH(C423&amp;D423,'OD flujo mercancia multimodal'!C$45:C$1645&amp;'OD flujo mercancia multimodal'!D$45:D$1645,0))</f>
        <v>66572.626373626335</v>
      </c>
      <c r="F423" s="11" cm="1">
        <f t="array" aca="1" ref="F423" ca="1">INDEX('OD flujo mercancia carretera'!E$45:E$1646,MATCH(C423&amp;D423,'OD flujo mercancia carretera'!C$45:C$1646&amp;'OD flujo mercancia carretera'!D$45:D$1646,0))</f>
        <v>181391.17948717932</v>
      </c>
      <c r="G423" s="11" cm="1">
        <f t="array" aca="1" ref="G423" ca="1">INDEX('Coste Carretera'!E$46:E$1646,MATCH(C423&amp;D423,'Coste Carretera'!C$46:C$1646&amp;'Coste Carretera'!D$46:D$1646,0))</f>
        <v>2870539750.7942839</v>
      </c>
      <c r="H423" s="11" cm="1">
        <f t="array" aca="1" ref="H423" ca="1">INDEX('Coste multimodal'!E$46:E$1646,MATCH(C423&amp;D423,'Coste multimodal'!C$46:C$1646&amp;'Coste multimodal'!D$46:D$1646,0))</f>
        <v>866316391.45342398</v>
      </c>
      <c r="I423" s="12" cm="1">
        <f t="array" aca="1" ref="I423" ca="1">INDEX('Tiempos intermodal (horas)'!E$45:E$1645,MATCH(C423&amp;D423,'Tiempos intermodal (horas)'!C$45:C$1645&amp;'Tiempos intermodal (horas)'!D$45:D$1645,0))</f>
        <v>39.671837865697732</v>
      </c>
      <c r="J423" s="2" cm="1">
        <f t="array" aca="1" ref="J423" ca="1">INDEX('Tiempos carretera (horas)'!E$45:E$1645,MATCH(C423&amp;D423,'Tiempos carretera (horas)'!C$45:C$1645&amp;'Tiempos carretera (horas)'!D$45:D$1645,0))</f>
        <v>9.1</v>
      </c>
      <c r="K423" s="12">
        <f t="shared" ca="1" si="42"/>
        <v>15.825134159829268</v>
      </c>
      <c r="L423" s="12">
        <f t="shared" ca="1" si="43"/>
        <v>13.013102210980625</v>
      </c>
      <c r="M423" s="12">
        <f t="shared" ca="1" si="44"/>
        <v>0.26847719223585736</v>
      </c>
      <c r="N423" s="13">
        <f t="shared" ca="1" si="40"/>
        <v>2.8120319488486434</v>
      </c>
      <c r="O423" s="13">
        <f t="shared" ca="1" si="41"/>
        <v>-30.571837865697731</v>
      </c>
      <c r="P423" s="12">
        <f t="shared" ca="1" si="45"/>
        <v>1.0023624341962523</v>
      </c>
    </row>
    <row r="424" spans="1:16" x14ac:dyDescent="0.25">
      <c r="A424">
        <v>8</v>
      </c>
      <c r="B424">
        <v>20</v>
      </c>
      <c r="C424" s="2" t="s">
        <v>7</v>
      </c>
      <c r="D424" s="2" t="s">
        <v>19</v>
      </c>
      <c r="E424" s="11" cm="1">
        <f t="array" aca="1" ref="E424" ca="1">INDEX('OD flujo mercancia multimodal'!E$45:E$1645,MATCH(C424&amp;D424,'OD flujo mercancia multimodal'!C$45:C$1645&amp;'OD flujo mercancia multimodal'!D$45:D$1645,0))</f>
        <v>65419.335164835153</v>
      </c>
      <c r="F424" s="11" cm="1">
        <f t="array" aca="1" ref="F424" ca="1">INDEX('OD flujo mercancia carretera'!E$45:E$1646,MATCH(C424&amp;D424,'OD flujo mercancia carretera'!C$45:C$1646&amp;'OD flujo mercancia carretera'!D$45:D$1646,0))</f>
        <v>180244.58974358978</v>
      </c>
      <c r="G424" s="11" cm="1">
        <f t="array" aca="1" ref="G424" ca="1">INDEX('Coste Carretera'!E$46:E$1646,MATCH(C424&amp;D424,'Coste Carretera'!C$46:C$1646&amp;'Coste Carretera'!D$46:D$1646,0))</f>
        <v>2820811079.4257135</v>
      </c>
      <c r="H424" s="11" cm="1">
        <f t="array" aca="1" ref="H424" ca="1">INDEX('Coste multimodal'!E$46:E$1646,MATCH(C424&amp;D424,'Coste multimodal'!C$46:C$1646&amp;'Coste multimodal'!D$46:D$1646,0))</f>
        <v>866316391.45342398</v>
      </c>
      <c r="I424" s="12" cm="1">
        <f t="array" aca="1" ref="I424" ca="1">INDEX('Tiempos intermodal (horas)'!E$45:E$1645,MATCH(C424&amp;D424,'Tiempos intermodal (horas)'!C$45:C$1645&amp;'Tiempos intermodal (horas)'!D$45:D$1645,0))</f>
        <v>39.671837865697732</v>
      </c>
      <c r="J424" s="2" cm="1">
        <f t="array" aca="1" ref="J424" ca="1">INDEX('Tiempos carretera (horas)'!E$45:E$1645,MATCH(C424&amp;D424,'Tiempos carretera (horas)'!C$45:C$1645&amp;'Tiempos carretera (horas)'!D$45:D$1645,0))</f>
        <v>9.1</v>
      </c>
      <c r="K424" s="12">
        <f t="shared" ca="1" si="42"/>
        <v>15.649907070378697</v>
      </c>
      <c r="L424" s="12">
        <f t="shared" ca="1" si="43"/>
        <v>13.242512924819433</v>
      </c>
      <c r="M424" s="12">
        <f t="shared" ca="1" si="44"/>
        <v>0.26629605950170027</v>
      </c>
      <c r="N424" s="13">
        <f t="shared" ca="1" si="40"/>
        <v>2.4073941455592642</v>
      </c>
      <c r="O424" s="13">
        <f t="shared" ca="1" si="41"/>
        <v>-30.571837865697731</v>
      </c>
      <c r="P424" s="12">
        <f t="shared" ca="1" si="45"/>
        <v>1.0134969009313257</v>
      </c>
    </row>
    <row r="425" spans="1:16" x14ac:dyDescent="0.25">
      <c r="A425">
        <v>11</v>
      </c>
      <c r="B425">
        <v>14</v>
      </c>
      <c r="C425" s="2" t="s">
        <v>10</v>
      </c>
      <c r="D425" s="2" t="s">
        <v>13</v>
      </c>
      <c r="E425" s="11" cm="1">
        <f t="array" aca="1" ref="E425" ca="1">INDEX('OD flujo mercancia multimodal'!E$45:E$1645,MATCH(C425&amp;D425,'OD flujo mercancia multimodal'!C$45:C$1645&amp;'OD flujo mercancia multimodal'!D$45:D$1645,0))</f>
        <v>34613.153846153829</v>
      </c>
      <c r="F425" s="11" cm="1">
        <f t="array" aca="1" ref="F425" ca="1">INDEX('OD flujo mercancia carretera'!E$45:E$1646,MATCH(C425&amp;D425,'OD flujo mercancia carretera'!C$45:C$1646&amp;'OD flujo mercancia carretera'!D$45:D$1646,0))</f>
        <v>267869.99999999977</v>
      </c>
      <c r="G425" s="11" cm="1">
        <f t="array" aca="1" ref="G425" ca="1">INDEX('Coste Carretera'!E$46:E$1646,MATCH(C425&amp;D425,'Coste Carretera'!C$46:C$1646&amp;'Coste Carretera'!D$46:D$1646,0))</f>
        <v>1137994657.8399994</v>
      </c>
      <c r="H425" s="11" cm="1">
        <f t="array" aca="1" ref="H425" ca="1">INDEX('Coste multimodal'!E$46:E$1646,MATCH(C425&amp;D425,'Coste multimodal'!C$46:C$1646&amp;'Coste multimodal'!D$46:D$1646,0))</f>
        <v>264222985.23280406</v>
      </c>
      <c r="I425" s="12" cm="1">
        <f t="array" aca="1" ref="I425" ca="1">INDEX('Tiempos intermodal (horas)'!E$45:E$1645,MATCH(C425&amp;D425,'Tiempos intermodal (horas)'!C$45:C$1645&amp;'Tiempos intermodal (horas)'!D$45:D$1645,0))</f>
        <v>36.696862073010507</v>
      </c>
      <c r="J425" s="2" cm="1">
        <f t="array" aca="1" ref="J425" ca="1">INDEX('Tiempos carretera (horas)'!E$45:E$1645,MATCH(C425&amp;D425,'Tiempos carretera (horas)'!C$45:C$1645&amp;'Tiempos carretera (horas)'!D$45:D$1645,0))</f>
        <v>6</v>
      </c>
      <c r="K425" s="12">
        <f t="shared" ca="1" si="42"/>
        <v>4.248309470414755</v>
      </c>
      <c r="L425" s="12">
        <f t="shared" ca="1" si="43"/>
        <v>7.6336004054182469</v>
      </c>
      <c r="M425" s="12">
        <f t="shared" ca="1" si="44"/>
        <v>0.11443002165918463</v>
      </c>
      <c r="N425" s="13">
        <f t="shared" ca="1" si="40"/>
        <v>-3.3852909350034919</v>
      </c>
      <c r="O425" s="13">
        <f t="shared" ca="1" si="41"/>
        <v>-30.696862073010507</v>
      </c>
      <c r="P425" s="12">
        <f t="shared" ca="1" si="45"/>
        <v>2.0462680094154821</v>
      </c>
    </row>
    <row r="426" spans="1:16" x14ac:dyDescent="0.25">
      <c r="A426">
        <v>14</v>
      </c>
      <c r="B426">
        <v>11</v>
      </c>
      <c r="C426" s="2" t="s">
        <v>13</v>
      </c>
      <c r="D426" s="2" t="s">
        <v>10</v>
      </c>
      <c r="E426" s="11" cm="1">
        <f t="array" aca="1" ref="E426" ca="1">INDEX('OD flujo mercancia multimodal'!E$45:E$1645,MATCH(C426&amp;D426,'OD flujo mercancia multimodal'!C$45:C$1645&amp;'OD flujo mercancia multimodal'!D$45:D$1645,0))</f>
        <v>32801.461538461524</v>
      </c>
      <c r="F426" s="11" cm="1">
        <f t="array" aca="1" ref="F426" ca="1">INDEX('OD flujo mercancia carretera'!E$45:E$1646,MATCH(C426&amp;D426,'OD flujo mercancia carretera'!C$45:C$1646&amp;'OD flujo mercancia carretera'!D$45:D$1646,0))</f>
        <v>201404.61538461538</v>
      </c>
      <c r="G426" s="11" cm="1">
        <f t="array" aca="1" ref="G426" ca="1">INDEX('Coste Carretera'!E$46:E$1646,MATCH(C426&amp;D426,'Coste Carretera'!C$46:C$1646&amp;'Coste Carretera'!D$46:D$1646,0))</f>
        <v>1078430707.7599995</v>
      </c>
      <c r="H426" s="11" cm="1">
        <f t="array" aca="1" ref="H426" ca="1">INDEX('Coste multimodal'!E$46:E$1646,MATCH(C426&amp;D426,'Coste multimodal'!C$46:C$1646&amp;'Coste multimodal'!D$46:D$1646,0))</f>
        <v>264222985.23280406</v>
      </c>
      <c r="I426" s="12" cm="1">
        <f t="array" aca="1" ref="I426" ca="1">INDEX('Tiempos intermodal (horas)'!E$45:E$1645,MATCH(C426&amp;D426,'Tiempos intermodal (horas)'!C$45:C$1645&amp;'Tiempos intermodal (horas)'!D$45:D$1645,0))</f>
        <v>36.696862073010507</v>
      </c>
      <c r="J426" s="2" cm="1">
        <f t="array" aca="1" ref="J426" ca="1">INDEX('Tiempos carretera (horas)'!E$45:E$1645,MATCH(C426&amp;D426,'Tiempos carretera (horas)'!C$45:C$1645&amp;'Tiempos carretera (horas)'!D$45:D$1645,0))</f>
        <v>6</v>
      </c>
      <c r="K426" s="12">
        <f t="shared" ca="1" si="42"/>
        <v>5.3545481353570672</v>
      </c>
      <c r="L426" s="12">
        <f t="shared" ca="1" si="43"/>
        <v>8.0552198847294658</v>
      </c>
      <c r="M426" s="12">
        <f t="shared" ca="1" si="44"/>
        <v>0.14005384475670501</v>
      </c>
      <c r="N426" s="13">
        <f t="shared" ca="1" si="40"/>
        <v>-2.7006717493723986</v>
      </c>
      <c r="O426" s="13">
        <f t="shared" ca="1" si="41"/>
        <v>-30.696862073010507</v>
      </c>
      <c r="P426" s="12">
        <f t="shared" ca="1" si="45"/>
        <v>1.8148428230325993</v>
      </c>
    </row>
    <row r="427" spans="1:16" x14ac:dyDescent="0.25">
      <c r="A427">
        <v>27</v>
      </c>
      <c r="B427">
        <v>4</v>
      </c>
      <c r="C427" s="2" t="s">
        <v>145</v>
      </c>
      <c r="D427" s="2" t="s">
        <v>3</v>
      </c>
      <c r="E427" s="11" cm="1">
        <f t="array" aca="1" ref="E427" ca="1">INDEX('OD flujo mercancia multimodal'!E$45:E$1645,MATCH(C427&amp;D427,'OD flujo mercancia multimodal'!C$45:C$1645&amp;'OD flujo mercancia multimodal'!D$45:D$1645,0))</f>
        <v>64405.071428571398</v>
      </c>
      <c r="F427" s="11" cm="1">
        <f t="array" aca="1" ref="F427" ca="1">INDEX('OD flujo mercancia carretera'!E$45:E$1646,MATCH(C427&amp;D427,'OD flujo mercancia carretera'!C$45:C$1646&amp;'OD flujo mercancia carretera'!D$45:D$1646,0))</f>
        <v>450827.58461538458</v>
      </c>
      <c r="G427" s="11" cm="1">
        <f t="array" aca="1" ref="G427" ca="1">INDEX('Coste Carretera'!E$46:E$1646,MATCH(C427&amp;D427,'Coste Carretera'!C$46:C$1646&amp;'Coste Carretera'!D$46:D$1646,0))</f>
        <v>2635009839.762856</v>
      </c>
      <c r="H427" s="11" cm="1">
        <f t="array" aca="1" ref="H427" ca="1">INDEX('Coste multimodal'!E$46:E$1646,MATCH(C427&amp;D427,'Coste multimodal'!C$46:C$1646&amp;'Coste multimodal'!D$46:D$1646,0))</f>
        <v>1359410262.0699954</v>
      </c>
      <c r="I427" s="12" cm="1">
        <f t="array" aca="1" ref="I427" ca="1">INDEX('Tiempos intermodal (horas)'!E$45:E$1645,MATCH(C427&amp;D427,'Tiempos intermodal (horas)'!C$45:C$1645&amp;'Tiempos intermodal (horas)'!D$45:D$1645,0))</f>
        <v>40.965171199031062</v>
      </c>
      <c r="J427" s="2" cm="1">
        <f t="array" aca="1" ref="J427" ca="1">INDEX('Tiempos carretera (horas)'!E$45:E$1645,MATCH(C427&amp;D427,'Tiempos carretera (horas)'!C$45:C$1645&amp;'Tiempos carretera (horas)'!D$45:D$1645,0))</f>
        <v>8.6300000000000008</v>
      </c>
      <c r="K427" s="12">
        <f t="shared" ca="1" si="42"/>
        <v>5.8448283327890573</v>
      </c>
      <c r="L427" s="12">
        <f t="shared" ca="1" si="43"/>
        <v>21.107192833062111</v>
      </c>
      <c r="M427" s="12">
        <f t="shared" ca="1" si="44"/>
        <v>0.12500192034232555</v>
      </c>
      <c r="N427" s="13">
        <f t="shared" ca="1" si="40"/>
        <v>-15.262364500273055</v>
      </c>
      <c r="O427" s="13">
        <f t="shared" ca="1" si="41"/>
        <v>-32.335171199031059</v>
      </c>
      <c r="P427" s="12">
        <f t="shared" ca="1" si="45"/>
        <v>1.9458925917553629</v>
      </c>
    </row>
    <row r="428" spans="1:16" x14ac:dyDescent="0.25">
      <c r="A428">
        <v>16</v>
      </c>
      <c r="B428">
        <v>17</v>
      </c>
      <c r="C428" s="2" t="s">
        <v>15</v>
      </c>
      <c r="D428" s="2" t="s">
        <v>16</v>
      </c>
      <c r="E428" s="11" cm="1">
        <f t="array" aca="1" ref="E428" ca="1">INDEX('OD flujo mercancia multimodal'!E$45:E$1645,MATCH(C428&amp;D428,'OD flujo mercancia multimodal'!C$45:C$1645&amp;'OD flujo mercancia multimodal'!D$45:D$1645,0))</f>
        <v>99788.769230769249</v>
      </c>
      <c r="F428" s="11" cm="1">
        <f t="array" aca="1" ref="F428" ca="1">INDEX('OD flujo mercancia carretera'!E$45:E$1646,MATCH(C428&amp;D428,'OD flujo mercancia carretera'!C$45:C$1646&amp;'OD flujo mercancia carretera'!D$45:D$1646,0))</f>
        <v>344880.07692307647</v>
      </c>
      <c r="G428" s="11" cm="1">
        <f t="array" aca="1" ref="G428" ca="1">INDEX('Coste Carretera'!E$46:E$1646,MATCH(C428&amp;D428,'Coste Carretera'!C$46:C$1646&amp;'Coste Carretera'!D$46:D$1646,0))</f>
        <v>2971593792.7200007</v>
      </c>
      <c r="H428" s="11" cm="1">
        <f t="array" aca="1" ref="H428" ca="1">INDEX('Coste multimodal'!E$46:E$1646,MATCH(C428&amp;D428,'Coste multimodal'!C$46:C$1646&amp;'Coste multimodal'!D$46:D$1646,0))</f>
        <v>1015656745.6067374</v>
      </c>
      <c r="I428" s="12" cm="1">
        <f t="array" aca="1" ref="I428" ca="1">INDEX('Tiempos intermodal (horas)'!E$45:E$1645,MATCH(C428&amp;D428,'Tiempos intermodal (horas)'!C$45:C$1645&amp;'Tiempos intermodal (horas)'!D$45:D$1645,0))</f>
        <v>36.68290851984797</v>
      </c>
      <c r="J428" s="2" cm="1">
        <f t="array" aca="1" ref="J428" ca="1">INDEX('Tiempos carretera (horas)'!E$45:E$1645,MATCH(C428&amp;D428,'Tiempos carretera (horas)'!C$45:C$1645&amp;'Tiempos carretera (horas)'!D$45:D$1645,0))</f>
        <v>5.68</v>
      </c>
      <c r="K428" s="12">
        <f t="shared" ca="1" si="42"/>
        <v>8.616310397607565</v>
      </c>
      <c r="L428" s="12">
        <f t="shared" ca="1" si="43"/>
        <v>10.178066664575777</v>
      </c>
      <c r="M428" s="12">
        <f t="shared" ca="1" si="44"/>
        <v>0.2244114245778408</v>
      </c>
      <c r="N428" s="13">
        <f t="shared" ca="1" si="40"/>
        <v>-1.5617562669682119</v>
      </c>
      <c r="O428" s="13">
        <f t="shared" ca="1" si="41"/>
        <v>-31.002908519847971</v>
      </c>
      <c r="P428" s="12">
        <f t="shared" ca="1" si="45"/>
        <v>1.2401411092545642</v>
      </c>
    </row>
    <row r="429" spans="1:16" x14ac:dyDescent="0.25">
      <c r="A429">
        <v>17</v>
      </c>
      <c r="B429">
        <v>16</v>
      </c>
      <c r="C429" s="2" t="s">
        <v>16</v>
      </c>
      <c r="D429" s="2" t="s">
        <v>15</v>
      </c>
      <c r="E429" s="11" cm="1">
        <f t="array" aca="1" ref="E429" ca="1">INDEX('OD flujo mercancia multimodal'!E$45:E$1645,MATCH(C429&amp;D429,'OD flujo mercancia multimodal'!C$45:C$1645&amp;'OD flujo mercancia multimodal'!D$45:D$1645,0))</f>
        <v>91624.076923076966</v>
      </c>
      <c r="F429" s="11" cm="1">
        <f t="array" aca="1" ref="F429" ca="1">INDEX('OD flujo mercancia carretera'!E$45:E$1646,MATCH(C429&amp;D429,'OD flujo mercancia carretera'!C$45:C$1646&amp;'OD flujo mercancia carretera'!D$45:D$1646,0))</f>
        <v>1059488.4615384613</v>
      </c>
      <c r="G429" s="11" cm="1">
        <f t="array" aca="1" ref="G429" ca="1">INDEX('Coste Carretera'!E$46:E$1646,MATCH(C429&amp;D429,'Coste Carretera'!C$46:C$1646&amp;'Coste Carretera'!D$46:D$1646,0))</f>
        <v>2728458726.8400016</v>
      </c>
      <c r="H429" s="11" cm="1">
        <f t="array" aca="1" ref="H429" ca="1">INDEX('Coste multimodal'!E$46:E$1646,MATCH(C429&amp;D429,'Coste multimodal'!C$46:C$1646&amp;'Coste multimodal'!D$46:D$1646,0))</f>
        <v>1015656745.6067374</v>
      </c>
      <c r="I429" s="12" cm="1">
        <f t="array" aca="1" ref="I429" ca="1">INDEX('Tiempos intermodal (horas)'!E$45:E$1645,MATCH(C429&amp;D429,'Tiempos intermodal (horas)'!C$45:C$1645&amp;'Tiempos intermodal (horas)'!D$45:D$1645,0))</f>
        <v>36.68290851984797</v>
      </c>
      <c r="J429" s="2" cm="1">
        <f t="array" aca="1" ref="J429" ca="1">INDEX('Tiempos carretera (horas)'!E$45:E$1645,MATCH(C429&amp;D429,'Tiempos carretera (horas)'!C$45:C$1645&amp;'Tiempos carretera (horas)'!D$45:D$1645,0))</f>
        <v>5.68</v>
      </c>
      <c r="K429" s="12">
        <f t="shared" ca="1" si="42"/>
        <v>2.5752604449113705</v>
      </c>
      <c r="L429" s="12">
        <f t="shared" ca="1" si="43"/>
        <v>11.085042051331468</v>
      </c>
      <c r="M429" s="12">
        <f t="shared" ca="1" si="44"/>
        <v>7.9596107123924245E-2</v>
      </c>
      <c r="N429" s="13">
        <f t="shared" ca="1" si="40"/>
        <v>-8.5097816064200984</v>
      </c>
      <c r="O429" s="13">
        <f t="shared" ca="1" si="41"/>
        <v>-31.002908519847971</v>
      </c>
      <c r="P429" s="12">
        <f t="shared" ca="1" si="45"/>
        <v>2.4478474015242844</v>
      </c>
    </row>
    <row r="430" spans="1:16" x14ac:dyDescent="0.25">
      <c r="A430">
        <v>30</v>
      </c>
      <c r="B430">
        <v>12</v>
      </c>
      <c r="C430" s="2" t="s">
        <v>146</v>
      </c>
      <c r="D430" s="2" t="s">
        <v>11</v>
      </c>
      <c r="E430" s="11" cm="1">
        <f t="array" aca="1" ref="E430" ca="1">INDEX('OD flujo mercancia multimodal'!E$45:E$1645,MATCH(C430&amp;D430,'OD flujo mercancia multimodal'!C$45:C$1645&amp;'OD flujo mercancia multimodal'!D$45:D$1645,0))</f>
        <v>20051.307692307691</v>
      </c>
      <c r="F430" s="11" cm="1">
        <f t="array" aca="1" ref="F430" ca="1">INDEX('OD flujo mercancia carretera'!E$45:E$1646,MATCH(C430&amp;D430,'OD flujo mercancia carretera'!C$45:C$1646&amp;'OD flujo mercancia carretera'!D$45:D$1646,0))</f>
        <v>266788.87692307692</v>
      </c>
      <c r="G430" s="11" cm="1">
        <f t="array" aca="1" ref="G430" ca="1">INDEX('Coste Carretera'!E$46:E$1646,MATCH(C430&amp;D430,'Coste Carretera'!C$46:C$1646&amp;'Coste Carretera'!D$46:D$1646,0))</f>
        <v>1093680340.22</v>
      </c>
      <c r="H430" s="11" cm="1">
        <f t="array" aca="1" ref="H430" ca="1">INDEX('Coste multimodal'!E$46:E$1646,MATCH(C430&amp;D430,'Coste multimodal'!C$46:C$1646&amp;'Coste multimodal'!D$46:D$1646,0))</f>
        <v>193514872.14602011</v>
      </c>
      <c r="I430" s="12" cm="1">
        <f t="array" aca="1" ref="I430" ca="1">INDEX('Tiempos intermodal (horas)'!E$45:E$1645,MATCH(C430&amp;D430,'Tiempos intermodal (horas)'!C$45:C$1645&amp;'Tiempos intermodal (horas)'!D$45:D$1645,0))</f>
        <v>38.157017922707858</v>
      </c>
      <c r="J430" s="2" cm="1">
        <f t="array" aca="1" ref="J430" ca="1">INDEX('Tiempos carretera (horas)'!E$45:E$1645,MATCH(C430&amp;D430,'Tiempos carretera (horas)'!C$45:C$1645&amp;'Tiempos carretera (horas)'!D$45:D$1645,0))</f>
        <v>7.12</v>
      </c>
      <c r="K430" s="12">
        <f t="shared" ca="1" si="42"/>
        <v>4.099422557767805</v>
      </c>
      <c r="L430" s="12">
        <f t="shared" ca="1" si="43"/>
        <v>9.6509851185545603</v>
      </c>
      <c r="M430" s="12">
        <f t="shared" ca="1" si="44"/>
        <v>6.9904109562591063E-2</v>
      </c>
      <c r="N430" s="13">
        <f t="shared" ca="1" si="40"/>
        <v>-5.5515625607867554</v>
      </c>
      <c r="O430" s="13">
        <f t="shared" ca="1" si="41"/>
        <v>-31.037017922707857</v>
      </c>
      <c r="P430" s="12">
        <f t="shared" ca="1" si="45"/>
        <v>2.5881632492920468</v>
      </c>
    </row>
    <row r="431" spans="1:16" x14ac:dyDescent="0.25">
      <c r="A431">
        <v>12</v>
      </c>
      <c r="B431">
        <v>30</v>
      </c>
      <c r="C431" s="2" t="s">
        <v>11</v>
      </c>
      <c r="D431" s="2" t="s">
        <v>146</v>
      </c>
      <c r="E431" s="11" cm="1">
        <f t="array" aca="1" ref="E431" ca="1">INDEX('OD flujo mercancia multimodal'!E$45:E$1645,MATCH(C431&amp;D431,'OD flujo mercancia multimodal'!C$45:C$1645&amp;'OD flujo mercancia multimodal'!D$45:D$1645,0))</f>
        <v>13111.684615384616</v>
      </c>
      <c r="F431" s="11" cm="1">
        <f t="array" aca="1" ref="F431" ca="1">INDEX('OD flujo mercancia carretera'!E$45:E$1646,MATCH(C431&amp;D431,'OD flujo mercancia carretera'!C$45:C$1646&amp;'OD flujo mercancia carretera'!D$45:D$1646,0))</f>
        <v>270972.33076923079</v>
      </c>
      <c r="G431" s="11" cm="1">
        <f t="array" aca="1" ref="G431" ca="1">INDEX('Coste Carretera'!E$46:E$1646,MATCH(C431&amp;D431,'Coste Carretera'!C$46:C$1646&amp;'Coste Carretera'!D$46:D$1646,0))</f>
        <v>1329486397.6600001</v>
      </c>
      <c r="H431" s="11" cm="1">
        <f t="array" aca="1" ref="H431" ca="1">INDEX('Coste multimodal'!E$46:E$1646,MATCH(C431&amp;D431,'Coste multimodal'!C$46:C$1646&amp;'Coste multimodal'!D$46:D$1646,0))</f>
        <v>193514872.14602011</v>
      </c>
      <c r="I431" s="12" cm="1">
        <f t="array" aca="1" ref="I431" ca="1">INDEX('Tiempos intermodal (horas)'!E$45:E$1645,MATCH(C431&amp;D431,'Tiempos intermodal (horas)'!C$45:C$1645&amp;'Tiempos intermodal (horas)'!D$45:D$1645,0))</f>
        <v>38.157017922707858</v>
      </c>
      <c r="J431" s="2" cm="1">
        <f t="array" aca="1" ref="J431" ca="1">INDEX('Tiempos carretera (horas)'!E$45:E$1645,MATCH(C431&amp;D431,'Tiempos carretera (horas)'!C$45:C$1645&amp;'Tiempos carretera (horas)'!D$45:D$1645,0))</f>
        <v>7.12</v>
      </c>
      <c r="K431" s="12">
        <f t="shared" ca="1" si="42"/>
        <v>4.9063548070973919</v>
      </c>
      <c r="L431" s="12">
        <f t="shared" ca="1" si="43"/>
        <v>14.758963308113675</v>
      </c>
      <c r="M431" s="12">
        <f t="shared" ca="1" si="44"/>
        <v>4.6154249818079279E-2</v>
      </c>
      <c r="N431" s="13">
        <f t="shared" ca="1" si="40"/>
        <v>-9.8526085010162827</v>
      </c>
      <c r="O431" s="13">
        <f t="shared" ca="1" si="41"/>
        <v>-31.037017922707857</v>
      </c>
      <c r="P431" s="12">
        <f t="shared" ca="1" si="45"/>
        <v>3.028512927160381</v>
      </c>
    </row>
    <row r="432" spans="1:16" x14ac:dyDescent="0.25">
      <c r="A432">
        <v>19</v>
      </c>
      <c r="B432">
        <v>13</v>
      </c>
      <c r="C432" s="2" t="s">
        <v>18</v>
      </c>
      <c r="D432" s="2" t="s">
        <v>12</v>
      </c>
      <c r="E432" s="11" cm="1">
        <f t="array" aca="1" ref="E432" ca="1">INDEX('OD flujo mercancia multimodal'!E$45:E$1645,MATCH(C432&amp;D432,'OD flujo mercancia multimodal'!C$45:C$1645&amp;'OD flujo mercancia multimodal'!D$45:D$1645,0))</f>
        <v>5102.3076923076969</v>
      </c>
      <c r="F432" s="11" cm="1">
        <f t="array" aca="1" ref="F432" ca="1">INDEX('OD flujo mercancia carretera'!E$45:E$1646,MATCH(C432&amp;D432,'OD flujo mercancia carretera'!C$45:C$1646&amp;'OD flujo mercancia carretera'!D$45:D$1646,0))</f>
        <v>63712.538461538497</v>
      </c>
      <c r="G432" s="11" cm="1">
        <f t="array" aca="1" ref="G432" ca="1">INDEX('Coste Carretera'!E$46:E$1646,MATCH(C432&amp;D432,'Coste Carretera'!C$46:C$1646&amp;'Coste Carretera'!D$46:D$1646,0))</f>
        <v>286731324.00000024</v>
      </c>
      <c r="H432" s="11" cm="1">
        <f t="array" aca="1" ref="H432" ca="1">INDEX('Coste multimodal'!E$46:E$1646,MATCH(C432&amp;D432,'Coste multimodal'!C$46:C$1646&amp;'Coste multimodal'!D$46:D$1646,0))</f>
        <v>46492190.670509227</v>
      </c>
      <c r="I432" s="12" cm="1">
        <f t="array" aca="1" ref="I432" ca="1">INDEX('Tiempos intermodal (horas)'!E$45:E$1645,MATCH(C432&amp;D432,'Tiempos intermodal (horas)'!C$45:C$1645&amp;'Tiempos intermodal (horas)'!D$45:D$1645,0))</f>
        <v>45.973752058699318</v>
      </c>
      <c r="J432" s="2" cm="1">
        <f t="array" aca="1" ref="J432" ca="1">INDEX('Tiempos carretera (horas)'!E$45:E$1645,MATCH(C432&amp;D432,'Tiempos carretera (horas)'!C$45:C$1645&amp;'Tiempos carretera (horas)'!D$45:D$1645,0))</f>
        <v>11.03</v>
      </c>
      <c r="K432" s="12">
        <f t="shared" ca="1" si="42"/>
        <v>4.5003908323805373</v>
      </c>
      <c r="L432" s="12">
        <f t="shared" ca="1" si="43"/>
        <v>9.1119927441070327</v>
      </c>
      <c r="M432" s="12">
        <f t="shared" ca="1" si="44"/>
        <v>7.4145449383127324E-2</v>
      </c>
      <c r="N432" s="13">
        <f t="shared" ca="1" si="40"/>
        <v>-4.6116019117264955</v>
      </c>
      <c r="O432" s="13">
        <f t="shared" ca="1" si="41"/>
        <v>-34.943752058699317</v>
      </c>
      <c r="P432" s="12">
        <f t="shared" ca="1" si="45"/>
        <v>2.5246884532634022</v>
      </c>
    </row>
    <row r="433" spans="1:16" x14ac:dyDescent="0.25">
      <c r="A433">
        <v>13</v>
      </c>
      <c r="B433">
        <v>19</v>
      </c>
      <c r="C433" s="2" t="s">
        <v>12</v>
      </c>
      <c r="D433" s="2" t="s">
        <v>18</v>
      </c>
      <c r="E433" s="11" cm="1">
        <f t="array" aca="1" ref="E433" ca="1">INDEX('OD flujo mercancia multimodal'!E$45:E$1645,MATCH(C433&amp;D433,'OD flujo mercancia multimodal'!C$45:C$1645&amp;'OD flujo mercancia multimodal'!D$45:D$1645,0))</f>
        <v>3096.7692307692341</v>
      </c>
      <c r="F433" s="11" cm="1">
        <f t="array" aca="1" ref="F433" ca="1">INDEX('OD flujo mercancia carretera'!E$45:E$1646,MATCH(C433&amp;D433,'OD flujo mercancia carretera'!C$45:C$1646&amp;'OD flujo mercancia carretera'!D$45:D$1646,0))</f>
        <v>114398.69230769228</v>
      </c>
      <c r="G433" s="11" cm="1">
        <f t="array" aca="1" ref="G433" ca="1">INDEX('Coste Carretera'!E$46:E$1646,MATCH(C433&amp;D433,'Coste Carretera'!C$46:C$1646&amp;'Coste Carretera'!D$46:D$1646,0))</f>
        <v>174027282.40000018</v>
      </c>
      <c r="H433" s="11" cm="1">
        <f t="array" aca="1" ref="H433" ca="1">INDEX('Coste multimodal'!E$46:E$1646,MATCH(C433&amp;D433,'Coste multimodal'!C$46:C$1646&amp;'Coste multimodal'!D$46:D$1646,0))</f>
        <v>46492190.670509227</v>
      </c>
      <c r="I433" s="12" cm="1">
        <f t="array" aca="1" ref="I433" ca="1">INDEX('Tiempos intermodal (horas)'!E$45:E$1645,MATCH(C433&amp;D433,'Tiempos intermodal (horas)'!C$45:C$1645&amp;'Tiempos intermodal (horas)'!D$45:D$1645,0))</f>
        <v>45.973752058699318</v>
      </c>
      <c r="J433" s="2" cm="1">
        <f t="array" aca="1" ref="J433" ca="1">INDEX('Tiempos carretera (horas)'!E$45:E$1645,MATCH(C433&amp;D433,'Tiempos carretera (horas)'!C$45:C$1645&amp;'Tiempos carretera (horas)'!D$45:D$1645,0))</f>
        <v>11.03</v>
      </c>
      <c r="K433" s="12">
        <f t="shared" ca="1" si="42"/>
        <v>1.5212348925451695</v>
      </c>
      <c r="L433" s="12">
        <f t="shared" ca="1" si="43"/>
        <v>15.013127296850794</v>
      </c>
      <c r="M433" s="12">
        <f t="shared" ca="1" si="44"/>
        <v>2.6356500840294356E-2</v>
      </c>
      <c r="N433" s="13">
        <f t="shared" ca="1" si="40"/>
        <v>-13.491892404305624</v>
      </c>
      <c r="O433" s="13">
        <f t="shared" ca="1" si="41"/>
        <v>-34.943752058699317</v>
      </c>
      <c r="P433" s="12">
        <f t="shared" ca="1" si="45"/>
        <v>3.6093302635862443</v>
      </c>
    </row>
    <row r="434" spans="1:16" x14ac:dyDescent="0.25">
      <c r="A434">
        <v>4</v>
      </c>
      <c r="B434">
        <v>9</v>
      </c>
      <c r="C434" s="2" t="s">
        <v>3</v>
      </c>
      <c r="D434" s="2" t="s">
        <v>148</v>
      </c>
      <c r="E434" s="11" cm="1">
        <f t="array" aca="1" ref="E434" ca="1">INDEX('OD flujo mercancia multimodal'!E$45:E$1645,MATCH(C434&amp;D434,'OD flujo mercancia multimodal'!C$45:C$1645&amp;'OD flujo mercancia multimodal'!D$45:D$1645,0))</f>
        <v>30214.597402597403</v>
      </c>
      <c r="F434" s="11" cm="1">
        <f t="array" aca="1" ref="F434" ca="1">INDEX('OD flujo mercancia carretera'!E$45:E$1646,MATCH(C434&amp;D434,'OD flujo mercancia carretera'!C$45:C$1646&amp;'OD flujo mercancia carretera'!D$45:D$1646,0))</f>
        <v>601299.77564102586</v>
      </c>
      <c r="G434" s="11" cm="1">
        <f t="array" aca="1" ref="G434" ca="1">INDEX('Coste Carretera'!E$46:E$1646,MATCH(C434&amp;D434,'Coste Carretera'!C$46:C$1646&amp;'Coste Carretera'!D$46:D$1646,0))</f>
        <v>374501474.71792203</v>
      </c>
      <c r="H434" s="11" cm="1">
        <f t="array" aca="1" ref="H434" ca="1">INDEX('Coste multimodal'!E$46:E$1646,MATCH(C434&amp;D434,'Coste multimodal'!C$46:C$1646&amp;'Coste multimodal'!D$46:D$1646,0))</f>
        <v>840024704.78762317</v>
      </c>
      <c r="I434" s="12" cm="1">
        <f t="array" aca="1" ref="I434" ca="1">INDEX('Tiempos intermodal (horas)'!E$45:E$1645,MATCH(C434&amp;D434,'Tiempos intermodal (horas)'!C$45:C$1645&amp;'Tiempos intermodal (horas)'!D$45:D$1645,0))</f>
        <v>33.762681771126594</v>
      </c>
      <c r="J434" s="2" cm="1">
        <f t="array" aca="1" ref="J434" ca="1">INDEX('Tiempos carretera (horas)'!E$45:E$1645,MATCH(C434&amp;D434,'Tiempos carretera (horas)'!C$45:C$1645&amp;'Tiempos carretera (horas)'!D$45:D$1645,0))</f>
        <v>2.65</v>
      </c>
      <c r="K434" s="12">
        <f t="shared" ca="1" si="42"/>
        <v>0.62281991427433736</v>
      </c>
      <c r="L434" s="12">
        <f t="shared" ca="1" si="43"/>
        <v>27.801949289432212</v>
      </c>
      <c r="M434" s="12">
        <f t="shared" ca="1" si="44"/>
        <v>4.7844670988209256E-2</v>
      </c>
      <c r="N434" s="13">
        <f t="shared" ca="1" si="40"/>
        <v>-27.179129375157874</v>
      </c>
      <c r="O434" s="13">
        <f t="shared" ca="1" si="41"/>
        <v>-31.112681771126596</v>
      </c>
      <c r="P434" s="12">
        <f t="shared" ca="1" si="45"/>
        <v>2.9907684396192433</v>
      </c>
    </row>
    <row r="435" spans="1:16" x14ac:dyDescent="0.25">
      <c r="A435">
        <v>38</v>
      </c>
      <c r="B435">
        <v>17</v>
      </c>
      <c r="C435" s="2" t="s">
        <v>37</v>
      </c>
      <c r="D435" s="2" t="s">
        <v>16</v>
      </c>
      <c r="E435" s="11" cm="1">
        <f t="array" aca="1" ref="E435" ca="1">INDEX('OD flujo mercancia multimodal'!E$45:E$1645,MATCH(C435&amp;D435,'OD flujo mercancia multimodal'!C$45:C$1645&amp;'OD flujo mercancia multimodal'!D$45:D$1645,0))</f>
        <v>64492.307692307702</v>
      </c>
      <c r="F435" s="11" cm="1">
        <f t="array" aca="1" ref="F435" ca="1">INDEX('OD flujo mercancia carretera'!E$45:E$1646,MATCH(C435&amp;D435,'OD flujo mercancia carretera'!C$45:C$1646&amp;'OD flujo mercancia carretera'!D$45:D$1646,0))</f>
        <v>180807.23076923031</v>
      </c>
      <c r="G435" s="11" cm="1">
        <f t="array" aca="1" ref="G435" ca="1">INDEX('Coste Carretera'!E$46:E$1646,MATCH(C435&amp;D435,'Coste Carretera'!C$46:C$1646&amp;'Coste Carretera'!D$46:D$1646,0))</f>
        <v>1207021330.2400002</v>
      </c>
      <c r="H435" s="11" cm="1">
        <f t="array" aca="1" ref="H435" ca="1">INDEX('Coste multimodal'!E$46:E$1646,MATCH(C435&amp;D435,'Coste multimodal'!C$46:C$1646&amp;'Coste multimodal'!D$46:D$1646,0))</f>
        <v>745099834.00380421</v>
      </c>
      <c r="I435" s="12" cm="1">
        <f t="array" aca="1" ref="I435" ca="1">INDEX('Tiempos intermodal (horas)'!E$45:E$1645,MATCH(C435&amp;D435,'Tiempos intermodal (horas)'!C$45:C$1645&amp;'Tiempos intermodal (horas)'!D$45:D$1645,0))</f>
        <v>34.762011107298704</v>
      </c>
      <c r="J435" s="2" cm="1">
        <f t="array" aca="1" ref="J435" ca="1">INDEX('Tiempos carretera (horas)'!E$45:E$1645,MATCH(C435&amp;D435,'Tiempos carretera (horas)'!C$45:C$1645&amp;'Tiempos carretera (horas)'!D$45:D$1645,0))</f>
        <v>3.53</v>
      </c>
      <c r="K435" s="12">
        <f t="shared" ca="1" si="42"/>
        <v>6.6757359487495158</v>
      </c>
      <c r="L435" s="12">
        <f t="shared" ca="1" si="43"/>
        <v>11.55331326580326</v>
      </c>
      <c r="M435" s="12">
        <f t="shared" ca="1" si="44"/>
        <v>0.26291247059325323</v>
      </c>
      <c r="N435" s="13">
        <f t="shared" ca="1" si="40"/>
        <v>-4.8775773170537438</v>
      </c>
      <c r="O435" s="13">
        <f t="shared" ca="1" si="41"/>
        <v>-31.232011107298703</v>
      </c>
      <c r="P435" s="12">
        <f t="shared" ca="1" si="45"/>
        <v>1.030885484245774</v>
      </c>
    </row>
    <row r="436" spans="1:16" x14ac:dyDescent="0.25">
      <c r="A436">
        <v>17</v>
      </c>
      <c r="B436">
        <v>38</v>
      </c>
      <c r="C436" s="2" t="s">
        <v>16</v>
      </c>
      <c r="D436" s="2" t="s">
        <v>37</v>
      </c>
      <c r="E436" s="11" cm="1">
        <f t="array" aca="1" ref="E436" ca="1">INDEX('OD flujo mercancia multimodal'!E$45:E$1645,MATCH(C436&amp;D436,'OD flujo mercancia multimodal'!C$45:C$1645&amp;'OD flujo mercancia multimodal'!D$45:D$1645,0))</f>
        <v>54319.846153846156</v>
      </c>
      <c r="F436" s="11" cm="1">
        <f t="array" aca="1" ref="F436" ca="1">INDEX('OD flujo mercancia carretera'!E$45:E$1646,MATCH(C436&amp;D436,'OD flujo mercancia carretera'!C$45:C$1646&amp;'OD flujo mercancia carretera'!D$45:D$1646,0))</f>
        <v>536066.15384615387</v>
      </c>
      <c r="G436" s="11" cm="1">
        <f t="array" aca="1" ref="G436" ca="1">INDEX('Coste Carretera'!E$46:E$1646,MATCH(C436&amp;D436,'Coste Carretera'!C$46:C$1646&amp;'Coste Carretera'!D$46:D$1646,0))</f>
        <v>1108558288.6400008</v>
      </c>
      <c r="H436" s="11" cm="1">
        <f t="array" aca="1" ref="H436" ca="1">INDEX('Coste multimodal'!E$46:E$1646,MATCH(C436&amp;D436,'Coste multimodal'!C$46:C$1646&amp;'Coste multimodal'!D$46:D$1646,0))</f>
        <v>745099834.00380421</v>
      </c>
      <c r="I436" s="12" cm="1">
        <f t="array" aca="1" ref="I436" ca="1">INDEX('Tiempos intermodal (horas)'!E$45:E$1645,MATCH(C436&amp;D436,'Tiempos intermodal (horas)'!C$45:C$1645&amp;'Tiempos intermodal (horas)'!D$45:D$1645,0))</f>
        <v>34.762011107298704</v>
      </c>
      <c r="J436" s="2" cm="1">
        <f t="array" aca="1" ref="J436" ca="1">INDEX('Tiempos carretera (horas)'!E$45:E$1645,MATCH(C436&amp;D436,'Tiempos carretera (horas)'!C$45:C$1645&amp;'Tiempos carretera (horas)'!D$45:D$1645,0))</f>
        <v>3.53</v>
      </c>
      <c r="K436" s="12">
        <f t="shared" ca="1" si="42"/>
        <v>2.0679505331316759</v>
      </c>
      <c r="L436" s="12">
        <f t="shared" ca="1" si="43"/>
        <v>13.716898827244687</v>
      </c>
      <c r="M436" s="12">
        <f t="shared" ca="1" si="44"/>
        <v>9.200734122056782E-2</v>
      </c>
      <c r="N436" s="13">
        <f t="shared" ca="1" si="40"/>
        <v>-11.648948294113012</v>
      </c>
      <c r="O436" s="13">
        <f t="shared" ca="1" si="41"/>
        <v>-31.232011107298703</v>
      </c>
      <c r="P436" s="12">
        <f t="shared" ca="1" si="45"/>
        <v>2.2893679237826752</v>
      </c>
    </row>
    <row r="437" spans="1:16" x14ac:dyDescent="0.25">
      <c r="A437">
        <v>5</v>
      </c>
      <c r="B437">
        <v>9</v>
      </c>
      <c r="C437" s="2" t="s">
        <v>4</v>
      </c>
      <c r="D437" s="2" t="s">
        <v>148</v>
      </c>
      <c r="E437" s="11" cm="1">
        <f t="array" aca="1" ref="E437" ca="1">INDEX('OD flujo mercancia multimodal'!E$45:E$1645,MATCH(C437&amp;D437,'OD flujo mercancia multimodal'!C$45:C$1645&amp;'OD flujo mercancia multimodal'!D$45:D$1645,0))</f>
        <v>47140.525974025972</v>
      </c>
      <c r="F437" s="11" cm="1">
        <f t="array" aca="1" ref="F437" ca="1">INDEX('OD flujo mercancia carretera'!E$45:E$1646,MATCH(C437&amp;D437,'OD flujo mercancia carretera'!C$45:C$1646&amp;'OD flujo mercancia carretera'!D$45:D$1646,0))</f>
        <v>635389.69871794886</v>
      </c>
      <c r="G437" s="11" cm="1">
        <f t="array" aca="1" ref="G437" ca="1">INDEX('Coste Carretera'!E$46:E$1646,MATCH(C437&amp;D437,'Coste Carretera'!C$46:C$1646&amp;'Coste Carretera'!D$46:D$1646,0))</f>
        <v>873964609.72701287</v>
      </c>
      <c r="H437" s="11" cm="1">
        <f t="array" aca="1" ref="H437" ca="1">INDEX('Coste multimodal'!E$46:E$1646,MATCH(C437&amp;D437,'Coste multimodal'!C$46:C$1646&amp;'Coste multimodal'!D$46:D$1646,0))</f>
        <v>774529793.58267438</v>
      </c>
      <c r="I437" s="12" cm="1">
        <f t="array" aca="1" ref="I437" ca="1">INDEX('Tiempos intermodal (horas)'!E$45:E$1645,MATCH(C437&amp;D437,'Tiempos intermodal (horas)'!C$45:C$1645&amp;'Tiempos intermodal (horas)'!D$45:D$1645,0))</f>
        <v>33.741658294036228</v>
      </c>
      <c r="J437" s="2" cm="1">
        <f t="array" aca="1" ref="J437" ca="1">INDEX('Tiempos carretera (horas)'!E$45:E$1645,MATCH(C437&amp;D437,'Tiempos carretera (horas)'!C$45:C$1645&amp;'Tiempos carretera (horas)'!D$45:D$1645,0))</f>
        <v>2.52</v>
      </c>
      <c r="K437" s="12">
        <f t="shared" ca="1" si="42"/>
        <v>1.3754780908322028</v>
      </c>
      <c r="L437" s="12">
        <f t="shared" ca="1" si="43"/>
        <v>16.430232323021464</v>
      </c>
      <c r="M437" s="12">
        <f t="shared" ca="1" si="44"/>
        <v>6.9067309063566298E-2</v>
      </c>
      <c r="N437" s="13">
        <f t="shared" ca="1" si="40"/>
        <v>-15.054754232189261</v>
      </c>
      <c r="O437" s="13">
        <f t="shared" ca="1" si="41"/>
        <v>-31.221658294036228</v>
      </c>
      <c r="P437" s="12">
        <f t="shared" ca="1" si="45"/>
        <v>2.6011054542782794</v>
      </c>
    </row>
    <row r="438" spans="1:16" x14ac:dyDescent="0.25">
      <c r="A438">
        <v>38</v>
      </c>
      <c r="B438">
        <v>12</v>
      </c>
      <c r="C438" s="2" t="s">
        <v>37</v>
      </c>
      <c r="D438" s="2" t="s">
        <v>11</v>
      </c>
      <c r="E438" s="11" cm="1">
        <f t="array" aca="1" ref="E438" ca="1">INDEX('OD flujo mercancia multimodal'!E$45:E$1645,MATCH(C438&amp;D438,'OD flujo mercancia multimodal'!C$45:C$1645&amp;'OD flujo mercancia multimodal'!D$45:D$1645,0))</f>
        <v>18238</v>
      </c>
      <c r="F438" s="11" cm="1">
        <f t="array" aca="1" ref="F438" ca="1">INDEX('OD flujo mercancia carretera'!E$45:E$1646,MATCH(C438&amp;D438,'OD flujo mercancia carretera'!C$45:C$1646&amp;'OD flujo mercancia carretera'!D$45:D$1646,0))</f>
        <v>47381.769230769205</v>
      </c>
      <c r="G438" s="11" cm="1">
        <f t="array" aca="1" ref="G438" ca="1">INDEX('Coste Carretera'!E$46:E$1646,MATCH(C438&amp;D438,'Coste Carretera'!C$46:C$1646&amp;'Coste Carretera'!D$46:D$1646,0))</f>
        <v>1210645501.1199999</v>
      </c>
      <c r="H438" s="11" cm="1">
        <f t="array" aca="1" ref="H438" ca="1">INDEX('Coste multimodal'!E$46:E$1646,MATCH(C438&amp;D438,'Coste multimodal'!C$46:C$1646&amp;'Coste multimodal'!D$46:D$1646,0))</f>
        <v>119565089.88541269</v>
      </c>
      <c r="I438" s="12" cm="1">
        <f t="array" aca="1" ref="I438" ca="1">INDEX('Tiempos intermodal (horas)'!E$45:E$1645,MATCH(C438&amp;D438,'Tiempos intermodal (horas)'!C$45:C$1645&amp;'Tiempos intermodal (horas)'!D$45:D$1645,0))</f>
        <v>40.555188476562492</v>
      </c>
      <c r="J438" s="2" cm="1">
        <f t="array" aca="1" ref="J438" ca="1">INDEX('Tiempos carretera (horas)'!E$45:E$1645,MATCH(C438&amp;D438,'Tiempos carretera (horas)'!C$45:C$1645&amp;'Tiempos carretera (horas)'!D$45:D$1645,0))</f>
        <v>9.2799999999999994</v>
      </c>
      <c r="K438" s="12">
        <f t="shared" ca="1" si="42"/>
        <v>25.550871585728377</v>
      </c>
      <c r="L438" s="12">
        <f t="shared" ca="1" si="43"/>
        <v>6.5558224523200295</v>
      </c>
      <c r="M438" s="12">
        <f t="shared" ca="1" si="44"/>
        <v>0.27793453426910525</v>
      </c>
      <c r="N438" s="13">
        <f t="shared" ca="1" si="40"/>
        <v>18.995049133408347</v>
      </c>
      <c r="O438" s="13">
        <f t="shared" ca="1" si="41"/>
        <v>-31.275188476562491</v>
      </c>
      <c r="P438" s="12">
        <f t="shared" ca="1" si="45"/>
        <v>0.95473020982147327</v>
      </c>
    </row>
    <row r="439" spans="1:16" x14ac:dyDescent="0.25">
      <c r="A439">
        <v>12</v>
      </c>
      <c r="B439">
        <v>38</v>
      </c>
      <c r="C439" s="2" t="s">
        <v>11</v>
      </c>
      <c r="D439" s="2" t="s">
        <v>37</v>
      </c>
      <c r="E439" s="11" cm="1">
        <f t="array" aca="1" ref="E439" ca="1">INDEX('OD flujo mercancia multimodal'!E$45:E$1645,MATCH(C439&amp;D439,'OD flujo mercancia multimodal'!C$45:C$1645&amp;'OD flujo mercancia multimodal'!D$45:D$1645,0))</f>
        <v>5463.3846153846152</v>
      </c>
      <c r="F439" s="11" cm="1">
        <f t="array" aca="1" ref="F439" ca="1">INDEX('OD flujo mercancia carretera'!E$45:E$1646,MATCH(C439&amp;D439,'OD flujo mercancia carretera'!C$45:C$1646&amp;'OD flujo mercancia carretera'!D$45:D$1646,0))</f>
        <v>48591.615384615383</v>
      </c>
      <c r="G439" s="11" cm="1">
        <f t="array" aca="1" ref="G439" ca="1">INDEX('Coste Carretera'!E$46:E$1646,MATCH(C439&amp;D439,'Coste Carretera'!C$46:C$1646&amp;'Coste Carretera'!D$46:D$1646,0))</f>
        <v>787767615.36000228</v>
      </c>
      <c r="H439" s="11" cm="1">
        <f t="array" aca="1" ref="H439" ca="1">INDEX('Coste multimodal'!E$46:E$1646,MATCH(C439&amp;D439,'Coste multimodal'!C$46:C$1646&amp;'Coste multimodal'!D$46:D$1646,0))</f>
        <v>119565089.88541269</v>
      </c>
      <c r="I439" s="12" cm="1">
        <f t="array" aca="1" ref="I439" ca="1">INDEX('Tiempos intermodal (horas)'!E$45:E$1645,MATCH(C439&amp;D439,'Tiempos intermodal (horas)'!C$45:C$1645&amp;'Tiempos intermodal (horas)'!D$45:D$1645,0))</f>
        <v>40.555188476562492</v>
      </c>
      <c r="J439" s="2" cm="1">
        <f t="array" aca="1" ref="J439" ca="1">INDEX('Tiempos carretera (horas)'!E$45:E$1645,MATCH(C439&amp;D439,'Tiempos carretera (horas)'!C$45:C$1645&amp;'Tiempos carretera (horas)'!D$45:D$1645,0))</f>
        <v>9.2799999999999994</v>
      </c>
      <c r="K439" s="12">
        <f t="shared" ca="1" si="42"/>
        <v>16.212007135894019</v>
      </c>
      <c r="L439" s="12">
        <f t="shared" ca="1" si="43"/>
        <v>21.884801876976304</v>
      </c>
      <c r="M439" s="12">
        <f t="shared" ca="1" si="44"/>
        <v>0.10107084664479909</v>
      </c>
      <c r="N439" s="13">
        <f t="shared" ca="1" si="40"/>
        <v>-5.672794741082285</v>
      </c>
      <c r="O439" s="13">
        <f t="shared" ca="1" si="41"/>
        <v>-31.275188476562491</v>
      </c>
      <c r="P439" s="12">
        <f t="shared" ca="1" si="45"/>
        <v>2.1853825024422084</v>
      </c>
    </row>
    <row r="440" spans="1:16" x14ac:dyDescent="0.25">
      <c r="A440">
        <v>5</v>
      </c>
      <c r="B440">
        <v>27</v>
      </c>
      <c r="C440" s="2" t="s">
        <v>4</v>
      </c>
      <c r="D440" s="2" t="s">
        <v>145</v>
      </c>
      <c r="E440" s="11" cm="1">
        <f t="array" aca="1" ref="E440" ca="1">INDEX('OD flujo mercancia multimodal'!E$45:E$1645,MATCH(C440&amp;D440,'OD flujo mercancia multimodal'!C$45:C$1645&amp;'OD flujo mercancia multimodal'!D$45:D$1645,0))</f>
        <v>106027.07142857142</v>
      </c>
      <c r="F440" s="11" cm="1">
        <f t="array" aca="1" ref="F440" ca="1">INDEX('OD flujo mercancia carretera'!E$45:E$1646,MATCH(C440&amp;D440,'OD flujo mercancia carretera'!C$45:C$1646&amp;'OD flujo mercancia carretera'!D$45:D$1646,0))</f>
        <v>481828.17692307691</v>
      </c>
      <c r="G440" s="11" cm="1">
        <f t="array" aca="1" ref="G440" ca="1">INDEX('Coste Carretera'!E$46:E$1646,MATCH(C440&amp;D440,'Coste Carretera'!C$46:C$1646&amp;'Coste Carretera'!D$46:D$1646,0))</f>
        <v>5056235946.6171417</v>
      </c>
      <c r="H440" s="11" cm="1">
        <f t="array" aca="1" ref="H440" ca="1">INDEX('Coste multimodal'!E$46:E$1646,MATCH(C440&amp;D440,'Coste multimodal'!C$46:C$1646&amp;'Coste multimodal'!D$46:D$1646,0))</f>
        <v>1141589292.8978963</v>
      </c>
      <c r="I440" s="12" cm="1">
        <f t="array" aca="1" ref="I440" ca="1">INDEX('Tiempos intermodal (horas)'!E$45:E$1645,MATCH(C440&amp;D440,'Tiempos intermodal (horas)'!C$45:C$1645&amp;'Tiempos intermodal (horas)'!D$45:D$1645,0))</f>
        <v>41.31098385739255</v>
      </c>
      <c r="J440" s="2" cm="1">
        <f t="array" aca="1" ref="J440" ca="1">INDEX('Tiempos carretera (horas)'!E$45:E$1645,MATCH(C440&amp;D440,'Tiempos carretera (horas)'!C$45:C$1645&amp;'Tiempos carretera (horas)'!D$45:D$1645,0))</f>
        <v>9.92</v>
      </c>
      <c r="K440" s="12">
        <f t="shared" ca="1" si="42"/>
        <v>10.493856915770124</v>
      </c>
      <c r="L440" s="12">
        <f t="shared" ca="1" si="43"/>
        <v>10.766960527311792</v>
      </c>
      <c r="M440" s="12">
        <f t="shared" ca="1" si="44"/>
        <v>0.18036254966825988</v>
      </c>
      <c r="N440" s="13">
        <f t="shared" ca="1" si="40"/>
        <v>-0.27310361154166785</v>
      </c>
      <c r="O440" s="13">
        <f t="shared" ca="1" si="41"/>
        <v>-31.390983857392548</v>
      </c>
      <c r="P440" s="12">
        <f t="shared" ca="1" si="45"/>
        <v>1.513893118743048</v>
      </c>
    </row>
    <row r="441" spans="1:16" x14ac:dyDescent="0.25">
      <c r="A441">
        <v>9</v>
      </c>
      <c r="B441">
        <v>8</v>
      </c>
      <c r="C441" s="2" t="s">
        <v>148</v>
      </c>
      <c r="D441" s="2" t="s">
        <v>7</v>
      </c>
      <c r="E441" s="11" cm="1">
        <f t="array" aca="1" ref="E441" ca="1">INDEX('OD flujo mercancia multimodal'!E$45:E$1645,MATCH(C441&amp;D441,'OD flujo mercancia multimodal'!C$45:C$1645&amp;'OD flujo mercancia multimodal'!D$45:D$1645,0))</f>
        <v>35519.357142857101</v>
      </c>
      <c r="F441" s="11" cm="1">
        <f t="array" aca="1" ref="F441" ca="1">INDEX('OD flujo mercancia carretera'!E$45:E$1646,MATCH(C441&amp;D441,'OD flujo mercancia carretera'!C$45:C$1646&amp;'OD flujo mercancia carretera'!D$45:D$1646,0))</f>
        <v>694967.14316239313</v>
      </c>
      <c r="G441" s="11" cm="1">
        <f t="array" aca="1" ref="G441" ca="1">INDEX('Coste Carretera'!E$46:E$1646,MATCH(C441&amp;D441,'Coste Carretera'!C$46:C$1646&amp;'Coste Carretera'!D$46:D$1646,0))</f>
        <v>414135813.44571388</v>
      </c>
      <c r="H441" s="11" cm="1">
        <f t="array" aca="1" ref="H441" ca="1">INDEX('Coste multimodal'!E$46:E$1646,MATCH(C441&amp;D441,'Coste multimodal'!C$46:C$1646&amp;'Coste multimodal'!D$46:D$1646,0))</f>
        <v>757088517.33105171</v>
      </c>
      <c r="I441" s="12" cm="1">
        <f t="array" aca="1" ref="I441" ca="1">INDEX('Tiempos intermodal (horas)'!E$45:E$1645,MATCH(C441&amp;D441,'Tiempos intermodal (horas)'!C$45:C$1645&amp;'Tiempos intermodal (horas)'!D$45:D$1645,0))</f>
        <v>33.91601510445993</v>
      </c>
      <c r="J441" s="2" cm="1">
        <f t="array" aca="1" ref="J441" ca="1">INDEX('Tiempos carretera (horas)'!E$45:E$1645,MATCH(C441&amp;D441,'Tiempos carretera (horas)'!C$45:C$1645&amp;'Tiempos carretera (horas)'!D$45:D$1645,0))</f>
        <v>2.5</v>
      </c>
      <c r="K441" s="12">
        <f t="shared" ca="1" si="42"/>
        <v>0.59590704038355191</v>
      </c>
      <c r="L441" s="12">
        <f t="shared" ca="1" si="43"/>
        <v>21.314814744143003</v>
      </c>
      <c r="M441" s="12">
        <f t="shared" ca="1" si="44"/>
        <v>4.8624248535756011E-2</v>
      </c>
      <c r="N441" s="13">
        <f t="shared" ca="1" si="40"/>
        <v>-20.718907703759452</v>
      </c>
      <c r="O441" s="13">
        <f t="shared" ca="1" si="41"/>
        <v>-31.41601510445993</v>
      </c>
      <c r="P441" s="12">
        <f t="shared" ca="1" si="45"/>
        <v>2.9737867489173215</v>
      </c>
    </row>
    <row r="442" spans="1:16" x14ac:dyDescent="0.25">
      <c r="A442">
        <v>8</v>
      </c>
      <c r="B442">
        <v>9</v>
      </c>
      <c r="C442" s="2" t="s">
        <v>7</v>
      </c>
      <c r="D442" s="2" t="s">
        <v>148</v>
      </c>
      <c r="E442" s="11" cm="1">
        <f t="array" aca="1" ref="E442" ca="1">INDEX('OD flujo mercancia multimodal'!E$45:E$1645,MATCH(C442&amp;D442,'OD flujo mercancia multimodal'!C$45:C$1645&amp;'OD flujo mercancia multimodal'!D$45:D$1645,0))</f>
        <v>7557.0974025974019</v>
      </c>
      <c r="F442" s="11" cm="1">
        <f t="array" aca="1" ref="F442" ca="1">INDEX('OD flujo mercancia carretera'!E$45:E$1646,MATCH(C442&amp;D442,'OD flujo mercancia carretera'!C$45:C$1646&amp;'OD flujo mercancia carretera'!D$45:D$1646,0))</f>
        <v>687247.54487179511</v>
      </c>
      <c r="G442" s="11" cm="1">
        <f t="array" aca="1" ref="G442" ca="1">INDEX('Coste Carretera'!E$46:E$1646,MATCH(C442&amp;D442,'Coste Carretera'!C$46:C$1646&amp;'Coste Carretera'!D$46:D$1646,0))</f>
        <v>88111523.739740252</v>
      </c>
      <c r="H442" s="11" cm="1">
        <f t="array" aca="1" ref="H442" ca="1">INDEX('Coste multimodal'!E$46:E$1646,MATCH(C442&amp;D442,'Coste multimodal'!C$46:C$1646&amp;'Coste multimodal'!D$46:D$1646,0))</f>
        <v>757088517.33105171</v>
      </c>
      <c r="I442" s="12" cm="1">
        <f t="array" aca="1" ref="I442" ca="1">INDEX('Tiempos intermodal (horas)'!E$45:E$1645,MATCH(C442&amp;D442,'Tiempos intermodal (horas)'!C$45:C$1645&amp;'Tiempos intermodal (horas)'!D$45:D$1645,0))</f>
        <v>33.91601510445993</v>
      </c>
      <c r="J442" s="2" cm="1">
        <f t="array" aca="1" ref="J442" ca="1">INDEX('Tiempos carretera (horas)'!E$45:E$1645,MATCH(C442&amp;D442,'Tiempos carretera (horas)'!C$45:C$1645&amp;'Tiempos carretera (horas)'!D$45:D$1645,0))</f>
        <v>2.5</v>
      </c>
      <c r="K442" s="12">
        <f t="shared" ca="1" si="42"/>
        <v>0.1282092957584553</v>
      </c>
      <c r="L442" s="12">
        <f t="shared" ca="1" si="43"/>
        <v>100.18244796882432</v>
      </c>
      <c r="M442" s="12">
        <f t="shared" ca="1" si="44"/>
        <v>1.0876578742853232E-2</v>
      </c>
      <c r="N442" s="13">
        <f t="shared" ca="1" si="40"/>
        <v>-100.05423867306587</v>
      </c>
      <c r="O442" s="13">
        <f t="shared" ca="1" si="41"/>
        <v>-31.41601510445993</v>
      </c>
      <c r="P442" s="12">
        <f t="shared" ca="1" si="45"/>
        <v>4.5102073796326714</v>
      </c>
    </row>
    <row r="443" spans="1:16" x14ac:dyDescent="0.25">
      <c r="A443">
        <v>3</v>
      </c>
      <c r="B443">
        <v>36</v>
      </c>
      <c r="C443" s="2" t="s">
        <v>2</v>
      </c>
      <c r="D443" s="2" t="s">
        <v>35</v>
      </c>
      <c r="E443" s="11" cm="1">
        <f t="array" aca="1" ref="E443" ca="1">INDEX('OD flujo mercancia multimodal'!E$45:E$1645,MATCH(C443&amp;D443,'OD flujo mercancia multimodal'!C$45:C$1645&amp;'OD flujo mercancia multimodal'!D$45:D$1645,0))</f>
        <v>18697.41758241758</v>
      </c>
      <c r="F443" s="11" cm="1">
        <f t="array" aca="1" ref="F443" ca="1">INDEX('OD flujo mercancia carretera'!E$45:E$1646,MATCH(C443&amp;D443,'OD flujo mercancia carretera'!C$45:C$1646&amp;'OD flujo mercancia carretera'!D$45:D$1646,0))</f>
        <v>128865.69230769234</v>
      </c>
      <c r="G443" s="11" cm="1">
        <f t="array" aca="1" ref="G443" ca="1">INDEX('Coste Carretera'!E$46:E$1646,MATCH(C443&amp;D443,'Coste Carretera'!C$46:C$1646&amp;'Coste Carretera'!D$46:D$1646,0))</f>
        <v>401920358.05714303</v>
      </c>
      <c r="H443" s="11" cm="1">
        <f t="array" aca="1" ref="H443" ca="1">INDEX('Coste multimodal'!E$46:E$1646,MATCH(C443&amp;D443,'Coste multimodal'!C$46:C$1646&amp;'Coste multimodal'!D$46:D$1646,0))</f>
        <v>0</v>
      </c>
      <c r="I443" s="12" cm="1">
        <f t="array" aca="1" ref="I443" ca="1">INDEX('Tiempos intermodal (horas)'!E$45:E$1645,MATCH(C443&amp;D443,'Tiempos intermodal (horas)'!C$45:C$1645&amp;'Tiempos intermodal (horas)'!D$45:D$1645,0))</f>
        <v>20.165737809464737</v>
      </c>
      <c r="J443" s="2" cm="1">
        <f t="array" aca="1" ref="J443" ca="1">INDEX('Tiempos carretera (horas)'!E$45:E$1645,MATCH(C443&amp;D443,'Tiempos carretera (horas)'!C$45:C$1645&amp;'Tiempos carretera (horas)'!D$45:D$1645,0))</f>
        <v>2.2999999999999998</v>
      </c>
      <c r="K443" s="12">
        <f t="shared" ca="1" si="42"/>
        <v>3.1189089264928533</v>
      </c>
      <c r="L443" s="12">
        <f t="shared" ca="1" si="43"/>
        <v>0</v>
      </c>
      <c r="M443" s="12">
        <f t="shared" ca="1" si="44"/>
        <v>0.12670793937821945</v>
      </c>
      <c r="N443" s="13">
        <f t="shared" ca="1" si="40"/>
        <v>3.1189089264928533</v>
      </c>
      <c r="O443" s="13">
        <f t="shared" ca="1" si="41"/>
        <v>-17.865737809464736</v>
      </c>
      <c r="P443" s="12">
        <f t="shared" ca="1" si="45"/>
        <v>1.9303852999648965</v>
      </c>
    </row>
    <row r="444" spans="1:16" x14ac:dyDescent="0.25">
      <c r="A444">
        <v>19</v>
      </c>
      <c r="B444">
        <v>31</v>
      </c>
      <c r="C444" s="2" t="s">
        <v>18</v>
      </c>
      <c r="D444" s="2" t="s">
        <v>30</v>
      </c>
      <c r="E444" s="11" cm="1">
        <f t="array" aca="1" ref="E444" ca="1">INDEX('OD flujo mercancia multimodal'!E$45:E$1645,MATCH(C444&amp;D444,'OD flujo mercancia multimodal'!C$45:C$1645&amp;'OD flujo mercancia multimodal'!D$45:D$1645,0))</f>
        <v>4452.3846153846171</v>
      </c>
      <c r="F444" s="11" cm="1">
        <f t="array" aca="1" ref="F444" ca="1">INDEX('OD flujo mercancia carretera'!E$45:E$1646,MATCH(C444&amp;D444,'OD flujo mercancia carretera'!C$45:C$1646&amp;'OD flujo mercancia carretera'!D$45:D$1646,0))</f>
        <v>64275.692307692298</v>
      </c>
      <c r="G444" s="11" cm="1">
        <f t="array" aca="1" ref="G444" ca="1">INDEX('Coste Carretera'!E$46:E$1646,MATCH(C444&amp;D444,'Coste Carretera'!C$46:C$1646&amp;'Coste Carretera'!D$46:D$1646,0))</f>
        <v>432446269.83600003</v>
      </c>
      <c r="H444" s="11" cm="1">
        <f t="array" aca="1" ref="H444" ca="1">INDEX('Coste multimodal'!E$46:E$1646,MATCH(C444&amp;D444,'Coste multimodal'!C$46:C$1646&amp;'Coste multimodal'!D$46:D$1646,0))</f>
        <v>379218380.01447916</v>
      </c>
      <c r="I444" s="12" cm="1">
        <f t="array" aca="1" ref="I444" ca="1">INDEX('Tiempos intermodal (horas)'!E$45:E$1645,MATCH(C444&amp;D444,'Tiempos intermodal (horas)'!C$45:C$1645&amp;'Tiempos intermodal (horas)'!D$45:D$1645,0))</f>
        <v>40.490151224955426</v>
      </c>
      <c r="J444" s="2" cm="1">
        <f t="array" aca="1" ref="J444" ca="1">INDEX('Tiempos carretera (horas)'!E$45:E$1645,MATCH(C444&amp;D444,'Tiempos carretera (horas)'!C$45:C$1645&amp;'Tiempos carretera (horas)'!D$45:D$1645,0))</f>
        <v>8.7200000000000006</v>
      </c>
      <c r="K444" s="12">
        <f t="shared" ca="1" si="42"/>
        <v>6.7279908517491975</v>
      </c>
      <c r="L444" s="12">
        <f t="shared" ca="1" si="43"/>
        <v>85.171972498544037</v>
      </c>
      <c r="M444" s="12">
        <f t="shared" ca="1" si="44"/>
        <v>6.4782615995030629E-2</v>
      </c>
      <c r="N444" s="13">
        <f t="shared" ca="1" si="40"/>
        <v>-78.443981646794839</v>
      </c>
      <c r="O444" s="13">
        <f t="shared" ca="1" si="41"/>
        <v>-31.770151224955427</v>
      </c>
      <c r="P444" s="12">
        <f t="shared" ca="1" si="45"/>
        <v>2.6697417028423005</v>
      </c>
    </row>
    <row r="445" spans="1:16" x14ac:dyDescent="0.25">
      <c r="A445">
        <v>31</v>
      </c>
      <c r="B445">
        <v>19</v>
      </c>
      <c r="C445" s="2" t="s">
        <v>30</v>
      </c>
      <c r="D445" s="2" t="s">
        <v>18</v>
      </c>
      <c r="E445" s="11" cm="1">
        <f t="array" aca="1" ref="E445" ca="1">INDEX('OD flujo mercancia multimodal'!E$45:E$1645,MATCH(C445&amp;D445,'OD flujo mercancia multimodal'!C$45:C$1645&amp;'OD flujo mercancia multimodal'!D$45:D$1645,0))</f>
        <v>3123.2307692307722</v>
      </c>
      <c r="F445" s="11" cm="1">
        <f t="array" aca="1" ref="F445" ca="1">INDEX('OD flujo mercancia carretera'!E$45:E$1646,MATCH(C445&amp;D445,'OD flujo mercancia carretera'!C$45:C$1646&amp;'OD flujo mercancia carretera'!D$45:D$1646,0))</f>
        <v>111472.69230769228</v>
      </c>
      <c r="G445" s="11" cm="1">
        <f t="array" aca="1" ref="G445" ca="1">INDEX('Coste Carretera'!E$46:E$1646,MATCH(C445&amp;D445,'Coste Carretera'!C$46:C$1646&amp;'Coste Carretera'!D$46:D$1646,0))</f>
        <v>141231620.88000014</v>
      </c>
      <c r="H445" s="11" cm="1">
        <f t="array" aca="1" ref="H445" ca="1">INDEX('Coste multimodal'!E$46:E$1646,MATCH(C445&amp;D445,'Coste multimodal'!C$46:C$1646&amp;'Coste multimodal'!D$46:D$1646,0))</f>
        <v>379218380.01447916</v>
      </c>
      <c r="I445" s="12" cm="1">
        <f t="array" aca="1" ref="I445" ca="1">INDEX('Tiempos intermodal (horas)'!E$45:E$1645,MATCH(C445&amp;D445,'Tiempos intermodal (horas)'!C$45:C$1645&amp;'Tiempos intermodal (horas)'!D$45:D$1645,0))</f>
        <v>40.490151224955426</v>
      </c>
      <c r="J445" s="2" cm="1">
        <f t="array" aca="1" ref="J445" ca="1">INDEX('Tiempos carretera (horas)'!E$45:E$1645,MATCH(C445&amp;D445,'Tiempos carretera (horas)'!C$45:C$1645&amp;'Tiempos carretera (horas)'!D$45:D$1645,0))</f>
        <v>8.7200000000000006</v>
      </c>
      <c r="K445" s="12">
        <f t="shared" ca="1" si="42"/>
        <v>1.2669616024897454</v>
      </c>
      <c r="L445" s="12">
        <f t="shared" ca="1" si="43"/>
        <v>121.41862322516684</v>
      </c>
      <c r="M445" s="12">
        <f t="shared" ca="1" si="44"/>
        <v>2.7254292171758055E-2</v>
      </c>
      <c r="N445" s="13">
        <f t="shared" ca="1" si="40"/>
        <v>-120.1516616226771</v>
      </c>
      <c r="O445" s="13">
        <f t="shared" ca="1" si="41"/>
        <v>-31.770151224955427</v>
      </c>
      <c r="P445" s="12">
        <f t="shared" ca="1" si="45"/>
        <v>3.5749116798490808</v>
      </c>
    </row>
    <row r="446" spans="1:16" x14ac:dyDescent="0.25">
      <c r="A446">
        <v>10</v>
      </c>
      <c r="B446">
        <v>27</v>
      </c>
      <c r="C446" s="2" t="s">
        <v>9</v>
      </c>
      <c r="D446" s="2" t="s">
        <v>145</v>
      </c>
      <c r="E446" s="11" cm="1">
        <f t="array" aca="1" ref="E446" ca="1">INDEX('OD flujo mercancia multimodal'!E$45:E$1645,MATCH(C446&amp;D446,'OD flujo mercancia multimodal'!C$45:C$1645&amp;'OD flujo mercancia multimodal'!D$45:D$1645,0))</f>
        <v>73535.571428571435</v>
      </c>
      <c r="F446" s="11" cm="1">
        <f t="array" aca="1" ref="F446" ca="1">INDEX('OD flujo mercancia carretera'!E$45:E$1646,MATCH(C446&amp;D446,'OD flujo mercancia carretera'!C$45:C$1646&amp;'OD flujo mercancia carretera'!D$45:D$1646,0))</f>
        <v>507231.02307692304</v>
      </c>
      <c r="G446" s="11" cm="1">
        <f t="array" aca="1" ref="G446" ca="1">INDEX('Coste Carretera'!E$46:E$1646,MATCH(C446&amp;D446,'Coste Carretera'!C$46:C$1646&amp;'Coste Carretera'!D$46:D$1646,0))</f>
        <v>3738501388.6628571</v>
      </c>
      <c r="H446" s="11" cm="1">
        <f t="array" aca="1" ref="H446" ca="1">INDEX('Coste multimodal'!E$46:E$1646,MATCH(C446&amp;D446,'Coste multimodal'!C$46:C$1646&amp;'Coste multimodal'!D$46:D$1646,0))</f>
        <v>1188925069.9578965</v>
      </c>
      <c r="I446" s="12" cm="1">
        <f t="array" aca="1" ref="I446" ca="1">INDEX('Tiempos intermodal (horas)'!E$45:E$1645,MATCH(C446&amp;D446,'Tiempos intermodal (horas)'!C$45:C$1645&amp;'Tiempos intermodal (horas)'!D$45:D$1645,0))</f>
        <v>42.298761635170322</v>
      </c>
      <c r="J446" s="2" cm="1">
        <f t="array" aca="1" ref="J446" ca="1">INDEX('Tiempos carretera (horas)'!E$45:E$1645,MATCH(C446&amp;D446,'Tiempos carretera (horas)'!C$45:C$1645&amp;'Tiempos carretera (horas)'!D$45:D$1645,0))</f>
        <v>10.53</v>
      </c>
      <c r="K446" s="12">
        <f t="shared" ca="1" si="42"/>
        <v>7.3704115453835382</v>
      </c>
      <c r="L446" s="12">
        <f t="shared" ca="1" si="43"/>
        <v>16.168026532747561</v>
      </c>
      <c r="M446" s="12">
        <f t="shared" ca="1" si="44"/>
        <v>0.12661811496094191</v>
      </c>
      <c r="N446" s="13">
        <f t="shared" ca="1" si="40"/>
        <v>-8.7976149873640228</v>
      </c>
      <c r="O446" s="13">
        <f t="shared" ca="1" si="41"/>
        <v>-31.768761635170321</v>
      </c>
      <c r="P446" s="12">
        <f t="shared" ca="1" si="45"/>
        <v>1.9311973124649013</v>
      </c>
    </row>
    <row r="447" spans="1:16" x14ac:dyDescent="0.25">
      <c r="A447">
        <v>27</v>
      </c>
      <c r="B447">
        <v>10</v>
      </c>
      <c r="C447" s="2" t="s">
        <v>145</v>
      </c>
      <c r="D447" s="2" t="s">
        <v>9</v>
      </c>
      <c r="E447" s="11" cm="1">
        <f t="array" aca="1" ref="E447" ca="1">INDEX('OD flujo mercancia multimodal'!E$45:E$1645,MATCH(C447&amp;D447,'OD flujo mercancia multimodal'!C$45:C$1645&amp;'OD flujo mercancia multimodal'!D$45:D$1645,0))</f>
        <v>54345.214285714304</v>
      </c>
      <c r="F447" s="11" cm="1">
        <f t="array" aca="1" ref="F447" ca="1">INDEX('OD flujo mercancia carretera'!E$45:E$1646,MATCH(C447&amp;D447,'OD flujo mercancia carretera'!C$45:C$1646&amp;'OD flujo mercancia carretera'!D$45:D$1646,0))</f>
        <v>514270.12307692308</v>
      </c>
      <c r="G447" s="11" cm="1">
        <f t="array" aca="1" ref="G447" ca="1">INDEX('Coste Carretera'!E$46:E$1646,MATCH(C447&amp;D447,'Coste Carretera'!C$46:C$1646&amp;'Coste Carretera'!D$46:D$1646,0))</f>
        <v>2762875913.3485723</v>
      </c>
      <c r="H447" s="11" cm="1">
        <f t="array" aca="1" ref="H447" ca="1">INDEX('Coste multimodal'!E$46:E$1646,MATCH(C447&amp;D447,'Coste multimodal'!C$46:C$1646&amp;'Coste multimodal'!D$46:D$1646,0))</f>
        <v>1188925069.9578965</v>
      </c>
      <c r="I447" s="12" cm="1">
        <f t="array" aca="1" ref="I447" ca="1">INDEX('Tiempos intermodal (horas)'!E$45:E$1645,MATCH(C447&amp;D447,'Tiempos intermodal (horas)'!C$45:C$1645&amp;'Tiempos intermodal (horas)'!D$45:D$1645,0))</f>
        <v>42.298761635170322</v>
      </c>
      <c r="J447" s="2" cm="1">
        <f t="array" aca="1" ref="J447" ca="1">INDEX('Tiempos carretera (horas)'!E$45:E$1645,MATCH(C447&amp;D447,'Tiempos carretera (horas)'!C$45:C$1645&amp;'Tiempos carretera (horas)'!D$45:D$1645,0))</f>
        <v>10.53</v>
      </c>
      <c r="K447" s="12">
        <f t="shared" ca="1" si="42"/>
        <v>5.3724215920186928</v>
      </c>
      <c r="L447" s="12">
        <f t="shared" ca="1" si="43"/>
        <v>21.877272646442183</v>
      </c>
      <c r="M447" s="12">
        <f t="shared" ca="1" si="44"/>
        <v>9.5574654278196794E-2</v>
      </c>
      <c r="N447" s="13">
        <f t="shared" ca="1" si="40"/>
        <v>-16.50485105442349</v>
      </c>
      <c r="O447" s="13">
        <f t="shared" ca="1" si="41"/>
        <v>-31.768761635170321</v>
      </c>
      <c r="P447" s="12">
        <f t="shared" ca="1" si="45"/>
        <v>2.2473921026204664</v>
      </c>
    </row>
    <row r="448" spans="1:16" x14ac:dyDescent="0.25">
      <c r="A448">
        <v>19</v>
      </c>
      <c r="B448">
        <v>22</v>
      </c>
      <c r="C448" s="2" t="s">
        <v>18</v>
      </c>
      <c r="D448" s="2" t="s">
        <v>21</v>
      </c>
      <c r="E448" s="11" cm="1">
        <f t="array" aca="1" ref="E448" ca="1">INDEX('OD flujo mercancia multimodal'!E$45:E$1645,MATCH(C448&amp;D448,'OD flujo mercancia multimodal'!C$45:C$1645&amp;'OD flujo mercancia multimodal'!D$45:D$1645,0))</f>
        <v>23552.076923076878</v>
      </c>
      <c r="F448" s="11" cm="1">
        <f t="array" aca="1" ref="F448" ca="1">INDEX('OD flujo mercancia carretera'!E$45:E$1646,MATCH(C448&amp;D448,'OD flujo mercancia carretera'!C$45:C$1646&amp;'OD flujo mercancia carretera'!D$45:D$1646,0))</f>
        <v>166433.33333333299</v>
      </c>
      <c r="G448" s="11" cm="1">
        <f t="array" aca="1" ref="G448" ca="1">INDEX('Coste Carretera'!E$46:E$1646,MATCH(C448&amp;D448,'Coste Carretera'!C$46:C$1646&amp;'Coste Carretera'!D$46:D$1646,0))</f>
        <v>242443195.67999956</v>
      </c>
      <c r="H448" s="11" cm="1">
        <f t="array" aca="1" ref="H448" ca="1">INDEX('Coste multimodal'!E$46:E$1646,MATCH(C448&amp;D448,'Coste multimodal'!C$46:C$1646&amp;'Coste multimodal'!D$46:D$1646,0))</f>
        <v>228000476.70017338</v>
      </c>
      <c r="I448" s="12" cm="1">
        <f t="array" aca="1" ref="I448" ca="1">INDEX('Tiempos intermodal (horas)'!E$45:E$1645,MATCH(C448&amp;D448,'Tiempos intermodal (horas)'!C$45:C$1645&amp;'Tiempos intermodal (horas)'!D$45:D$1645,0))</f>
        <v>46.003839494768194</v>
      </c>
      <c r="J448" s="2" cm="1">
        <f t="array" aca="1" ref="J448" ca="1">INDEX('Tiempos carretera (horas)'!E$45:E$1645,MATCH(C448&amp;D448,'Tiempos carretera (horas)'!C$45:C$1645&amp;'Tiempos carretera (horas)'!D$45:D$1645,0))</f>
        <v>2.0099999999999998</v>
      </c>
      <c r="K448" s="12">
        <f t="shared" ca="1" si="42"/>
        <v>1.4566985520528744</v>
      </c>
      <c r="L448" s="12">
        <f t="shared" ca="1" si="43"/>
        <v>9.6806951439927218</v>
      </c>
      <c r="M448" s="12">
        <f t="shared" ca="1" si="44"/>
        <v>0.12396781885140709</v>
      </c>
      <c r="N448" s="13">
        <f t="shared" ref="N448:N511" ca="1" si="46">K448-L448</f>
        <v>-8.2239965919398479</v>
      </c>
      <c r="O448" s="13">
        <f t="shared" ref="O448:O511" ca="1" si="47">J448-I448</f>
        <v>-43.993839494768196</v>
      </c>
      <c r="P448" s="12">
        <f t="shared" ca="1" si="45"/>
        <v>1.9553808202020042</v>
      </c>
    </row>
    <row r="449" spans="1:16" x14ac:dyDescent="0.25">
      <c r="A449">
        <v>22</v>
      </c>
      <c r="B449">
        <v>19</v>
      </c>
      <c r="C449" s="2" t="s">
        <v>21</v>
      </c>
      <c r="D449" s="2" t="s">
        <v>18</v>
      </c>
      <c r="E449" s="11" cm="1">
        <f t="array" aca="1" ref="E449" ca="1">INDEX('OD flujo mercancia multimodal'!E$45:E$1645,MATCH(C449&amp;D449,'OD flujo mercancia multimodal'!C$45:C$1645&amp;'OD flujo mercancia multimodal'!D$45:D$1645,0))</f>
        <v>9952.4615384615408</v>
      </c>
      <c r="F449" s="11" cm="1">
        <f t="array" aca="1" ref="F449" ca="1">INDEX('OD flujo mercancia carretera'!E$45:E$1646,MATCH(C449&amp;D449,'OD flujo mercancia carretera'!C$45:C$1646&amp;'OD flujo mercancia carretera'!D$45:D$1646,0))</f>
        <v>218466.05128205125</v>
      </c>
      <c r="G449" s="11" cm="1">
        <f t="array" aca="1" ref="G449" ca="1">INDEX('Coste Carretera'!E$46:E$1646,MATCH(C449&amp;D449,'Coste Carretera'!C$46:C$1646&amp;'Coste Carretera'!D$46:D$1646,0))</f>
        <v>102449842.88000004</v>
      </c>
      <c r="H449" s="11" cm="1">
        <f t="array" aca="1" ref="H449" ca="1">INDEX('Coste multimodal'!E$46:E$1646,MATCH(C449&amp;D449,'Coste multimodal'!C$46:C$1646&amp;'Coste multimodal'!D$46:D$1646,0))</f>
        <v>228000476.70017338</v>
      </c>
      <c r="I449" s="12" cm="1">
        <f t="array" aca="1" ref="I449" ca="1">INDEX('Tiempos intermodal (horas)'!E$45:E$1645,MATCH(C449&amp;D449,'Tiempos intermodal (horas)'!C$45:C$1645&amp;'Tiempos intermodal (horas)'!D$45:D$1645,0))</f>
        <v>46.003839494768194</v>
      </c>
      <c r="J449" s="2" cm="1">
        <f t="array" aca="1" ref="J449" ca="1">INDEX('Tiempos carretera (horas)'!E$45:E$1645,MATCH(C449&amp;D449,'Tiempos carretera (horas)'!C$45:C$1645&amp;'Tiempos carretera (horas)'!D$45:D$1645,0))</f>
        <v>2.0099999999999998</v>
      </c>
      <c r="K449" s="12">
        <f t="shared" ca="1" si="42"/>
        <v>0.46895086114653051</v>
      </c>
      <c r="L449" s="12">
        <f t="shared" ca="1" si="43"/>
        <v>22.908953309596797</v>
      </c>
      <c r="M449" s="12">
        <f t="shared" ca="1" si="44"/>
        <v>4.3571168621879645E-2</v>
      </c>
      <c r="N449" s="13">
        <f t="shared" ca="1" si="46"/>
        <v>-22.440002448450265</v>
      </c>
      <c r="O449" s="13">
        <f t="shared" ca="1" si="47"/>
        <v>-43.993839494768196</v>
      </c>
      <c r="P449" s="12">
        <f t="shared" ca="1" si="45"/>
        <v>3.0888107193827534</v>
      </c>
    </row>
    <row r="450" spans="1:16" x14ac:dyDescent="0.25">
      <c r="A450">
        <v>9</v>
      </c>
      <c r="B450">
        <v>31</v>
      </c>
      <c r="C450" s="2" t="s">
        <v>148</v>
      </c>
      <c r="D450" s="2" t="s">
        <v>30</v>
      </c>
      <c r="E450" s="11" cm="1">
        <f t="array" aca="1" ref="E450" ca="1">INDEX('OD flujo mercancia multimodal'!E$45:E$1645,MATCH(C450&amp;D450,'OD flujo mercancia multimodal'!C$45:C$1645&amp;'OD flujo mercancia multimodal'!D$45:D$1645,0))</f>
        <v>3561.9615384615399</v>
      </c>
      <c r="F450" s="11" cm="1">
        <f t="array" aca="1" ref="F450" ca="1">INDEX('OD flujo mercancia carretera'!E$45:E$1646,MATCH(C450&amp;D450,'OD flujo mercancia carretera'!C$45:C$1646&amp;'OD flujo mercancia carretera'!D$45:D$1646,0))</f>
        <v>599417.98931623937</v>
      </c>
      <c r="G450" s="11" cm="1">
        <f t="array" aca="1" ref="G450" ca="1">INDEX('Coste Carretera'!E$46:E$1646,MATCH(C450&amp;D450,'Coste Carretera'!C$46:C$1646&amp;'Coste Carretera'!D$46:D$1646,0))</f>
        <v>121617286.75199999</v>
      </c>
      <c r="H450" s="11" cm="1">
        <f t="array" aca="1" ref="H450" ca="1">INDEX('Coste multimodal'!E$46:E$1646,MATCH(C450&amp;D450,'Coste multimodal'!C$46:C$1646&amp;'Coste multimodal'!D$46:D$1646,0))</f>
        <v>756547645.9034673</v>
      </c>
      <c r="I450" s="12" cm="1">
        <f t="array" aca="1" ref="I450" ca="1">INDEX('Tiempos intermodal (horas)'!E$45:E$1645,MATCH(C450&amp;D450,'Tiempos intermodal (horas)'!C$45:C$1645&amp;'Tiempos intermodal (horas)'!D$45:D$1645,0))</f>
        <v>35.018237326682154</v>
      </c>
      <c r="J450" s="2" cm="1">
        <f t="array" aca="1" ref="J450" ca="1">INDEX('Tiempos carretera (horas)'!E$45:E$1645,MATCH(C450&amp;D450,'Tiempos carretera (horas)'!C$45:C$1645&amp;'Tiempos carretera (horas)'!D$45:D$1645,0))</f>
        <v>3.15</v>
      </c>
      <c r="K450" s="12">
        <f t="shared" ca="1" si="42"/>
        <v>0.20289228705119403</v>
      </c>
      <c r="L450" s="12">
        <f t="shared" ca="1" si="43"/>
        <v>212.39635457440414</v>
      </c>
      <c r="M450" s="12">
        <f t="shared" ca="1" si="44"/>
        <v>5.9072636385548083E-3</v>
      </c>
      <c r="N450" s="13">
        <f t="shared" ca="1" si="46"/>
        <v>-212.19346228735296</v>
      </c>
      <c r="O450" s="13">
        <f t="shared" ca="1" si="47"/>
        <v>-31.868237326682156</v>
      </c>
      <c r="P450" s="12">
        <f t="shared" ca="1" si="45"/>
        <v>5.1256477795657638</v>
      </c>
    </row>
    <row r="451" spans="1:16" x14ac:dyDescent="0.25">
      <c r="A451">
        <v>31</v>
      </c>
      <c r="B451">
        <v>9</v>
      </c>
      <c r="C451" s="2" t="s">
        <v>30</v>
      </c>
      <c r="D451" s="2" t="s">
        <v>148</v>
      </c>
      <c r="E451" s="11" cm="1">
        <f t="array" aca="1" ref="E451" ca="1">INDEX('OD flujo mercancia multimodal'!E$45:E$1645,MATCH(C451&amp;D451,'OD flujo mercancia multimodal'!C$45:C$1645&amp;'OD flujo mercancia multimodal'!D$45:D$1645,0))</f>
        <v>2432.7622377622374</v>
      </c>
      <c r="F451" s="11" cm="1">
        <f t="array" aca="1" ref="F451" ca="1">INDEX('OD flujo mercancia carretera'!E$45:E$1646,MATCH(C451&amp;D451,'OD flujo mercancia carretera'!C$45:C$1646&amp;'OD flujo mercancia carretera'!D$45:D$1646,0))</f>
        <v>590290.92948717973</v>
      </c>
      <c r="G451" s="11" cm="1">
        <f t="array" aca="1" ref="G451" ca="1">INDEX('Coste Carretera'!E$46:E$1646,MATCH(C451&amp;D451,'Coste Carretera'!C$46:C$1646&amp;'Coste Carretera'!D$46:D$1646,0))</f>
        <v>38330601.818181813</v>
      </c>
      <c r="H451" s="11" cm="1">
        <f t="array" aca="1" ref="H451" ca="1">INDEX('Coste multimodal'!E$46:E$1646,MATCH(C451&amp;D451,'Coste multimodal'!C$46:C$1646&amp;'Coste multimodal'!D$46:D$1646,0))</f>
        <v>756547645.9034673</v>
      </c>
      <c r="I451" s="12" cm="1">
        <f t="array" aca="1" ref="I451" ca="1">INDEX('Tiempos intermodal (horas)'!E$45:E$1645,MATCH(C451&amp;D451,'Tiempos intermodal (horas)'!C$45:C$1645&amp;'Tiempos intermodal (horas)'!D$45:D$1645,0))</f>
        <v>35.018237326682154</v>
      </c>
      <c r="J451" s="2" cm="1">
        <f t="array" aca="1" ref="J451" ca="1">INDEX('Tiempos carretera (horas)'!E$45:E$1645,MATCH(C451&amp;D451,'Tiempos carretera (horas)'!C$45:C$1645&amp;'Tiempos carretera (horas)'!D$45:D$1645,0))</f>
        <v>3.15</v>
      </c>
      <c r="K451" s="12">
        <f t="shared" ca="1" si="42"/>
        <v>6.4935102173231507E-2</v>
      </c>
      <c r="L451" s="12">
        <f t="shared" ca="1" si="43"/>
        <v>310.98297818013378</v>
      </c>
      <c r="M451" s="12">
        <f t="shared" ca="1" si="44"/>
        <v>4.1043782654990946E-3</v>
      </c>
      <c r="N451" s="13">
        <f t="shared" ca="1" si="46"/>
        <v>-310.91804307796053</v>
      </c>
      <c r="O451" s="13">
        <f t="shared" ca="1" si="47"/>
        <v>-31.868237326682156</v>
      </c>
      <c r="P451" s="12">
        <f t="shared" ca="1" si="45"/>
        <v>5.4915881810606422</v>
      </c>
    </row>
    <row r="452" spans="1:16" x14ac:dyDescent="0.25">
      <c r="A452">
        <v>13</v>
      </c>
      <c r="B452">
        <v>11</v>
      </c>
      <c r="C452" s="2" t="s">
        <v>12</v>
      </c>
      <c r="D452" s="2" t="s">
        <v>10</v>
      </c>
      <c r="E452" s="11" cm="1">
        <f t="array" aca="1" ref="E452" ca="1">INDEX('OD flujo mercancia multimodal'!E$45:E$1645,MATCH(C452&amp;D452,'OD flujo mercancia multimodal'!C$45:C$1645&amp;'OD flujo mercancia multimodal'!D$45:D$1645,0))</f>
        <v>23056.230769230751</v>
      </c>
      <c r="F452" s="11" cm="1">
        <f t="array" aca="1" ref="F452" ca="1">INDEX('OD flujo mercancia carretera'!E$45:E$1646,MATCH(C452&amp;D452,'OD flujo mercancia carretera'!C$45:C$1646&amp;'OD flujo mercancia carretera'!D$45:D$1646,0))</f>
        <v>120357.30769230769</v>
      </c>
      <c r="G452" s="11" cm="1">
        <f t="array" aca="1" ref="G452" ca="1">INDEX('Coste Carretera'!E$46:E$1646,MATCH(C452&amp;D452,'Coste Carretera'!C$46:C$1646&amp;'Coste Carretera'!D$46:D$1646,0))</f>
        <v>658736802.55999947</v>
      </c>
      <c r="H452" s="11" cm="1">
        <f t="array" aca="1" ref="H452" ca="1">INDEX('Coste multimodal'!E$46:E$1646,MATCH(C452&amp;D452,'Coste multimodal'!C$46:C$1646&amp;'Coste multimodal'!D$46:D$1646,0))</f>
        <v>177265349.74480408</v>
      </c>
      <c r="I452" s="12" cm="1">
        <f t="array" aca="1" ref="I452" ca="1">INDEX('Tiempos intermodal (horas)'!E$45:E$1645,MATCH(C452&amp;D452,'Tiempos intermodal (horas)'!C$45:C$1645&amp;'Tiempos intermodal (horas)'!D$45:D$1645,0))</f>
        <v>37.194639850788285</v>
      </c>
      <c r="J452" s="2" cm="1">
        <f t="array" aca="1" ref="J452" ca="1">INDEX('Tiempos carretera (horas)'!E$45:E$1645,MATCH(C452&amp;D452,'Tiempos carretera (horas)'!C$45:C$1645&amp;'Tiempos carretera (horas)'!D$45:D$1645,0))</f>
        <v>5.3</v>
      </c>
      <c r="K452" s="12">
        <f t="shared" ca="1" si="42"/>
        <v>5.4731766204346632</v>
      </c>
      <c r="L452" s="12">
        <f t="shared" ca="1" si="43"/>
        <v>7.6883924141395275</v>
      </c>
      <c r="M452" s="12">
        <f t="shared" ca="1" si="44"/>
        <v>0.16076746321557445</v>
      </c>
      <c r="N452" s="13">
        <f t="shared" ca="1" si="46"/>
        <v>-2.2152157937048642</v>
      </c>
      <c r="O452" s="13">
        <f t="shared" ca="1" si="47"/>
        <v>-31.894639850788284</v>
      </c>
      <c r="P452" s="12">
        <f t="shared" ca="1" si="45"/>
        <v>1.6525288344386269</v>
      </c>
    </row>
    <row r="453" spans="1:16" x14ac:dyDescent="0.25">
      <c r="A453">
        <v>11</v>
      </c>
      <c r="B453">
        <v>13</v>
      </c>
      <c r="C453" s="2" t="s">
        <v>10</v>
      </c>
      <c r="D453" s="2" t="s">
        <v>12</v>
      </c>
      <c r="E453" s="11" cm="1">
        <f t="array" aca="1" ref="E453" ca="1">INDEX('OD flujo mercancia multimodal'!E$45:E$1645,MATCH(C453&amp;D453,'OD flujo mercancia multimodal'!C$45:C$1645&amp;'OD flujo mercancia multimodal'!D$45:D$1645,0))</f>
        <v>13988.153846153851</v>
      </c>
      <c r="F453" s="11" cm="1">
        <f t="array" aca="1" ref="F453" ca="1">INDEX('OD flujo mercancia carretera'!E$45:E$1646,MATCH(C453&amp;D453,'OD flujo mercancia carretera'!C$45:C$1646&amp;'OD flujo mercancia carretera'!D$45:D$1646,0))</f>
        <v>121405.76923076928</v>
      </c>
      <c r="G453" s="11" cm="1">
        <f t="array" aca="1" ref="G453" ca="1">INDEX('Coste Carretera'!E$46:E$1646,MATCH(C453&amp;D453,'Coste Carretera'!C$46:C$1646&amp;'Coste Carretera'!D$46:D$1646,0))</f>
        <v>399653864.96000016</v>
      </c>
      <c r="H453" s="11" cm="1">
        <f t="array" aca="1" ref="H453" ca="1">INDEX('Coste multimodal'!E$46:E$1646,MATCH(C453&amp;D453,'Coste multimodal'!C$46:C$1646&amp;'Coste multimodal'!D$46:D$1646,0))</f>
        <v>177265349.74480408</v>
      </c>
      <c r="I453" s="12" cm="1">
        <f t="array" aca="1" ref="I453" ca="1">INDEX('Tiempos intermodal (horas)'!E$45:E$1645,MATCH(C453&amp;D453,'Tiempos intermodal (horas)'!C$45:C$1645&amp;'Tiempos intermodal (horas)'!D$45:D$1645,0))</f>
        <v>37.194639850788285</v>
      </c>
      <c r="J453" s="2" cm="1">
        <f t="array" aca="1" ref="J453" ca="1">INDEX('Tiempos carretera (horas)'!E$45:E$1645,MATCH(C453&amp;D453,'Tiempos carretera (horas)'!C$45:C$1645&amp;'Tiempos carretera (horas)'!D$45:D$1645,0))</f>
        <v>5.3</v>
      </c>
      <c r="K453" s="12">
        <f t="shared" ca="1" si="42"/>
        <v>3.2918852826535301</v>
      </c>
      <c r="L453" s="12">
        <f t="shared" ca="1" si="43"/>
        <v>12.672533609111293</v>
      </c>
      <c r="M453" s="12">
        <f t="shared" ca="1" si="44"/>
        <v>0.10331448803803829</v>
      </c>
      <c r="N453" s="13">
        <f t="shared" ca="1" si="46"/>
        <v>-9.3806483264577629</v>
      </c>
      <c r="O453" s="13">
        <f t="shared" ca="1" si="47"/>
        <v>-31.894639850788284</v>
      </c>
      <c r="P453" s="12">
        <f t="shared" ca="1" si="45"/>
        <v>2.1609275824113516</v>
      </c>
    </row>
    <row r="454" spans="1:16" x14ac:dyDescent="0.25">
      <c r="A454">
        <v>19</v>
      </c>
      <c r="B454">
        <v>17</v>
      </c>
      <c r="C454" s="2" t="s">
        <v>18</v>
      </c>
      <c r="D454" s="2" t="s">
        <v>16</v>
      </c>
      <c r="E454" s="11" cm="1">
        <f t="array" aca="1" ref="E454" ca="1">INDEX('OD flujo mercancia multimodal'!E$45:E$1645,MATCH(C454&amp;D454,'OD flujo mercancia multimodal'!C$45:C$1645&amp;'OD flujo mercancia multimodal'!D$45:D$1645,0))</f>
        <v>66278.23076923078</v>
      </c>
      <c r="F454" s="11" cm="1">
        <f t="array" aca="1" ref="F454" ca="1">INDEX('OD flujo mercancia carretera'!E$45:E$1646,MATCH(C454&amp;D454,'OD flujo mercancia carretera'!C$45:C$1646&amp;'OD flujo mercancia carretera'!D$45:D$1646,0))</f>
        <v>215449.538461538</v>
      </c>
      <c r="G454" s="11" cm="1">
        <f t="array" aca="1" ref="G454" ca="1">INDEX('Coste Carretera'!E$46:E$1646,MATCH(C454&amp;D454,'Coste Carretera'!C$46:C$1646&amp;'Coste Carretera'!D$46:D$1646,0))</f>
        <v>5983723276.920002</v>
      </c>
      <c r="H454" s="11" cm="1">
        <f t="array" aca="1" ref="H454" ca="1">INDEX('Coste multimodal'!E$46:E$1646,MATCH(C454&amp;D454,'Coste multimodal'!C$46:C$1646&amp;'Coste multimodal'!D$46:D$1646,0))</f>
        <v>944524729.03307569</v>
      </c>
      <c r="I454" s="12" cm="1">
        <f t="array" aca="1" ref="I454" ca="1">INDEX('Tiempos intermodal (horas)'!E$45:E$1645,MATCH(C454&amp;D454,'Tiempos intermodal (horas)'!C$45:C$1645&amp;'Tiempos intermodal (horas)'!D$45:D$1645,0))</f>
        <v>49.587829978415911</v>
      </c>
      <c r="J454" s="2" cm="1">
        <f t="array" aca="1" ref="J454" ca="1">INDEX('Tiempos carretera (horas)'!E$45:E$1645,MATCH(C454&amp;D454,'Tiempos carretera (horas)'!C$45:C$1645&amp;'Tiempos carretera (horas)'!D$45:D$1645,0))</f>
        <v>17.63</v>
      </c>
      <c r="K454" s="12">
        <f t="shared" ca="1" si="42"/>
        <v>27.773200720911333</v>
      </c>
      <c r="L454" s="12">
        <f t="shared" ca="1" si="43"/>
        <v>14.250904377966059</v>
      </c>
      <c r="M454" s="12">
        <f t="shared" ca="1" si="44"/>
        <v>0.23525629351411564</v>
      </c>
      <c r="N454" s="13">
        <f t="shared" ca="1" si="46"/>
        <v>13.522296342945275</v>
      </c>
      <c r="O454" s="13">
        <f t="shared" ca="1" si="47"/>
        <v>-31.957829978415912</v>
      </c>
      <c r="P454" s="12">
        <f t="shared" ca="1" si="45"/>
        <v>1.1788652229332073</v>
      </c>
    </row>
    <row r="455" spans="1:16" x14ac:dyDescent="0.25">
      <c r="A455">
        <v>17</v>
      </c>
      <c r="B455">
        <v>19</v>
      </c>
      <c r="C455" s="2" t="s">
        <v>16</v>
      </c>
      <c r="D455" s="2" t="s">
        <v>18</v>
      </c>
      <c r="E455" s="11" cm="1">
        <f t="array" aca="1" ref="E455" ca="1">INDEX('OD flujo mercancia multimodal'!E$45:E$1645,MATCH(C455&amp;D455,'OD flujo mercancia multimodal'!C$45:C$1645&amp;'OD flujo mercancia multimodal'!D$45:D$1645,0))</f>
        <v>55500.769230769234</v>
      </c>
      <c r="F455" s="11" cm="1">
        <f t="array" aca="1" ref="F455" ca="1">INDEX('OD flujo mercancia carretera'!E$45:E$1646,MATCH(C455&amp;D455,'OD flujo mercancia carretera'!C$45:C$1646&amp;'OD flujo mercancia carretera'!D$45:D$1646,0))</f>
        <v>620262.15384615387</v>
      </c>
      <c r="G455" s="11" cm="1">
        <f t="array" aca="1" ref="G455" ca="1">INDEX('Coste Carretera'!E$46:E$1646,MATCH(C455&amp;D455,'Coste Carretera'!C$46:C$1646&amp;'Coste Carretera'!D$46:D$1646,0))</f>
        <v>5010713787.6000004</v>
      </c>
      <c r="H455" s="11" cm="1">
        <f t="array" aca="1" ref="H455" ca="1">INDEX('Coste multimodal'!E$46:E$1646,MATCH(C455&amp;D455,'Coste multimodal'!C$46:C$1646&amp;'Coste multimodal'!D$46:D$1646,0))</f>
        <v>944524729.03307569</v>
      </c>
      <c r="I455" s="12" cm="1">
        <f t="array" aca="1" ref="I455" ca="1">INDEX('Tiempos intermodal (horas)'!E$45:E$1645,MATCH(C455&amp;D455,'Tiempos intermodal (horas)'!C$45:C$1645&amp;'Tiempos intermodal (horas)'!D$45:D$1645,0))</f>
        <v>49.587829978415911</v>
      </c>
      <c r="J455" s="2" cm="1">
        <f t="array" aca="1" ref="J455" ca="1">INDEX('Tiempos carretera (horas)'!E$45:E$1645,MATCH(C455&amp;D455,'Tiempos carretera (horas)'!C$45:C$1645&amp;'Tiempos carretera (horas)'!D$45:D$1645,0))</f>
        <v>17.63</v>
      </c>
      <c r="K455" s="12">
        <f t="shared" ca="1" si="42"/>
        <v>8.078380659740894</v>
      </c>
      <c r="L455" s="12">
        <f t="shared" ca="1" si="43"/>
        <v>17.018227713309564</v>
      </c>
      <c r="M455" s="12">
        <f t="shared" ca="1" si="44"/>
        <v>8.2130533261665042E-2</v>
      </c>
      <c r="N455" s="13">
        <f t="shared" ca="1" si="46"/>
        <v>-8.9398470535686698</v>
      </c>
      <c r="O455" s="13">
        <f t="shared" ca="1" si="47"/>
        <v>-31.957829978415912</v>
      </c>
      <c r="P455" s="12">
        <f t="shared" ca="1" si="45"/>
        <v>2.4137453367861568</v>
      </c>
    </row>
    <row r="456" spans="1:16" x14ac:dyDescent="0.25">
      <c r="A456">
        <v>7</v>
      </c>
      <c r="B456">
        <v>27</v>
      </c>
      <c r="C456" s="2" t="s">
        <v>6</v>
      </c>
      <c r="D456" s="2" t="s">
        <v>145</v>
      </c>
      <c r="E456" s="11" cm="1">
        <f t="array" aca="1" ref="E456" ca="1">INDEX('OD flujo mercancia multimodal'!E$45:E$1645,MATCH(C456&amp;D456,'OD flujo mercancia multimodal'!C$45:C$1645&amp;'OD flujo mercancia multimodal'!D$45:D$1645,0))</f>
        <v>62287.142857142855</v>
      </c>
      <c r="F456" s="11" cm="1">
        <f t="array" aca="1" ref="F456" ca="1">INDEX('OD flujo mercancia carretera'!E$45:E$1646,MATCH(C456&amp;D456,'OD flujo mercancia carretera'!C$45:C$1646&amp;'OD flujo mercancia carretera'!D$45:D$1646,0))</f>
        <v>472689.79230769229</v>
      </c>
      <c r="G456" s="11" cm="1">
        <f t="array" aca="1" ref="G456" ca="1">INDEX('Coste Carretera'!E$46:E$1646,MATCH(C456&amp;D456,'Coste Carretera'!C$46:C$1646&amp;'Coste Carretera'!D$46:D$1646,0))</f>
        <v>2898390178.1714287</v>
      </c>
      <c r="H456" s="11" cm="1">
        <f t="array" aca="1" ref="H456" ca="1">INDEX('Coste multimodal'!E$46:E$1646,MATCH(C456&amp;D456,'Coste multimodal'!C$46:C$1646&amp;'Coste multimodal'!D$46:D$1646,0))</f>
        <v>1122357069.1264677</v>
      </c>
      <c r="I456" s="12" cm="1">
        <f t="array" aca="1" ref="I456" ca="1">INDEX('Tiempos intermodal (horas)'!E$45:E$1645,MATCH(C456&amp;D456,'Tiempos intermodal (horas)'!C$45:C$1645&amp;'Tiempos intermodal (horas)'!D$45:D$1645,0))</f>
        <v>41.74987274628144</v>
      </c>
      <c r="J456" s="2" cm="1">
        <f t="array" aca="1" ref="J456" ca="1">INDEX('Tiempos carretera (horas)'!E$45:E$1645,MATCH(C456&amp;D456,'Tiempos carretera (horas)'!C$45:C$1645&amp;'Tiempos carretera (horas)'!D$45:D$1645,0))</f>
        <v>9.6199999999999992</v>
      </c>
      <c r="K456" s="12">
        <f t="shared" ca="1" si="42"/>
        <v>6.1316961468987108</v>
      </c>
      <c r="L456" s="12">
        <f t="shared" ca="1" si="43"/>
        <v>18.019080947421557</v>
      </c>
      <c r="M456" s="12">
        <f t="shared" ca="1" si="44"/>
        <v>0.11642958558194881</v>
      </c>
      <c r="N456" s="13">
        <f t="shared" ca="1" si="46"/>
        <v>-11.887384800522845</v>
      </c>
      <c r="O456" s="13">
        <f t="shared" ca="1" si="47"/>
        <v>-32.129872746281443</v>
      </c>
      <c r="P456" s="12">
        <f t="shared" ca="1" si="45"/>
        <v>2.0266843133144117</v>
      </c>
    </row>
    <row r="457" spans="1:16" x14ac:dyDescent="0.25">
      <c r="A457">
        <v>27</v>
      </c>
      <c r="B457">
        <v>7</v>
      </c>
      <c r="C457" s="2" t="s">
        <v>145</v>
      </c>
      <c r="D457" s="2" t="s">
        <v>6</v>
      </c>
      <c r="E457" s="11" cm="1">
        <f t="array" aca="1" ref="E457" ca="1">INDEX('OD flujo mercancia multimodal'!E$45:E$1645,MATCH(C457&amp;D457,'OD flujo mercancia multimodal'!C$45:C$1645&amp;'OD flujo mercancia multimodal'!D$45:D$1645,0))</f>
        <v>38219.78571428571</v>
      </c>
      <c r="F457" s="11" cm="1">
        <f t="array" aca="1" ref="F457" ca="1">INDEX('OD flujo mercancia carretera'!E$45:E$1646,MATCH(C457&amp;D457,'OD flujo mercancia carretera'!C$45:C$1646&amp;'OD flujo mercancia carretera'!D$45:D$1646,0))</f>
        <v>481963.27692307683</v>
      </c>
      <c r="G457" s="11" cm="1">
        <f t="array" aca="1" ref="G457" ca="1">INDEX('Coste Carretera'!E$46:E$1646,MATCH(C457&amp;D457,'Coste Carretera'!C$46:C$1646&amp;'Coste Carretera'!D$46:D$1646,0))</f>
        <v>1778470587.1028569</v>
      </c>
      <c r="H457" s="11" cm="1">
        <f t="array" aca="1" ref="H457" ca="1">INDEX('Coste multimodal'!E$46:E$1646,MATCH(C457&amp;D457,'Coste multimodal'!C$46:C$1646&amp;'Coste multimodal'!D$46:D$1646,0))</f>
        <v>1122357069.1264677</v>
      </c>
      <c r="I457" s="12" cm="1">
        <f t="array" aca="1" ref="I457" ca="1">INDEX('Tiempos intermodal (horas)'!E$45:E$1645,MATCH(C457&amp;D457,'Tiempos intermodal (horas)'!C$45:C$1645&amp;'Tiempos intermodal (horas)'!D$45:D$1645,0))</f>
        <v>41.74987274628144</v>
      </c>
      <c r="J457" s="2" cm="1">
        <f t="array" aca="1" ref="J457" ca="1">INDEX('Tiempos carretera (horas)'!E$45:E$1645,MATCH(C457&amp;D457,'Tiempos carretera (horas)'!C$45:C$1645&amp;'Tiempos carretera (horas)'!D$45:D$1645,0))</f>
        <v>9.6199999999999992</v>
      </c>
      <c r="K457" s="12">
        <f t="shared" ca="1" si="42"/>
        <v>3.6900541436618783</v>
      </c>
      <c r="L457" s="12">
        <f t="shared" ca="1" si="43"/>
        <v>29.365865039556084</v>
      </c>
      <c r="M457" s="12">
        <f t="shared" ca="1" si="44"/>
        <v>7.3473721963396632E-2</v>
      </c>
      <c r="N457" s="13">
        <f t="shared" ca="1" si="46"/>
        <v>-25.675810895894205</v>
      </c>
      <c r="O457" s="13">
        <f t="shared" ca="1" si="47"/>
        <v>-32.129872746281443</v>
      </c>
      <c r="P457" s="12">
        <f t="shared" ca="1" si="45"/>
        <v>2.5345145900336523</v>
      </c>
    </row>
    <row r="458" spans="1:16" x14ac:dyDescent="0.25">
      <c r="A458">
        <v>19</v>
      </c>
      <c r="B458">
        <v>14</v>
      </c>
      <c r="C458" s="2" t="s">
        <v>18</v>
      </c>
      <c r="D458" s="2" t="s">
        <v>13</v>
      </c>
      <c r="E458" s="11" cm="1">
        <f t="array" aca="1" ref="E458" ca="1">INDEX('OD flujo mercancia multimodal'!E$45:E$1645,MATCH(C458&amp;D458,'OD flujo mercancia multimodal'!C$45:C$1645&amp;'OD flujo mercancia multimodal'!D$45:D$1645,0))</f>
        <v>25727.307692307677</v>
      </c>
      <c r="F458" s="11" cm="1">
        <f t="array" aca="1" ref="F458" ca="1">INDEX('OD flujo mercancia carretera'!E$45:E$1646,MATCH(C458&amp;D458,'OD flujo mercancia carretera'!C$45:C$1646&amp;'OD flujo mercancia carretera'!D$45:D$1646,0))</f>
        <v>210176.76923076899</v>
      </c>
      <c r="G458" s="11" cm="1">
        <f t="array" aca="1" ref="G458" ca="1">INDEX('Coste Carretera'!E$46:E$1646,MATCH(C458&amp;D458,'Coste Carretera'!C$46:C$1646&amp;'Coste Carretera'!D$46:D$1646,0))</f>
        <v>1257965524.1999993</v>
      </c>
      <c r="H458" s="11" cm="1">
        <f t="array" aca="1" ref="H458" ca="1">INDEX('Coste multimodal'!E$46:E$1646,MATCH(C458&amp;D458,'Coste multimodal'!C$46:C$1646&amp;'Coste multimodal'!D$46:D$1646,0))</f>
        <v>86615066.062509224</v>
      </c>
      <c r="I458" s="12" cm="1">
        <f t="array" aca="1" ref="I458" ca="1">INDEX('Tiempos intermodal (horas)'!E$45:E$1645,MATCH(C458&amp;D458,'Tiempos intermodal (horas)'!C$45:C$1645&amp;'Tiempos intermodal (horas)'!D$45:D$1645,0))</f>
        <v>45.475974280921541</v>
      </c>
      <c r="J458" s="2" cm="1">
        <f t="array" aca="1" ref="J458" ca="1">INDEX('Tiempos carretera (horas)'!E$45:E$1645,MATCH(C458&amp;D458,'Tiempos carretera (horas)'!C$45:C$1645&amp;'Tiempos carretera (horas)'!D$45:D$1645,0))</f>
        <v>9.4499999999999993</v>
      </c>
      <c r="K458" s="12">
        <f t="shared" ca="1" si="42"/>
        <v>5.9852738663937872</v>
      </c>
      <c r="L458" s="12">
        <f t="shared" ca="1" si="43"/>
        <v>3.3666587696778958</v>
      </c>
      <c r="M458" s="12">
        <f t="shared" ca="1" si="44"/>
        <v>0.10905834281404474</v>
      </c>
      <c r="N458" s="13">
        <f t="shared" ca="1" si="46"/>
        <v>2.6186150967158914</v>
      </c>
      <c r="O458" s="13">
        <f t="shared" ca="1" si="47"/>
        <v>-36.025974280921545</v>
      </c>
      <c r="P458" s="12">
        <f t="shared" ca="1" si="45"/>
        <v>2.1003959509705368</v>
      </c>
    </row>
    <row r="459" spans="1:16" x14ac:dyDescent="0.25">
      <c r="A459">
        <v>14</v>
      </c>
      <c r="B459">
        <v>19</v>
      </c>
      <c r="C459" s="2" t="s">
        <v>13</v>
      </c>
      <c r="D459" s="2" t="s">
        <v>18</v>
      </c>
      <c r="E459" s="11" cm="1">
        <f t="array" aca="1" ref="E459" ca="1">INDEX('OD flujo mercancia multimodal'!E$45:E$1645,MATCH(C459&amp;D459,'OD flujo mercancia multimodal'!C$45:C$1645&amp;'OD flujo mercancia multimodal'!D$45:D$1645,0))</f>
        <v>12842.000000000004</v>
      </c>
      <c r="F459" s="11" cm="1">
        <f t="array" aca="1" ref="F459" ca="1">INDEX('OD flujo mercancia carretera'!E$45:E$1646,MATCH(C459&amp;D459,'OD flujo mercancia carretera'!C$45:C$1646&amp;'OD flujo mercancia carretera'!D$45:D$1646,0))</f>
        <v>195445.99999999997</v>
      </c>
      <c r="G459" s="11" cm="1">
        <f t="array" aca="1" ref="G459" ca="1">INDEX('Coste Carretera'!E$46:E$1646,MATCH(C459&amp;D459,'Coste Carretera'!C$46:C$1646&amp;'Coste Carretera'!D$46:D$1646,0))</f>
        <v>627923973.0400002</v>
      </c>
      <c r="H459" s="11" cm="1">
        <f t="array" aca="1" ref="H459" ca="1">INDEX('Coste multimodal'!E$46:E$1646,MATCH(C459&amp;D459,'Coste multimodal'!C$46:C$1646&amp;'Coste multimodal'!D$46:D$1646,0))</f>
        <v>86615066.062509224</v>
      </c>
      <c r="I459" s="12" cm="1">
        <f t="array" aca="1" ref="I459" ca="1">INDEX('Tiempos intermodal (horas)'!E$45:E$1645,MATCH(C459&amp;D459,'Tiempos intermodal (horas)'!C$45:C$1645&amp;'Tiempos intermodal (horas)'!D$45:D$1645,0))</f>
        <v>45.475974280921541</v>
      </c>
      <c r="J459" s="2" cm="1">
        <f t="array" aca="1" ref="J459" ca="1">INDEX('Tiempos carretera (horas)'!E$45:E$1645,MATCH(C459&amp;D459,'Tiempos carretera (horas)'!C$45:C$1645&amp;'Tiempos carretera (horas)'!D$45:D$1645,0))</f>
        <v>9.4499999999999993</v>
      </c>
      <c r="K459" s="12">
        <f t="shared" ca="1" si="42"/>
        <v>3.2127747461702993</v>
      </c>
      <c r="L459" s="12">
        <f t="shared" ca="1" si="43"/>
        <v>6.7446710841387008</v>
      </c>
      <c r="M459" s="12">
        <f t="shared" ca="1" si="44"/>
        <v>6.165501613151024E-2</v>
      </c>
      <c r="N459" s="13">
        <f t="shared" ca="1" si="46"/>
        <v>-3.5318963379684014</v>
      </c>
      <c r="O459" s="13">
        <f t="shared" ca="1" si="47"/>
        <v>-36.025974280921545</v>
      </c>
      <c r="P459" s="12">
        <f t="shared" ca="1" si="45"/>
        <v>2.7225630770654607</v>
      </c>
    </row>
    <row r="460" spans="1:16" x14ac:dyDescent="0.25">
      <c r="A460">
        <v>6</v>
      </c>
      <c r="B460">
        <v>27</v>
      </c>
      <c r="C460" s="2" t="s">
        <v>5</v>
      </c>
      <c r="D460" s="2" t="s">
        <v>145</v>
      </c>
      <c r="E460" s="11" cm="1">
        <f t="array" aca="1" ref="E460" ca="1">INDEX('OD flujo mercancia multimodal'!E$45:E$1645,MATCH(C460&amp;D460,'OD flujo mercancia multimodal'!C$45:C$1645&amp;'OD flujo mercancia multimodal'!D$45:D$1645,0))</f>
        <v>70992.21428571429</v>
      </c>
      <c r="F460" s="11" cm="1">
        <f t="array" aca="1" ref="F460" ca="1">INDEX('OD flujo mercancia carretera'!E$45:E$1646,MATCH(C460&amp;D460,'OD flujo mercancia carretera'!C$45:C$1646&amp;'OD flujo mercancia carretera'!D$45:D$1646,0))</f>
        <v>544382.79963369959</v>
      </c>
      <c r="G460" s="11" cm="1">
        <f t="array" aca="1" ref="G460" ca="1">INDEX('Coste Carretera'!E$46:E$1646,MATCH(C460&amp;D460,'Coste Carretera'!C$46:C$1646&amp;'Coste Carretera'!D$46:D$1646,0))</f>
        <v>4228131580.9200001</v>
      </c>
      <c r="H460" s="11" cm="1">
        <f t="array" aca="1" ref="H460" ca="1">INDEX('Coste multimodal'!E$46:E$1646,MATCH(C460&amp;D460,'Coste multimodal'!C$46:C$1646&amp;'Coste multimodal'!D$46:D$1646,0))</f>
        <v>1261046066.6607535</v>
      </c>
      <c r="I460" s="12" cm="1">
        <f t="array" aca="1" ref="I460" ca="1">INDEX('Tiempos intermodal (horas)'!E$45:E$1645,MATCH(C460&amp;D460,'Tiempos intermodal (horas)'!C$45:C$1645&amp;'Tiempos intermodal (horas)'!D$45:D$1645,0))</f>
        <v>43.855428301836994</v>
      </c>
      <c r="J460" s="2" cm="1">
        <f t="array" aca="1" ref="J460" ca="1">INDEX('Tiempos carretera (horas)'!E$45:E$1645,MATCH(C460&amp;D460,'Tiempos carretera (horas)'!C$45:C$1645&amp;'Tiempos carretera (horas)'!D$45:D$1645,0))</f>
        <v>11.55</v>
      </c>
      <c r="K460" s="12">
        <f t="shared" ca="1" si="42"/>
        <v>7.7668353661522653</v>
      </c>
      <c r="L460" s="12">
        <f t="shared" ca="1" si="43"/>
        <v>17.763160078168077</v>
      </c>
      <c r="M460" s="12">
        <f t="shared" ca="1" si="44"/>
        <v>0.11536414816967372</v>
      </c>
      <c r="N460" s="13">
        <f t="shared" ca="1" si="46"/>
        <v>-9.996324712015813</v>
      </c>
      <c r="O460" s="13">
        <f t="shared" ca="1" si="47"/>
        <v>-32.305428301836997</v>
      </c>
      <c r="P460" s="12">
        <f t="shared" ca="1" si="45"/>
        <v>2.0370824621086965</v>
      </c>
    </row>
    <row r="461" spans="1:16" x14ac:dyDescent="0.25">
      <c r="A461">
        <v>41</v>
      </c>
      <c r="B461">
        <v>12</v>
      </c>
      <c r="C461" s="2" t="s">
        <v>40</v>
      </c>
      <c r="D461" s="2" t="s">
        <v>11</v>
      </c>
      <c r="E461" s="11" cm="1">
        <f t="array" aca="1" ref="E461" ca="1">INDEX('OD flujo mercancia multimodal'!E$45:E$1645,MATCH(C461&amp;D461,'OD flujo mercancia multimodal'!C$45:C$1645&amp;'OD flujo mercancia multimodal'!D$45:D$1645,0))</f>
        <v>25895.153846153844</v>
      </c>
      <c r="F461" s="11" cm="1">
        <f t="array" aca="1" ref="F461" ca="1">INDEX('OD flujo mercancia carretera'!E$45:E$1646,MATCH(C461&amp;D461,'OD flujo mercancia carretera'!C$45:C$1646&amp;'OD flujo mercancia carretera'!D$45:D$1646,0))</f>
        <v>108661.57692307691</v>
      </c>
      <c r="G461" s="11" cm="1">
        <f t="array" aca="1" ref="G461" ca="1">INDEX('Coste Carretera'!E$46:E$1646,MATCH(C461&amp;D461,'Coste Carretera'!C$46:C$1646&amp;'Coste Carretera'!D$46:D$1646,0))</f>
        <v>871238839.12000024</v>
      </c>
      <c r="H461" s="11" cm="1">
        <f t="array" aca="1" ref="H461" ca="1">INDEX('Coste multimodal'!E$46:E$1646,MATCH(C461&amp;D461,'Coste multimodal'!C$46:C$1646&amp;'Coste multimodal'!D$46:D$1646,0))</f>
        <v>122386154.51936096</v>
      </c>
      <c r="I461" s="12" cm="1">
        <f t="array" aca="1" ref="I461" ca="1">INDEX('Tiempos intermodal (horas)'!E$45:E$1645,MATCH(C461&amp;D461,'Tiempos intermodal (horas)'!C$45:C$1645&amp;'Tiempos intermodal (horas)'!D$45:D$1645,0))</f>
        <v>36.62016740158127</v>
      </c>
      <c r="J461" s="2" cm="1">
        <f t="array" aca="1" ref="J461" ca="1">INDEX('Tiempos carretera (horas)'!E$45:E$1645,MATCH(C461&amp;D461,'Tiempos carretera (horas)'!C$45:C$1645&amp;'Tiempos carretera (horas)'!D$45:D$1645,0))</f>
        <v>7.56</v>
      </c>
      <c r="K461" s="12">
        <f t="shared" ca="1" si="42"/>
        <v>8.0179108732865405</v>
      </c>
      <c r="L461" s="12">
        <f t="shared" ca="1" si="43"/>
        <v>4.7262184749498495</v>
      </c>
      <c r="M461" s="12">
        <f t="shared" ca="1" si="44"/>
        <v>0.19244785227849279</v>
      </c>
      <c r="N461" s="13">
        <f t="shared" ca="1" si="46"/>
        <v>3.291692398336691</v>
      </c>
      <c r="O461" s="13">
        <f t="shared" ca="1" si="47"/>
        <v>-29.060167401581271</v>
      </c>
      <c r="P461" s="12">
        <f t="shared" ca="1" si="45"/>
        <v>1.4341824124593774</v>
      </c>
    </row>
    <row r="462" spans="1:16" x14ac:dyDescent="0.25">
      <c r="A462">
        <v>12</v>
      </c>
      <c r="B462">
        <v>41</v>
      </c>
      <c r="C462" s="2" t="s">
        <v>11</v>
      </c>
      <c r="D462" s="2" t="s">
        <v>40</v>
      </c>
      <c r="E462" s="11" cm="1">
        <f t="array" aca="1" ref="E462" ca="1">INDEX('OD flujo mercancia multimodal'!E$45:E$1645,MATCH(C462&amp;D462,'OD flujo mercancia multimodal'!C$45:C$1645&amp;'OD flujo mercancia multimodal'!D$45:D$1645,0))</f>
        <v>27439.076923076915</v>
      </c>
      <c r="F462" s="11" cm="1">
        <f t="array" aca="1" ref="F462" ca="1">INDEX('OD flujo mercancia carretera'!E$45:E$1646,MATCH(C462&amp;D462,'OD flujo mercancia carretera'!C$45:C$1646&amp;'OD flujo mercancia carretera'!D$45:D$1646,0))</f>
        <v>62259.723443223469</v>
      </c>
      <c r="G462" s="11" cm="1">
        <f t="array" aca="1" ref="G462" ca="1">INDEX('Coste Carretera'!E$46:E$1646,MATCH(C462&amp;D462,'Coste Carretera'!C$46:C$1646&amp;'Coste Carretera'!D$46:D$1646,0))</f>
        <v>602719366.48000002</v>
      </c>
      <c r="H462" s="11" cm="1">
        <f t="array" aca="1" ref="H462" ca="1">INDEX('Coste multimodal'!E$46:E$1646,MATCH(C462&amp;D462,'Coste multimodal'!C$46:C$1646&amp;'Coste multimodal'!D$46:D$1646,0))</f>
        <v>330794442.44465077</v>
      </c>
      <c r="I462" s="12" cm="1">
        <f t="array" aca="1" ref="I462" ca="1">INDEX('Tiempos intermodal (horas)'!E$45:E$1645,MATCH(C462&amp;D462,'Tiempos intermodal (horas)'!C$45:C$1645&amp;'Tiempos intermodal (horas)'!D$45:D$1645,0))</f>
        <v>39.955188476562498</v>
      </c>
      <c r="J462" s="2" cm="1">
        <f t="array" aca="1" ref="J462" ca="1">INDEX('Tiempos carretera (horas)'!E$45:E$1645,MATCH(C462&amp;D462,'Tiempos carretera (horas)'!C$45:C$1645&amp;'Tiempos carretera (horas)'!D$45:D$1645,0))</f>
        <v>7.63</v>
      </c>
      <c r="K462" s="12">
        <f t="shared" ca="1" si="42"/>
        <v>9.6807266905006113</v>
      </c>
      <c r="L462" s="12">
        <f t="shared" ca="1" si="43"/>
        <v>12.055596599404726</v>
      </c>
      <c r="M462" s="12">
        <f t="shared" ca="1" si="44"/>
        <v>0.3059023845472264</v>
      </c>
      <c r="N462" s="13">
        <f t="shared" ca="1" si="46"/>
        <v>-2.374869908904115</v>
      </c>
      <c r="O462" s="13">
        <f t="shared" ca="1" si="47"/>
        <v>-32.325188476562495</v>
      </c>
      <c r="P462" s="12">
        <f t="shared" ca="1" si="45"/>
        <v>0.81934656057573019</v>
      </c>
    </row>
    <row r="463" spans="1:16" x14ac:dyDescent="0.25">
      <c r="A463">
        <v>4</v>
      </c>
      <c r="B463">
        <v>27</v>
      </c>
      <c r="C463" s="2" t="s">
        <v>3</v>
      </c>
      <c r="D463" s="2" t="s">
        <v>145</v>
      </c>
      <c r="E463" s="11" cm="1">
        <f t="array" aca="1" ref="E463" ca="1">INDEX('OD flujo mercancia multimodal'!E$45:E$1645,MATCH(C463&amp;D463,'OD flujo mercancia multimodal'!C$45:C$1645&amp;'OD flujo mercancia multimodal'!D$45:D$1645,0))</f>
        <v>89101.142857142855</v>
      </c>
      <c r="F463" s="11" cm="1">
        <f t="array" aca="1" ref="F463" ca="1">INDEX('OD flujo mercancia carretera'!E$45:E$1646,MATCH(C463&amp;D463,'OD flujo mercancia carretera'!C$45:C$1646&amp;'OD flujo mercancia carretera'!D$45:D$1646,0))</f>
        <v>447738.25384615385</v>
      </c>
      <c r="G463" s="11" cm="1">
        <f t="array" aca="1" ref="G463" ca="1">INDEX('Coste Carretera'!E$46:E$1646,MATCH(C463&amp;D463,'Coste Carretera'!C$46:C$1646&amp;'Coste Carretera'!D$46:D$1646,0))</f>
        <v>3645402185.8057141</v>
      </c>
      <c r="H463" s="11" cm="1">
        <f t="array" aca="1" ref="H463" ca="1">INDEX('Coste multimodal'!E$46:E$1646,MATCH(C463&amp;D463,'Coste multimodal'!C$46:C$1646&amp;'Coste multimodal'!D$46:D$1646,0))</f>
        <v>1359410262.0699954</v>
      </c>
      <c r="I463" s="12" cm="1">
        <f t="array" aca="1" ref="I463" ca="1">INDEX('Tiempos intermodal (horas)'!E$45:E$1645,MATCH(C463&amp;D463,'Tiempos intermodal (horas)'!C$45:C$1645&amp;'Tiempos intermodal (horas)'!D$45:D$1645,0))</f>
        <v>40.965171199031062</v>
      </c>
      <c r="J463" s="2" cm="1">
        <f t="array" aca="1" ref="J463" ca="1">INDEX('Tiempos carretera (horas)'!E$45:E$1645,MATCH(C463&amp;D463,'Tiempos carretera (horas)'!C$45:C$1645&amp;'Tiempos carretera (horas)'!D$45:D$1645,0))</f>
        <v>8.6300000000000008</v>
      </c>
      <c r="K463" s="12">
        <f t="shared" ca="1" si="42"/>
        <v>8.1418153452179691</v>
      </c>
      <c r="L463" s="12">
        <f t="shared" ca="1" si="43"/>
        <v>15.25693406929199</v>
      </c>
      <c r="M463" s="12">
        <f t="shared" ca="1" si="44"/>
        <v>0.16597355448260395</v>
      </c>
      <c r="N463" s="13">
        <f t="shared" ca="1" si="46"/>
        <v>-7.115118724074021</v>
      </c>
      <c r="O463" s="13">
        <f t="shared" ca="1" si="47"/>
        <v>-32.335171199031059</v>
      </c>
      <c r="P463" s="12">
        <f t="shared" ca="1" si="45"/>
        <v>1.6144366457899486</v>
      </c>
    </row>
    <row r="464" spans="1:16" x14ac:dyDescent="0.25">
      <c r="A464">
        <v>24</v>
      </c>
      <c r="B464">
        <v>12</v>
      </c>
      <c r="C464" s="2" t="s">
        <v>23</v>
      </c>
      <c r="D464" s="2" t="s">
        <v>11</v>
      </c>
      <c r="E464" s="11" cm="1">
        <f t="array" aca="1" ref="E464" ca="1">INDEX('OD flujo mercancia multimodal'!E$45:E$1645,MATCH(C464&amp;D464,'OD flujo mercancia multimodal'!C$45:C$1645&amp;'OD flujo mercancia multimodal'!D$45:D$1645,0))</f>
        <v>21954.461538461539</v>
      </c>
      <c r="F464" s="11" cm="1">
        <f t="array" aca="1" ref="F464" ca="1">INDEX('OD flujo mercancia carretera'!E$45:E$1646,MATCH(C464&amp;D464,'OD flujo mercancia carretera'!C$45:C$1646&amp;'OD flujo mercancia carretera'!D$45:D$1646,0))</f>
        <v>124072.07692307691</v>
      </c>
      <c r="G464" s="11" cm="1">
        <f t="array" aca="1" ref="G464" ca="1">INDEX('Coste Carretera'!E$46:E$1646,MATCH(C464&amp;D464,'Coste Carretera'!C$46:C$1646&amp;'Coste Carretera'!D$46:D$1646,0))</f>
        <v>713736910.08000004</v>
      </c>
      <c r="H464" s="11" cm="1">
        <f t="array" aca="1" ref="H464" ca="1">INDEX('Coste multimodal'!E$46:E$1646,MATCH(C464&amp;D464,'Coste multimodal'!C$46:C$1646&amp;'Coste multimodal'!D$46:D$1646,0))</f>
        <v>220951783.93802011</v>
      </c>
      <c r="I464" s="12" cm="1">
        <f t="array" aca="1" ref="I464" ca="1">INDEX('Tiempos intermodal (horas)'!E$45:E$1645,MATCH(C464&amp;D464,'Tiempos intermodal (horas)'!C$45:C$1645&amp;'Tiempos intermodal (horas)'!D$45:D$1645,0))</f>
        <v>38.968129033818968</v>
      </c>
      <c r="J464" s="2" cm="1">
        <f t="array" aca="1" ref="J464" ca="1">INDEX('Tiempos carretera (horas)'!E$45:E$1645,MATCH(C464&amp;D464,'Tiempos carretera (horas)'!C$45:C$1645&amp;'Tiempos carretera (horas)'!D$45:D$1645,0))</f>
        <v>6.62</v>
      </c>
      <c r="K464" s="12">
        <f t="shared" ca="1" si="42"/>
        <v>5.7525990358209906</v>
      </c>
      <c r="L464" s="12">
        <f t="shared" ca="1" si="43"/>
        <v>10.064094878890085</v>
      </c>
      <c r="M464" s="12">
        <f t="shared" ca="1" si="44"/>
        <v>0.15034569585612734</v>
      </c>
      <c r="N464" s="13">
        <f t="shared" ca="1" si="46"/>
        <v>-4.3114958430690944</v>
      </c>
      <c r="O464" s="13">
        <f t="shared" ca="1" si="47"/>
        <v>-32.348129033818971</v>
      </c>
      <c r="P464" s="12">
        <f t="shared" ca="1" si="45"/>
        <v>1.7318922842221012</v>
      </c>
    </row>
    <row r="465" spans="1:16" x14ac:dyDescent="0.25">
      <c r="A465">
        <v>12</v>
      </c>
      <c r="B465">
        <v>24</v>
      </c>
      <c r="C465" s="2" t="s">
        <v>11</v>
      </c>
      <c r="D465" s="2" t="s">
        <v>23</v>
      </c>
      <c r="E465" s="11" cm="1">
        <f t="array" aca="1" ref="E465" ca="1">INDEX('OD flujo mercancia multimodal'!E$45:E$1645,MATCH(C465&amp;D465,'OD flujo mercancia multimodal'!C$45:C$1645&amp;'OD flujo mercancia multimodal'!D$45:D$1645,0))</f>
        <v>12941.461538461535</v>
      </c>
      <c r="F465" s="11" cm="1">
        <f t="array" aca="1" ref="F465" ca="1">INDEX('OD flujo mercancia carretera'!E$45:E$1646,MATCH(C465&amp;D465,'OD flujo mercancia carretera'!C$45:C$1646&amp;'OD flujo mercancia carretera'!D$45:D$1646,0))</f>
        <v>109089.89743589747</v>
      </c>
      <c r="G465" s="11" cm="1">
        <f t="array" aca="1" ref="G465" ca="1">INDEX('Coste Carretera'!E$46:E$1646,MATCH(C465&amp;D465,'Coste Carretera'!C$46:C$1646&amp;'Coste Carretera'!D$46:D$1646,0))</f>
        <v>420725361.63999993</v>
      </c>
      <c r="H465" s="11" cm="1">
        <f t="array" aca="1" ref="H465" ca="1">INDEX('Coste multimodal'!E$46:E$1646,MATCH(C465&amp;D465,'Coste multimodal'!C$46:C$1646&amp;'Coste multimodal'!D$46:D$1646,0))</f>
        <v>220951783.93802011</v>
      </c>
      <c r="I465" s="12" cm="1">
        <f t="array" aca="1" ref="I465" ca="1">INDEX('Tiempos intermodal (horas)'!E$45:E$1645,MATCH(C465&amp;D465,'Tiempos intermodal (horas)'!C$45:C$1645&amp;'Tiempos intermodal (horas)'!D$45:D$1645,0))</f>
        <v>38.968129033818968</v>
      </c>
      <c r="J465" s="2" cm="1">
        <f t="array" aca="1" ref="J465" ca="1">INDEX('Tiempos carretera (horas)'!E$45:E$1645,MATCH(C465&amp;D465,'Tiempos carretera (horas)'!C$45:C$1645&amp;'Tiempos carretera (horas)'!D$45:D$1645,0))</f>
        <v>6.62</v>
      </c>
      <c r="K465" s="12">
        <f t="shared" ca="1" si="42"/>
        <v>3.8566849133506902</v>
      </c>
      <c r="L465" s="12">
        <f t="shared" ca="1" si="43"/>
        <v>17.073170853335206</v>
      </c>
      <c r="M465" s="12">
        <f t="shared" ca="1" si="44"/>
        <v>0.10605029434426581</v>
      </c>
      <c r="N465" s="13">
        <f t="shared" ca="1" si="46"/>
        <v>-13.216485939984516</v>
      </c>
      <c r="O465" s="13">
        <f t="shared" ca="1" si="47"/>
        <v>-32.348129033818971</v>
      </c>
      <c r="P465" s="12">
        <f t="shared" ca="1" si="45"/>
        <v>2.1317360594048878</v>
      </c>
    </row>
    <row r="466" spans="1:16" x14ac:dyDescent="0.25">
      <c r="A466">
        <v>27</v>
      </c>
      <c r="B466">
        <v>8</v>
      </c>
      <c r="C466" s="2" t="s">
        <v>145</v>
      </c>
      <c r="D466" s="2" t="s">
        <v>7</v>
      </c>
      <c r="E466" s="11" cm="1">
        <f t="array" aca="1" ref="E466" ca="1">INDEX('OD flujo mercancia multimodal'!E$45:E$1645,MATCH(C466&amp;D466,'OD flujo mercancia multimodal'!C$45:C$1645&amp;'OD flujo mercancia multimodal'!D$45:D$1645,0))</f>
        <v>67866.857142857101</v>
      </c>
      <c r="F466" s="11" cm="1">
        <f t="array" aca="1" ref="F466" ca="1">INDEX('OD flujo mercancia carretera'!E$45:E$1646,MATCH(C466&amp;D466,'OD flujo mercancia carretera'!C$45:C$1646&amp;'OD flujo mercancia carretera'!D$45:D$1646,0))</f>
        <v>539561.04615384596</v>
      </c>
      <c r="G466" s="11" cm="1">
        <f t="array" aca="1" ref="G466" ca="1">INDEX('Coste Carretera'!E$46:E$1646,MATCH(C466&amp;D466,'Coste Carretera'!C$46:C$1646&amp;'Coste Carretera'!D$46:D$1646,0))</f>
        <v>2730305380.2514267</v>
      </c>
      <c r="H466" s="11" cm="1">
        <f t="array" aca="1" ref="H466" ca="1">INDEX('Coste multimodal'!E$46:E$1646,MATCH(C466&amp;D466,'Coste multimodal'!C$46:C$1646&amp;'Coste multimodal'!D$46:D$1646,0))</f>
        <v>1276474074.6134238</v>
      </c>
      <c r="I466" s="12" cm="1">
        <f t="array" aca="1" ref="I466" ca="1">INDEX('Tiempos intermodal (horas)'!E$45:E$1645,MATCH(C466&amp;D466,'Tiempos intermodal (horas)'!C$45:C$1645&amp;'Tiempos intermodal (horas)'!D$45:D$1645,0))</f>
        <v>41.118504532364398</v>
      </c>
      <c r="J466" s="2" cm="1">
        <f t="array" aca="1" ref="J466" ca="1">INDEX('Tiempos carretera (horas)'!E$45:E$1645,MATCH(C466&amp;D466,'Tiempos carretera (horas)'!C$45:C$1645&amp;'Tiempos carretera (horas)'!D$45:D$1645,0))</f>
        <v>8.66</v>
      </c>
      <c r="K466" s="12">
        <f t="shared" ca="1" si="42"/>
        <v>5.060234425212621</v>
      </c>
      <c r="L466" s="12">
        <f t="shared" ca="1" si="43"/>
        <v>18.808504303160753</v>
      </c>
      <c r="M466" s="12">
        <f t="shared" ca="1" si="44"/>
        <v>0.11172825083359234</v>
      </c>
      <c r="N466" s="13">
        <f t="shared" ca="1" si="46"/>
        <v>-13.748269877948132</v>
      </c>
      <c r="O466" s="13">
        <f t="shared" ca="1" si="47"/>
        <v>-32.458504532364401</v>
      </c>
      <c r="P466" s="12">
        <f t="shared" ca="1" si="45"/>
        <v>2.0732081288734312</v>
      </c>
    </row>
    <row r="467" spans="1:16" x14ac:dyDescent="0.25">
      <c r="A467">
        <v>8</v>
      </c>
      <c r="B467">
        <v>27</v>
      </c>
      <c r="C467" s="2" t="s">
        <v>7</v>
      </c>
      <c r="D467" s="2" t="s">
        <v>145</v>
      </c>
      <c r="E467" s="11" cm="1">
        <f t="array" aca="1" ref="E467" ca="1">INDEX('OD flujo mercancia multimodal'!E$45:E$1645,MATCH(C467&amp;D467,'OD flujo mercancia multimodal'!C$45:C$1645&amp;'OD flujo mercancia multimodal'!D$45:D$1645,0))</f>
        <v>66443.642857142855</v>
      </c>
      <c r="F467" s="11" cm="1">
        <f t="array" aca="1" ref="F467" ca="1">INDEX('OD flujo mercancia carretera'!E$45:E$1646,MATCH(C467&amp;D467,'OD flujo mercancia carretera'!C$45:C$1646&amp;'OD flujo mercancia carretera'!D$45:D$1646,0))</f>
        <v>533686.0230769231</v>
      </c>
      <c r="G467" s="11" cm="1">
        <f t="array" aca="1" ref="G467" ca="1">INDEX('Coste Carretera'!E$46:E$1646,MATCH(C467&amp;D467,'Coste Carretera'!C$46:C$1646&amp;'Coste Carretera'!D$46:D$1646,0))</f>
        <v>2673049014.1085715</v>
      </c>
      <c r="H467" s="11" cm="1">
        <f t="array" aca="1" ref="H467" ca="1">INDEX('Coste multimodal'!E$46:E$1646,MATCH(C467&amp;D467,'Coste multimodal'!C$46:C$1646&amp;'Coste multimodal'!D$46:D$1646,0))</f>
        <v>1276474074.6134238</v>
      </c>
      <c r="I467" s="12" cm="1">
        <f t="array" aca="1" ref="I467" ca="1">INDEX('Tiempos intermodal (horas)'!E$45:E$1645,MATCH(C467&amp;D467,'Tiempos intermodal (horas)'!C$45:C$1645&amp;'Tiempos intermodal (horas)'!D$45:D$1645,0))</f>
        <v>41.118504532364398</v>
      </c>
      <c r="J467" s="2" cm="1">
        <f t="array" aca="1" ref="J467" ca="1">INDEX('Tiempos carretera (horas)'!E$45:E$1645,MATCH(C467&amp;D467,'Tiempos carretera (horas)'!C$45:C$1645&amp;'Tiempos carretera (horas)'!D$45:D$1645,0))</f>
        <v>8.66</v>
      </c>
      <c r="K467" s="12">
        <f t="shared" ca="1" si="42"/>
        <v>5.0086547118047546</v>
      </c>
      <c r="L467" s="12">
        <f t="shared" ca="1" si="43"/>
        <v>19.211380046664608</v>
      </c>
      <c r="M467" s="12">
        <f t="shared" ca="1" si="44"/>
        <v>0.11071547805210945</v>
      </c>
      <c r="N467" s="13">
        <f t="shared" ca="1" si="46"/>
        <v>-14.202725334859853</v>
      </c>
      <c r="O467" s="13">
        <f t="shared" ca="1" si="47"/>
        <v>-32.458504532364401</v>
      </c>
      <c r="P467" s="12">
        <f t="shared" ca="1" si="45"/>
        <v>2.0834535817522406</v>
      </c>
    </row>
    <row r="468" spans="1:16" x14ac:dyDescent="0.25">
      <c r="A468">
        <v>24</v>
      </c>
      <c r="B468">
        <v>21</v>
      </c>
      <c r="C468" s="2" t="s">
        <v>23</v>
      </c>
      <c r="D468" s="2" t="s">
        <v>20</v>
      </c>
      <c r="E468" s="11" cm="1">
        <f t="array" aca="1" ref="E468" ca="1">INDEX('OD flujo mercancia multimodal'!E$45:E$1645,MATCH(C468&amp;D468,'OD flujo mercancia multimodal'!C$45:C$1645&amp;'OD flujo mercancia multimodal'!D$45:D$1645,0))</f>
        <v>41042.769230769241</v>
      </c>
      <c r="F468" s="11" cm="1">
        <f t="array" aca="1" ref="F468" ca="1">INDEX('OD flujo mercancia carretera'!E$45:E$1646,MATCH(C468&amp;D468,'OD flujo mercancia carretera'!C$45:C$1646&amp;'OD flujo mercancia carretera'!D$45:D$1646,0))</f>
        <v>189354.33333333299</v>
      </c>
      <c r="G468" s="11" cm="1">
        <f t="array" aca="1" ref="G468" ca="1">INDEX('Coste Carretera'!E$46:E$1646,MATCH(C468&amp;D468,'Coste Carretera'!C$46:C$1646&amp;'Coste Carretera'!D$46:D$1646,0))</f>
        <v>1756786485.6000004</v>
      </c>
      <c r="H468" s="11" cm="1">
        <f t="array" aca="1" ref="H468" ca="1">INDEX('Coste multimodal'!E$46:E$1646,MATCH(C468&amp;D468,'Coste multimodal'!C$46:C$1646&amp;'Coste multimodal'!D$46:D$1646,0))</f>
        <v>375450271.97701073</v>
      </c>
      <c r="I468" s="12" cm="1">
        <f t="array" aca="1" ref="I468" ca="1">INDEX('Tiempos intermodal (horas)'!E$45:E$1645,MATCH(C468&amp;D468,'Tiempos intermodal (horas)'!C$45:C$1645&amp;'Tiempos intermodal (horas)'!D$45:D$1645,0))</f>
        <v>51.346333218961142</v>
      </c>
      <c r="J468" s="2" cm="1">
        <f t="array" aca="1" ref="J468" ca="1">INDEX('Tiempos carretera (horas)'!E$45:E$1645,MATCH(C468&amp;D468,'Tiempos carretera (horas)'!C$45:C$1645&amp;'Tiempos carretera (horas)'!D$45:D$1645,0))</f>
        <v>8.4</v>
      </c>
      <c r="K468" s="12">
        <f t="shared" ca="1" si="42"/>
        <v>9.2777728118184264</v>
      </c>
      <c r="L468" s="12">
        <f t="shared" ca="1" si="43"/>
        <v>9.1477811807966525</v>
      </c>
      <c r="M468" s="12">
        <f t="shared" ca="1" si="44"/>
        <v>0.17813925945249295</v>
      </c>
      <c r="N468" s="13">
        <f t="shared" ca="1" si="46"/>
        <v>0.12999163102177391</v>
      </c>
      <c r="O468" s="13">
        <f t="shared" ca="1" si="47"/>
        <v>-42.946333218961144</v>
      </c>
      <c r="P468" s="12">
        <f t="shared" ca="1" si="45"/>
        <v>1.5290053644259778</v>
      </c>
    </row>
    <row r="469" spans="1:16" x14ac:dyDescent="0.25">
      <c r="A469">
        <v>21</v>
      </c>
      <c r="B469">
        <v>24</v>
      </c>
      <c r="C469" s="2" t="s">
        <v>20</v>
      </c>
      <c r="D469" s="2" t="s">
        <v>23</v>
      </c>
      <c r="E469" s="11" cm="1">
        <f t="array" aca="1" ref="E469" ca="1">INDEX('OD flujo mercancia multimodal'!E$45:E$1645,MATCH(C469&amp;D469,'OD flujo mercancia multimodal'!C$45:C$1645&amp;'OD flujo mercancia multimodal'!D$45:D$1645,0))</f>
        <v>30774.615384615383</v>
      </c>
      <c r="F469" s="11" cm="1">
        <f t="array" aca="1" ref="F469" ca="1">INDEX('OD flujo mercancia carretera'!E$45:E$1646,MATCH(C469&amp;D469,'OD flujo mercancia carretera'!C$45:C$1646&amp;'OD flujo mercancia carretera'!D$45:D$1646,0))</f>
        <v>177620.66666666669</v>
      </c>
      <c r="G469" s="11" cm="1">
        <f t="array" aca="1" ref="G469" ca="1">INDEX('Coste Carretera'!E$46:E$1646,MATCH(C469&amp;D469,'Coste Carretera'!C$46:C$1646&amp;'Coste Carretera'!D$46:D$1646,0))</f>
        <v>1317270482</v>
      </c>
      <c r="H469" s="11" cm="1">
        <f t="array" aca="1" ref="H469" ca="1">INDEX('Coste multimodal'!E$46:E$1646,MATCH(C469&amp;D469,'Coste multimodal'!C$46:C$1646&amp;'Coste multimodal'!D$46:D$1646,0))</f>
        <v>375450271.97701073</v>
      </c>
      <c r="I469" s="12" cm="1">
        <f t="array" aca="1" ref="I469" ca="1">INDEX('Tiempos intermodal (horas)'!E$45:E$1645,MATCH(C469&amp;D469,'Tiempos intermodal (horas)'!C$45:C$1645&amp;'Tiempos intermodal (horas)'!D$45:D$1645,0))</f>
        <v>51.346333218961142</v>
      </c>
      <c r="J469" s="2" cm="1">
        <f t="array" aca="1" ref="J469" ca="1">INDEX('Tiempos carretera (horas)'!E$45:E$1645,MATCH(C469&amp;D469,'Tiempos carretera (horas)'!C$45:C$1645&amp;'Tiempos carretera (horas)'!D$45:D$1645,0))</f>
        <v>8.4</v>
      </c>
      <c r="K469" s="12">
        <f t="shared" ca="1" si="42"/>
        <v>7.4162005284670318</v>
      </c>
      <c r="L469" s="12">
        <f t="shared" ca="1" si="43"/>
        <v>12.199998839455944</v>
      </c>
      <c r="M469" s="12">
        <f t="shared" ca="1" si="44"/>
        <v>0.14767424234221552</v>
      </c>
      <c r="N469" s="13">
        <f t="shared" ca="1" si="46"/>
        <v>-4.783798310988912</v>
      </c>
      <c r="O469" s="13">
        <f t="shared" ca="1" si="47"/>
        <v>-42.946333218961144</v>
      </c>
      <c r="P469" s="12">
        <f t="shared" ca="1" si="45"/>
        <v>1.7529600158186642</v>
      </c>
    </row>
    <row r="470" spans="1:16" x14ac:dyDescent="0.25">
      <c r="A470">
        <v>25</v>
      </c>
      <c r="B470">
        <v>21</v>
      </c>
      <c r="C470" s="2" t="s">
        <v>24</v>
      </c>
      <c r="D470" s="2" t="s">
        <v>20</v>
      </c>
      <c r="E470" s="11" cm="1">
        <f t="array" aca="1" ref="E470" ca="1">INDEX('OD flujo mercancia multimodal'!E$45:E$1645,MATCH(C470&amp;D470,'OD flujo mercancia multimodal'!C$45:C$1645&amp;'OD flujo mercancia multimodal'!D$45:D$1645,0))</f>
        <v>41004.615384615397</v>
      </c>
      <c r="F470" s="11" cm="1">
        <f t="array" aca="1" ref="F470" ca="1">INDEX('OD flujo mercancia carretera'!E$45:E$1646,MATCH(C470&amp;D470,'OD flujo mercancia carretera'!C$45:C$1646&amp;'OD flujo mercancia carretera'!D$45:D$1646,0))</f>
        <v>172308.66666666634</v>
      </c>
      <c r="G470" s="11" cm="1">
        <f t="array" aca="1" ref="G470" ca="1">INDEX('Coste Carretera'!E$46:E$1646,MATCH(C470&amp;D470,'Coste Carretera'!C$46:C$1646&amp;'Coste Carretera'!D$46:D$1646,0))</f>
        <v>1453654620.0000005</v>
      </c>
      <c r="H470" s="11" cm="1">
        <f t="array" aca="1" ref="H470" ca="1">INDEX('Coste multimodal'!E$46:E$1646,MATCH(C470&amp;D470,'Coste multimodal'!C$46:C$1646&amp;'Coste multimodal'!D$46:D$1646,0))</f>
        <v>316738658.8770107</v>
      </c>
      <c r="I470" s="12" cm="1">
        <f t="array" aca="1" ref="I470" ca="1">INDEX('Tiempos intermodal (horas)'!E$45:E$1645,MATCH(C470&amp;D470,'Tiempos intermodal (horas)'!C$45:C$1645&amp;'Tiempos intermodal (horas)'!D$45:D$1645,0))</f>
        <v>50.007444330072254</v>
      </c>
      <c r="J470" s="2" cm="1">
        <f t="array" aca="1" ref="J470" ca="1">INDEX('Tiempos carretera (horas)'!E$45:E$1645,MATCH(C470&amp;D470,'Tiempos carretera (horas)'!C$45:C$1645&amp;'Tiempos carretera (horas)'!D$45:D$1645,0))</f>
        <v>7.03</v>
      </c>
      <c r="K470" s="12">
        <f t="shared" ca="1" si="42"/>
        <v>8.4363407141447908</v>
      </c>
      <c r="L470" s="12">
        <f t="shared" ca="1" si="43"/>
        <v>7.7244635977209652</v>
      </c>
      <c r="M470" s="12">
        <f t="shared" ca="1" si="44"/>
        <v>0.19222720212404612</v>
      </c>
      <c r="N470" s="13">
        <f t="shared" ca="1" si="46"/>
        <v>0.71187711642382556</v>
      </c>
      <c r="O470" s="13">
        <f t="shared" ca="1" si="47"/>
        <v>-42.977444330072252</v>
      </c>
      <c r="P470" s="12">
        <f t="shared" ca="1" si="45"/>
        <v>1.43560281140825</v>
      </c>
    </row>
    <row r="471" spans="1:16" x14ac:dyDescent="0.25">
      <c r="A471">
        <v>21</v>
      </c>
      <c r="B471">
        <v>25</v>
      </c>
      <c r="C471" s="2" t="s">
        <v>20</v>
      </c>
      <c r="D471" s="2" t="s">
        <v>24</v>
      </c>
      <c r="E471" s="11" cm="1">
        <f t="array" aca="1" ref="E471" ca="1">INDEX('OD flujo mercancia multimodal'!E$45:E$1645,MATCH(C471&amp;D471,'OD flujo mercancia multimodal'!C$45:C$1645&amp;'OD flujo mercancia multimodal'!D$45:D$1645,0))</f>
        <v>28379.230769230773</v>
      </c>
      <c r="F471" s="11" cm="1">
        <f t="array" aca="1" ref="F471" ca="1">INDEX('OD flujo mercancia carretera'!E$45:E$1646,MATCH(C471&amp;D471,'OD flujo mercancia carretera'!C$45:C$1646&amp;'OD flujo mercancia carretera'!D$45:D$1646,0))</f>
        <v>170568.33333333331</v>
      </c>
      <c r="G471" s="11" cm="1">
        <f t="array" aca="1" ref="G471" ca="1">INDEX('Coste Carretera'!E$46:E$1646,MATCH(C471&amp;D471,'Coste Carretera'!C$46:C$1646&amp;'Coste Carretera'!D$46:D$1646,0))</f>
        <v>1006072110.0000001</v>
      </c>
      <c r="H471" s="11" cm="1">
        <f t="array" aca="1" ref="H471" ca="1">INDEX('Coste multimodal'!E$46:E$1646,MATCH(C471&amp;D471,'Coste multimodal'!C$46:C$1646&amp;'Coste multimodal'!D$46:D$1646,0))</f>
        <v>316738658.8770107</v>
      </c>
      <c r="I471" s="12" cm="1">
        <f t="array" aca="1" ref="I471" ca="1">INDEX('Tiempos intermodal (horas)'!E$45:E$1645,MATCH(C471&amp;D471,'Tiempos intermodal (horas)'!C$45:C$1645&amp;'Tiempos intermodal (horas)'!D$45:D$1645,0))</f>
        <v>50.007444330072254</v>
      </c>
      <c r="J471" s="2" cm="1">
        <f t="array" aca="1" ref="J471" ca="1">INDEX('Tiempos carretera (horas)'!E$45:E$1645,MATCH(C471&amp;D471,'Tiempos carretera (horas)'!C$45:C$1645&amp;'Tiempos carretera (horas)'!D$45:D$1645,0))</f>
        <v>7.03</v>
      </c>
      <c r="K471" s="12">
        <f t="shared" ca="1" si="42"/>
        <v>5.8983522341974393</v>
      </c>
      <c r="L471" s="12">
        <f t="shared" ca="1" si="43"/>
        <v>11.160931790315612</v>
      </c>
      <c r="M471" s="12">
        <f t="shared" ca="1" si="44"/>
        <v>0.14264678684178478</v>
      </c>
      <c r="N471" s="13">
        <f t="shared" ca="1" si="46"/>
        <v>-5.2625795561181725</v>
      </c>
      <c r="O471" s="13">
        <f t="shared" ca="1" si="47"/>
        <v>-42.977444330072252</v>
      </c>
      <c r="P471" s="12">
        <f t="shared" ca="1" si="45"/>
        <v>1.7934784317593069</v>
      </c>
    </row>
    <row r="472" spans="1:16" x14ac:dyDescent="0.25">
      <c r="A472">
        <v>5</v>
      </c>
      <c r="B472">
        <v>3</v>
      </c>
      <c r="C472" s="2" t="s">
        <v>4</v>
      </c>
      <c r="D472" s="2" t="s">
        <v>2</v>
      </c>
      <c r="E472" s="11" cm="1">
        <f t="array" aca="1" ref="E472" ca="1">INDEX('OD flujo mercancia multimodal'!E$45:E$1645,MATCH(C472&amp;D472,'OD flujo mercancia multimodal'!C$45:C$1645&amp;'OD flujo mercancia multimodal'!D$45:D$1645,0))</f>
        <v>63026.785714285725</v>
      </c>
      <c r="F472" s="11" cm="1">
        <f t="array" aca="1" ref="F472" ca="1">INDEX('OD flujo mercancia carretera'!E$45:E$1646,MATCH(C472&amp;D472,'OD flujo mercancia carretera'!C$45:C$1646&amp;'OD flujo mercancia carretera'!D$45:D$1646,0))</f>
        <v>107216.53846153842</v>
      </c>
      <c r="G472" s="11" cm="1">
        <f t="array" aca="1" ref="G472" ca="1">INDEX('Coste Carretera'!E$46:E$1646,MATCH(C472&amp;D472,'Coste Carretera'!C$46:C$1646&amp;'Coste Carretera'!D$46:D$1646,0))</f>
        <v>2191330412.1428576</v>
      </c>
      <c r="H472" s="11" cm="1">
        <f t="array" aca="1" ref="H472" ca="1">INDEX('Coste multimodal'!E$46:E$1646,MATCH(C472&amp;D472,'Coste multimodal'!C$46:C$1646&amp;'Coste multimodal'!D$46:D$1646,0))</f>
        <v>1406215713.6767361</v>
      </c>
      <c r="I472" s="12" cm="1">
        <f t="array" aca="1" ref="I472" ca="1">INDEX('Tiempos intermodal (horas)'!E$45:E$1645,MATCH(C472&amp;D472,'Tiempos intermodal (horas)'!C$45:C$1645&amp;'Tiempos intermodal (horas)'!D$45:D$1645,0))</f>
        <v>33.028321995823951</v>
      </c>
      <c r="J472" s="2" cm="1">
        <f t="array" aca="1" ref="J472" ca="1">INDEX('Tiempos carretera (horas)'!E$45:E$1645,MATCH(C472&amp;D472,'Tiempos carretera (horas)'!C$45:C$1645&amp;'Tiempos carretera (horas)'!D$45:D$1645,0))</f>
        <v>7.13</v>
      </c>
      <c r="K472" s="12">
        <f t="shared" ca="1" si="42"/>
        <v>20.438361875756222</v>
      </c>
      <c r="L472" s="12">
        <f t="shared" ca="1" si="43"/>
        <v>22.311398205382407</v>
      </c>
      <c r="M472" s="12">
        <f t="shared" ca="1" si="44"/>
        <v>0.37021590138355631</v>
      </c>
      <c r="N472" s="13">
        <f t="shared" ca="1" si="46"/>
        <v>-1.8730363296261849</v>
      </c>
      <c r="O472" s="13">
        <f t="shared" ca="1" si="47"/>
        <v>-25.898321995823952</v>
      </c>
      <c r="P472" s="12">
        <f t="shared" ca="1" si="45"/>
        <v>0.53129070733035422</v>
      </c>
    </row>
    <row r="473" spans="1:16" x14ac:dyDescent="0.25">
      <c r="A473">
        <v>13</v>
      </c>
      <c r="B473">
        <v>20</v>
      </c>
      <c r="C473" s="2" t="s">
        <v>12</v>
      </c>
      <c r="D473" s="2" t="s">
        <v>19</v>
      </c>
      <c r="E473" s="11" cm="1">
        <f t="array" aca="1" ref="E473" ca="1">INDEX('OD flujo mercancia multimodal'!E$45:E$1645,MATCH(C473&amp;D473,'OD flujo mercancia multimodal'!C$45:C$1645&amp;'OD flujo mercancia multimodal'!D$45:D$1645,0))</f>
        <v>60268.538461538454</v>
      </c>
      <c r="F473" s="11" cm="1">
        <f t="array" aca="1" ref="F473" ca="1">INDEX('OD flujo mercancia carretera'!E$45:E$1646,MATCH(C473&amp;D473,'OD flujo mercancia carretera'!C$45:C$1646&amp;'OD flujo mercancia carretera'!D$45:D$1646,0))</f>
        <v>86213.974358974388</v>
      </c>
      <c r="G473" s="11" cm="1">
        <f t="array" aca="1" ref="G473" ca="1">INDEX('Coste Carretera'!E$46:E$1646,MATCH(C473&amp;D473,'Coste Carretera'!C$46:C$1646&amp;'Coste Carretera'!D$46:D$1646,0))</f>
        <v>3586289024.1199989</v>
      </c>
      <c r="H473" s="11" cm="1">
        <f t="array" aca="1" ref="H473" ca="1">INDEX('Coste multimodal'!E$46:E$1646,MATCH(C473&amp;D473,'Coste multimodal'!C$46:C$1646&amp;'Coste multimodal'!D$46:D$1646,0))</f>
        <v>547207077.70335746</v>
      </c>
      <c r="I473" s="12" cm="1">
        <f t="array" aca="1" ref="I473" ca="1">INDEX('Tiempos intermodal (horas)'!E$45:E$1645,MATCH(C473&amp;D473,'Tiempos intermodal (horas)'!C$45:C$1645&amp;'Tiempos intermodal (horas)'!D$45:D$1645,0))</f>
        <v>44.68574546910191</v>
      </c>
      <c r="J473" s="2" cm="1">
        <f t="array" aca="1" ref="J473" ca="1">INDEX('Tiempos carretera (horas)'!E$45:E$1645,MATCH(C473&amp;D473,'Tiempos carretera (horas)'!C$45:C$1645&amp;'Tiempos carretera (horas)'!D$45:D$1645,0))</f>
        <v>11.65</v>
      </c>
      <c r="K473" s="12">
        <f t="shared" ca="1" si="42"/>
        <v>41.59753741530983</v>
      </c>
      <c r="L473" s="12">
        <f t="shared" ca="1" si="43"/>
        <v>9.0794814619997517</v>
      </c>
      <c r="M473" s="12">
        <f t="shared" ca="1" si="44"/>
        <v>0.41143845296664439</v>
      </c>
      <c r="N473" s="13">
        <f t="shared" ca="1" si="46"/>
        <v>32.518055953310082</v>
      </c>
      <c r="O473" s="13">
        <f t="shared" ca="1" si="47"/>
        <v>-33.035745469101911</v>
      </c>
      <c r="P473" s="12">
        <f t="shared" ca="1" si="45"/>
        <v>0.3580220627128034</v>
      </c>
    </row>
    <row r="474" spans="1:16" x14ac:dyDescent="0.25">
      <c r="A474">
        <v>20</v>
      </c>
      <c r="B474">
        <v>13</v>
      </c>
      <c r="C474" s="2" t="s">
        <v>19</v>
      </c>
      <c r="D474" s="2" t="s">
        <v>12</v>
      </c>
      <c r="E474" s="11" cm="1">
        <f t="array" aca="1" ref="E474" ca="1">INDEX('OD flujo mercancia multimodal'!E$45:E$1645,MATCH(C474&amp;D474,'OD flujo mercancia multimodal'!C$45:C$1645&amp;'OD flujo mercancia multimodal'!D$45:D$1645,0))</f>
        <v>35265.153846153851</v>
      </c>
      <c r="F474" s="11" cm="1">
        <f t="array" aca="1" ref="F474" ca="1">INDEX('OD flujo mercancia carretera'!E$45:E$1646,MATCH(C474&amp;D474,'OD flujo mercancia carretera'!C$45:C$1646&amp;'OD flujo mercancia carretera'!D$45:D$1646,0))</f>
        <v>85278.87179487184</v>
      </c>
      <c r="G474" s="11" cm="1">
        <f t="array" aca="1" ref="G474" ca="1">INDEX('Coste Carretera'!E$46:E$1646,MATCH(C474&amp;D474,'Coste Carretera'!C$46:C$1646&amp;'Coste Carretera'!D$46:D$1646,0))</f>
        <v>2098458622.04</v>
      </c>
      <c r="H474" s="11" cm="1">
        <f t="array" aca="1" ref="H474" ca="1">INDEX('Coste multimodal'!E$46:E$1646,MATCH(C474&amp;D474,'Coste multimodal'!C$46:C$1646&amp;'Coste multimodal'!D$46:D$1646,0))</f>
        <v>547207077.70335746</v>
      </c>
      <c r="I474" s="12" cm="1">
        <f t="array" aca="1" ref="I474" ca="1">INDEX('Tiempos intermodal (horas)'!E$45:E$1645,MATCH(C474&amp;D474,'Tiempos intermodal (horas)'!C$45:C$1645&amp;'Tiempos intermodal (horas)'!D$45:D$1645,0))</f>
        <v>44.68574546910191</v>
      </c>
      <c r="J474" s="2" cm="1">
        <f t="array" aca="1" ref="J474" ca="1">INDEX('Tiempos carretera (horas)'!E$45:E$1645,MATCH(C474&amp;D474,'Tiempos carretera (horas)'!C$45:C$1645&amp;'Tiempos carretera (horas)'!D$45:D$1645,0))</f>
        <v>11.65</v>
      </c>
      <c r="K474" s="12">
        <f t="shared" ref="K474:K537" ca="1" si="48">G474/(F474*1000)</f>
        <v>24.607016695619429</v>
      </c>
      <c r="L474" s="12">
        <f t="shared" ref="L474:L537" ca="1" si="49">H474/(E474*1000)</f>
        <v>15.516934367862907</v>
      </c>
      <c r="M474" s="12">
        <f t="shared" ref="M474:M537" ca="1" si="50">E474/(E474+F474)</f>
        <v>0.29254999290609213</v>
      </c>
      <c r="N474" s="13">
        <f t="shared" ca="1" si="46"/>
        <v>9.0900823277565213</v>
      </c>
      <c r="O474" s="13">
        <f t="shared" ca="1" si="47"/>
        <v>-33.035745469101911</v>
      </c>
      <c r="P474" s="12">
        <f t="shared" ref="P474:P537" ca="1" si="51">LN(1/M474-1)</f>
        <v>0.88303139768368144</v>
      </c>
    </row>
    <row r="475" spans="1:16" x14ac:dyDescent="0.25">
      <c r="A475">
        <v>4</v>
      </c>
      <c r="B475">
        <v>3</v>
      </c>
      <c r="C475" s="2" t="s">
        <v>3</v>
      </c>
      <c r="D475" s="2" t="s">
        <v>2</v>
      </c>
      <c r="E475" s="11" cm="1">
        <f t="array" aca="1" ref="E475" ca="1">INDEX('OD flujo mercancia multimodal'!E$45:E$1645,MATCH(C475&amp;D475,'OD flujo mercancia multimodal'!C$45:C$1645&amp;'OD flujo mercancia multimodal'!D$45:D$1645,0))</f>
        <v>46100.857142857159</v>
      </c>
      <c r="F475" s="11" cm="1">
        <f t="array" aca="1" ref="F475" ca="1">INDEX('OD flujo mercancia carretera'!E$45:E$1646,MATCH(C475&amp;D475,'OD flujo mercancia carretera'!C$45:C$1646&amp;'OD flujo mercancia carretera'!D$45:D$1646,0))</f>
        <v>73126.615384615347</v>
      </c>
      <c r="G475" s="11" cm="1">
        <f t="array" aca="1" ref="G475" ca="1">INDEX('Coste Carretera'!E$46:E$1646,MATCH(C475&amp;D475,'Coste Carretera'!C$46:C$1646&amp;'Coste Carretera'!D$46:D$1646,0))</f>
        <v>1336511793.4628575</v>
      </c>
      <c r="H475" s="11" cm="1">
        <f t="array" aca="1" ref="H475" ca="1">INDEX('Coste multimodal'!E$46:E$1646,MATCH(C475&amp;D475,'Coste multimodal'!C$46:C$1646&amp;'Coste multimodal'!D$46:D$1646,0))</f>
        <v>553816592.89154589</v>
      </c>
      <c r="I475" s="12" cm="1">
        <f t="array" aca="1" ref="I475" ca="1">INDEX('Tiempos intermodal (horas)'!E$45:E$1645,MATCH(C475&amp;D475,'Tiempos intermodal (horas)'!C$45:C$1645&amp;'Tiempos intermodal (horas)'!D$45:D$1645,0))</f>
        <v>31.059883110160939</v>
      </c>
      <c r="J475" s="2" cm="1">
        <f t="array" aca="1" ref="J475" ca="1">INDEX('Tiempos carretera (horas)'!E$45:E$1645,MATCH(C475&amp;D475,'Tiempos carretera (horas)'!C$45:C$1645&amp;'Tiempos carretera (horas)'!D$45:D$1645,0))</f>
        <v>6.05</v>
      </c>
      <c r="K475" s="12">
        <f t="shared" ca="1" si="48"/>
        <v>18.276680609834951</v>
      </c>
      <c r="L475" s="12">
        <f t="shared" ca="1" si="49"/>
        <v>12.01315175497456</v>
      </c>
      <c r="M475" s="12">
        <f t="shared" ca="1" si="50"/>
        <v>0.38666304137441609</v>
      </c>
      <c r="N475" s="13">
        <f t="shared" ca="1" si="46"/>
        <v>6.2635288548603913</v>
      </c>
      <c r="O475" s="13">
        <f t="shared" ca="1" si="47"/>
        <v>-25.009883110160938</v>
      </c>
      <c r="P475" s="12">
        <f t="shared" ca="1" si="51"/>
        <v>0.46136085308750774</v>
      </c>
    </row>
    <row r="476" spans="1:16" x14ac:dyDescent="0.25">
      <c r="A476">
        <v>8</v>
      </c>
      <c r="B476">
        <v>3</v>
      </c>
      <c r="C476" s="2" t="s">
        <v>7</v>
      </c>
      <c r="D476" s="2" t="s">
        <v>2</v>
      </c>
      <c r="E476" s="11" cm="1">
        <f t="array" aca="1" ref="E476" ca="1">INDEX('OD flujo mercancia multimodal'!E$45:E$1645,MATCH(C476&amp;D476,'OD flujo mercancia multimodal'!C$45:C$1645&amp;'OD flujo mercancia multimodal'!D$45:D$1645,0))</f>
        <v>23443.357142857159</v>
      </c>
      <c r="F476" s="11" cm="1">
        <f t="array" aca="1" ref="F476" ca="1">INDEX('OD flujo mercancia carretera'!E$45:E$1646,MATCH(C476&amp;D476,'OD flujo mercancia carretera'!C$45:C$1646&amp;'OD flujo mercancia carretera'!D$45:D$1646,0))</f>
        <v>159074.38461538457</v>
      </c>
      <c r="G476" s="11" cm="1">
        <f t="array" aca="1" ref="G476" ca="1">INDEX('Coste Carretera'!E$46:E$1646,MATCH(C476&amp;D476,'Coste Carretera'!C$46:C$1646&amp;'Coste Carretera'!D$46:D$1646,0))</f>
        <v>669797343.72571468</v>
      </c>
      <c r="H476" s="11" cm="1">
        <f t="array" aca="1" ref="H476" ca="1">INDEX('Coste multimodal'!E$46:E$1646,MATCH(C476&amp;D476,'Coste multimodal'!C$46:C$1646&amp;'Coste multimodal'!D$46:D$1646,0))</f>
        <v>592271798.41497445</v>
      </c>
      <c r="I476" s="12" cm="1">
        <f t="array" aca="1" ref="I476" ca="1">INDEX('Tiempos intermodal (horas)'!E$45:E$1645,MATCH(C476&amp;D476,'Tiempos intermodal (horas)'!C$45:C$1645&amp;'Tiempos intermodal (horas)'!D$45:D$1645,0))</f>
        <v>31.213216443494275</v>
      </c>
      <c r="J476" s="2" cm="1">
        <f t="array" aca="1" ref="J476" ca="1">INDEX('Tiempos carretera (horas)'!E$45:E$1645,MATCH(C476&amp;D476,'Tiempos carretera (horas)'!C$45:C$1645&amp;'Tiempos carretera (horas)'!D$45:D$1645,0))</f>
        <v>5.88</v>
      </c>
      <c r="K476" s="12">
        <f t="shared" ca="1" si="48"/>
        <v>4.2105920783234421</v>
      </c>
      <c r="L476" s="12">
        <f t="shared" ca="1" si="49"/>
        <v>25.263949817674931</v>
      </c>
      <c r="M476" s="12">
        <f t="shared" ca="1" si="50"/>
        <v>0.12844426474391527</v>
      </c>
      <c r="N476" s="13">
        <f t="shared" ca="1" si="46"/>
        <v>-21.05335773935149</v>
      </c>
      <c r="O476" s="13">
        <f t="shared" ca="1" si="47"/>
        <v>-25.333216443494276</v>
      </c>
      <c r="P476" s="12">
        <f t="shared" ca="1" si="51"/>
        <v>1.9147847433211114</v>
      </c>
    </row>
    <row r="477" spans="1:16" x14ac:dyDescent="0.25">
      <c r="A477">
        <v>31</v>
      </c>
      <c r="B477">
        <v>20</v>
      </c>
      <c r="C477" s="2" t="s">
        <v>30</v>
      </c>
      <c r="D477" s="2" t="s">
        <v>19</v>
      </c>
      <c r="E477" s="11" cm="1">
        <f t="array" aca="1" ref="E477" ca="1">INDEX('OD flujo mercancia multimodal'!E$45:E$1645,MATCH(C477&amp;D477,'OD flujo mercancia multimodal'!C$45:C$1645&amp;'OD flujo mercancia multimodal'!D$45:D$1645,0))</f>
        <v>60294.999999999993</v>
      </c>
      <c r="F477" s="11" cm="1">
        <f t="array" aca="1" ref="F477" ca="1">INDEX('OD flujo mercancia carretera'!E$45:E$1646,MATCH(C477&amp;D477,'OD flujo mercancia carretera'!C$45:C$1646&amp;'OD flujo mercancia carretera'!D$45:D$1646,0))</f>
        <v>83287.974358974388</v>
      </c>
      <c r="G477" s="11" cm="1">
        <f t="array" aca="1" ref="G477" ca="1">INDEX('Coste Carretera'!E$46:E$1646,MATCH(C477&amp;D477,'Coste Carretera'!C$46:C$1646&amp;'Coste Carretera'!D$46:D$1646,0))</f>
        <v>2232518846.9999995</v>
      </c>
      <c r="H477" s="11" cm="1">
        <f t="array" aca="1" ref="H477" ca="1">INDEX('Coste multimodal'!E$46:E$1646,MATCH(C477&amp;D477,'Coste multimodal'!C$46:C$1646&amp;'Coste multimodal'!D$46:D$1646,0))</f>
        <v>752670462.81056678</v>
      </c>
      <c r="I477" s="12" cm="1">
        <f t="array" aca="1" ref="I477" ca="1">INDEX('Tiempos intermodal (horas)'!E$45:E$1645,MATCH(C477&amp;D477,'Tiempos intermodal (horas)'!C$45:C$1645&amp;'Tiempos intermodal (horas)'!D$45:D$1645,0))</f>
        <v>40.774060087919949</v>
      </c>
      <c r="J477" s="2" cm="1">
        <f t="array" aca="1" ref="J477" ca="1">INDEX('Tiempos carretera (horas)'!E$45:E$1645,MATCH(C477&amp;D477,'Tiempos carretera (horas)'!C$45:C$1645&amp;'Tiempos carretera (horas)'!D$45:D$1645,0))</f>
        <v>7.32</v>
      </c>
      <c r="K477" s="12">
        <f t="shared" ca="1" si="48"/>
        <v>26.804816231665775</v>
      </c>
      <c r="L477" s="12">
        <f t="shared" ca="1" si="49"/>
        <v>12.483132312970675</v>
      </c>
      <c r="M477" s="12">
        <f t="shared" ca="1" si="50"/>
        <v>0.41993140390904132</v>
      </c>
      <c r="N477" s="13">
        <f t="shared" ca="1" si="46"/>
        <v>14.321683918695101</v>
      </c>
      <c r="O477" s="13">
        <f t="shared" ca="1" si="47"/>
        <v>-33.454060087919949</v>
      </c>
      <c r="P477" s="12">
        <f t="shared" ca="1" si="51"/>
        <v>0.32305499175706559</v>
      </c>
    </row>
    <row r="478" spans="1:16" x14ac:dyDescent="0.25">
      <c r="A478">
        <v>20</v>
      </c>
      <c r="B478">
        <v>31</v>
      </c>
      <c r="C478" s="2" t="s">
        <v>19</v>
      </c>
      <c r="D478" s="2" t="s">
        <v>30</v>
      </c>
      <c r="E478" s="11" cm="1">
        <f t="array" aca="1" ref="E478" ca="1">INDEX('OD flujo mercancia multimodal'!E$45:E$1645,MATCH(C478&amp;D478,'OD flujo mercancia multimodal'!C$45:C$1645&amp;'OD flujo mercancia multimodal'!D$45:D$1645,0))</f>
        <v>34615.230769230773</v>
      </c>
      <c r="F478" s="11" cm="1">
        <f t="array" aca="1" ref="F478" ca="1">INDEX('OD flujo mercancia carretera'!E$45:E$1646,MATCH(C478&amp;D478,'OD flujo mercancia carretera'!C$45:C$1646&amp;'OD flujo mercancia carretera'!D$45:D$1646,0))</f>
        <v>85842.025641025641</v>
      </c>
      <c r="G478" s="11" cm="1">
        <f t="array" aca="1" ref="G478" ca="1">INDEX('Coste Carretera'!E$46:E$1646,MATCH(C478&amp;D478,'Coste Carretera'!C$46:C$1646&amp;'Coste Carretera'!D$46:D$1646,0))</f>
        <v>1470921274.98</v>
      </c>
      <c r="H478" s="11" cm="1">
        <f t="array" aca="1" ref="H478" ca="1">INDEX('Coste multimodal'!E$46:E$1646,MATCH(C478&amp;D478,'Coste multimodal'!C$46:C$1646&amp;'Coste multimodal'!D$46:D$1646,0))</f>
        <v>752670462.81056678</v>
      </c>
      <c r="I478" s="12" cm="1">
        <f t="array" aca="1" ref="I478" ca="1">INDEX('Tiempos intermodal (horas)'!E$45:E$1645,MATCH(C478&amp;D478,'Tiempos intermodal (horas)'!C$45:C$1645&amp;'Tiempos intermodal (horas)'!D$45:D$1645,0))</f>
        <v>40.774060087919949</v>
      </c>
      <c r="J478" s="2" cm="1">
        <f t="array" aca="1" ref="J478" ca="1">INDEX('Tiempos carretera (horas)'!E$45:E$1645,MATCH(C478&amp;D478,'Tiempos carretera (horas)'!C$45:C$1645&amp;'Tiempos carretera (horas)'!D$45:D$1645,0))</f>
        <v>7.32</v>
      </c>
      <c r="K478" s="12">
        <f t="shared" ca="1" si="48"/>
        <v>17.135211616872855</v>
      </c>
      <c r="L478" s="12">
        <f t="shared" ca="1" si="49"/>
        <v>21.743910009683081</v>
      </c>
      <c r="M478" s="12">
        <f t="shared" ca="1" si="50"/>
        <v>0.28736525968462484</v>
      </c>
      <c r="N478" s="13">
        <f t="shared" ca="1" si="46"/>
        <v>-4.6086983928102256</v>
      </c>
      <c r="O478" s="13">
        <f t="shared" ca="1" si="47"/>
        <v>-33.454060087919949</v>
      </c>
      <c r="P478" s="12">
        <f t="shared" ca="1" si="51"/>
        <v>0.90821491506393526</v>
      </c>
    </row>
    <row r="479" spans="1:16" x14ac:dyDescent="0.25">
      <c r="A479">
        <v>9</v>
      </c>
      <c r="B479">
        <v>5</v>
      </c>
      <c r="C479" s="2" t="s">
        <v>148</v>
      </c>
      <c r="D479" s="2" t="s">
        <v>4</v>
      </c>
      <c r="E479" s="11" cm="1">
        <f t="array" aca="1" ref="E479" ca="1">INDEX('OD flujo mercancia multimodal'!E$45:E$1645,MATCH(C479&amp;D479,'OD flujo mercancia multimodal'!C$45:C$1645&amp;'OD flujo mercancia multimodal'!D$45:D$1645,0))</f>
        <v>65794.142857142899</v>
      </c>
      <c r="F479" s="11" cm="1">
        <f t="array" aca="1" ref="F479" ca="1">INDEX('OD flujo mercancia carretera'!E$45:E$1646,MATCH(C479&amp;D479,'OD flujo mercancia carretera'!C$45:C$1646&amp;'OD flujo mercancia carretera'!D$45:D$1646,0))</f>
        <v>638033.75854700862</v>
      </c>
      <c r="G479" s="11" cm="1">
        <f t="array" aca="1" ref="G479" ca="1">INDEX('Coste Carretera'!E$46:E$1646,MATCH(C479&amp;D479,'Coste Carretera'!C$46:C$1646&amp;'Coste Carretera'!D$46:D$1646,0))</f>
        <v>1219794459.1485722</v>
      </c>
      <c r="H479" s="11" cm="1">
        <f t="array" aca="1" ref="H479" ca="1">INDEX('Coste multimodal'!E$46:E$1646,MATCH(C479&amp;D479,'Coste multimodal'!C$46:C$1646&amp;'Coste multimodal'!D$46:D$1646,0))</f>
        <v>774529793.58267438</v>
      </c>
      <c r="I479" s="12" cm="1">
        <f t="array" aca="1" ref="I479" ca="1">INDEX('Tiempos intermodal (horas)'!E$45:E$1645,MATCH(C479&amp;D479,'Tiempos intermodal (horas)'!C$45:C$1645&amp;'Tiempos intermodal (horas)'!D$45:D$1645,0))</f>
        <v>33.741658294036228</v>
      </c>
      <c r="J479" s="2" cm="1">
        <f t="array" aca="1" ref="J479" ca="1">INDEX('Tiempos carretera (horas)'!E$45:E$1645,MATCH(C479&amp;D479,'Tiempos carretera (horas)'!C$45:C$1645&amp;'Tiempos carretera (horas)'!D$45:D$1645,0))</f>
        <v>2.52</v>
      </c>
      <c r="K479" s="12">
        <f t="shared" ca="1" si="48"/>
        <v>1.9118023816269605</v>
      </c>
      <c r="L479" s="12">
        <f t="shared" ca="1" si="49"/>
        <v>11.772017385565622</v>
      </c>
      <c r="M479" s="12">
        <f t="shared" ca="1" si="50"/>
        <v>9.3480441349202276E-2</v>
      </c>
      <c r="N479" s="13">
        <f t="shared" ca="1" si="46"/>
        <v>-9.8602150039386611</v>
      </c>
      <c r="O479" s="13">
        <f t="shared" ca="1" si="47"/>
        <v>-31.221658294036228</v>
      </c>
      <c r="P479" s="12">
        <f t="shared" ca="1" si="51"/>
        <v>2.2718603749879018</v>
      </c>
    </row>
    <row r="480" spans="1:16" x14ac:dyDescent="0.25">
      <c r="A480">
        <v>7</v>
      </c>
      <c r="B480">
        <v>3</v>
      </c>
      <c r="C480" s="2" t="s">
        <v>6</v>
      </c>
      <c r="D480" s="2" t="s">
        <v>2</v>
      </c>
      <c r="E480" s="11" cm="1">
        <f t="array" aca="1" ref="E480" ca="1">INDEX('OD flujo mercancia multimodal'!E$45:E$1645,MATCH(C480&amp;D480,'OD flujo mercancia multimodal'!C$45:C$1645&amp;'OD flujo mercancia multimodal'!D$45:D$1645,0))</f>
        <v>19286.857142857159</v>
      </c>
      <c r="F480" s="11" cm="1">
        <f t="array" aca="1" ref="F480" ca="1">INDEX('OD flujo mercancia carretera'!E$45:E$1646,MATCH(C480&amp;D480,'OD flujo mercancia carretera'!C$45:C$1646&amp;'OD flujo mercancia carretera'!D$45:D$1646,0))</f>
        <v>98078.153846153815</v>
      </c>
      <c r="G480" s="11" cm="1">
        <f t="array" aca="1" ref="G480" ca="1">INDEX('Coste Carretera'!E$46:E$1646,MATCH(C480&amp;D480,'Coste Carretera'!C$46:C$1646&amp;'Coste Carretera'!D$46:D$1646,0))</f>
        <v>677660698.14857197</v>
      </c>
      <c r="H480" s="11" cm="1">
        <f t="array" aca="1" ref="H480" ca="1">INDEX('Coste multimodal'!E$46:E$1646,MATCH(C480&amp;D480,'Coste multimodal'!C$46:C$1646&amp;'Coste multimodal'!D$46:D$1646,0))</f>
        <v>602664907.52959323</v>
      </c>
      <c r="I480" s="12" cm="1">
        <f t="array" aca="1" ref="I480" ca="1">INDEX('Tiempos intermodal (horas)'!E$45:E$1645,MATCH(C480&amp;D480,'Tiempos intermodal (horas)'!C$45:C$1645&amp;'Tiempos intermodal (horas)'!D$45:D$1645,0))</f>
        <v>33.467210884712841</v>
      </c>
      <c r="J480" s="2" cm="1">
        <f t="array" aca="1" ref="J480" ca="1">INDEX('Tiempos carretera (horas)'!E$45:E$1645,MATCH(C480&amp;D480,'Tiempos carretera (horas)'!C$45:C$1645&amp;'Tiempos carretera (horas)'!D$45:D$1645,0))</f>
        <v>7.13</v>
      </c>
      <c r="K480" s="12">
        <f t="shared" ca="1" si="48"/>
        <v>6.9093949220491657</v>
      </c>
      <c r="L480" s="12">
        <f t="shared" ca="1" si="49"/>
        <v>31.247439801398055</v>
      </c>
      <c r="M480" s="12">
        <f t="shared" ca="1" si="50"/>
        <v>0.16433225695060866</v>
      </c>
      <c r="N480" s="13">
        <f t="shared" ca="1" si="46"/>
        <v>-24.338044879348889</v>
      </c>
      <c r="O480" s="13">
        <f t="shared" ca="1" si="47"/>
        <v>-26.337210884712842</v>
      </c>
      <c r="P480" s="12">
        <f t="shared" ca="1" si="51"/>
        <v>1.6263407621852433</v>
      </c>
    </row>
    <row r="481" spans="1:16" x14ac:dyDescent="0.25">
      <c r="A481">
        <v>39</v>
      </c>
      <c r="B481">
        <v>22</v>
      </c>
      <c r="C481" s="2" t="s">
        <v>38</v>
      </c>
      <c r="D481" s="2" t="s">
        <v>21</v>
      </c>
      <c r="E481" s="11" cm="1">
        <f t="array" aca="1" ref="E481" ca="1">INDEX('OD flujo mercancia multimodal'!E$45:E$1645,MATCH(C481&amp;D481,'OD flujo mercancia multimodal'!C$45:C$1645&amp;'OD flujo mercancia multimodal'!D$45:D$1645,0))</f>
        <v>21766.1538461538</v>
      </c>
      <c r="F481" s="11" cm="1">
        <f t="array" aca="1" ref="F481" ca="1">INDEX('OD flujo mercancia carretera'!E$45:E$1646,MATCH(C481&amp;D481,'OD flujo mercancia carretera'!C$45:C$1646&amp;'OD flujo mercancia carretera'!D$45:D$1646,0))</f>
        <v>131791.02564102531</v>
      </c>
      <c r="G481" s="11" cm="1">
        <f t="array" aca="1" ref="G481" ca="1">INDEX('Coste Carretera'!E$46:E$1646,MATCH(C481&amp;D481,'Coste Carretera'!C$46:C$1646&amp;'Coste Carretera'!D$46:D$1646,0))</f>
        <v>2471296591.0799952</v>
      </c>
      <c r="H481" s="11" cm="1">
        <f t="array" aca="1" ref="H481" ca="1">INDEX('Coste multimodal'!E$46:E$1646,MATCH(C481&amp;D481,'Coste multimodal'!C$46:C$1646&amp;'Coste multimodal'!D$46:D$1646,0))</f>
        <v>692563310.63464367</v>
      </c>
      <c r="I481" s="12" cm="1">
        <f t="array" aca="1" ref="I481" ca="1">INDEX('Tiempos intermodal (horas)'!E$45:E$1645,MATCH(C481&amp;D481,'Tiempos intermodal (horas)'!C$45:C$1645&amp;'Tiempos intermodal (horas)'!D$45:D$1645,0))</f>
        <v>90.540914737706458</v>
      </c>
      <c r="J481" s="2" cm="1">
        <f t="array" aca="1" ref="J481" ca="1">INDEX('Tiempos carretera (horas)'!E$45:E$1645,MATCH(C481&amp;D481,'Tiempos carretera (horas)'!C$45:C$1645&amp;'Tiempos carretera (horas)'!D$45:D$1645,0))</f>
        <v>17.760000000000002</v>
      </c>
      <c r="K481" s="12">
        <f t="shared" ca="1" si="48"/>
        <v>18.751630310635534</v>
      </c>
      <c r="L481" s="12">
        <f t="shared" ca="1" si="49"/>
        <v>31.818359620619123</v>
      </c>
      <c r="M481" s="12">
        <f t="shared" ca="1" si="50"/>
        <v>0.14174624670005168</v>
      </c>
      <c r="N481" s="13">
        <f t="shared" ca="1" si="46"/>
        <v>-13.06672930998359</v>
      </c>
      <c r="O481" s="13">
        <f t="shared" ca="1" si="47"/>
        <v>-72.780914737706453</v>
      </c>
      <c r="P481" s="12">
        <f t="shared" ca="1" si="51"/>
        <v>1.8008613415786692</v>
      </c>
    </row>
    <row r="482" spans="1:16" x14ac:dyDescent="0.25">
      <c r="A482">
        <v>22</v>
      </c>
      <c r="B482">
        <v>39</v>
      </c>
      <c r="C482" s="2" t="s">
        <v>21</v>
      </c>
      <c r="D482" s="2" t="s">
        <v>38</v>
      </c>
      <c r="E482" s="11" cm="1">
        <f t="array" aca="1" ref="E482" ca="1">INDEX('OD flujo mercancia multimodal'!E$45:E$1645,MATCH(C482&amp;D482,'OD flujo mercancia multimodal'!C$45:C$1645&amp;'OD flujo mercancia multimodal'!D$45:D$1645,0))</f>
        <v>11841.923076923082</v>
      </c>
      <c r="F482" s="11" cm="1">
        <f t="array" aca="1" ref="F482" ca="1">INDEX('OD flujo mercancia carretera'!E$45:E$1646,MATCH(C482&amp;D482,'OD flujo mercancia carretera'!C$45:C$1646&amp;'OD flujo mercancia carretera'!D$45:D$1646,0))</f>
        <v>218440.50915750914</v>
      </c>
      <c r="G482" s="11" cm="1">
        <f t="array" aca="1" ref="G482" ca="1">INDEX('Coste Carretera'!E$46:E$1646,MATCH(C482&amp;D482,'Coste Carretera'!C$46:C$1646&amp;'Coste Carretera'!D$46:D$1646,0))</f>
        <v>609020546.39999986</v>
      </c>
      <c r="H482" s="11" cm="1">
        <f t="array" aca="1" ref="H482" ca="1">INDEX('Coste multimodal'!E$46:E$1646,MATCH(C482&amp;D482,'Coste multimodal'!C$46:C$1646&amp;'Coste multimodal'!D$46:D$1646,0))</f>
        <v>691817736.73087347</v>
      </c>
      <c r="I482" s="12" cm="1">
        <f t="array" aca="1" ref="I482" ca="1">INDEX('Tiempos intermodal (horas)'!E$45:E$1645,MATCH(C482&amp;D482,'Tiempos intermodal (horas)'!C$45:C$1645&amp;'Tiempos intermodal (horas)'!D$45:D$1645,0))</f>
        <v>71.817496668191623</v>
      </c>
      <c r="J482" s="2" cm="1">
        <f t="array" aca="1" ref="J482" ca="1">INDEX('Tiempos carretera (horas)'!E$45:E$1645,MATCH(C482&amp;D482,'Tiempos carretera (horas)'!C$45:C$1645&amp;'Tiempos carretera (horas)'!D$45:D$1645,0))</f>
        <v>13.72</v>
      </c>
      <c r="K482" s="12">
        <f t="shared" ca="1" si="48"/>
        <v>2.7880384858508926</v>
      </c>
      <c r="L482" s="12">
        <f t="shared" ca="1" si="49"/>
        <v>58.421063220639525</v>
      </c>
      <c r="M482" s="12">
        <f t="shared" ca="1" si="50"/>
        <v>5.142347578154708E-2</v>
      </c>
      <c r="N482" s="13">
        <f t="shared" ca="1" si="46"/>
        <v>-55.633024734788634</v>
      </c>
      <c r="O482" s="13">
        <f t="shared" ca="1" si="47"/>
        <v>-58.097496668191624</v>
      </c>
      <c r="P482" s="12">
        <f t="shared" ca="1" si="51"/>
        <v>2.9148676698573603</v>
      </c>
    </row>
    <row r="483" spans="1:16" x14ac:dyDescent="0.25">
      <c r="A483">
        <v>24</v>
      </c>
      <c r="B483">
        <v>11</v>
      </c>
      <c r="C483" s="2" t="s">
        <v>23</v>
      </c>
      <c r="D483" s="2" t="s">
        <v>10</v>
      </c>
      <c r="E483" s="11" cm="1">
        <f t="array" aca="1" ref="E483" ca="1">INDEX('OD flujo mercancia multimodal'!E$45:E$1645,MATCH(C483&amp;D483,'OD flujo mercancia multimodal'!C$45:C$1645&amp;'OD flujo mercancia multimodal'!D$45:D$1645,0))</f>
        <v>24985.846153846138</v>
      </c>
      <c r="F483" s="11" cm="1">
        <f t="array" aca="1" ref="F483" ca="1">INDEX('OD flujo mercancia carretera'!E$45:E$1646,MATCH(C483&amp;D483,'OD flujo mercancia carretera'!C$45:C$1646&amp;'OD flujo mercancia carretera'!D$45:D$1646,0))</f>
        <v>179346</v>
      </c>
      <c r="G483" s="11" cm="1">
        <f t="array" aca="1" ref="G483" ca="1">INDEX('Coste Carretera'!E$46:E$1646,MATCH(C483&amp;D483,'Coste Carretera'!C$46:C$1646&amp;'Coste Carretera'!D$46:D$1646,0))</f>
        <v>1241394781.4399991</v>
      </c>
      <c r="H483" s="11" cm="1">
        <f t="array" aca="1" ref="H483" ca="1">INDEX('Coste multimodal'!E$46:E$1646,MATCH(C483&amp;D483,'Coste multimodal'!C$46:C$1646&amp;'Coste multimodal'!D$46:D$1646,0))</f>
        <v>242773817.6748856</v>
      </c>
      <c r="I483" s="12" cm="1">
        <f t="array" aca="1" ref="I483" ca="1">INDEX('Tiempos intermodal (horas)'!E$45:E$1645,MATCH(C483&amp;D483,'Tiempos intermodal (horas)'!C$45:C$1645&amp;'Tiempos intermodal (horas)'!D$45:D$1645,0))</f>
        <v>48.307591034393766</v>
      </c>
      <c r="J483" s="2" cm="1">
        <f t="array" aca="1" ref="J483" ca="1">INDEX('Tiempos carretera (horas)'!E$45:E$1645,MATCH(C483&amp;D483,'Tiempos carretera (horas)'!C$45:C$1645&amp;'Tiempos carretera (horas)'!D$45:D$1645,0))</f>
        <v>14.55</v>
      </c>
      <c r="K483" s="12">
        <f t="shared" ca="1" si="48"/>
        <v>6.9217868334950268</v>
      </c>
      <c r="L483" s="12">
        <f t="shared" ca="1" si="49"/>
        <v>9.7164537146369483</v>
      </c>
      <c r="M483" s="12">
        <f t="shared" ca="1" si="50"/>
        <v>0.12228072434207697</v>
      </c>
      <c r="N483" s="13">
        <f t="shared" ca="1" si="46"/>
        <v>-2.7946668811419215</v>
      </c>
      <c r="O483" s="13">
        <f t="shared" ca="1" si="47"/>
        <v>-33.757591034393769</v>
      </c>
      <c r="P483" s="12">
        <f t="shared" ca="1" si="51"/>
        <v>1.9710073902731728</v>
      </c>
    </row>
    <row r="484" spans="1:16" x14ac:dyDescent="0.25">
      <c r="A484">
        <v>11</v>
      </c>
      <c r="B484">
        <v>24</v>
      </c>
      <c r="C484" s="2" t="s">
        <v>10</v>
      </c>
      <c r="D484" s="2" t="s">
        <v>23</v>
      </c>
      <c r="E484" s="11" cm="1">
        <f t="array" aca="1" ref="E484" ca="1">INDEX('OD flujo mercancia multimodal'!E$45:E$1645,MATCH(C484&amp;D484,'OD flujo mercancia multimodal'!C$45:C$1645&amp;'OD flujo mercancia multimodal'!D$45:D$1645,0))</f>
        <v>18278.846153846149</v>
      </c>
      <c r="F484" s="11" cm="1">
        <f t="array" aca="1" ref="F484" ca="1">INDEX('OD flujo mercancia carretera'!E$45:E$1646,MATCH(C484&amp;D484,'OD flujo mercancia carretera'!C$45:C$1646&amp;'OD flujo mercancia carretera'!D$45:D$1646,0))</f>
        <v>165334.8974358975</v>
      </c>
      <c r="G484" s="11" cm="1">
        <f t="array" aca="1" ref="G484" ca="1">INDEX('Coste Carretera'!E$46:E$1646,MATCH(C484&amp;D484,'Coste Carretera'!C$46:C$1646&amp;'Coste Carretera'!D$46:D$1646,0))</f>
        <v>908164729.99999964</v>
      </c>
      <c r="H484" s="11" cm="1">
        <f t="array" aca="1" ref="H484" ca="1">INDEX('Coste multimodal'!E$46:E$1646,MATCH(C484&amp;D484,'Coste multimodal'!C$46:C$1646&amp;'Coste multimodal'!D$46:D$1646,0))</f>
        <v>242773817.6748856</v>
      </c>
      <c r="I484" s="12" cm="1">
        <f t="array" aca="1" ref="I484" ca="1">INDEX('Tiempos intermodal (horas)'!E$45:E$1645,MATCH(C484&amp;D484,'Tiempos intermodal (horas)'!C$45:C$1645&amp;'Tiempos intermodal (horas)'!D$45:D$1645,0))</f>
        <v>48.307591034393766</v>
      </c>
      <c r="J484" s="2" cm="1">
        <f t="array" aca="1" ref="J484" ca="1">INDEX('Tiempos carretera (horas)'!E$45:E$1645,MATCH(C484&amp;D484,'Tiempos carretera (horas)'!C$45:C$1645&amp;'Tiempos carretera (horas)'!D$45:D$1645,0))</f>
        <v>14.55</v>
      </c>
      <c r="K484" s="12">
        <f t="shared" ca="1" si="48"/>
        <v>5.4928798703982444</v>
      </c>
      <c r="L484" s="12">
        <f t="shared" ca="1" si="49"/>
        <v>13.28168176653767</v>
      </c>
      <c r="M484" s="12">
        <f t="shared" ca="1" si="50"/>
        <v>9.9550533617392967E-2</v>
      </c>
      <c r="N484" s="13">
        <f t="shared" ca="1" si="46"/>
        <v>-7.7888018961394252</v>
      </c>
      <c r="O484" s="13">
        <f t="shared" ca="1" si="47"/>
        <v>-33.757591034393769</v>
      </c>
      <c r="P484" s="12">
        <f t="shared" ca="1" si="51"/>
        <v>2.2022286549627803</v>
      </c>
    </row>
    <row r="485" spans="1:16" x14ac:dyDescent="0.25">
      <c r="A485">
        <v>39</v>
      </c>
      <c r="B485">
        <v>14</v>
      </c>
      <c r="C485" s="2" t="s">
        <v>38</v>
      </c>
      <c r="D485" s="2" t="s">
        <v>13</v>
      </c>
      <c r="E485" s="11" cm="1">
        <f t="array" aca="1" ref="E485" ca="1">INDEX('OD flujo mercancia multimodal'!E$45:E$1645,MATCH(C485&amp;D485,'OD flujo mercancia multimodal'!C$45:C$1645&amp;'OD flujo mercancia multimodal'!D$45:D$1645,0))</f>
        <v>23941.384615384599</v>
      </c>
      <c r="F485" s="11" cm="1">
        <f t="array" aca="1" ref="F485" ca="1">INDEX('OD flujo mercancia carretera'!E$45:E$1646,MATCH(C485&amp;D485,'OD flujo mercancia carretera'!C$45:C$1646&amp;'OD flujo mercancia carretera'!D$45:D$1646,0))</f>
        <v>175534.4615384613</v>
      </c>
      <c r="G485" s="11" cm="1">
        <f t="array" aca="1" ref="G485" ca="1">INDEX('Coste Carretera'!E$46:E$1646,MATCH(C485&amp;D485,'Coste Carretera'!C$46:C$1646&amp;'Coste Carretera'!D$46:D$1646,0))</f>
        <v>1590514023.599999</v>
      </c>
      <c r="H485" s="11" cm="1">
        <f t="array" aca="1" ref="H485" ca="1">INDEX('Coste multimodal'!E$46:E$1646,MATCH(C485&amp;D485,'Coste multimodal'!C$46:C$1646&amp;'Coste multimodal'!D$46:D$1646,0))</f>
        <v>65235608.595740393</v>
      </c>
      <c r="I485" s="12" cm="1">
        <f t="array" aca="1" ref="I485" ca="1">INDEX('Tiempos intermodal (horas)'!E$45:E$1645,MATCH(C485&amp;D485,'Tiempos intermodal (horas)'!C$45:C$1645&amp;'Tiempos intermodal (horas)'!D$45:D$1645,0))</f>
        <v>51.005199984163852</v>
      </c>
      <c r="J485" s="2" cm="1">
        <f t="array" aca="1" ref="J485" ca="1">INDEX('Tiempos carretera (horas)'!E$45:E$1645,MATCH(C485&amp;D485,'Tiempos carretera (horas)'!C$45:C$1645&amp;'Tiempos carretera (horas)'!D$45:D$1645,0))</f>
        <v>9.85</v>
      </c>
      <c r="K485" s="12">
        <f t="shared" ca="1" si="48"/>
        <v>9.0609787369387966</v>
      </c>
      <c r="L485" s="12">
        <f t="shared" ca="1" si="49"/>
        <v>2.7248051707844985</v>
      </c>
      <c r="M485" s="12">
        <f t="shared" ca="1" si="50"/>
        <v>0.12002147165687313</v>
      </c>
      <c r="N485" s="13">
        <f t="shared" ca="1" si="46"/>
        <v>6.3361735661542982</v>
      </c>
      <c r="O485" s="13">
        <f t="shared" ca="1" si="47"/>
        <v>-41.155199984163851</v>
      </c>
      <c r="P485" s="12">
        <f t="shared" ca="1" si="51"/>
        <v>1.992226850314653</v>
      </c>
    </row>
    <row r="486" spans="1:16" x14ac:dyDescent="0.25">
      <c r="A486">
        <v>14</v>
      </c>
      <c r="B486">
        <v>39</v>
      </c>
      <c r="C486" s="2" t="s">
        <v>13</v>
      </c>
      <c r="D486" s="2" t="s">
        <v>38</v>
      </c>
      <c r="E486" s="11" cm="1">
        <f t="array" aca="1" ref="E486" ca="1">INDEX('OD flujo mercancia multimodal'!E$45:E$1645,MATCH(C486&amp;D486,'OD flujo mercancia multimodal'!C$45:C$1645&amp;'OD flujo mercancia multimodal'!D$45:D$1645,0))</f>
        <v>14731.461538461543</v>
      </c>
      <c r="F486" s="11" cm="1">
        <f t="array" aca="1" ref="F486" ca="1">INDEX('OD flujo mercancia carretera'!E$45:E$1646,MATCH(C486&amp;D486,'OD flujo mercancia carretera'!C$45:C$1646&amp;'OD flujo mercancia carretera'!D$45:D$1646,0))</f>
        <v>195420.45787545788</v>
      </c>
      <c r="G486" s="11" cm="1">
        <f t="array" aca="1" ref="G486" ca="1">INDEX('Coste Carretera'!E$46:E$1646,MATCH(C486&amp;D486,'Coste Carretera'!C$46:C$1646&amp;'Coste Carretera'!D$46:D$1646,0))</f>
        <v>383999729.51999998</v>
      </c>
      <c r="H486" s="11" cm="1">
        <f t="array" aca="1" ref="H486" ca="1">INDEX('Coste multimodal'!E$46:E$1646,MATCH(C486&amp;D486,'Coste multimodal'!C$46:C$1646&amp;'Coste multimodal'!D$46:D$1646,0))</f>
        <v>119315759.44726355</v>
      </c>
      <c r="I486" s="12" cm="1">
        <f t="array" aca="1" ref="I486" ca="1">INDEX('Tiempos intermodal (horas)'!E$45:E$1645,MATCH(C486&amp;D486,'Tiempos intermodal (horas)'!C$45:C$1645&amp;'Tiempos intermodal (horas)'!D$45:D$1645,0))</f>
        <v>40.025083963846654</v>
      </c>
      <c r="J486" s="2" cm="1">
        <f t="array" aca="1" ref="J486" ca="1">INDEX('Tiempos carretera (horas)'!E$45:E$1645,MATCH(C486&amp;D486,'Tiempos carretera (horas)'!C$45:C$1645&amp;'Tiempos carretera (horas)'!D$45:D$1645,0))</f>
        <v>6.2</v>
      </c>
      <c r="K486" s="12">
        <f t="shared" ca="1" si="48"/>
        <v>1.9649924767074505</v>
      </c>
      <c r="L486" s="12">
        <f t="shared" ca="1" si="49"/>
        <v>8.0993836990137584</v>
      </c>
      <c r="M486" s="12">
        <f t="shared" ca="1" si="50"/>
        <v>7.0099105349812021E-2</v>
      </c>
      <c r="N486" s="13">
        <f t="shared" ca="1" si="46"/>
        <v>-6.1343912223063075</v>
      </c>
      <c r="O486" s="13">
        <f t="shared" ca="1" si="47"/>
        <v>-33.825083963846652</v>
      </c>
      <c r="P486" s="12">
        <f t="shared" ca="1" si="51"/>
        <v>2.5851679841023358</v>
      </c>
    </row>
    <row r="487" spans="1:16" x14ac:dyDescent="0.25">
      <c r="A487">
        <v>36</v>
      </c>
      <c r="B487">
        <v>3</v>
      </c>
      <c r="C487" s="2" t="s">
        <v>35</v>
      </c>
      <c r="D487" s="2" t="s">
        <v>2</v>
      </c>
      <c r="E487" s="11" cm="1">
        <f t="array" aca="1" ref="E487" ca="1">INDEX('OD flujo mercancia multimodal'!E$45:E$1645,MATCH(C487&amp;D487,'OD flujo mercancia multimodal'!C$45:C$1645&amp;'OD flujo mercancia multimodal'!D$45:D$1645,0))</f>
        <v>18591.94505494507</v>
      </c>
      <c r="F487" s="11" cm="1">
        <f t="array" aca="1" ref="F487" ca="1">INDEX('OD flujo mercancia carretera'!E$45:E$1646,MATCH(C487&amp;D487,'OD flujo mercancia carretera'!C$45:C$1646&amp;'OD flujo mercancia carretera'!D$45:D$1646,0))</f>
        <v>134577.38461538457</v>
      </c>
      <c r="G487" s="11" cm="1">
        <f t="array" aca="1" ref="G487" ca="1">INDEX('Coste Carretera'!E$46:E$1646,MATCH(C487&amp;D487,'Coste Carretera'!C$46:C$1646&amp;'Coste Carretera'!D$46:D$1646,0))</f>
        <v>276876638.57142872</v>
      </c>
      <c r="H487" s="11" cm="1">
        <f t="array" aca="1" ref="H487" ca="1">INDEX('Coste multimodal'!E$46:E$1646,MATCH(C487&amp;D487,'Coste multimodal'!C$46:C$1646&amp;'Coste multimodal'!D$46:D$1646,0))</f>
        <v>0</v>
      </c>
      <c r="I487" s="12" cm="1">
        <f t="array" aca="1" ref="I487" ca="1">INDEX('Tiempos intermodal (horas)'!E$45:E$1645,MATCH(C487&amp;D487,'Tiempos intermodal (horas)'!C$45:C$1645&amp;'Tiempos intermodal (horas)'!D$45:D$1645,0))</f>
        <v>20.165737809464737</v>
      </c>
      <c r="J487" s="2" cm="1">
        <f t="array" aca="1" ref="J487" ca="1">INDEX('Tiempos carretera (horas)'!E$45:E$1645,MATCH(C487&amp;D487,'Tiempos carretera (horas)'!C$45:C$1645&amp;'Tiempos carretera (horas)'!D$45:D$1645,0))</f>
        <v>2.2999999999999998</v>
      </c>
      <c r="K487" s="12">
        <f t="shared" ca="1" si="48"/>
        <v>2.0573786551338347</v>
      </c>
      <c r="L487" s="12">
        <f t="shared" ca="1" si="49"/>
        <v>0</v>
      </c>
      <c r="M487" s="12">
        <f t="shared" ca="1" si="50"/>
        <v>0.12138164405994986</v>
      </c>
      <c r="N487" s="13">
        <f t="shared" ca="1" si="46"/>
        <v>2.0573786551338347</v>
      </c>
      <c r="O487" s="13">
        <f t="shared" ca="1" si="47"/>
        <v>-17.865737809464736</v>
      </c>
      <c r="P487" s="12">
        <f t="shared" ca="1" si="51"/>
        <v>1.9794109585328019</v>
      </c>
    </row>
    <row r="488" spans="1:16" x14ac:dyDescent="0.25">
      <c r="A488">
        <v>11</v>
      </c>
      <c r="B488">
        <v>22</v>
      </c>
      <c r="C488" s="2" t="s">
        <v>10</v>
      </c>
      <c r="D488" s="2" t="s">
        <v>21</v>
      </c>
      <c r="E488" s="11" cm="1">
        <f t="array" aca="1" ref="E488" ca="1">INDEX('OD flujo mercancia multimodal'!E$45:E$1645,MATCH(C488&amp;D488,'OD flujo mercancia multimodal'!C$45:C$1645&amp;'OD flujo mercancia multimodal'!D$45:D$1645,0))</f>
        <v>32437.923076923031</v>
      </c>
      <c r="F488" s="11" cm="1">
        <f t="array" aca="1" ref="F488" ca="1">INDEX('OD flujo mercancia carretera'!E$45:E$1646,MATCH(C488&amp;D488,'OD flujo mercancia carretera'!C$45:C$1646&amp;'OD flujo mercancia carretera'!D$45:D$1646,0))</f>
        <v>224126.56410256377</v>
      </c>
      <c r="G488" s="11" cm="1">
        <f t="array" aca="1" ref="G488" ca="1">INDEX('Coste Carretera'!E$46:E$1646,MATCH(C488&amp;D488,'Coste Carretera'!C$46:C$1646&amp;'Coste Carretera'!D$46:D$1646,0))</f>
        <v>2252211709.8399963</v>
      </c>
      <c r="H488" s="11" cm="1">
        <f t="array" aca="1" ref="H488" ca="1">INDEX('Coste multimodal'!E$46:E$1646,MATCH(C488&amp;D488,'Coste multimodal'!C$46:C$1646&amp;'Coste multimodal'!D$46:D$1646,0))</f>
        <v>653091164.24556112</v>
      </c>
      <c r="I488" s="12" cm="1">
        <f t="array" aca="1" ref="I488" ca="1">INDEX('Tiempos intermodal (horas)'!E$45:E$1645,MATCH(C488&amp;D488,'Tiempos intermodal (horas)'!C$45:C$1645&amp;'Tiempos intermodal (horas)'!D$45:D$1645,0))</f>
        <v>51.314900956620683</v>
      </c>
      <c r="J488" s="2" cm="1">
        <f t="array" aca="1" ref="J488" ca="1">INDEX('Tiempos carretera (horas)'!E$45:E$1645,MATCH(C488&amp;D488,'Tiempos carretera (horas)'!C$45:C$1645&amp;'Tiempos carretera (horas)'!D$45:D$1645,0))</f>
        <v>13.33</v>
      </c>
      <c r="K488" s="12">
        <f t="shared" ca="1" si="48"/>
        <v>10.048838783828183</v>
      </c>
      <c r="L488" s="12">
        <f t="shared" ca="1" si="49"/>
        <v>20.133569054246351</v>
      </c>
      <c r="M488" s="12">
        <f t="shared" ca="1" si="50"/>
        <v>0.12643185124147827</v>
      </c>
      <c r="N488" s="13">
        <f t="shared" ca="1" si="46"/>
        <v>-10.084730270418168</v>
      </c>
      <c r="O488" s="13">
        <f t="shared" ca="1" si="47"/>
        <v>-37.984900956620685</v>
      </c>
      <c r="P488" s="12">
        <f t="shared" ca="1" si="51"/>
        <v>1.9328827069324086</v>
      </c>
    </row>
    <row r="489" spans="1:16" x14ac:dyDescent="0.25">
      <c r="A489">
        <v>22</v>
      </c>
      <c r="B489">
        <v>11</v>
      </c>
      <c r="C489" s="2" t="s">
        <v>21</v>
      </c>
      <c r="D489" s="2" t="s">
        <v>10</v>
      </c>
      <c r="E489" s="11" cm="1">
        <f t="array" aca="1" ref="E489" ca="1">INDEX('OD flujo mercancia multimodal'!E$45:E$1645,MATCH(C489&amp;D489,'OD flujo mercancia multimodal'!C$45:C$1645&amp;'OD flujo mercancia multimodal'!D$45:D$1645,0))</f>
        <v>29911.92307692306</v>
      </c>
      <c r="F489" s="11" cm="1">
        <f t="array" aca="1" ref="F489" ca="1">INDEX('OD flujo mercancia carretera'!E$45:E$1646,MATCH(C489&amp;D489,'OD flujo mercancia carretera'!C$45:C$1646&amp;'OD flujo mercancia carretera'!D$45:D$1646,0))</f>
        <v>224424.66666666666</v>
      </c>
      <c r="G489" s="11" cm="1">
        <f t="array" aca="1" ref="G489" ca="1">INDEX('Coste Carretera'!E$46:E$1646,MATCH(C489&amp;D489,'Coste Carretera'!C$46:C$1646&amp;'Coste Carretera'!D$46:D$1646,0))</f>
        <v>2076827892.3999989</v>
      </c>
      <c r="H489" s="11" cm="1">
        <f t="array" aca="1" ref="H489" ca="1">INDEX('Coste multimodal'!E$46:E$1646,MATCH(C489&amp;D489,'Coste multimodal'!C$46:C$1646&amp;'Coste multimodal'!D$46:D$1646,0))</f>
        <v>653091164.24556112</v>
      </c>
      <c r="I489" s="12" cm="1">
        <f t="array" aca="1" ref="I489" ca="1">INDEX('Tiempos intermodal (horas)'!E$45:E$1645,MATCH(C489&amp;D489,'Tiempos intermodal (horas)'!C$45:C$1645&amp;'Tiempos intermodal (horas)'!D$45:D$1645,0))</f>
        <v>51.314900956620683</v>
      </c>
      <c r="J489" s="2" cm="1">
        <f t="array" aca="1" ref="J489" ca="1">INDEX('Tiempos carretera (horas)'!E$45:E$1645,MATCH(C489&amp;D489,'Tiempos carretera (horas)'!C$45:C$1645&amp;'Tiempos carretera (horas)'!D$45:D$1645,0))</f>
        <v>13.33</v>
      </c>
      <c r="K489" s="12">
        <f t="shared" ca="1" si="48"/>
        <v>9.2540090322810578</v>
      </c>
      <c r="L489" s="12">
        <f t="shared" ca="1" si="49"/>
        <v>21.833807293701504</v>
      </c>
      <c r="M489" s="12">
        <f t="shared" ca="1" si="50"/>
        <v>0.11760762817130978</v>
      </c>
      <c r="N489" s="13">
        <f t="shared" ca="1" si="46"/>
        <v>-12.579798261420446</v>
      </c>
      <c r="O489" s="13">
        <f t="shared" ca="1" si="47"/>
        <v>-37.984900956620685</v>
      </c>
      <c r="P489" s="12">
        <f t="shared" ca="1" si="51"/>
        <v>2.0152829243390133</v>
      </c>
    </row>
    <row r="490" spans="1:16" x14ac:dyDescent="0.25">
      <c r="A490">
        <v>10</v>
      </c>
      <c r="B490">
        <v>3</v>
      </c>
      <c r="C490" s="2" t="s">
        <v>9</v>
      </c>
      <c r="D490" s="2" t="s">
        <v>2</v>
      </c>
      <c r="E490" s="11" cm="1">
        <f t="array" aca="1" ref="E490" ca="1">INDEX('OD flujo mercancia multimodal'!E$45:E$1645,MATCH(C490&amp;D490,'OD flujo mercancia multimodal'!C$45:C$1645&amp;'OD flujo mercancia multimodal'!D$45:D$1645,0))</f>
        <v>30535.285714285732</v>
      </c>
      <c r="F490" s="11" cm="1">
        <f t="array" aca="1" ref="F490" ca="1">INDEX('OD flujo mercancia carretera'!E$45:E$1646,MATCH(C490&amp;D490,'OD flujo mercancia carretera'!C$45:C$1646&amp;'OD flujo mercancia carretera'!D$45:D$1646,0))</f>
        <v>132619.38461538457</v>
      </c>
      <c r="G490" s="11" cm="1">
        <f t="array" aca="1" ref="G490" ca="1">INDEX('Coste Carretera'!E$46:E$1646,MATCH(C490&amp;D490,'Coste Carretera'!C$46:C$1646&amp;'Coste Carretera'!D$46:D$1646,0))</f>
        <v>1188351485.4342864</v>
      </c>
      <c r="H490" s="11" cm="1">
        <f t="array" aca="1" ref="H490" ca="1">INDEX('Coste multimodal'!E$46:E$1646,MATCH(C490&amp;D490,'Coste multimodal'!C$46:C$1646&amp;'Coste multimodal'!D$46:D$1646,0))</f>
        <v>699848489.49816465</v>
      </c>
      <c r="I490" s="12" cm="1">
        <f t="array" aca="1" ref="I490" ca="1">INDEX('Tiempos intermodal (horas)'!E$45:E$1645,MATCH(C490&amp;D490,'Tiempos intermodal (horas)'!C$45:C$1645&amp;'Tiempos intermodal (horas)'!D$45:D$1645,0))</f>
        <v>34.016099773601724</v>
      </c>
      <c r="J490" s="2" cm="1">
        <f t="array" aca="1" ref="J490" ca="1">INDEX('Tiempos carretera (horas)'!E$45:E$1645,MATCH(C490&amp;D490,'Tiempos carretera (horas)'!C$45:C$1645&amp;'Tiempos carretera (horas)'!D$45:D$1645,0))</f>
        <v>7.86</v>
      </c>
      <c r="K490" s="12">
        <f t="shared" ca="1" si="48"/>
        <v>8.9606167973157014</v>
      </c>
      <c r="L490" s="12">
        <f t="shared" ca="1" si="49"/>
        <v>22.91933653565734</v>
      </c>
      <c r="M490" s="12">
        <f t="shared" ca="1" si="50"/>
        <v>0.18715544981082147</v>
      </c>
      <c r="N490" s="13">
        <f t="shared" ca="1" si="46"/>
        <v>-13.958719738341639</v>
      </c>
      <c r="O490" s="13">
        <f t="shared" ca="1" si="47"/>
        <v>-26.156099773601724</v>
      </c>
      <c r="P490" s="12">
        <f t="shared" ca="1" si="51"/>
        <v>1.4686003321448731</v>
      </c>
    </row>
    <row r="491" spans="1:16" x14ac:dyDescent="0.25">
      <c r="A491">
        <v>17</v>
      </c>
      <c r="B491">
        <v>15</v>
      </c>
      <c r="C491" s="2" t="s">
        <v>16</v>
      </c>
      <c r="D491" s="2" t="s">
        <v>14</v>
      </c>
      <c r="E491" s="11" cm="1">
        <f t="array" aca="1" ref="E491" ca="1">INDEX('OD flujo mercancia multimodal'!E$45:E$1645,MATCH(C491&amp;D491,'OD flujo mercancia multimodal'!C$45:C$1645&amp;'OD flujo mercancia multimodal'!D$45:D$1645,0))</f>
        <v>101931.61538461535</v>
      </c>
      <c r="F491" s="11" cm="1">
        <f t="array" aca="1" ref="F491" ca="1">INDEX('OD flujo mercancia carretera'!E$45:E$1646,MATCH(C491&amp;D491,'OD flujo mercancia carretera'!C$45:C$1646&amp;'OD flujo mercancia carretera'!D$45:D$1646,0))</f>
        <v>821275.23076923122</v>
      </c>
      <c r="G491" s="11" cm="1">
        <f t="array" aca="1" ref="G491" ca="1">INDEX('Coste Carretera'!E$46:E$1646,MATCH(C491&amp;D491,'Coste Carretera'!C$46:C$1646&amp;'Coste Carretera'!D$46:D$1646,0))</f>
        <v>4716388075.6399984</v>
      </c>
      <c r="H491" s="11" cm="1">
        <f t="array" aca="1" ref="H491" ca="1">INDEX('Coste multimodal'!E$46:E$1646,MATCH(C491&amp;D491,'Coste multimodal'!C$46:C$1646&amp;'Coste multimodal'!D$46:D$1646,0))</f>
        <v>800108644.02667975</v>
      </c>
      <c r="I491" s="12" cm="1">
        <f t="array" aca="1" ref="I491" ca="1">INDEX('Tiempos intermodal (horas)'!E$45:E$1645,MATCH(C491&amp;D491,'Tiempos intermodal (horas)'!C$45:C$1645&amp;'Tiempos intermodal (horas)'!D$45:D$1645,0))</f>
        <v>43.147308558558557</v>
      </c>
      <c r="J491" s="2" cm="1">
        <f t="array" aca="1" ref="J491" ca="1">INDEX('Tiempos carretera (horas)'!E$45:E$1645,MATCH(C491&amp;D491,'Tiempos carretera (horas)'!C$45:C$1645&amp;'Tiempos carretera (horas)'!D$45:D$1645,0))</f>
        <v>9.15</v>
      </c>
      <c r="K491" s="12">
        <f t="shared" ca="1" si="48"/>
        <v>5.7427618646461394</v>
      </c>
      <c r="L491" s="12">
        <f t="shared" ca="1" si="49"/>
        <v>7.8494649673475205</v>
      </c>
      <c r="M491" s="12">
        <f t="shared" ca="1" si="50"/>
        <v>0.11041037640618741</v>
      </c>
      <c r="N491" s="13">
        <f t="shared" ca="1" si="46"/>
        <v>-2.1067031027013812</v>
      </c>
      <c r="O491" s="13">
        <f t="shared" ca="1" si="47"/>
        <v>-33.997308558558558</v>
      </c>
      <c r="P491" s="12">
        <f t="shared" ca="1" si="51"/>
        <v>2.0865561406898627</v>
      </c>
    </row>
    <row r="492" spans="1:16" x14ac:dyDescent="0.25">
      <c r="A492">
        <v>15</v>
      </c>
      <c r="B492">
        <v>17</v>
      </c>
      <c r="C492" s="2" t="s">
        <v>14</v>
      </c>
      <c r="D492" s="2" t="s">
        <v>16</v>
      </c>
      <c r="E492" s="11" cm="1">
        <f t="array" aca="1" ref="E492" ca="1">INDEX('OD flujo mercancia multimodal'!E$45:E$1645,MATCH(C492&amp;D492,'OD flujo mercancia multimodal'!C$45:C$1645&amp;'OD flujo mercancia multimodal'!D$45:D$1645,0))</f>
        <v>90734.076923076937</v>
      </c>
      <c r="F492" s="11" cm="1">
        <f t="array" aca="1" ref="F492" ca="1">INDEX('OD flujo mercancia carretera'!E$45:E$1646,MATCH(C492&amp;D492,'OD flujo mercancia carretera'!C$45:C$1646&amp;'OD flujo mercancia carretera'!D$45:D$1646,0))</f>
        <v>470845.46153846115</v>
      </c>
      <c r="G492" s="11" cm="1">
        <f t="array" aca="1" ref="G492" ca="1">INDEX('Coste Carretera'!E$46:E$1646,MATCH(C492&amp;D492,'Coste Carretera'!C$46:C$1646&amp;'Coste Carretera'!D$46:D$1646,0))</f>
        <v>4198276627.3200011</v>
      </c>
      <c r="H492" s="11" cm="1">
        <f t="array" aca="1" ref="H492" ca="1">INDEX('Coste multimodal'!E$46:E$1646,MATCH(C492&amp;D492,'Coste multimodal'!C$46:C$1646&amp;'Coste multimodal'!D$46:D$1646,0))</f>
        <v>800108644.02667975</v>
      </c>
      <c r="I492" s="12" cm="1">
        <f t="array" aca="1" ref="I492" ca="1">INDEX('Tiempos intermodal (horas)'!E$45:E$1645,MATCH(C492&amp;D492,'Tiempos intermodal (horas)'!C$45:C$1645&amp;'Tiempos intermodal (horas)'!D$45:D$1645,0))</f>
        <v>43.147308558558557</v>
      </c>
      <c r="J492" s="2" cm="1">
        <f t="array" aca="1" ref="J492" ca="1">INDEX('Tiempos carretera (horas)'!E$45:E$1645,MATCH(C492&amp;D492,'Tiempos carretera (horas)'!C$45:C$1645&amp;'Tiempos carretera (horas)'!D$45:D$1645,0))</f>
        <v>9.15</v>
      </c>
      <c r="K492" s="12">
        <f t="shared" ca="1" si="48"/>
        <v>8.9164640423683128</v>
      </c>
      <c r="L492" s="12">
        <f t="shared" ca="1" si="49"/>
        <v>8.8181714209205051</v>
      </c>
      <c r="M492" s="12">
        <f t="shared" ca="1" si="50"/>
        <v>0.16156941396341706</v>
      </c>
      <c r="N492" s="13">
        <f t="shared" ca="1" si="46"/>
        <v>9.8292621447807704E-2</v>
      </c>
      <c r="O492" s="13">
        <f t="shared" ca="1" si="47"/>
        <v>-33.997308558558558</v>
      </c>
      <c r="P492" s="12">
        <f t="shared" ca="1" si="51"/>
        <v>1.6465969361933073</v>
      </c>
    </row>
    <row r="493" spans="1:16" x14ac:dyDescent="0.25">
      <c r="A493">
        <v>11</v>
      </c>
      <c r="B493">
        <v>29</v>
      </c>
      <c r="C493" s="2" t="s">
        <v>10</v>
      </c>
      <c r="D493" s="2" t="s">
        <v>147</v>
      </c>
      <c r="E493" s="11" cm="1">
        <f t="array" aca="1" ref="E493" ca="1">INDEX('OD flujo mercancia multimodal'!E$45:E$1645,MATCH(C493&amp;D493,'OD flujo mercancia multimodal'!C$45:C$1645&amp;'OD flujo mercancia multimodal'!D$45:D$1645,0))</f>
        <v>47242.069230769237</v>
      </c>
      <c r="F493" s="11" cm="1">
        <f t="array" aca="1" ref="F493" ca="1">INDEX('OD flujo mercancia carretera'!E$45:E$1646,MATCH(C493&amp;D493,'OD flujo mercancia carretera'!C$45:C$1646&amp;'OD flujo mercancia carretera'!D$45:D$1646,0))</f>
        <v>459067.63076923077</v>
      </c>
      <c r="G493" s="11" cm="1">
        <f t="array" aca="1" ref="G493" ca="1">INDEX('Coste Carretera'!E$46:E$1646,MATCH(C493&amp;D493,'Coste Carretera'!C$46:C$1646&amp;'Coste Carretera'!D$46:D$1646,0))</f>
        <v>3458727945.5440001</v>
      </c>
      <c r="H493" s="11" cm="1">
        <f t="array" aca="1" ref="H493" ca="1">INDEX('Coste multimodal'!E$46:E$1646,MATCH(C493&amp;D493,'Coste multimodal'!C$46:C$1646&amp;'Coste multimodal'!D$46:D$1646,0))</f>
        <v>833045894.24556112</v>
      </c>
      <c r="I493" s="12" cm="1">
        <f t="array" aca="1" ref="I493" ca="1">INDEX('Tiempos intermodal (horas)'!E$45:E$1645,MATCH(C493&amp;D493,'Tiempos intermodal (horas)'!C$45:C$1645&amp;'Tiempos intermodal (horas)'!D$45:D$1645,0))</f>
        <v>51.759345401065133</v>
      </c>
      <c r="J493" s="2" cm="1">
        <f t="array" aca="1" ref="J493" ca="1">INDEX('Tiempos carretera (horas)'!E$45:E$1645,MATCH(C493&amp;D493,'Tiempos carretera (horas)'!C$45:C$1645&amp;'Tiempos carretera (horas)'!D$45:D$1645,0))</f>
        <v>13.66</v>
      </c>
      <c r="K493" s="12">
        <f t="shared" ca="1" si="48"/>
        <v>7.5342448774888071</v>
      </c>
      <c r="L493" s="12">
        <f t="shared" ca="1" si="49"/>
        <v>17.633560676105819</v>
      </c>
      <c r="M493" s="12">
        <f t="shared" ca="1" si="50"/>
        <v>9.3306664341546761E-2</v>
      </c>
      <c r="N493" s="13">
        <f t="shared" ca="1" si="46"/>
        <v>-10.099315798617013</v>
      </c>
      <c r="O493" s="13">
        <f t="shared" ca="1" si="47"/>
        <v>-38.099345401065136</v>
      </c>
      <c r="P493" s="12">
        <f t="shared" ca="1" si="51"/>
        <v>2.2739127500463132</v>
      </c>
    </row>
    <row r="494" spans="1:16" x14ac:dyDescent="0.25">
      <c r="A494">
        <v>29</v>
      </c>
      <c r="B494">
        <v>11</v>
      </c>
      <c r="C494" s="2" t="s">
        <v>147</v>
      </c>
      <c r="D494" s="2" t="s">
        <v>10</v>
      </c>
      <c r="E494" s="11" cm="1">
        <f t="array" aca="1" ref="E494" ca="1">INDEX('OD flujo mercancia multimodal'!E$45:E$1645,MATCH(C494&amp;D494,'OD flujo mercancia multimodal'!C$45:C$1645&amp;'OD flujo mercancia multimodal'!D$45:D$1645,0))</f>
        <v>44525.184615384598</v>
      </c>
      <c r="F494" s="11" cm="1">
        <f t="array" aca="1" ref="F494" ca="1">INDEX('OD flujo mercancia carretera'!E$45:E$1646,MATCH(C494&amp;D494,'OD flujo mercancia carretera'!C$45:C$1646&amp;'OD flujo mercancia carretera'!D$45:D$1646,0))</f>
        <v>459969.1</v>
      </c>
      <c r="G494" s="11" cm="1">
        <f t="array" aca="1" ref="G494" ca="1">INDEX('Coste Carretera'!E$46:E$1646,MATCH(C494&amp;D494,'Coste Carretera'!C$46:C$1646&amp;'Coste Carretera'!D$46:D$1646,0))</f>
        <v>3259816998.2239985</v>
      </c>
      <c r="H494" s="11" cm="1">
        <f t="array" aca="1" ref="H494" ca="1">INDEX('Coste multimodal'!E$46:E$1646,MATCH(C494&amp;D494,'Coste multimodal'!C$46:C$1646&amp;'Coste multimodal'!D$46:D$1646,0))</f>
        <v>833045894.24556112</v>
      </c>
      <c r="I494" s="12" cm="1">
        <f t="array" aca="1" ref="I494" ca="1">INDEX('Tiempos intermodal (horas)'!E$45:E$1645,MATCH(C494&amp;D494,'Tiempos intermodal (horas)'!C$45:C$1645&amp;'Tiempos intermodal (horas)'!D$45:D$1645,0))</f>
        <v>51.759345401065133</v>
      </c>
      <c r="J494" s="2" cm="1">
        <f t="array" aca="1" ref="J494" ca="1">INDEX('Tiempos carretera (horas)'!E$45:E$1645,MATCH(C494&amp;D494,'Tiempos carretera (horas)'!C$45:C$1645&amp;'Tiempos carretera (horas)'!D$45:D$1645,0))</f>
        <v>13.66</v>
      </c>
      <c r="K494" s="12">
        <f t="shared" ca="1" si="48"/>
        <v>7.0870347556477133</v>
      </c>
      <c r="L494" s="12">
        <f t="shared" ca="1" si="49"/>
        <v>18.709543855719854</v>
      </c>
      <c r="M494" s="12">
        <f t="shared" ca="1" si="50"/>
        <v>8.8257064496438498E-2</v>
      </c>
      <c r="N494" s="13">
        <f t="shared" ca="1" si="46"/>
        <v>-11.62250910007214</v>
      </c>
      <c r="O494" s="13">
        <f t="shared" ca="1" si="47"/>
        <v>-38.099345401065136</v>
      </c>
      <c r="P494" s="12">
        <f t="shared" ca="1" si="51"/>
        <v>2.3351043378157708</v>
      </c>
    </row>
    <row r="495" spans="1:16" x14ac:dyDescent="0.25">
      <c r="A495">
        <v>14</v>
      </c>
      <c r="B495">
        <v>20</v>
      </c>
      <c r="C495" s="2" t="s">
        <v>13</v>
      </c>
      <c r="D495" s="2" t="s">
        <v>19</v>
      </c>
      <c r="E495" s="11" cm="1">
        <f t="array" aca="1" ref="E495" ca="1">INDEX('OD flujo mercancia multimodal'!E$45:E$1645,MATCH(C495&amp;D495,'OD flujo mercancia multimodal'!C$45:C$1645&amp;'OD flujo mercancia multimodal'!D$45:D$1645,0))</f>
        <v>70013.76923076922</v>
      </c>
      <c r="F495" s="11" cm="1">
        <f t="array" aca="1" ref="F495" ca="1">INDEX('OD flujo mercancia carretera'!E$45:E$1646,MATCH(C495&amp;D495,'OD flujo mercancia carretera'!C$45:C$1646&amp;'OD flujo mercancia carretera'!D$45:D$1646,0))</f>
        <v>167261.28205128206</v>
      </c>
      <c r="G495" s="11" cm="1">
        <f t="array" aca="1" ref="G495" ca="1">INDEX('Coste Carretera'!E$46:E$1646,MATCH(C495&amp;D495,'Coste Carretera'!C$46:C$1646&amp;'Coste Carretera'!D$46:D$1646,0))</f>
        <v>3655060421.0399985</v>
      </c>
      <c r="H495" s="11" cm="1">
        <f t="array" aca="1" ref="H495" ca="1">INDEX('Coste multimodal'!E$46:E$1646,MATCH(C495&amp;D495,'Coste multimodal'!C$46:C$1646&amp;'Coste multimodal'!D$46:D$1646,0))</f>
        <v>587329953.09535754</v>
      </c>
      <c r="I495" s="12" cm="1">
        <f t="array" aca="1" ref="I495" ca="1">INDEX('Tiempos intermodal (horas)'!E$45:E$1645,MATCH(C495&amp;D495,'Tiempos intermodal (horas)'!C$45:C$1645&amp;'Tiempos intermodal (horas)'!D$45:D$1645,0))</f>
        <v>44.187967691324133</v>
      </c>
      <c r="J495" s="2" cm="1">
        <f t="array" aca="1" ref="J495" ca="1">INDEX('Tiempos carretera (horas)'!E$45:E$1645,MATCH(C495&amp;D495,'Tiempos carretera (horas)'!C$45:C$1645&amp;'Tiempos carretera (horas)'!D$45:D$1645,0))</f>
        <v>10</v>
      </c>
      <c r="K495" s="12">
        <f t="shared" ca="1" si="48"/>
        <v>21.852399887257608</v>
      </c>
      <c r="L495" s="12">
        <f t="shared" ca="1" si="49"/>
        <v>8.3887778011134611</v>
      </c>
      <c r="M495" s="12">
        <f t="shared" ca="1" si="50"/>
        <v>0.29507429817196895</v>
      </c>
      <c r="N495" s="13">
        <f t="shared" ca="1" si="46"/>
        <v>13.463622086144147</v>
      </c>
      <c r="O495" s="13">
        <f t="shared" ca="1" si="47"/>
        <v>-34.187967691324133</v>
      </c>
      <c r="P495" s="12">
        <f t="shared" ca="1" si="51"/>
        <v>0.87086522694171853</v>
      </c>
    </row>
    <row r="496" spans="1:16" x14ac:dyDescent="0.25">
      <c r="A496">
        <v>20</v>
      </c>
      <c r="B496">
        <v>14</v>
      </c>
      <c r="C496" s="2" t="s">
        <v>19</v>
      </c>
      <c r="D496" s="2" t="s">
        <v>13</v>
      </c>
      <c r="E496" s="11" cm="1">
        <f t="array" aca="1" ref="E496" ca="1">INDEX('OD flujo mercancia multimodal'!E$45:E$1645,MATCH(C496&amp;D496,'OD flujo mercancia multimodal'!C$45:C$1645&amp;'OD flujo mercancia multimodal'!D$45:D$1645,0))</f>
        <v>55890.153846153829</v>
      </c>
      <c r="F496" s="11" cm="1">
        <f t="array" aca="1" ref="F496" ca="1">INDEX('OD flujo mercancia carretera'!E$45:E$1646,MATCH(C496&amp;D496,'OD flujo mercancia carretera'!C$45:C$1646&amp;'OD flujo mercancia carretera'!D$45:D$1646,0))</f>
        <v>231743.10256410233</v>
      </c>
      <c r="G496" s="11" cm="1">
        <f t="array" aca="1" ref="G496" ca="1">INDEX('Coste Carretera'!E$46:E$1646,MATCH(C496&amp;D496,'Coste Carretera'!C$46:C$1646&amp;'Coste Carretera'!D$46:D$1646,0))</f>
        <v>2917738774.7199993</v>
      </c>
      <c r="H496" s="11" cm="1">
        <f t="array" aca="1" ref="H496" ca="1">INDEX('Coste multimodal'!E$46:E$1646,MATCH(C496&amp;D496,'Coste multimodal'!C$46:C$1646&amp;'Coste multimodal'!D$46:D$1646,0))</f>
        <v>587329953.09535754</v>
      </c>
      <c r="I496" s="12" cm="1">
        <f t="array" aca="1" ref="I496" ca="1">INDEX('Tiempos intermodal (horas)'!E$45:E$1645,MATCH(C496&amp;D496,'Tiempos intermodal (horas)'!C$45:C$1645&amp;'Tiempos intermodal (horas)'!D$45:D$1645,0))</f>
        <v>44.187967691324133</v>
      </c>
      <c r="J496" s="2" cm="1">
        <f t="array" aca="1" ref="J496" ca="1">INDEX('Tiempos carretera (horas)'!E$45:E$1645,MATCH(C496&amp;D496,'Tiempos carretera (horas)'!C$45:C$1645&amp;'Tiempos carretera (horas)'!D$45:D$1645,0))</f>
        <v>10</v>
      </c>
      <c r="K496" s="12">
        <f t="shared" ca="1" si="48"/>
        <v>12.59040179594094</v>
      </c>
      <c r="L496" s="12">
        <f t="shared" ca="1" si="49"/>
        <v>10.508647993921661</v>
      </c>
      <c r="M496" s="12">
        <f t="shared" ca="1" si="50"/>
        <v>0.19431047210492505</v>
      </c>
      <c r="N496" s="13">
        <f t="shared" ca="1" si="46"/>
        <v>2.0817538020192785</v>
      </c>
      <c r="O496" s="13">
        <f t="shared" ca="1" si="47"/>
        <v>-34.187967691324133</v>
      </c>
      <c r="P496" s="12">
        <f t="shared" ca="1" si="51"/>
        <v>1.4222412156667845</v>
      </c>
    </row>
    <row r="497" spans="1:16" x14ac:dyDescent="0.25">
      <c r="A497">
        <v>17</v>
      </c>
      <c r="B497">
        <v>18</v>
      </c>
      <c r="C497" s="2" t="s">
        <v>16</v>
      </c>
      <c r="D497" s="2" t="s">
        <v>17</v>
      </c>
      <c r="E497" s="11" cm="1">
        <f t="array" aca="1" ref="E497" ca="1">INDEX('OD flujo mercancia multimodal'!E$45:E$1645,MATCH(C497&amp;D497,'OD flujo mercancia multimodal'!C$45:C$1645&amp;'OD flujo mercancia multimodal'!D$45:D$1645,0))</f>
        <v>77949.615384615361</v>
      </c>
      <c r="F497" s="11" cm="1">
        <f t="array" aca="1" ref="F497" ca="1">INDEX('OD flujo mercancia carretera'!E$45:E$1646,MATCH(C497&amp;D497,'OD flujo mercancia carretera'!C$45:C$1646&amp;'OD flujo mercancia carretera'!D$45:D$1646,0))</f>
        <v>581543.15384615387</v>
      </c>
      <c r="G497" s="11" cm="1">
        <f t="array" aca="1" ref="G497" ca="1">INDEX('Coste Carretera'!E$46:E$1646,MATCH(C497&amp;D497,'Coste Carretera'!C$46:C$1646&amp;'Coste Carretera'!D$46:D$1646,0))</f>
        <v>1793134244.3999994</v>
      </c>
      <c r="H497" s="11" cm="1">
        <f t="array" aca="1" ref="H497" ca="1">INDEX('Coste multimodal'!E$46:E$1646,MATCH(C497&amp;D497,'Coste multimodal'!C$46:C$1646&amp;'Coste multimodal'!D$46:D$1646,0))</f>
        <v>1146194869.0747375</v>
      </c>
      <c r="I497" s="12" cm="1">
        <f t="array" aca="1" ref="I497" ca="1">INDEX('Tiempos intermodal (horas)'!E$45:E$1645,MATCH(C497&amp;D497,'Tiempos intermodal (horas)'!C$45:C$1645&amp;'Tiempos intermodal (horas)'!D$45:D$1645,0))</f>
        <v>38.454019630959081</v>
      </c>
      <c r="J497" s="2" cm="1">
        <f t="array" aca="1" ref="J497" ca="1">INDEX('Tiempos carretera (horas)'!E$45:E$1645,MATCH(C497&amp;D497,'Tiempos carretera (horas)'!C$45:C$1645&amp;'Tiempos carretera (horas)'!D$45:D$1645,0))</f>
        <v>4.25</v>
      </c>
      <c r="K497" s="12">
        <f t="shared" ca="1" si="48"/>
        <v>3.0834070224036543</v>
      </c>
      <c r="L497" s="12">
        <f t="shared" ca="1" si="49"/>
        <v>14.704304356336285</v>
      </c>
      <c r="M497" s="12">
        <f t="shared" ca="1" si="50"/>
        <v>0.11819631544336051</v>
      </c>
      <c r="N497" s="13">
        <f t="shared" ca="1" si="46"/>
        <v>-11.620897333932632</v>
      </c>
      <c r="O497" s="13">
        <f t="shared" ca="1" si="47"/>
        <v>-34.204019630959081</v>
      </c>
      <c r="P497" s="12">
        <f t="shared" ca="1" si="51"/>
        <v>2.009622519100319</v>
      </c>
    </row>
    <row r="498" spans="1:16" x14ac:dyDescent="0.25">
      <c r="A498">
        <v>18</v>
      </c>
      <c r="B498">
        <v>17</v>
      </c>
      <c r="C498" s="2" t="s">
        <v>17</v>
      </c>
      <c r="D498" s="2" t="s">
        <v>16</v>
      </c>
      <c r="E498" s="11" cm="1">
        <f t="array" aca="1" ref="E498" ca="1">INDEX('OD flujo mercancia multimodal'!E$45:E$1645,MATCH(C498&amp;D498,'OD flujo mercancia multimodal'!C$45:C$1645&amp;'OD flujo mercancia multimodal'!D$45:D$1645,0))</f>
        <v>71197.923076923093</v>
      </c>
      <c r="F498" s="11" cm="1">
        <f t="array" aca="1" ref="F498" ca="1">INDEX('OD flujo mercancia carretera'!E$45:E$1646,MATCH(C498&amp;D498,'OD flujo mercancia carretera'!C$45:C$1646&amp;'OD flujo mercancia carretera'!D$45:D$1646,0))</f>
        <v>231033.15384615338</v>
      </c>
      <c r="G498" s="11" cm="1">
        <f t="array" aca="1" ref="G498" ca="1">INDEX('Coste Carretera'!E$46:E$1646,MATCH(C498&amp;D498,'Coste Carretera'!C$46:C$1646&amp;'Coste Carretera'!D$46:D$1646,0))</f>
        <v>1637819934.96</v>
      </c>
      <c r="H498" s="11" cm="1">
        <f t="array" aca="1" ref="H498" ca="1">INDEX('Coste multimodal'!E$46:E$1646,MATCH(C498&amp;D498,'Coste multimodal'!C$46:C$1646&amp;'Coste multimodal'!D$46:D$1646,0))</f>
        <v>1146194869.0747375</v>
      </c>
      <c r="I498" s="12" cm="1">
        <f t="array" aca="1" ref="I498" ca="1">INDEX('Tiempos intermodal (horas)'!E$45:E$1645,MATCH(C498&amp;D498,'Tiempos intermodal (horas)'!C$45:C$1645&amp;'Tiempos intermodal (horas)'!D$45:D$1645,0))</f>
        <v>38.454019630959081</v>
      </c>
      <c r="J498" s="2" cm="1">
        <f t="array" aca="1" ref="J498" ca="1">INDEX('Tiempos carretera (horas)'!E$45:E$1645,MATCH(C498&amp;D498,'Tiempos carretera (horas)'!C$45:C$1645&amp;'Tiempos carretera (horas)'!D$45:D$1645,0))</f>
        <v>4.25</v>
      </c>
      <c r="K498" s="12">
        <f t="shared" ca="1" si="48"/>
        <v>7.0891121369127656</v>
      </c>
      <c r="L498" s="12">
        <f t="shared" ca="1" si="49"/>
        <v>16.098712146931238</v>
      </c>
      <c r="M498" s="12">
        <f t="shared" ca="1" si="50"/>
        <v>0.23557446111024616</v>
      </c>
      <c r="N498" s="13">
        <f t="shared" ca="1" si="46"/>
        <v>-9.0096000100184721</v>
      </c>
      <c r="O498" s="13">
        <f t="shared" ca="1" si="47"/>
        <v>-34.204019630959081</v>
      </c>
      <c r="P498" s="12">
        <f t="shared" ca="1" si="51"/>
        <v>1.1770975756423181</v>
      </c>
    </row>
    <row r="499" spans="1:16" x14ac:dyDescent="0.25">
      <c r="A499">
        <v>31</v>
      </c>
      <c r="B499">
        <v>3</v>
      </c>
      <c r="C499" s="2" t="s">
        <v>30</v>
      </c>
      <c r="D499" s="2" t="s">
        <v>2</v>
      </c>
      <c r="E499" s="11" cm="1">
        <f t="array" aca="1" ref="E499" ca="1">INDEX('OD flujo mercancia multimodal'!E$45:E$1645,MATCH(C499&amp;D499,'OD flujo mercancia multimodal'!C$45:C$1645&amp;'OD flujo mercancia multimodal'!D$45:D$1645,0))</f>
        <v>18319.021978021992</v>
      </c>
      <c r="F499" s="11" cm="1">
        <f t="array" aca="1" ref="F499" ca="1">INDEX('OD flujo mercancia carretera'!E$45:E$1646,MATCH(C499&amp;D499,'OD flujo mercancia carretera'!C$45:C$1646&amp;'OD flujo mercancia carretera'!D$45:D$1646,0))</f>
        <v>62117.76923076919</v>
      </c>
      <c r="G499" s="11" cm="1">
        <f t="array" aca="1" ref="G499" ca="1">INDEX('Coste Carretera'!E$46:E$1646,MATCH(C499&amp;D499,'Coste Carretera'!C$46:C$1646&amp;'Coste Carretera'!D$46:D$1646,0))</f>
        <v>405050429.434286</v>
      </c>
      <c r="H499" s="11" cm="1">
        <f t="array" aca="1" ref="H499" ca="1">INDEX('Coste multimodal'!E$46:E$1646,MATCH(C499&amp;D499,'Coste multimodal'!C$46:C$1646&amp;'Coste multimodal'!D$46:D$1646,0))</f>
        <v>458128200.20583165</v>
      </c>
      <c r="I499" s="12" cm="1">
        <f t="array" aca="1" ref="I499" ca="1">INDEX('Tiempos intermodal (horas)'!E$45:E$1645,MATCH(C499&amp;D499,'Tiempos intermodal (horas)'!C$45:C$1645&amp;'Tiempos intermodal (horas)'!D$45:D$1645,0))</f>
        <v>32.315438665716499</v>
      </c>
      <c r="J499" s="2" cm="1">
        <f t="array" aca="1" ref="J499" ca="1">INDEX('Tiempos carretera (horas)'!E$45:E$1645,MATCH(C499&amp;D499,'Tiempos carretera (horas)'!C$45:C$1645&amp;'Tiempos carretera (horas)'!D$45:D$1645,0))</f>
        <v>4.5999999999999996</v>
      </c>
      <c r="K499" s="12">
        <f t="shared" ca="1" si="48"/>
        <v>6.520685376345579</v>
      </c>
      <c r="L499" s="12">
        <f t="shared" ca="1" si="49"/>
        <v>25.00833290966434</v>
      </c>
      <c r="M499" s="12">
        <f t="shared" ca="1" si="50"/>
        <v>0.22774431578792081</v>
      </c>
      <c r="N499" s="13">
        <f t="shared" ca="1" si="46"/>
        <v>-18.487647533318761</v>
      </c>
      <c r="O499" s="13">
        <f t="shared" ca="1" si="47"/>
        <v>-27.715438665716498</v>
      </c>
      <c r="P499" s="12">
        <f t="shared" ca="1" si="51"/>
        <v>1.2210921146494929</v>
      </c>
    </row>
    <row r="500" spans="1:16" x14ac:dyDescent="0.25">
      <c r="A500">
        <v>37</v>
      </c>
      <c r="B500">
        <v>29</v>
      </c>
      <c r="C500" s="2" t="s">
        <v>36</v>
      </c>
      <c r="D500" s="2" t="s">
        <v>147</v>
      </c>
      <c r="E500" s="11" cm="1">
        <f t="array" aca="1" ref="E500" ca="1">INDEX('OD flujo mercancia multimodal'!E$45:E$1645,MATCH(C500&amp;D500,'OD flujo mercancia multimodal'!C$45:C$1645&amp;'OD flujo mercancia multimodal'!D$45:D$1645,0))</f>
        <v>42145.453846153847</v>
      </c>
      <c r="F500" s="11" cm="1">
        <f t="array" aca="1" ref="F500" ca="1">INDEX('OD flujo mercancia carretera'!E$45:E$1646,MATCH(C500&amp;D500,'OD flujo mercancia carretera'!C$45:C$1646&amp;'OD flujo mercancia carretera'!D$45:D$1646,0))</f>
        <v>443398.97509157512</v>
      </c>
      <c r="G500" s="11" cm="1">
        <f t="array" aca="1" ref="G500" ca="1">INDEX('Coste Carretera'!E$46:E$1646,MATCH(C500&amp;D500,'Coste Carretera'!C$46:C$1646&amp;'Coste Carretera'!D$46:D$1646,0))</f>
        <v>2649464499.7799997</v>
      </c>
      <c r="H500" s="11" cm="1">
        <f t="array" aca="1" ref="H500" ca="1">INDEX('Coste multimodal'!E$46:E$1646,MATCH(C500&amp;D500,'Coste multimodal'!C$46:C$1646&amp;'Coste multimodal'!D$46:D$1646,0))</f>
        <v>666005882.6188736</v>
      </c>
      <c r="I500" s="12" cm="1">
        <f t="array" aca="1" ref="I500" ca="1">INDEX('Tiempos intermodal (horas)'!E$45:E$1645,MATCH(C500&amp;D500,'Tiempos intermodal (horas)'!C$45:C$1645&amp;'Tiempos intermodal (horas)'!D$45:D$1645,0))</f>
        <v>72.539718890413837</v>
      </c>
      <c r="J500" s="2" cm="1">
        <f t="array" aca="1" ref="J500" ca="1">INDEX('Tiempos carretera (horas)'!E$45:E$1645,MATCH(C500&amp;D500,'Tiempos carretera (horas)'!C$45:C$1645&amp;'Tiempos carretera (horas)'!D$45:D$1645,0))</f>
        <v>13.72</v>
      </c>
      <c r="K500" s="12">
        <f t="shared" ca="1" si="48"/>
        <v>5.9753509787270165</v>
      </c>
      <c r="L500" s="12">
        <f t="shared" ca="1" si="49"/>
        <v>15.802555716923491</v>
      </c>
      <c r="M500" s="12">
        <f t="shared" ca="1" si="50"/>
        <v>8.6800406583511638E-2</v>
      </c>
      <c r="N500" s="13">
        <f t="shared" ca="1" si="46"/>
        <v>-9.8272047381964747</v>
      </c>
      <c r="O500" s="13">
        <f t="shared" ca="1" si="47"/>
        <v>-58.819718890413839</v>
      </c>
      <c r="P500" s="12">
        <f t="shared" ca="1" si="51"/>
        <v>2.3533431636289426</v>
      </c>
    </row>
    <row r="501" spans="1:16" x14ac:dyDescent="0.25">
      <c r="A501">
        <v>29</v>
      </c>
      <c r="B501">
        <v>37</v>
      </c>
      <c r="C501" s="2" t="s">
        <v>147</v>
      </c>
      <c r="D501" s="2" t="s">
        <v>36</v>
      </c>
      <c r="E501" s="11" cm="1">
        <f t="array" aca="1" ref="E501" ca="1">INDEX('OD flujo mercancia multimodal'!E$45:E$1645,MATCH(C501&amp;D501,'OD flujo mercancia multimodal'!C$45:C$1645&amp;'OD flujo mercancia multimodal'!D$45:D$1645,0))</f>
        <v>33416.646153846203</v>
      </c>
      <c r="F501" s="11" cm="1">
        <f t="array" aca="1" ref="F501" ca="1">INDEX('OD flujo mercancia carretera'!E$45:E$1646,MATCH(C501&amp;D501,'OD flujo mercancia carretera'!C$45:C$1646&amp;'OD flujo mercancia carretera'!D$45:D$1646,0))</f>
        <v>448837.52673992666</v>
      </c>
      <c r="G501" s="11" cm="1">
        <f t="array" aca="1" ref="G501" ca="1">INDEX('Coste Carretera'!E$46:E$1646,MATCH(C501&amp;D501,'Coste Carretera'!C$46:C$1646&amp;'Coste Carretera'!D$46:D$1646,0))</f>
        <v>1850380870.6799996</v>
      </c>
      <c r="H501" s="11" cm="1">
        <f t="array" aca="1" ref="H501" ca="1">INDEX('Coste multimodal'!E$46:E$1646,MATCH(C501&amp;D501,'Coste multimodal'!C$46:C$1646&amp;'Coste multimodal'!D$46:D$1646,0))</f>
        <v>666005882.6188736</v>
      </c>
      <c r="I501" s="12" cm="1">
        <f t="array" aca="1" ref="I501" ca="1">INDEX('Tiempos intermodal (horas)'!E$45:E$1645,MATCH(C501&amp;D501,'Tiempos intermodal (horas)'!C$45:C$1645&amp;'Tiempos intermodal (horas)'!D$45:D$1645,0))</f>
        <v>72.539718890413837</v>
      </c>
      <c r="J501" s="2" cm="1">
        <f t="array" aca="1" ref="J501" ca="1">INDEX('Tiempos carretera (horas)'!E$45:E$1645,MATCH(C501&amp;D501,'Tiempos carretera (horas)'!C$45:C$1645&amp;'Tiempos carretera (horas)'!D$45:D$1645,0))</f>
        <v>13.72</v>
      </c>
      <c r="K501" s="12">
        <f t="shared" ca="1" si="48"/>
        <v>4.1226073143215141</v>
      </c>
      <c r="L501" s="12">
        <f t="shared" ca="1" si="49"/>
        <v>19.93036283631406</v>
      </c>
      <c r="M501" s="12">
        <f t="shared" ca="1" si="50"/>
        <v>6.9292601354445843E-2</v>
      </c>
      <c r="N501" s="13">
        <f t="shared" ca="1" si="46"/>
        <v>-15.807755521992547</v>
      </c>
      <c r="O501" s="13">
        <f t="shared" ca="1" si="47"/>
        <v>-58.819718890413839</v>
      </c>
      <c r="P501" s="12">
        <f t="shared" ca="1" si="51"/>
        <v>2.5976068027751689</v>
      </c>
    </row>
    <row r="502" spans="1:16" x14ac:dyDescent="0.25">
      <c r="A502">
        <v>9</v>
      </c>
      <c r="B502">
        <v>6</v>
      </c>
      <c r="C502" s="2" t="s">
        <v>148</v>
      </c>
      <c r="D502" s="2" t="s">
        <v>5</v>
      </c>
      <c r="E502" s="11" cm="1">
        <f t="array" aca="1" ref="E502" ca="1">INDEX('OD flujo mercancia multimodal'!E$45:E$1645,MATCH(C502&amp;D502,'OD flujo mercancia multimodal'!C$45:C$1645&amp;'OD flujo mercancia multimodal'!D$45:D$1645,0))</f>
        <v>14122.285714285699</v>
      </c>
      <c r="F502" s="11" cm="1">
        <f t="array" aca="1" ref="F502" ca="1">INDEX('OD flujo mercancia carretera'!E$45:E$1646,MATCH(C502&amp;D502,'OD flujo mercancia carretera'!C$45:C$1646&amp;'OD flujo mercancia carretera'!D$45:D$1646,0))</f>
        <v>703823.06990232016</v>
      </c>
      <c r="G502" s="11" cm="1">
        <f t="array" aca="1" ref="G502" ca="1">INDEX('Coste Carretera'!E$46:E$1646,MATCH(C502&amp;D502,'Coste Carretera'!C$46:C$1646&amp;'Coste Carretera'!D$46:D$1646,0))</f>
        <v>429445716.06857091</v>
      </c>
      <c r="H502" s="11" cm="1">
        <f t="array" aca="1" ref="H502" ca="1">INDEX('Coste multimodal'!E$46:E$1646,MATCH(C502&amp;D502,'Coste multimodal'!C$46:C$1646&amp;'Coste multimodal'!D$46:D$1646,0))</f>
        <v>893986567.34553146</v>
      </c>
      <c r="I502" s="12" cm="1">
        <f t="array" aca="1" ref="I502" ca="1">INDEX('Tiempos intermodal (horas)'!E$45:E$1645,MATCH(C502&amp;D502,'Tiempos intermodal (horas)'!C$45:C$1645&amp;'Tiempos intermodal (horas)'!D$45:D$1645,0))</f>
        <v>36.286102738480672</v>
      </c>
      <c r="J502" s="2" cm="1">
        <f t="array" aca="1" ref="J502" ca="1">INDEX('Tiempos carretera (horas)'!E$45:E$1645,MATCH(C502&amp;D502,'Tiempos carretera (horas)'!C$45:C$1645&amp;'Tiempos carretera (horas)'!D$45:D$1645,0))</f>
        <v>5.86</v>
      </c>
      <c r="K502" s="12">
        <f t="shared" ca="1" si="48"/>
        <v>0.6101614659038832</v>
      </c>
      <c r="L502" s="12">
        <f t="shared" ca="1" si="49"/>
        <v>63.303248881390374</v>
      </c>
      <c r="M502" s="12">
        <f t="shared" ca="1" si="50"/>
        <v>1.9670418652066916E-2</v>
      </c>
      <c r="N502" s="13">
        <f t="shared" ca="1" si="46"/>
        <v>-62.693087415486488</v>
      </c>
      <c r="O502" s="13">
        <f t="shared" ca="1" si="47"/>
        <v>-30.426102738480672</v>
      </c>
      <c r="P502" s="12">
        <f t="shared" ca="1" si="51"/>
        <v>3.9087729066635348</v>
      </c>
    </row>
    <row r="503" spans="1:16" x14ac:dyDescent="0.25">
      <c r="A503">
        <v>20</v>
      </c>
      <c r="B503">
        <v>4</v>
      </c>
      <c r="C503" s="2" t="s">
        <v>19</v>
      </c>
      <c r="D503" s="2" t="s">
        <v>3</v>
      </c>
      <c r="E503" s="11" cm="1">
        <f t="array" aca="1" ref="E503" ca="1">INDEX('OD flujo mercancia multimodal'!E$45:E$1645,MATCH(C503&amp;D503,'OD flujo mercancia multimodal'!C$45:C$1645&amp;'OD flujo mercancia multimodal'!D$45:D$1645,0))</f>
        <v>63110.840659340625</v>
      </c>
      <c r="F503" s="11" cm="1">
        <f t="array" aca="1" ref="F503" ca="1">INDEX('OD flujo mercancia carretera'!E$45:E$1646,MATCH(C503&amp;D503,'OD flujo mercancia carretera'!C$45:C$1646&amp;'OD flujo mercancia carretera'!D$45:D$1646,0))</f>
        <v>92657.717948717938</v>
      </c>
      <c r="G503" s="11" cm="1">
        <f t="array" aca="1" ref="G503" ca="1">INDEX('Coste Carretera'!E$46:E$1646,MATCH(C503&amp;D503,'Coste Carretera'!C$46:C$1646&amp;'Coste Carretera'!D$46:D$1646,0))</f>
        <v>2767675428.4428554</v>
      </c>
      <c r="H503" s="11" cm="1">
        <f t="array" aca="1" ref="H503" ca="1">INDEX('Coste multimodal'!E$46:E$1646,MATCH(C503&amp;D503,'Coste multimodal'!C$46:C$1646&amp;'Coste multimodal'!D$46:D$1646,0))</f>
        <v>949252578.90999544</v>
      </c>
      <c r="I503" s="12" cm="1">
        <f t="array" aca="1" ref="I503" ca="1">INDEX('Tiempos intermodal (horas)'!E$45:E$1645,MATCH(C503&amp;D503,'Tiempos intermodal (horas)'!C$45:C$1645&amp;'Tiempos intermodal (horas)'!D$45:D$1645,0))</f>
        <v>39.518504532364396</v>
      </c>
      <c r="J503" s="2" cm="1">
        <f t="array" aca="1" ref="J503" ca="1">INDEX('Tiempos carretera (horas)'!E$45:E$1645,MATCH(C503&amp;D503,'Tiempos carretera (horas)'!C$45:C$1645&amp;'Tiempos carretera (horas)'!D$45:D$1645,0))</f>
        <v>9.01</v>
      </c>
      <c r="K503" s="12">
        <f t="shared" ca="1" si="48"/>
        <v>29.869885528312327</v>
      </c>
      <c r="L503" s="12">
        <f t="shared" ca="1" si="49"/>
        <v>15.041038417375331</v>
      </c>
      <c r="M503" s="12">
        <f t="shared" ca="1" si="50"/>
        <v>0.40515776240915696</v>
      </c>
      <c r="N503" s="13">
        <f t="shared" ca="1" si="46"/>
        <v>14.828847110936996</v>
      </c>
      <c r="O503" s="13">
        <f t="shared" ca="1" si="47"/>
        <v>-30.508504532364398</v>
      </c>
      <c r="P503" s="12">
        <f t="shared" ca="1" si="51"/>
        <v>0.38401969541232284</v>
      </c>
    </row>
    <row r="504" spans="1:16" x14ac:dyDescent="0.25">
      <c r="A504">
        <v>39</v>
      </c>
      <c r="B504">
        <v>29</v>
      </c>
      <c r="C504" s="2" t="s">
        <v>38</v>
      </c>
      <c r="D504" s="2" t="s">
        <v>147</v>
      </c>
      <c r="E504" s="11" cm="1">
        <f t="array" aca="1" ref="E504" ca="1">INDEX('OD flujo mercancia multimodal'!E$45:E$1645,MATCH(C504&amp;D504,'OD flujo mercancia multimodal'!C$45:C$1645&amp;'OD flujo mercancia multimodal'!D$45:D$1645,0))</f>
        <v>36570.300000000003</v>
      </c>
      <c r="F504" s="11" cm="1">
        <f t="array" aca="1" ref="F504" ca="1">INDEX('OD flujo mercancia carretera'!E$45:E$1646,MATCH(C504&amp;D504,'OD flujo mercancia carretera'!C$45:C$1646&amp;'OD flujo mercancia carretera'!D$45:D$1646,0))</f>
        <v>366732.09230769234</v>
      </c>
      <c r="G504" s="11" cm="1">
        <f t="array" aca="1" ref="G504" ca="1">INDEX('Coste Carretera'!E$46:E$1646,MATCH(C504&amp;D504,'Coste Carretera'!C$46:C$1646&amp;'Coste Carretera'!D$46:D$1646,0))</f>
        <v>3968768270.1480002</v>
      </c>
      <c r="H504" s="11" cm="1">
        <f t="array" aca="1" ref="H504" ca="1">INDEX('Coste multimodal'!E$46:E$1646,MATCH(C504&amp;D504,'Coste multimodal'!C$46:C$1646&amp;'Coste multimodal'!D$46:D$1646,0))</f>
        <v>614093118.84264374</v>
      </c>
      <c r="I504" s="12" cm="1">
        <f t="array" aca="1" ref="I504" ca="1">INDEX('Tiempos intermodal (horas)'!E$45:E$1645,MATCH(C504&amp;D504,'Tiempos intermodal (horas)'!C$45:C$1645&amp;'Tiempos intermodal (horas)'!D$45:D$1645,0))</f>
        <v>90.985359182150901</v>
      </c>
      <c r="J504" s="2" cm="1">
        <f t="array" aca="1" ref="J504" ca="1">INDEX('Tiempos carretera (horas)'!E$45:E$1645,MATCH(C504&amp;D504,'Tiempos carretera (horas)'!C$45:C$1645&amp;'Tiempos carretera (horas)'!D$45:D$1645,0))</f>
        <v>17.28</v>
      </c>
      <c r="K504" s="12">
        <f t="shared" ca="1" si="48"/>
        <v>10.821982459113938</v>
      </c>
      <c r="L504" s="12">
        <f t="shared" ca="1" si="49"/>
        <v>16.792126912894993</v>
      </c>
      <c r="M504" s="12">
        <f t="shared" ca="1" si="50"/>
        <v>9.0677121429270743E-2</v>
      </c>
      <c r="N504" s="13">
        <f t="shared" ca="1" si="46"/>
        <v>-5.9701444537810548</v>
      </c>
      <c r="O504" s="13">
        <f t="shared" ca="1" si="47"/>
        <v>-73.7053591821509</v>
      </c>
      <c r="P504" s="12">
        <f t="shared" ca="1" si="51"/>
        <v>2.3053951521943215</v>
      </c>
    </row>
    <row r="505" spans="1:16" x14ac:dyDescent="0.25">
      <c r="A505">
        <v>29</v>
      </c>
      <c r="B505">
        <v>39</v>
      </c>
      <c r="C505" s="2" t="s">
        <v>147</v>
      </c>
      <c r="D505" s="2" t="s">
        <v>38</v>
      </c>
      <c r="E505" s="11" cm="1">
        <f t="array" aca="1" ref="E505" ca="1">INDEX('OD flujo mercancia multimodal'!E$45:E$1645,MATCH(C505&amp;D505,'OD flujo mercancia multimodal'!C$45:C$1645&amp;'OD flujo mercancia multimodal'!D$45:D$1645,0))</f>
        <v>26455.18461538462</v>
      </c>
      <c r="F505" s="11" cm="1">
        <f t="array" aca="1" ref="F505" ca="1">INDEX('OD flujo mercancia carretera'!E$45:E$1646,MATCH(C505&amp;D505,'OD flujo mercancia carretera'!C$45:C$1646&amp;'OD flujo mercancia carretera'!D$45:D$1646,0))</f>
        <v>453984.94249084248</v>
      </c>
      <c r="G505" s="11" cm="1">
        <f t="array" aca="1" ref="G505" ca="1">INDEX('Coste Carretera'!E$46:E$1646,MATCH(C505&amp;D505,'Coste Carretera'!C$46:C$1646&amp;'Coste Carretera'!D$46:D$1646,0))</f>
        <v>1712068556.224</v>
      </c>
      <c r="H505" s="11" cm="1">
        <f t="array" aca="1" ref="H505" ca="1">INDEX('Coste multimodal'!E$46:E$1646,MATCH(C505&amp;D505,'Coste multimodal'!C$46:C$1646&amp;'Coste multimodal'!D$46:D$1646,0))</f>
        <v>613347544.93887353</v>
      </c>
      <c r="I505" s="12" cm="1">
        <f t="array" aca="1" ref="I505" ca="1">INDEX('Tiempos intermodal (horas)'!E$45:E$1645,MATCH(C505&amp;D505,'Tiempos intermodal (horas)'!C$45:C$1645&amp;'Tiempos intermodal (horas)'!D$45:D$1645,0))</f>
        <v>72.261941112636066</v>
      </c>
      <c r="J505" s="2" cm="1">
        <f t="array" aca="1" ref="J505" ca="1">INDEX('Tiempos carretera (horas)'!E$45:E$1645,MATCH(C505&amp;D505,'Tiempos carretera (horas)'!C$45:C$1645&amp;'Tiempos carretera (horas)'!D$45:D$1645,0))</f>
        <v>13.41</v>
      </c>
      <c r="K505" s="12">
        <f t="shared" ca="1" si="48"/>
        <v>3.7712011918953343</v>
      </c>
      <c r="L505" s="12">
        <f t="shared" ca="1" si="49"/>
        <v>23.184398591654144</v>
      </c>
      <c r="M505" s="12">
        <f t="shared" ca="1" si="50"/>
        <v>5.5064477596258897E-2</v>
      </c>
      <c r="N505" s="13">
        <f t="shared" ca="1" si="46"/>
        <v>-19.413197399758811</v>
      </c>
      <c r="O505" s="13">
        <f t="shared" ca="1" si="47"/>
        <v>-58.851941112636069</v>
      </c>
      <c r="P505" s="12">
        <f t="shared" ca="1" si="51"/>
        <v>2.8426118763713406</v>
      </c>
    </row>
    <row r="506" spans="1:16" x14ac:dyDescent="0.25">
      <c r="A506">
        <v>26</v>
      </c>
      <c r="B506">
        <v>17</v>
      </c>
      <c r="C506" s="2" t="s">
        <v>25</v>
      </c>
      <c r="D506" s="2" t="s">
        <v>16</v>
      </c>
      <c r="E506" s="11" cm="1">
        <f t="array" aca="1" ref="E506" ca="1">INDEX('OD flujo mercancia multimodal'!E$45:E$1645,MATCH(C506&amp;D506,'OD flujo mercancia multimodal'!C$45:C$1645&amp;'OD flujo mercancia multimodal'!D$45:D$1645,0))</f>
        <v>65639.61538461539</v>
      </c>
      <c r="F506" s="11" cm="1">
        <f t="array" aca="1" ref="F506" ca="1">INDEX('OD flujo mercancia carretera'!E$45:E$1646,MATCH(C506&amp;D506,'OD flujo mercancia carretera'!C$45:C$1646&amp;'OD flujo mercancia carretera'!D$45:D$1646,0))</f>
        <v>222733.538461538</v>
      </c>
      <c r="G506" s="11" cm="1">
        <f t="array" aca="1" ref="G506" ca="1">INDEX('Coste Carretera'!E$46:E$1646,MATCH(C506&amp;D506,'Coste Carretera'!C$46:C$1646&amp;'Coste Carretera'!D$46:D$1646,0))</f>
        <v>4212713757.1999998</v>
      </c>
      <c r="H506" s="11" cm="1">
        <f t="array" aca="1" ref="H506" ca="1">INDEX('Coste multimodal'!E$46:E$1646,MATCH(C506&amp;D506,'Coste multimodal'!C$46:C$1646&amp;'Coste multimodal'!D$46:D$1646,0))</f>
        <v>685254534.62667978</v>
      </c>
      <c r="I506" s="12" cm="1">
        <f t="array" aca="1" ref="I506" ca="1">INDEX('Tiempos intermodal (horas)'!E$45:E$1645,MATCH(C506&amp;D506,'Tiempos intermodal (horas)'!C$45:C$1645&amp;'Tiempos intermodal (horas)'!D$45:D$1645,0))</f>
        <v>0</v>
      </c>
      <c r="J506" s="2" cm="1">
        <f t="array" aca="1" ref="J506" ca="1">INDEX('Tiempos carretera (horas)'!E$45:E$1645,MATCH(C506&amp;D506,'Tiempos carretera (horas)'!C$45:C$1645&amp;'Tiempos carretera (horas)'!D$45:D$1645,0))</f>
        <v>12.23</v>
      </c>
      <c r="K506" s="12">
        <f t="shared" ca="1" si="48"/>
        <v>18.913692954810475</v>
      </c>
      <c r="L506" s="12">
        <f t="shared" ca="1" si="49"/>
        <v>10.439648840283876</v>
      </c>
      <c r="M506" s="12">
        <f t="shared" ca="1" si="50"/>
        <v>0.22762040956015625</v>
      </c>
      <c r="N506" s="13">
        <f t="shared" ca="1" si="46"/>
        <v>8.474044114526599</v>
      </c>
      <c r="O506" s="13">
        <f t="shared" ca="1" si="47"/>
        <v>12.23</v>
      </c>
      <c r="P506" s="12">
        <f t="shared" ca="1" si="51"/>
        <v>1.2217967554746694</v>
      </c>
    </row>
    <row r="507" spans="1:16" x14ac:dyDescent="0.25">
      <c r="A507">
        <v>17</v>
      </c>
      <c r="B507">
        <v>26</v>
      </c>
      <c r="C507" s="2" t="s">
        <v>16</v>
      </c>
      <c r="D507" s="2" t="s">
        <v>25</v>
      </c>
      <c r="E507" s="11" cm="1">
        <f t="array" aca="1" ref="E507" ca="1">INDEX('OD flujo mercancia multimodal'!E$45:E$1645,MATCH(C507&amp;D507,'OD flujo mercancia multimodal'!C$45:C$1645&amp;'OD flujo mercancia multimodal'!D$45:D$1645,0))</f>
        <v>58481.615384615383</v>
      </c>
      <c r="F507" s="11" cm="1">
        <f t="array" aca="1" ref="F507" ca="1">INDEX('OD flujo mercancia carretera'!E$45:E$1646,MATCH(C507&amp;D507,'OD flujo mercancia carretera'!C$45:C$1646&amp;'OD flujo mercancia carretera'!D$45:D$1646,0))</f>
        <v>575585.76923076925</v>
      </c>
      <c r="G507" s="11" cm="1">
        <f t="array" aca="1" ref="G507" ca="1">INDEX('Coste Carretera'!E$46:E$1646,MATCH(C507&amp;D507,'Coste Carretera'!C$46:C$1646&amp;'Coste Carretera'!D$46:D$1646,0))</f>
        <v>3753317325.6799998</v>
      </c>
      <c r="H507" s="11" cm="1">
        <f t="array" aca="1" ref="H507" ca="1">INDEX('Coste multimodal'!E$46:E$1646,MATCH(C507&amp;D507,'Coste multimodal'!C$46:C$1646&amp;'Coste multimodal'!D$46:D$1646,0))</f>
        <v>685254534.62667978</v>
      </c>
      <c r="I507" s="12" cm="1">
        <f t="array" aca="1" ref="I507" ca="1">INDEX('Tiempos intermodal (horas)'!E$45:E$1645,MATCH(C507&amp;D507,'Tiempos intermodal (horas)'!C$45:C$1645&amp;'Tiempos intermodal (horas)'!D$45:D$1645,0))</f>
        <v>0</v>
      </c>
      <c r="J507" s="2" cm="1">
        <f t="array" aca="1" ref="J507" ca="1">INDEX('Tiempos carretera (horas)'!E$45:E$1645,MATCH(C507&amp;D507,'Tiempos carretera (horas)'!C$45:C$1645&amp;'Tiempos carretera (horas)'!D$45:D$1645,0))</f>
        <v>12.23</v>
      </c>
      <c r="K507" s="12">
        <f t="shared" ca="1" si="48"/>
        <v>6.5208653971693042</v>
      </c>
      <c r="L507" s="12">
        <f t="shared" ca="1" si="49"/>
        <v>11.71743513102321</v>
      </c>
      <c r="M507" s="12">
        <f t="shared" ca="1" si="50"/>
        <v>9.2232492639704872E-2</v>
      </c>
      <c r="N507" s="13">
        <f t="shared" ca="1" si="46"/>
        <v>-5.1965697338539059</v>
      </c>
      <c r="O507" s="13">
        <f t="shared" ca="1" si="47"/>
        <v>12.23</v>
      </c>
      <c r="P507" s="12">
        <f t="shared" ca="1" si="51"/>
        <v>2.286675813426041</v>
      </c>
    </row>
    <row r="508" spans="1:16" x14ac:dyDescent="0.25">
      <c r="A508">
        <v>37</v>
      </c>
      <c r="B508">
        <v>14</v>
      </c>
      <c r="C508" s="2" t="s">
        <v>36</v>
      </c>
      <c r="D508" s="2" t="s">
        <v>13</v>
      </c>
      <c r="E508" s="11" cm="1">
        <f t="array" aca="1" ref="E508" ca="1">INDEX('OD flujo mercancia multimodal'!E$45:E$1645,MATCH(C508&amp;D508,'OD flujo mercancia multimodal'!C$45:C$1645&amp;'OD flujo mercancia multimodal'!D$45:D$1645,0))</f>
        <v>29516.538461538446</v>
      </c>
      <c r="F508" s="11" cm="1">
        <f t="array" aca="1" ref="F508" ca="1">INDEX('OD flujo mercancia carretera'!E$45:E$1646,MATCH(C508&amp;D508,'OD flujo mercancia carretera'!C$45:C$1646&amp;'OD flujo mercancia carretera'!D$45:D$1646,0))</f>
        <v>252201.34432234408</v>
      </c>
      <c r="G508" s="11" cm="1">
        <f t="array" aca="1" ref="G508" ca="1">INDEX('Coste Carretera'!E$46:E$1646,MATCH(C508&amp;D508,'Coste Carretera'!C$46:C$1646&amp;'Coste Carretera'!D$46:D$1646,0))</f>
        <v>735430053.67999959</v>
      </c>
      <c r="H508" s="11" cm="1">
        <f t="array" aca="1" ref="H508" ca="1">INDEX('Coste multimodal'!E$46:E$1646,MATCH(C508&amp;D508,'Coste multimodal'!C$46:C$1646&amp;'Coste multimodal'!D$46:D$1646,0))</f>
        <v>171974097.12726355</v>
      </c>
      <c r="I508" s="12" cm="1">
        <f t="array" aca="1" ref="I508" ca="1">INDEX('Tiempos intermodal (horas)'!E$45:E$1645,MATCH(C508&amp;D508,'Tiempos intermodal (horas)'!C$45:C$1645&amp;'Tiempos intermodal (horas)'!D$45:D$1645,0))</f>
        <v>40.302861741624433</v>
      </c>
      <c r="J508" s="2" cm="1">
        <f t="array" aca="1" ref="J508" ca="1">INDEX('Tiempos carretera (horas)'!E$45:E$1645,MATCH(C508&amp;D508,'Tiempos carretera (horas)'!C$45:C$1645&amp;'Tiempos carretera (horas)'!D$45:D$1645,0))</f>
        <v>5.58</v>
      </c>
      <c r="K508" s="12">
        <f t="shared" ca="1" si="48"/>
        <v>2.9160433528063603</v>
      </c>
      <c r="L508" s="12">
        <f t="shared" ca="1" si="49"/>
        <v>5.8263640010279172</v>
      </c>
      <c r="M508" s="12">
        <f t="shared" ca="1" si="50"/>
        <v>0.10477339304790177</v>
      </c>
      <c r="N508" s="13">
        <f t="shared" ca="1" si="46"/>
        <v>-2.9103206482215569</v>
      </c>
      <c r="O508" s="13">
        <f t="shared" ca="1" si="47"/>
        <v>-34.722861741624435</v>
      </c>
      <c r="P508" s="12">
        <f t="shared" ca="1" si="51"/>
        <v>2.1452770218299326</v>
      </c>
    </row>
    <row r="509" spans="1:16" x14ac:dyDescent="0.25">
      <c r="A509">
        <v>14</v>
      </c>
      <c r="B509">
        <v>37</v>
      </c>
      <c r="C509" s="2" t="s">
        <v>13</v>
      </c>
      <c r="D509" s="2" t="s">
        <v>36</v>
      </c>
      <c r="E509" s="11" cm="1">
        <f t="array" aca="1" ref="E509" ca="1">INDEX('OD flujo mercancia multimodal'!E$45:E$1645,MATCH(C509&amp;D509,'OD flujo mercancia multimodal'!C$45:C$1645&amp;'OD flujo mercancia multimodal'!D$45:D$1645,0))</f>
        <v>21692.923076923122</v>
      </c>
      <c r="F509" s="11" cm="1">
        <f t="array" aca="1" ref="F509" ca="1">INDEX('OD flujo mercancia carretera'!E$45:E$1646,MATCH(C509&amp;D509,'OD flujo mercancia carretera'!C$45:C$1646&amp;'OD flujo mercancia carretera'!D$45:D$1646,0))</f>
        <v>190273.04212454206</v>
      </c>
      <c r="G509" s="11" cm="1">
        <f t="array" aca="1" ref="G509" ca="1">INDEX('Coste Carretera'!E$46:E$1646,MATCH(C509&amp;D509,'Coste Carretera'!C$46:C$1646&amp;'Coste Carretera'!D$46:D$1646,0))</f>
        <v>431576304.71999997</v>
      </c>
      <c r="H509" s="11" cm="1">
        <f t="array" aca="1" ref="H509" ca="1">INDEX('Coste multimodal'!E$46:E$1646,MATCH(C509&amp;D509,'Coste multimodal'!C$46:C$1646&amp;'Coste multimodal'!D$46:D$1646,0))</f>
        <v>171974097.12726355</v>
      </c>
      <c r="I509" s="12" cm="1">
        <f t="array" aca="1" ref="I509" ca="1">INDEX('Tiempos intermodal (horas)'!E$45:E$1645,MATCH(C509&amp;D509,'Tiempos intermodal (horas)'!C$45:C$1645&amp;'Tiempos intermodal (horas)'!D$45:D$1645,0))</f>
        <v>40.302861741624433</v>
      </c>
      <c r="J509" s="2" cm="1">
        <f t="array" aca="1" ref="J509" ca="1">INDEX('Tiempos carretera (horas)'!E$45:E$1645,MATCH(C509&amp;D509,'Tiempos carretera (horas)'!C$45:C$1645&amp;'Tiempos carretera (horas)'!D$45:D$1645,0))</f>
        <v>5.58</v>
      </c>
      <c r="K509" s="12">
        <f t="shared" ca="1" si="48"/>
        <v>2.2681946948507519</v>
      </c>
      <c r="L509" s="12">
        <f t="shared" ca="1" si="49"/>
        <v>7.9276590119940629</v>
      </c>
      <c r="M509" s="12">
        <f t="shared" ca="1" si="50"/>
        <v>0.10234153891783931</v>
      </c>
      <c r="N509" s="13">
        <f t="shared" ca="1" si="46"/>
        <v>-5.6594643171433106</v>
      </c>
      <c r="O509" s="13">
        <f t="shared" ca="1" si="47"/>
        <v>-34.722861741624435</v>
      </c>
      <c r="P509" s="12">
        <f t="shared" ca="1" si="51"/>
        <v>2.1714740225173319</v>
      </c>
    </row>
    <row r="510" spans="1:16" x14ac:dyDescent="0.25">
      <c r="A510">
        <v>39</v>
      </c>
      <c r="B510">
        <v>13</v>
      </c>
      <c r="C510" s="2" t="s">
        <v>38</v>
      </c>
      <c r="D510" s="2" t="s">
        <v>12</v>
      </c>
      <c r="E510" s="11" cm="1">
        <f t="array" aca="1" ref="E510" ca="1">INDEX('OD flujo mercancia multimodal'!E$45:E$1645,MATCH(C510&amp;D510,'OD flujo mercancia multimodal'!C$45:C$1645&amp;'OD flujo mercancia multimodal'!D$45:D$1645,0))</f>
        <v>3316.3846153846198</v>
      </c>
      <c r="F510" s="11" cm="1">
        <f t="array" aca="1" ref="F510" ca="1">INDEX('OD flujo mercancia carretera'!E$45:E$1646,MATCH(C510&amp;D510,'OD flujo mercancia carretera'!C$45:C$1646&amp;'OD flujo mercancia carretera'!D$45:D$1646,0))</f>
        <v>29070.23076923081</v>
      </c>
      <c r="G510" s="11" cm="1">
        <f t="array" aca="1" ref="G510" ca="1">INDEX('Coste Carretera'!E$46:E$1646,MATCH(C510&amp;D510,'Coste Carretera'!C$46:C$1646&amp;'Coste Carretera'!D$46:D$1646,0))</f>
        <v>457176944.4000001</v>
      </c>
      <c r="H510" s="11" cm="1">
        <f t="array" aca="1" ref="H510" ca="1">INDEX('Coste multimodal'!E$46:E$1646,MATCH(C510&amp;D510,'Coste multimodal'!C$46:C$1646&amp;'Coste multimodal'!D$46:D$1646,0))</f>
        <v>25112733.203740384</v>
      </c>
      <c r="I510" s="12" cm="1">
        <f t="array" aca="1" ref="I510" ca="1">INDEX('Tiempos intermodal (horas)'!E$45:E$1645,MATCH(C510&amp;D510,'Tiempos intermodal (horas)'!C$45:C$1645&amp;'Tiempos intermodal (horas)'!D$45:D$1645,0))</f>
        <v>51.502977761941629</v>
      </c>
      <c r="J510" s="2" cm="1">
        <f t="array" aca="1" ref="J510" ca="1">INDEX('Tiempos carretera (horas)'!E$45:E$1645,MATCH(C510&amp;D510,'Tiempos carretera (horas)'!C$45:C$1645&amp;'Tiempos carretera (horas)'!D$45:D$1645,0))</f>
        <v>9.5</v>
      </c>
      <c r="K510" s="12">
        <f t="shared" ca="1" si="48"/>
        <v>15.726636228973318</v>
      </c>
      <c r="L510" s="12">
        <f t="shared" ca="1" si="49"/>
        <v>7.5723223076247201</v>
      </c>
      <c r="M510" s="12">
        <f t="shared" ca="1" si="50"/>
        <v>0.10239985179062575</v>
      </c>
      <c r="N510" s="13">
        <f t="shared" ca="1" si="46"/>
        <v>8.1543139213485976</v>
      </c>
      <c r="O510" s="13">
        <f t="shared" ca="1" si="47"/>
        <v>-42.002977761941629</v>
      </c>
      <c r="P510" s="12">
        <f t="shared" ca="1" si="51"/>
        <v>2.1708394346386242</v>
      </c>
    </row>
    <row r="511" spans="1:16" x14ac:dyDescent="0.25">
      <c r="A511">
        <v>13</v>
      </c>
      <c r="B511">
        <v>39</v>
      </c>
      <c r="C511" s="2" t="s">
        <v>12</v>
      </c>
      <c r="D511" s="2" t="s">
        <v>38</v>
      </c>
      <c r="E511" s="11" cm="1">
        <f t="array" aca="1" ref="E511" ca="1">INDEX('OD flujo mercancia multimodal'!E$45:E$1645,MATCH(C511&amp;D511,'OD flujo mercancia multimodal'!C$45:C$1645&amp;'OD flujo mercancia multimodal'!D$45:D$1645,0))</f>
        <v>4986.2307692307731</v>
      </c>
      <c r="F511" s="11" cm="1">
        <f t="array" aca="1" ref="F511" ca="1">INDEX('OD flujo mercancia carretera'!E$45:E$1646,MATCH(C511&amp;D511,'OD flujo mercancia carretera'!C$45:C$1646&amp;'OD flujo mercancia carretera'!D$45:D$1646,0))</f>
        <v>114373.15018315018</v>
      </c>
      <c r="G511" s="11" cm="1">
        <f t="array" aca="1" ref="G511" ca="1">INDEX('Coste Carretera'!E$46:E$1646,MATCH(C511&amp;D511,'Coste Carretera'!C$46:C$1646&amp;'Coste Carretera'!D$46:D$1646,0))</f>
        <v>58359739.199999996</v>
      </c>
      <c r="H511" s="11" cm="1">
        <f t="array" aca="1" ref="H511" ca="1">INDEX('Coste multimodal'!E$46:E$1646,MATCH(C511&amp;D511,'Coste multimodal'!C$46:C$1646&amp;'Coste multimodal'!D$46:D$1646,0))</f>
        <v>79192884.055263549</v>
      </c>
      <c r="I511" s="12" cm="1">
        <f t="array" aca="1" ref="I511" ca="1">INDEX('Tiempos intermodal (horas)'!E$45:E$1645,MATCH(C511&amp;D511,'Tiempos intermodal (horas)'!C$45:C$1645&amp;'Tiempos intermodal (horas)'!D$45:D$1645,0))</f>
        <v>40.522861741624432</v>
      </c>
      <c r="J511" s="2" cm="1">
        <f t="array" aca="1" ref="J511" ca="1">INDEX('Tiempos carretera (horas)'!E$45:E$1645,MATCH(C511&amp;D511,'Tiempos carretera (horas)'!C$45:C$1645&amp;'Tiempos carretera (horas)'!D$45:D$1645,0))</f>
        <v>5.8</v>
      </c>
      <c r="K511" s="12">
        <f t="shared" ca="1" si="48"/>
        <v>0.51025733842729937</v>
      </c>
      <c r="L511" s="12">
        <f t="shared" ca="1" si="49"/>
        <v>15.882314261094791</v>
      </c>
      <c r="M511" s="12">
        <f t="shared" ca="1" si="50"/>
        <v>4.1774938253240912E-2</v>
      </c>
      <c r="N511" s="13">
        <f t="shared" ca="1" si="46"/>
        <v>-15.372056922667491</v>
      </c>
      <c r="O511" s="13">
        <f t="shared" ca="1" si="47"/>
        <v>-34.722861741624435</v>
      </c>
      <c r="P511" s="12">
        <f t="shared" ca="1" si="51"/>
        <v>3.1327860827327147</v>
      </c>
    </row>
    <row r="512" spans="1:16" x14ac:dyDescent="0.25">
      <c r="A512">
        <v>37</v>
      </c>
      <c r="B512">
        <v>22</v>
      </c>
      <c r="C512" s="2" t="s">
        <v>36</v>
      </c>
      <c r="D512" s="2" t="s">
        <v>21</v>
      </c>
      <c r="E512" s="11" cm="1">
        <f t="array" aca="1" ref="E512" ca="1">INDEX('OD flujo mercancia multimodal'!E$45:E$1645,MATCH(C512&amp;D512,'OD flujo mercancia multimodal'!C$45:C$1645&amp;'OD flujo mercancia multimodal'!D$45:D$1645,0))</f>
        <v>27341.307692307644</v>
      </c>
      <c r="F512" s="11" cm="1">
        <f t="array" aca="1" ref="F512" ca="1">INDEX('OD flujo mercancia carretera'!E$45:E$1646,MATCH(C512&amp;D512,'OD flujo mercancia carretera'!C$45:C$1646&amp;'OD flujo mercancia carretera'!D$45:D$1646,0))</f>
        <v>208457.90842490809</v>
      </c>
      <c r="G512" s="11" cm="1">
        <f t="array" aca="1" ref="G512" ca="1">INDEX('Coste Carretera'!E$46:E$1646,MATCH(C512&amp;D512,'Coste Carretera'!C$46:C$1646&amp;'Coste Carretera'!D$46:D$1646,0))</f>
        <v>1544612686.919997</v>
      </c>
      <c r="H512" s="11" cm="1">
        <f t="array" aca="1" ref="H512" ca="1">INDEX('Coste multimodal'!E$46:E$1646,MATCH(C512&amp;D512,'Coste multimodal'!C$46:C$1646&amp;'Coste multimodal'!D$46:D$1646,0))</f>
        <v>744476074.41087353</v>
      </c>
      <c r="I512" s="12" cm="1">
        <f t="array" aca="1" ref="I512" ca="1">INDEX('Tiempos intermodal (horas)'!E$45:E$1645,MATCH(C512&amp;D512,'Tiempos intermodal (horas)'!C$45:C$1645&amp;'Tiempos intermodal (horas)'!D$45:D$1645,0))</f>
        <v>72.095274445969395</v>
      </c>
      <c r="J512" s="2" cm="1">
        <f t="array" aca="1" ref="J512" ca="1">INDEX('Tiempos carretera (horas)'!E$45:E$1645,MATCH(C512&amp;D512,'Tiempos carretera (horas)'!C$45:C$1645&amp;'Tiempos carretera (horas)'!D$45:D$1645,0))</f>
        <v>12.8</v>
      </c>
      <c r="K512" s="12">
        <f t="shared" ca="1" si="48"/>
        <v>7.4097101836575616</v>
      </c>
      <c r="L512" s="12">
        <f t="shared" ca="1" si="49"/>
        <v>27.228985635545463</v>
      </c>
      <c r="M512" s="12">
        <f t="shared" ca="1" si="50"/>
        <v>0.11595164794235908</v>
      </c>
      <c r="N512" s="13">
        <f t="shared" ref="N512:N575" ca="1" si="52">K512-L512</f>
        <v>-19.819275451887901</v>
      </c>
      <c r="O512" s="13">
        <f t="shared" ref="O512:O575" ca="1" si="53">J512-I512</f>
        <v>-59.295274445969397</v>
      </c>
      <c r="P512" s="12">
        <f t="shared" ca="1" si="51"/>
        <v>2.0313384819133269</v>
      </c>
    </row>
    <row r="513" spans="1:16" x14ac:dyDescent="0.25">
      <c r="A513">
        <v>22</v>
      </c>
      <c r="B513">
        <v>37</v>
      </c>
      <c r="C513" s="2" t="s">
        <v>21</v>
      </c>
      <c r="D513" s="2" t="s">
        <v>36</v>
      </c>
      <c r="E513" s="11" cm="1">
        <f t="array" aca="1" ref="E513" ca="1">INDEX('OD flujo mercancia multimodal'!E$45:E$1645,MATCH(C513&amp;D513,'OD flujo mercancia multimodal'!C$45:C$1645&amp;'OD flujo mercancia multimodal'!D$45:D$1645,0))</f>
        <v>18803.384615384661</v>
      </c>
      <c r="F513" s="11" cm="1">
        <f t="array" aca="1" ref="F513" ca="1">INDEX('OD flujo mercancia carretera'!E$45:E$1646,MATCH(C513&amp;D513,'OD flujo mercancia carretera'!C$45:C$1646&amp;'OD flujo mercancia carretera'!D$45:D$1646,0))</f>
        <v>213293.09340659337</v>
      </c>
      <c r="G513" s="11" cm="1">
        <f t="array" aca="1" ref="G513" ca="1">INDEX('Coste Carretera'!E$46:E$1646,MATCH(C513&amp;D513,'Coste Carretera'!C$46:C$1646&amp;'Coste Carretera'!D$46:D$1646,0))</f>
        <v>801977576.03999972</v>
      </c>
      <c r="H513" s="11" cm="1">
        <f t="array" aca="1" ref="H513" ca="1">INDEX('Coste multimodal'!E$46:E$1646,MATCH(C513&amp;D513,'Coste multimodal'!C$46:C$1646&amp;'Coste multimodal'!D$46:D$1646,0))</f>
        <v>744476074.41087353</v>
      </c>
      <c r="I513" s="12" cm="1">
        <f t="array" aca="1" ref="I513" ca="1">INDEX('Tiempos intermodal (horas)'!E$45:E$1645,MATCH(C513&amp;D513,'Tiempos intermodal (horas)'!C$45:C$1645&amp;'Tiempos intermodal (horas)'!D$45:D$1645,0))</f>
        <v>72.095274445969395</v>
      </c>
      <c r="J513" s="2" cm="1">
        <f t="array" aca="1" ref="J513" ca="1">INDEX('Tiempos carretera (horas)'!E$45:E$1645,MATCH(C513&amp;D513,'Tiempos carretera (horas)'!C$45:C$1645&amp;'Tiempos carretera (horas)'!D$45:D$1645,0))</f>
        <v>12.8</v>
      </c>
      <c r="K513" s="12">
        <f t="shared" ca="1" si="48"/>
        <v>3.7599791124563846</v>
      </c>
      <c r="L513" s="12">
        <f t="shared" ca="1" si="49"/>
        <v>39.592663216693118</v>
      </c>
      <c r="M513" s="12">
        <f t="shared" ca="1" si="50"/>
        <v>8.1015381084775032E-2</v>
      </c>
      <c r="N513" s="13">
        <f t="shared" ca="1" si="52"/>
        <v>-35.832684104236733</v>
      </c>
      <c r="O513" s="13">
        <f t="shared" ca="1" si="53"/>
        <v>-59.295274445969397</v>
      </c>
      <c r="P513" s="12">
        <f t="shared" ca="1" si="51"/>
        <v>2.4286303588719638</v>
      </c>
    </row>
    <row r="514" spans="1:16" x14ac:dyDescent="0.25">
      <c r="A514">
        <v>31</v>
      </c>
      <c r="B514">
        <v>27</v>
      </c>
      <c r="C514" s="2" t="s">
        <v>30</v>
      </c>
      <c r="D514" s="2" t="s">
        <v>145</v>
      </c>
      <c r="E514" s="11" cm="1">
        <f t="array" aca="1" ref="E514" ca="1">INDEX('OD flujo mercancia multimodal'!E$45:E$1645,MATCH(C514&amp;D514,'OD flujo mercancia multimodal'!C$45:C$1645&amp;'OD flujo mercancia multimodal'!D$45:D$1645,0))</f>
        <v>61319.307692307695</v>
      </c>
      <c r="F514" s="11" cm="1">
        <f t="array" aca="1" ref="F514" ca="1">INDEX('OD flujo mercancia carretera'!E$45:E$1646,MATCH(C514&amp;D514,'OD flujo mercancia carretera'!C$45:C$1646&amp;'OD flujo mercancia carretera'!D$45:D$1646,0))</f>
        <v>436729.40769230766</v>
      </c>
      <c r="G514" s="11" cm="1">
        <f t="array" aca="1" ref="G514" ca="1">INDEX('Coste Carretera'!E$46:E$1646,MATCH(C514&amp;D514,'Coste Carretera'!C$46:C$1646&amp;'Coste Carretera'!D$46:D$1646,0))</f>
        <v>2093318526</v>
      </c>
      <c r="H514" s="11" cm="1">
        <f t="array" aca="1" ref="H514" ca="1">INDEX('Coste multimodal'!E$46:E$1646,MATCH(C514&amp;D514,'Coste multimodal'!C$46:C$1646&amp;'Coste multimodal'!D$46:D$1646,0))</f>
        <v>644169133.42256677</v>
      </c>
      <c r="I514" s="12" cm="1">
        <f t="array" aca="1" ref="I514" ca="1">INDEX('Tiempos intermodal (horas)'!E$45:E$1645,MATCH(C514&amp;D514,'Tiempos intermodal (horas)'!C$45:C$1645&amp;'Tiempos intermodal (horas)'!D$45:D$1645,0))</f>
        <v>42.220726754586622</v>
      </c>
      <c r="J514" s="2" cm="1">
        <f t="array" aca="1" ref="J514" ca="1">INDEX('Tiempos carretera (horas)'!E$45:E$1645,MATCH(C514&amp;D514,'Tiempos carretera (horas)'!C$45:C$1645&amp;'Tiempos carretera (horas)'!D$45:D$1645,0))</f>
        <v>7.08</v>
      </c>
      <c r="K514" s="12">
        <f t="shared" ca="1" si="48"/>
        <v>4.7931705287747004</v>
      </c>
      <c r="L514" s="12">
        <f t="shared" ca="1" si="49"/>
        <v>10.505159918877814</v>
      </c>
      <c r="M514" s="12">
        <f t="shared" ca="1" si="50"/>
        <v>0.12311909618109185</v>
      </c>
      <c r="N514" s="13">
        <f t="shared" ca="1" si="52"/>
        <v>-5.7119893901031134</v>
      </c>
      <c r="O514" s="13">
        <f t="shared" ca="1" si="53"/>
        <v>-35.140726754586623</v>
      </c>
      <c r="P514" s="12">
        <f t="shared" ca="1" si="51"/>
        <v>1.9632190350838676</v>
      </c>
    </row>
    <row r="515" spans="1:16" x14ac:dyDescent="0.25">
      <c r="A515">
        <v>27</v>
      </c>
      <c r="B515">
        <v>31</v>
      </c>
      <c r="C515" s="2" t="s">
        <v>145</v>
      </c>
      <c r="D515" s="2" t="s">
        <v>30</v>
      </c>
      <c r="E515" s="11" cm="1">
        <f t="array" aca="1" ref="E515" ca="1">INDEX('OD flujo mercancia multimodal'!E$45:E$1645,MATCH(C515&amp;D515,'OD flujo mercancia multimodal'!C$45:C$1645&amp;'OD flujo mercancia multimodal'!D$45:D$1645,0))</f>
        <v>35909.461538461539</v>
      </c>
      <c r="F515" s="11" cm="1">
        <f t="array" aca="1" ref="F515" ca="1">INDEX('OD flujo mercancia carretera'!E$45:E$1646,MATCH(C515&amp;D515,'OD flujo mercancia carretera'!C$45:C$1646&amp;'OD flujo mercancia carretera'!D$45:D$1646,0))</f>
        <v>444011.89230769227</v>
      </c>
      <c r="G515" s="11" cm="1">
        <f t="array" aca="1" ref="G515" ca="1">INDEX('Coste Carretera'!E$46:E$1646,MATCH(C515&amp;D515,'Coste Carretera'!C$46:C$1646&amp;'Coste Carretera'!D$46:D$1646,0))</f>
        <v>1400351001.3999999</v>
      </c>
      <c r="H515" s="11" cm="1">
        <f t="array" aca="1" ref="H515" ca="1">INDEX('Coste multimodal'!E$46:E$1646,MATCH(C515&amp;D515,'Coste multimodal'!C$46:C$1646&amp;'Coste multimodal'!D$46:D$1646,0))</f>
        <v>644169133.42256677</v>
      </c>
      <c r="I515" s="12" cm="1">
        <f t="array" aca="1" ref="I515" ca="1">INDEX('Tiempos intermodal (horas)'!E$45:E$1645,MATCH(C515&amp;D515,'Tiempos intermodal (horas)'!C$45:C$1645&amp;'Tiempos intermodal (horas)'!D$45:D$1645,0))</f>
        <v>42.220726754586622</v>
      </c>
      <c r="J515" s="2" cm="1">
        <f t="array" aca="1" ref="J515" ca="1">INDEX('Tiempos carretera (horas)'!E$45:E$1645,MATCH(C515&amp;D515,'Tiempos carretera (horas)'!C$45:C$1645&amp;'Tiempos carretera (horas)'!D$45:D$1645,0))</f>
        <v>7.08</v>
      </c>
      <c r="K515" s="12">
        <f t="shared" ca="1" si="48"/>
        <v>3.1538592223777235</v>
      </c>
      <c r="L515" s="12">
        <f t="shared" ca="1" si="49"/>
        <v>17.938702108707943</v>
      </c>
      <c r="M515" s="12">
        <f t="shared" ca="1" si="50"/>
        <v>7.4823637770393664E-2</v>
      </c>
      <c r="N515" s="13">
        <f t="shared" ca="1" si="52"/>
        <v>-14.784842886330219</v>
      </c>
      <c r="O515" s="13">
        <f t="shared" ca="1" si="53"/>
        <v>-35.140726754586623</v>
      </c>
      <c r="P515" s="12">
        <f t="shared" ca="1" si="51"/>
        <v>2.5148505331765794</v>
      </c>
    </row>
    <row r="516" spans="1:16" x14ac:dyDescent="0.25">
      <c r="A516">
        <v>13</v>
      </c>
      <c r="B516">
        <v>27</v>
      </c>
      <c r="C516" s="2" t="s">
        <v>12</v>
      </c>
      <c r="D516" s="2" t="s">
        <v>145</v>
      </c>
      <c r="E516" s="11" cm="1">
        <f t="array" aca="1" ref="E516" ca="1">INDEX('OD flujo mercancia multimodal'!E$45:E$1645,MATCH(C516&amp;D516,'OD flujo mercancia multimodal'!C$45:C$1645&amp;'OD flujo mercancia multimodal'!D$45:D$1645,0))</f>
        <v>61292.846153846156</v>
      </c>
      <c r="F516" s="11" cm="1">
        <f t="array" aca="1" ref="F516" ca="1">INDEX('OD flujo mercancia carretera'!E$45:E$1646,MATCH(C516&amp;D516,'OD flujo mercancia carretera'!C$45:C$1646&amp;'OD flujo mercancia carretera'!D$45:D$1646,0))</f>
        <v>439655.40769230766</v>
      </c>
      <c r="G516" s="11" cm="1">
        <f t="array" aca="1" ref="G516" ca="1">INDEX('Coste Carretera'!E$46:E$1646,MATCH(C516&amp;D516,'Coste Carretera'!C$46:C$1646&amp;'Coste Carretera'!D$46:D$1646,0))</f>
        <v>3415465397.0799999</v>
      </c>
      <c r="H516" s="11" cm="1">
        <f t="array" aca="1" ref="H516" ca="1">INDEX('Coste multimodal'!E$46:E$1646,MATCH(C516&amp;D516,'Coste multimodal'!C$46:C$1646&amp;'Coste multimodal'!D$46:D$1646,0))</f>
        <v>957364760.86335754</v>
      </c>
      <c r="I516" s="12" cm="1">
        <f t="array" aca="1" ref="I516" ca="1">INDEX('Tiempos intermodal (horas)'!E$45:E$1645,MATCH(C516&amp;D516,'Tiempos intermodal (horas)'!C$45:C$1645&amp;'Tiempos intermodal (horas)'!D$45:D$1645,0))</f>
        <v>46.132412135768575</v>
      </c>
      <c r="J516" s="2" cm="1">
        <f t="array" aca="1" ref="J516" ca="1">INDEX('Tiempos carretera (horas)'!E$45:E$1645,MATCH(C516&amp;D516,'Tiempos carretera (horas)'!C$45:C$1645&amp;'Tiempos carretera (horas)'!D$45:D$1645,0))</f>
        <v>10.95</v>
      </c>
      <c r="K516" s="12">
        <f t="shared" ca="1" si="48"/>
        <v>7.768505373349825</v>
      </c>
      <c r="L516" s="12">
        <f t="shared" ca="1" si="49"/>
        <v>15.61951876831359</v>
      </c>
      <c r="M516" s="12">
        <f t="shared" ca="1" si="50"/>
        <v>0.12235364767369723</v>
      </c>
      <c r="N516" s="13">
        <f t="shared" ca="1" si="52"/>
        <v>-7.8510133949637648</v>
      </c>
      <c r="O516" s="13">
        <f t="shared" ca="1" si="53"/>
        <v>-35.182412135768573</v>
      </c>
      <c r="P516" s="12">
        <f t="shared" ca="1" si="51"/>
        <v>1.9703281218324182</v>
      </c>
    </row>
    <row r="517" spans="1:16" x14ac:dyDescent="0.25">
      <c r="A517">
        <v>27</v>
      </c>
      <c r="B517">
        <v>13</v>
      </c>
      <c r="C517" s="2" t="s">
        <v>145</v>
      </c>
      <c r="D517" s="2" t="s">
        <v>12</v>
      </c>
      <c r="E517" s="11" cm="1">
        <f t="array" aca="1" ref="E517" ca="1">INDEX('OD flujo mercancia multimodal'!E$45:E$1645,MATCH(C517&amp;D517,'OD flujo mercancia multimodal'!C$45:C$1645&amp;'OD flujo mercancia multimodal'!D$45:D$1645,0))</f>
        <v>36559.384615384617</v>
      </c>
      <c r="F517" s="11" cm="1">
        <f t="array" aca="1" ref="F517" ca="1">INDEX('OD flujo mercancia carretera'!E$45:E$1646,MATCH(C517&amp;D517,'OD flujo mercancia carretera'!C$45:C$1646&amp;'OD flujo mercancia carretera'!D$45:D$1646,0))</f>
        <v>443448.73846153845</v>
      </c>
      <c r="G517" s="11" cm="1">
        <f t="array" aca="1" ref="G517" ca="1">INDEX('Coste Carretera'!E$46:E$1646,MATCH(C517&amp;D517,'Coste Carretera'!C$46:C$1646&amp;'Coste Carretera'!D$46:D$1646,0))</f>
        <v>2037224911.6800001</v>
      </c>
      <c r="H517" s="11" cm="1">
        <f t="array" aca="1" ref="H517" ca="1">INDEX('Coste multimodal'!E$46:E$1646,MATCH(C517&amp;D517,'Coste multimodal'!C$46:C$1646&amp;'Coste multimodal'!D$46:D$1646,0))</f>
        <v>957364760.86335754</v>
      </c>
      <c r="I517" s="12" cm="1">
        <f t="array" aca="1" ref="I517" ca="1">INDEX('Tiempos intermodal (horas)'!E$45:E$1645,MATCH(C517&amp;D517,'Tiempos intermodal (horas)'!C$45:C$1645&amp;'Tiempos intermodal (horas)'!D$45:D$1645,0))</f>
        <v>46.132412135768575</v>
      </c>
      <c r="J517" s="2" cm="1">
        <f t="array" aca="1" ref="J517" ca="1">INDEX('Tiempos carretera (horas)'!E$45:E$1645,MATCH(C517&amp;D517,'Tiempos carretera (horas)'!C$45:C$1645&amp;'Tiempos carretera (horas)'!D$45:D$1645,0))</f>
        <v>10.95</v>
      </c>
      <c r="K517" s="12">
        <f t="shared" ca="1" si="48"/>
        <v>4.5940482743231312</v>
      </c>
      <c r="L517" s="12">
        <f t="shared" ca="1" si="49"/>
        <v>26.186566621268764</v>
      </c>
      <c r="M517" s="12">
        <f t="shared" ca="1" si="50"/>
        <v>7.6164095684534569E-2</v>
      </c>
      <c r="N517" s="13">
        <f t="shared" ca="1" si="52"/>
        <v>-21.592518346945631</v>
      </c>
      <c r="O517" s="13">
        <f t="shared" ca="1" si="53"/>
        <v>-35.182412135768573</v>
      </c>
      <c r="P517" s="12">
        <f t="shared" ca="1" si="51"/>
        <v>2.4956442967304238</v>
      </c>
    </row>
    <row r="518" spans="1:16" x14ac:dyDescent="0.25">
      <c r="A518">
        <v>6</v>
      </c>
      <c r="B518">
        <v>3</v>
      </c>
      <c r="C518" s="2" t="s">
        <v>5</v>
      </c>
      <c r="D518" s="2" t="s">
        <v>2</v>
      </c>
      <c r="E518" s="11" cm="1">
        <f t="array" aca="1" ref="E518" ca="1">INDEX('OD flujo mercancia multimodal'!E$45:E$1645,MATCH(C518&amp;D518,'OD flujo mercancia multimodal'!C$45:C$1645&amp;'OD flujo mercancia multimodal'!D$45:D$1645,0))</f>
        <v>27991.928571428587</v>
      </c>
      <c r="F518" s="11" cm="1">
        <f t="array" aca="1" ref="F518" ca="1">INDEX('OD flujo mercancia carretera'!E$45:E$1646,MATCH(C518&amp;D518,'OD flujo mercancia carretera'!C$45:C$1646&amp;'OD flujo mercancia carretera'!D$45:D$1646,0))</f>
        <v>169771.16117216111</v>
      </c>
      <c r="G518" s="11" cm="1">
        <f t="array" aca="1" ref="G518" ca="1">INDEX('Coste Carretera'!E$46:E$1646,MATCH(C518&amp;D518,'Coste Carretera'!C$46:C$1646&amp;'Coste Carretera'!D$46:D$1646,0))</f>
        <v>1302540574.4742863</v>
      </c>
      <c r="H518" s="11" cm="1">
        <f t="array" aca="1" ref="H518" ca="1">INDEX('Coste multimodal'!E$46:E$1646,MATCH(C518&amp;D518,'Coste multimodal'!C$46:C$1646&amp;'Coste multimodal'!D$46:D$1646,0))</f>
        <v>624546052.52959323</v>
      </c>
      <c r="I518" s="12" cm="1">
        <f t="array" aca="1" ref="I518" ca="1">INDEX('Tiempos intermodal (horas)'!E$45:E$1645,MATCH(C518&amp;D518,'Tiempos intermodal (horas)'!C$45:C$1645&amp;'Tiempos intermodal (horas)'!D$45:D$1645,0))</f>
        <v>35.572766440268396</v>
      </c>
      <c r="J518" s="2" cm="1">
        <f t="array" aca="1" ref="J518" ca="1">INDEX('Tiempos carretera (horas)'!E$45:E$1645,MATCH(C518&amp;D518,'Tiempos carretera (horas)'!C$45:C$1645&amp;'Tiempos carretera (horas)'!D$45:D$1645,0))</f>
        <v>9.0500000000000007</v>
      </c>
      <c r="K518" s="12">
        <f t="shared" ca="1" si="48"/>
        <v>7.6723311867638655</v>
      </c>
      <c r="L518" s="12">
        <f t="shared" ca="1" si="49"/>
        <v>22.311647835764649</v>
      </c>
      <c r="M518" s="12">
        <f t="shared" ca="1" si="50"/>
        <v>0.14154273483348992</v>
      </c>
      <c r="N518" s="13">
        <f t="shared" ca="1" si="52"/>
        <v>-14.639316649000783</v>
      </c>
      <c r="O518" s="13">
        <f t="shared" ca="1" si="53"/>
        <v>-26.522766440268395</v>
      </c>
      <c r="P518" s="12">
        <f t="shared" ca="1" si="51"/>
        <v>1.8025352161646588</v>
      </c>
    </row>
    <row r="519" spans="1:16" x14ac:dyDescent="0.25">
      <c r="A519">
        <v>38</v>
      </c>
      <c r="B519">
        <v>22</v>
      </c>
      <c r="C519" s="2" t="s">
        <v>37</v>
      </c>
      <c r="D519" s="2" t="s">
        <v>21</v>
      </c>
      <c r="E519" s="11" cm="1">
        <f t="array" aca="1" ref="E519" ca="1">INDEX('OD flujo mercancia multimodal'!E$45:E$1645,MATCH(C519&amp;D519,'OD flujo mercancia multimodal'!C$45:C$1645&amp;'OD flujo mercancia multimodal'!D$45:D$1645,0))</f>
        <v>21766.1538461538</v>
      </c>
      <c r="F519" s="11" cm="1">
        <f t="array" aca="1" ref="F519" ca="1">INDEX('OD flujo mercancia carretera'!E$45:E$1646,MATCH(C519&amp;D519,'OD flujo mercancia carretera'!C$45:C$1646&amp;'OD flujo mercancia carretera'!D$45:D$1646,0))</f>
        <v>131791.02564102531</v>
      </c>
      <c r="G519" s="11" cm="1">
        <f t="array" aca="1" ref="G519" ca="1">INDEX('Coste Carretera'!E$46:E$1646,MATCH(C519&amp;D519,'Coste Carretera'!C$46:C$1646&amp;'Coste Carretera'!D$46:D$1646,0))</f>
        <v>2471296591.0799952</v>
      </c>
      <c r="H519" s="11" cm="1">
        <f t="array" aca="1" ref="H519" ca="1">INDEX('Coste multimodal'!E$46:E$1646,MATCH(C519&amp;D519,'Coste multimodal'!C$46:C$1646&amp;'Coste multimodal'!D$46:D$1646,0))</f>
        <v>692563310.63464367</v>
      </c>
      <c r="I519" s="12" cm="1">
        <f t="array" aca="1" ref="I519" ca="1">INDEX('Tiempos intermodal (horas)'!E$45:E$1645,MATCH(C519&amp;D519,'Tiempos intermodal (horas)'!C$45:C$1645&amp;'Tiempos intermodal (horas)'!D$45:D$1645,0))</f>
        <v>90.540914737706458</v>
      </c>
      <c r="J519" s="2" cm="1">
        <f t="array" aca="1" ref="J519" ca="1">INDEX('Tiempos carretera (horas)'!E$45:E$1645,MATCH(C519&amp;D519,'Tiempos carretera (horas)'!C$45:C$1645&amp;'Tiempos carretera (horas)'!D$45:D$1645,0))</f>
        <v>17.760000000000002</v>
      </c>
      <c r="K519" s="12">
        <f t="shared" ca="1" si="48"/>
        <v>18.751630310635534</v>
      </c>
      <c r="L519" s="12">
        <f t="shared" ca="1" si="49"/>
        <v>31.818359620619123</v>
      </c>
      <c r="M519" s="12">
        <f t="shared" ca="1" si="50"/>
        <v>0.14174624670005168</v>
      </c>
      <c r="N519" s="13">
        <f t="shared" ca="1" si="52"/>
        <v>-13.06672930998359</v>
      </c>
      <c r="O519" s="13">
        <f t="shared" ca="1" si="53"/>
        <v>-72.780914737706453</v>
      </c>
      <c r="P519" s="12">
        <f t="shared" ca="1" si="51"/>
        <v>1.8008613415786692</v>
      </c>
    </row>
    <row r="520" spans="1:16" x14ac:dyDescent="0.25">
      <c r="A520">
        <v>22</v>
      </c>
      <c r="B520">
        <v>38</v>
      </c>
      <c r="C520" s="2" t="s">
        <v>21</v>
      </c>
      <c r="D520" s="2" t="s">
        <v>37</v>
      </c>
      <c r="E520" s="11" cm="1">
        <f t="array" aca="1" ref="E520" ca="1">INDEX('OD flujo mercancia multimodal'!E$45:E$1645,MATCH(C520&amp;D520,'OD flujo mercancia multimodal'!C$45:C$1645&amp;'OD flujo mercancia multimodal'!D$45:D$1645,0))</f>
        <v>8771.538461538461</v>
      </c>
      <c r="F520" s="11" cm="1">
        <f t="array" aca="1" ref="F520" ca="1">INDEX('OD flujo mercancia carretera'!E$45:E$1646,MATCH(C520&amp;D520,'OD flujo mercancia carretera'!C$45:C$1646&amp;'OD flujo mercancia carretera'!D$45:D$1646,0))</f>
        <v>134270.05128205128</v>
      </c>
      <c r="G520" s="11" cm="1">
        <f t="array" aca="1" ref="G520" ca="1">INDEX('Coste Carretera'!E$46:E$1646,MATCH(C520&amp;D520,'Coste Carretera'!C$46:C$1646&amp;'Coste Carretera'!D$46:D$1646,0))</f>
        <v>1699580020.9600039</v>
      </c>
      <c r="H520" s="11" cm="1">
        <f t="array" aca="1" ref="H520" ca="1">INDEX('Coste multimodal'!E$46:E$1646,MATCH(C520&amp;D520,'Coste multimodal'!C$46:C$1646&amp;'Coste multimodal'!D$46:D$1646,0))</f>
        <v>692563310.63464367</v>
      </c>
      <c r="I520" s="12" cm="1">
        <f t="array" aca="1" ref="I520" ca="1">INDEX('Tiempos intermodal (horas)'!E$45:E$1645,MATCH(C520&amp;D520,'Tiempos intermodal (horas)'!C$45:C$1645&amp;'Tiempos intermodal (horas)'!D$45:D$1645,0))</f>
        <v>90.540914737706458</v>
      </c>
      <c r="J520" s="2" cm="1">
        <f t="array" aca="1" ref="J520" ca="1">INDEX('Tiempos carretera (horas)'!E$45:E$1645,MATCH(C520&amp;D520,'Tiempos carretera (horas)'!C$45:C$1645&amp;'Tiempos carretera (horas)'!D$45:D$1645,0))</f>
        <v>17.760000000000002</v>
      </c>
      <c r="K520" s="12">
        <f t="shared" ca="1" si="48"/>
        <v>12.657923377044224</v>
      </c>
      <c r="L520" s="12">
        <f t="shared" ca="1" si="49"/>
        <v>78.955740053059458</v>
      </c>
      <c r="M520" s="12">
        <f t="shared" ca="1" si="50"/>
        <v>6.1321595189636431E-2</v>
      </c>
      <c r="N520" s="13">
        <f t="shared" ca="1" si="52"/>
        <v>-66.297816676015231</v>
      </c>
      <c r="O520" s="13">
        <f t="shared" ca="1" si="53"/>
        <v>-72.780914737706453</v>
      </c>
      <c r="P520" s="12">
        <f t="shared" ca="1" si="51"/>
        <v>2.7283408658091237</v>
      </c>
    </row>
    <row r="521" spans="1:16" x14ac:dyDescent="0.25">
      <c r="A521">
        <v>23</v>
      </c>
      <c r="B521">
        <v>11</v>
      </c>
      <c r="C521" s="2" t="s">
        <v>22</v>
      </c>
      <c r="D521" s="2" t="s">
        <v>10</v>
      </c>
      <c r="E521" s="11" cm="1">
        <f t="array" aca="1" ref="E521" ca="1">INDEX('OD flujo mercancia multimodal'!E$45:E$1645,MATCH(C521&amp;D521,'OD flujo mercancia multimodal'!C$45:C$1645&amp;'OD flujo mercancia multimodal'!D$45:D$1645,0))</f>
        <v>22053.92307692306</v>
      </c>
      <c r="F521" s="11" cm="1">
        <f t="array" aca="1" ref="F521" ca="1">INDEX('OD flujo mercancia carretera'!E$45:E$1646,MATCH(C521&amp;D521,'OD flujo mercancia carretera'!C$45:C$1646&amp;'OD flujo mercancia carretera'!D$45:D$1646,0))</f>
        <v>202325.66666666669</v>
      </c>
      <c r="G521" s="11" cm="1">
        <f t="array" aca="1" ref="G521" ca="1">INDEX('Coste Carretera'!E$46:E$1646,MATCH(C521&amp;D521,'Coste Carretera'!C$46:C$1646&amp;'Coste Carretera'!D$46:D$1646,0))</f>
        <v>1584516150.7199988</v>
      </c>
      <c r="H521" s="11" cm="1">
        <f t="array" aca="1" ref="H521" ca="1">INDEX('Coste multimodal'!E$46:E$1646,MATCH(C521&amp;D521,'Coste multimodal'!C$46:C$1646&amp;'Coste multimodal'!D$46:D$1646,0))</f>
        <v>251121407.07488561</v>
      </c>
      <c r="I521" s="12" cm="1">
        <f t="array" aca="1" ref="I521" ca="1">INDEX('Tiempos intermodal (horas)'!E$45:E$1645,MATCH(C521&amp;D521,'Tiempos intermodal (horas)'!C$45:C$1645&amp;'Tiempos intermodal (horas)'!D$45:D$1645,0))</f>
        <v>49.018702145504875</v>
      </c>
      <c r="J521" s="2" cm="1">
        <f t="array" aca="1" ref="J521" ca="1">INDEX('Tiempos carretera (horas)'!E$45:E$1645,MATCH(C521&amp;D521,'Tiempos carretera (horas)'!C$45:C$1645&amp;'Tiempos carretera (horas)'!D$45:D$1645,0))</f>
        <v>13.35</v>
      </c>
      <c r="K521" s="12">
        <f t="shared" ca="1" si="48"/>
        <v>7.8315133063690983</v>
      </c>
      <c r="L521" s="12">
        <f t="shared" ca="1" si="49"/>
        <v>11.386700053273325</v>
      </c>
      <c r="M521" s="12">
        <f t="shared" ca="1" si="50"/>
        <v>9.8288454409446183E-2</v>
      </c>
      <c r="N521" s="13">
        <f t="shared" ca="1" si="52"/>
        <v>-3.5551867469042264</v>
      </c>
      <c r="O521" s="13">
        <f t="shared" ca="1" si="53"/>
        <v>-35.668702145504874</v>
      </c>
      <c r="P521" s="12">
        <f t="shared" ca="1" si="51"/>
        <v>2.2163881070167433</v>
      </c>
    </row>
    <row r="522" spans="1:16" x14ac:dyDescent="0.25">
      <c r="A522">
        <v>11</v>
      </c>
      <c r="B522">
        <v>23</v>
      </c>
      <c r="C522" s="2" t="s">
        <v>10</v>
      </c>
      <c r="D522" s="2" t="s">
        <v>22</v>
      </c>
      <c r="E522" s="11" cm="1">
        <f t="array" aca="1" ref="E522" ca="1">INDEX('OD flujo mercancia multimodal'!E$45:E$1645,MATCH(C522&amp;D522,'OD flujo mercancia multimodal'!C$45:C$1645&amp;'OD flujo mercancia multimodal'!D$45:D$1645,0))</f>
        <v>17116.461538461539</v>
      </c>
      <c r="F522" s="11" cm="1">
        <f t="array" aca="1" ref="F522" ca="1">INDEX('OD flujo mercancia carretera'!E$45:E$1646,MATCH(C522&amp;D522,'OD flujo mercancia carretera'!C$45:C$1646&amp;'OD flujo mercancia carretera'!D$45:D$1646,0))</f>
        <v>207862.89743589779</v>
      </c>
      <c r="G522" s="11" cm="1">
        <f t="array" aca="1" ref="G522" ca="1">INDEX('Coste Carretera'!E$46:E$1646,MATCH(C522&amp;D522,'Coste Carretera'!C$46:C$1646&amp;'Coste Carretera'!D$46:D$1646,0))</f>
        <v>1229772574.0800002</v>
      </c>
      <c r="H522" s="11" cm="1">
        <f t="array" aca="1" ref="H522" ca="1">INDEX('Coste multimodal'!E$46:E$1646,MATCH(C522&amp;D522,'Coste multimodal'!C$46:C$1646&amp;'Coste multimodal'!D$46:D$1646,0))</f>
        <v>251121407.07488561</v>
      </c>
      <c r="I522" s="12" cm="1">
        <f t="array" aca="1" ref="I522" ca="1">INDEX('Tiempos intermodal (horas)'!E$45:E$1645,MATCH(C522&amp;D522,'Tiempos intermodal (horas)'!C$45:C$1645&amp;'Tiempos intermodal (horas)'!D$45:D$1645,0))</f>
        <v>49.018702145504875</v>
      </c>
      <c r="J522" s="2" cm="1">
        <f t="array" aca="1" ref="J522" ca="1">INDEX('Tiempos carretera (horas)'!E$45:E$1645,MATCH(C522&amp;D522,'Tiempos carretera (horas)'!C$45:C$1645&amp;'Tiempos carretera (horas)'!D$45:D$1645,0))</f>
        <v>13.35</v>
      </c>
      <c r="K522" s="12">
        <f t="shared" ca="1" si="48"/>
        <v>5.9162678344712578</v>
      </c>
      <c r="L522" s="12">
        <f t="shared" ca="1" si="49"/>
        <v>14.67133884597604</v>
      </c>
      <c r="M522" s="12">
        <f t="shared" ca="1" si="50"/>
        <v>7.6080141824976424E-2</v>
      </c>
      <c r="N522" s="13">
        <f t="shared" ca="1" si="52"/>
        <v>-8.7550710115047821</v>
      </c>
      <c r="O522" s="13">
        <f t="shared" ca="1" si="53"/>
        <v>-35.668702145504874</v>
      </c>
      <c r="P522" s="12">
        <f t="shared" ca="1" si="51"/>
        <v>2.4968380519120568</v>
      </c>
    </row>
    <row r="523" spans="1:16" x14ac:dyDescent="0.25">
      <c r="A523">
        <v>13</v>
      </c>
      <c r="B523">
        <v>37</v>
      </c>
      <c r="C523" s="2" t="s">
        <v>12</v>
      </c>
      <c r="D523" s="2" t="s">
        <v>36</v>
      </c>
      <c r="E523" s="11" cm="1">
        <f t="array" aca="1" ref="E523" ca="1">INDEX('OD flujo mercancia multimodal'!E$45:E$1645,MATCH(C523&amp;D523,'OD flujo mercancia multimodal'!C$45:C$1645&amp;'OD flujo mercancia multimodal'!D$45:D$1645,0))</f>
        <v>11947.692307692354</v>
      </c>
      <c r="F523" s="11" cm="1">
        <f t="array" aca="1" ref="F523" ca="1">INDEX('OD flujo mercancia carretera'!E$45:E$1646,MATCH(C523&amp;D523,'OD flujo mercancia carretera'!C$45:C$1646&amp;'OD flujo mercancia carretera'!D$45:D$1646,0))</f>
        <v>109225.73443223439</v>
      </c>
      <c r="G523" s="11" cm="1">
        <f t="array" aca="1" ref="G523" ca="1">INDEX('Coste Carretera'!E$46:E$1646,MATCH(C523&amp;D523,'Coste Carretera'!C$46:C$1646&amp;'Coste Carretera'!D$46:D$1646,0))</f>
        <v>142570157.71999991</v>
      </c>
      <c r="H523" s="11" cm="1">
        <f t="array" aca="1" ref="H523" ca="1">INDEX('Coste multimodal'!E$46:E$1646,MATCH(C523&amp;D523,'Coste multimodal'!C$46:C$1646&amp;'Coste multimodal'!D$46:D$1646,0))</f>
        <v>131851221.73526356</v>
      </c>
      <c r="I523" s="12" cm="1">
        <f t="array" aca="1" ref="I523" ca="1">INDEX('Tiempos intermodal (horas)'!E$45:E$1645,MATCH(C523&amp;D523,'Tiempos intermodal (horas)'!C$45:C$1645&amp;'Tiempos intermodal (horas)'!D$45:D$1645,0))</f>
        <v>40.80063951940221</v>
      </c>
      <c r="J523" s="2" cm="1">
        <f t="array" aca="1" ref="J523" ca="1">INDEX('Tiempos carretera (horas)'!E$45:E$1645,MATCH(C523&amp;D523,'Tiempos carretera (horas)'!C$45:C$1645&amp;'Tiempos carretera (horas)'!D$45:D$1645,0))</f>
        <v>5.0999999999999996</v>
      </c>
      <c r="K523" s="12">
        <f t="shared" ca="1" si="48"/>
        <v>1.3052799183369466</v>
      </c>
      <c r="L523" s="12">
        <f t="shared" ca="1" si="49"/>
        <v>11.035706171506693</v>
      </c>
      <c r="M523" s="12">
        <f t="shared" ca="1" si="50"/>
        <v>9.8599937536928459E-2</v>
      </c>
      <c r="N523" s="13">
        <f t="shared" ca="1" si="52"/>
        <v>-9.7304262531697461</v>
      </c>
      <c r="O523" s="13">
        <f t="shared" ca="1" si="53"/>
        <v>-35.700639519402209</v>
      </c>
      <c r="P523" s="12">
        <f t="shared" ca="1" si="51"/>
        <v>2.2128785514434877</v>
      </c>
    </row>
    <row r="524" spans="1:16" x14ac:dyDescent="0.25">
      <c r="A524">
        <v>37</v>
      </c>
      <c r="B524">
        <v>13</v>
      </c>
      <c r="C524" s="2" t="s">
        <v>36</v>
      </c>
      <c r="D524" s="2" t="s">
        <v>12</v>
      </c>
      <c r="E524" s="11" cm="1">
        <f t="array" aca="1" ref="E524" ca="1">INDEX('OD flujo mercancia multimodal'!E$45:E$1645,MATCH(C524&amp;D524,'OD flujo mercancia multimodal'!C$45:C$1645&amp;'OD flujo mercancia multimodal'!D$45:D$1645,0))</f>
        <v>8891.5384615384646</v>
      </c>
      <c r="F524" s="11" cm="1">
        <f t="array" aca="1" ref="F524" ca="1">INDEX('OD flujo mercancia carretera'!E$45:E$1646,MATCH(C524&amp;D524,'OD flujo mercancia carretera'!C$45:C$1646&amp;'OD flujo mercancia carretera'!D$45:D$1646,0))</f>
        <v>105737.1135531136</v>
      </c>
      <c r="G524" s="11" cm="1">
        <f t="array" aca="1" ref="G524" ca="1">INDEX('Coste Carretera'!E$46:E$1646,MATCH(C524&amp;D524,'Coste Carretera'!C$46:C$1646&amp;'Coste Carretera'!D$46:D$1646,0))</f>
        <v>139318971.76000011</v>
      </c>
      <c r="H524" s="11" cm="1">
        <f t="array" aca="1" ref="H524" ca="1">INDEX('Coste multimodal'!E$46:E$1646,MATCH(C524&amp;D524,'Coste multimodal'!C$46:C$1646&amp;'Coste multimodal'!D$46:D$1646,0))</f>
        <v>131851221.73526356</v>
      </c>
      <c r="I524" s="12" cm="1">
        <f t="array" aca="1" ref="I524" ca="1">INDEX('Tiempos intermodal (horas)'!E$45:E$1645,MATCH(C524&amp;D524,'Tiempos intermodal (horas)'!C$45:C$1645&amp;'Tiempos intermodal (horas)'!D$45:D$1645,0))</f>
        <v>40.80063951940221</v>
      </c>
      <c r="J524" s="2" cm="1">
        <f t="array" aca="1" ref="J524" ca="1">INDEX('Tiempos carretera (horas)'!E$45:E$1645,MATCH(C524&amp;D524,'Tiempos carretera (horas)'!C$45:C$1645&amp;'Tiempos carretera (horas)'!D$45:D$1645,0))</f>
        <v>5.0999999999999996</v>
      </c>
      <c r="K524" s="12">
        <f t="shared" ca="1" si="48"/>
        <v>1.3175976445585282</v>
      </c>
      <c r="L524" s="12">
        <f t="shared" ca="1" si="49"/>
        <v>14.82884230952873</v>
      </c>
      <c r="M524" s="12">
        <f t="shared" ca="1" si="50"/>
        <v>7.7568202236225639E-2</v>
      </c>
      <c r="N524" s="13">
        <f t="shared" ca="1" si="52"/>
        <v>-13.511244664970201</v>
      </c>
      <c r="O524" s="13">
        <f t="shared" ca="1" si="53"/>
        <v>-35.700639519402209</v>
      </c>
      <c r="P524" s="12">
        <f t="shared" ca="1" si="51"/>
        <v>2.4758558630027285</v>
      </c>
    </row>
    <row r="525" spans="1:16" x14ac:dyDescent="0.25">
      <c r="A525">
        <v>25</v>
      </c>
      <c r="B525">
        <v>11</v>
      </c>
      <c r="C525" s="2" t="s">
        <v>24</v>
      </c>
      <c r="D525" s="2" t="s">
        <v>10</v>
      </c>
      <c r="E525" s="11" cm="1">
        <f t="array" aca="1" ref="E525" ca="1">INDEX('OD flujo mercancia multimodal'!E$45:E$1645,MATCH(C525&amp;D525,'OD flujo mercancia multimodal'!C$45:C$1645&amp;'OD flujo mercancia multimodal'!D$45:D$1645,0))</f>
        <v>24947.69230769229</v>
      </c>
      <c r="F525" s="11" cm="1">
        <f t="array" aca="1" ref="F525" ca="1">INDEX('OD flujo mercancia carretera'!E$45:E$1646,MATCH(C525&amp;D525,'OD flujo mercancia carretera'!C$45:C$1646&amp;'OD flujo mercancia carretera'!D$45:D$1646,0))</f>
        <v>162300.33333333331</v>
      </c>
      <c r="G525" s="11" cm="1">
        <f t="array" aca="1" ref="G525" ca="1">INDEX('Coste Carretera'!E$46:E$1646,MATCH(C525&amp;D525,'Coste Carretera'!C$46:C$1646&amp;'Coste Carretera'!D$46:D$1646,0))</f>
        <v>1453070355.1999989</v>
      </c>
      <c r="H525" s="11" cm="1">
        <f t="array" aca="1" ref="H525" ca="1">INDEX('Coste multimodal'!E$46:E$1646,MATCH(C525&amp;D525,'Coste multimodal'!C$46:C$1646&amp;'Coste multimodal'!D$46:D$1646,0))</f>
        <v>184062204.57488561</v>
      </c>
      <c r="I525" s="12" cm="1">
        <f t="array" aca="1" ref="I525" ca="1">INDEX('Tiempos intermodal (horas)'!E$45:E$1645,MATCH(C525&amp;D525,'Tiempos intermodal (horas)'!C$45:C$1645&amp;'Tiempos intermodal (horas)'!D$45:D$1645,0))</f>
        <v>46.968702145504878</v>
      </c>
      <c r="J525" s="2" cm="1">
        <f t="array" aca="1" ref="J525" ca="1">INDEX('Tiempos carretera (horas)'!E$45:E$1645,MATCH(C525&amp;D525,'Tiempos carretera (horas)'!C$45:C$1645&amp;'Tiempos carretera (horas)'!D$45:D$1645,0))</f>
        <v>10.93</v>
      </c>
      <c r="K525" s="12">
        <f t="shared" ca="1" si="48"/>
        <v>8.9529720941217974</v>
      </c>
      <c r="L525" s="12">
        <f t="shared" ca="1" si="49"/>
        <v>7.3779250723776348</v>
      </c>
      <c r="M525" s="12">
        <f t="shared" ca="1" si="50"/>
        <v>0.13323340645267828</v>
      </c>
      <c r="N525" s="13">
        <f t="shared" ca="1" si="52"/>
        <v>1.5750470217441626</v>
      </c>
      <c r="O525" s="13">
        <f t="shared" ca="1" si="53"/>
        <v>-36.038702145504878</v>
      </c>
      <c r="P525" s="12">
        <f t="shared" ca="1" si="51"/>
        <v>1.8726672030861011</v>
      </c>
    </row>
    <row r="526" spans="1:16" x14ac:dyDescent="0.25">
      <c r="A526">
        <v>11</v>
      </c>
      <c r="B526">
        <v>25</v>
      </c>
      <c r="C526" s="2" t="s">
        <v>10</v>
      </c>
      <c r="D526" s="2" t="s">
        <v>24</v>
      </c>
      <c r="E526" s="11" cm="1">
        <f t="array" aca="1" ref="E526" ca="1">INDEX('OD flujo mercancia multimodal'!E$45:E$1645,MATCH(C526&amp;D526,'OD flujo mercancia multimodal'!C$45:C$1645&amp;'OD flujo mercancia multimodal'!D$45:D$1645,0))</f>
        <v>15883.461538461541</v>
      </c>
      <c r="F526" s="11" cm="1">
        <f t="array" aca="1" ref="F526" ca="1">INDEX('OD flujo mercancia carretera'!E$45:E$1646,MATCH(C526&amp;D526,'OD flujo mercancia carretera'!C$45:C$1646&amp;'OD flujo mercancia carretera'!D$45:D$1646,0))</f>
        <v>158282.56410256407</v>
      </c>
      <c r="G526" s="11" cm="1">
        <f t="array" aca="1" ref="G526" ca="1">INDEX('Coste Carretera'!E$46:E$1646,MATCH(C526&amp;D526,'Coste Carretera'!C$46:C$1646&amp;'Coste Carretera'!D$46:D$1646,0))</f>
        <v>925127134.60000014</v>
      </c>
      <c r="H526" s="11" cm="1">
        <f t="array" aca="1" ref="H526" ca="1">INDEX('Coste multimodal'!E$46:E$1646,MATCH(C526&amp;D526,'Coste multimodal'!C$46:C$1646&amp;'Coste multimodal'!D$46:D$1646,0))</f>
        <v>184062204.57488561</v>
      </c>
      <c r="I526" s="12" cm="1">
        <f t="array" aca="1" ref="I526" ca="1">INDEX('Tiempos intermodal (horas)'!E$45:E$1645,MATCH(C526&amp;D526,'Tiempos intermodal (horas)'!C$45:C$1645&amp;'Tiempos intermodal (horas)'!D$45:D$1645,0))</f>
        <v>46.968702145504878</v>
      </c>
      <c r="J526" s="2" cm="1">
        <f t="array" aca="1" ref="J526" ca="1">INDEX('Tiempos carretera (horas)'!E$45:E$1645,MATCH(C526&amp;D526,'Tiempos carretera (horas)'!C$45:C$1645&amp;'Tiempos carretera (horas)'!D$45:D$1645,0))</f>
        <v>10.93</v>
      </c>
      <c r="K526" s="12">
        <f t="shared" ca="1" si="48"/>
        <v>5.844782334967328</v>
      </c>
      <c r="L526" s="12">
        <f t="shared" ca="1" si="49"/>
        <v>11.58829290008239</v>
      </c>
      <c r="M526" s="12">
        <f t="shared" ca="1" si="50"/>
        <v>9.1197244008995287E-2</v>
      </c>
      <c r="N526" s="13">
        <f t="shared" ca="1" si="52"/>
        <v>-5.743510565115062</v>
      </c>
      <c r="O526" s="13">
        <f t="shared" ca="1" si="53"/>
        <v>-36.038702145504878</v>
      </c>
      <c r="P526" s="12">
        <f t="shared" ca="1" si="51"/>
        <v>2.2991034030987496</v>
      </c>
    </row>
    <row r="527" spans="1:16" x14ac:dyDescent="0.25">
      <c r="A527">
        <v>14</v>
      </c>
      <c r="B527">
        <v>27</v>
      </c>
      <c r="C527" s="2" t="s">
        <v>13</v>
      </c>
      <c r="D527" s="2" t="s">
        <v>145</v>
      </c>
      <c r="E527" s="11" cm="1">
        <f t="array" aca="1" ref="E527" ca="1">INDEX('OD flujo mercancia multimodal'!E$45:E$1645,MATCH(C527&amp;D527,'OD flujo mercancia multimodal'!C$45:C$1645&amp;'OD flujo mercancia multimodal'!D$45:D$1645,0))</f>
        <v>71038.076923076922</v>
      </c>
      <c r="F527" s="11" cm="1">
        <f t="array" aca="1" ref="F527" ca="1">INDEX('OD flujo mercancia carretera'!E$45:E$1646,MATCH(C527&amp;D527,'OD flujo mercancia carretera'!C$45:C$1646&amp;'OD flujo mercancia carretera'!D$45:D$1646,0))</f>
        <v>520702.71538461535</v>
      </c>
      <c r="G527" s="11" cm="1">
        <f t="array" aca="1" ref="G527" ca="1">INDEX('Coste Carretera'!E$46:E$1646,MATCH(C527&amp;D527,'Coste Carretera'!C$46:C$1646&amp;'Coste Carretera'!D$46:D$1646,0))</f>
        <v>3439908055.5999999</v>
      </c>
      <c r="H527" s="11" cm="1">
        <f t="array" aca="1" ref="H527" ca="1">INDEX('Coste multimodal'!E$46:E$1646,MATCH(C527&amp;D527,'Coste multimodal'!C$46:C$1646&amp;'Coste multimodal'!D$46:D$1646,0))</f>
        <v>997487636.2553575</v>
      </c>
      <c r="I527" s="12" cm="1">
        <f t="array" aca="1" ref="I527" ca="1">INDEX('Tiempos intermodal (horas)'!E$45:E$1645,MATCH(C527&amp;D527,'Tiempos intermodal (horas)'!C$45:C$1645&amp;'Tiempos intermodal (horas)'!D$45:D$1645,0))</f>
        <v>45.634634357990798</v>
      </c>
      <c r="J527" s="2" cm="1">
        <f t="array" aca="1" ref="J527" ca="1">INDEX('Tiempos carretera (horas)'!E$45:E$1645,MATCH(C527&amp;D527,'Tiempos carretera (horas)'!C$45:C$1645&amp;'Tiempos carretera (horas)'!D$45:D$1645,0))</f>
        <v>9.33</v>
      </c>
      <c r="K527" s="12">
        <f t="shared" ca="1" si="48"/>
        <v>6.606280232395414</v>
      </c>
      <c r="L527" s="12">
        <f t="shared" ca="1" si="49"/>
        <v>14.041591206578971</v>
      </c>
      <c r="M527" s="12">
        <f t="shared" ca="1" si="50"/>
        <v>0.12004931525176767</v>
      </c>
      <c r="N527" s="13">
        <f t="shared" ca="1" si="52"/>
        <v>-7.4353109741835572</v>
      </c>
      <c r="O527" s="13">
        <f t="shared" ca="1" si="53"/>
        <v>-36.3046343579908</v>
      </c>
      <c r="P527" s="12">
        <f t="shared" ca="1" si="51"/>
        <v>1.9919632470507891</v>
      </c>
    </row>
    <row r="528" spans="1:16" x14ac:dyDescent="0.25">
      <c r="A528">
        <v>27</v>
      </c>
      <c r="B528">
        <v>14</v>
      </c>
      <c r="C528" s="2" t="s">
        <v>145</v>
      </c>
      <c r="D528" s="2" t="s">
        <v>13</v>
      </c>
      <c r="E528" s="11" cm="1">
        <f t="array" aca="1" ref="E528" ca="1">INDEX('OD flujo mercancia multimodal'!E$45:E$1645,MATCH(C528&amp;D528,'OD flujo mercancia multimodal'!C$45:C$1645&amp;'OD flujo mercancia multimodal'!D$45:D$1645,0))</f>
        <v>57184.384615384595</v>
      </c>
      <c r="F528" s="11" cm="1">
        <f t="array" aca="1" ref="F528" ca="1">INDEX('OD flujo mercancia carretera'!E$45:E$1646,MATCH(C528&amp;D528,'OD flujo mercancia carretera'!C$45:C$1646&amp;'OD flujo mercancia carretera'!D$45:D$1646,0))</f>
        <v>589912.96923076897</v>
      </c>
      <c r="G528" s="11" cm="1">
        <f t="array" aca="1" ref="G528" ca="1">INDEX('Coste Carretera'!E$46:E$1646,MATCH(C528&amp;D528,'Coste Carretera'!C$46:C$1646&amp;'Coste Carretera'!D$46:D$1646,0))</f>
        <v>2769064617.3599987</v>
      </c>
      <c r="H528" s="11" cm="1">
        <f t="array" aca="1" ref="H528" ca="1">INDEX('Coste multimodal'!E$46:E$1646,MATCH(C528&amp;D528,'Coste multimodal'!C$46:C$1646&amp;'Coste multimodal'!D$46:D$1646,0))</f>
        <v>997487636.2553575</v>
      </c>
      <c r="I528" s="12" cm="1">
        <f t="array" aca="1" ref="I528" ca="1">INDEX('Tiempos intermodal (horas)'!E$45:E$1645,MATCH(C528&amp;D528,'Tiempos intermodal (horas)'!C$45:C$1645&amp;'Tiempos intermodal (horas)'!D$45:D$1645,0))</f>
        <v>45.634634357990798</v>
      </c>
      <c r="J528" s="2" cm="1">
        <f t="array" aca="1" ref="J528" ca="1">INDEX('Tiempos carretera (horas)'!E$45:E$1645,MATCH(C528&amp;D528,'Tiempos carretera (horas)'!C$45:C$1645&amp;'Tiempos carretera (horas)'!D$45:D$1645,0))</f>
        <v>9.33</v>
      </c>
      <c r="K528" s="12">
        <f t="shared" ca="1" si="48"/>
        <v>4.6940222741174624</v>
      </c>
      <c r="L528" s="12">
        <f t="shared" ca="1" si="49"/>
        <v>17.443357010210764</v>
      </c>
      <c r="M528" s="12">
        <f t="shared" ca="1" si="50"/>
        <v>8.8370604941432188E-2</v>
      </c>
      <c r="N528" s="13">
        <f t="shared" ca="1" si="52"/>
        <v>-12.749334736093303</v>
      </c>
      <c r="O528" s="13">
        <f t="shared" ca="1" si="53"/>
        <v>-36.3046343579908</v>
      </c>
      <c r="P528" s="12">
        <f t="shared" ca="1" si="51"/>
        <v>2.3336941513598082</v>
      </c>
    </row>
    <row r="529" spans="1:16" x14ac:dyDescent="0.25">
      <c r="A529">
        <v>38</v>
      </c>
      <c r="B529">
        <v>29</v>
      </c>
      <c r="C529" s="2" t="s">
        <v>37</v>
      </c>
      <c r="D529" s="2" t="s">
        <v>147</v>
      </c>
      <c r="E529" s="11" cm="1">
        <f t="array" aca="1" ref="E529" ca="1">INDEX('OD flujo mercancia multimodal'!E$45:E$1645,MATCH(C529&amp;D529,'OD flujo mercancia multimodal'!C$45:C$1645&amp;'OD flujo mercancia multimodal'!D$45:D$1645,0))</f>
        <v>36570.300000000003</v>
      </c>
      <c r="F529" s="11" cm="1">
        <f t="array" aca="1" ref="F529" ca="1">INDEX('OD flujo mercancia carretera'!E$45:E$1646,MATCH(C529&amp;D529,'OD flujo mercancia carretera'!C$45:C$1646&amp;'OD flujo mercancia carretera'!D$45:D$1646,0))</f>
        <v>366732.09230769234</v>
      </c>
      <c r="G529" s="11" cm="1">
        <f t="array" aca="1" ref="G529" ca="1">INDEX('Coste Carretera'!E$46:E$1646,MATCH(C529&amp;D529,'Coste Carretera'!C$46:C$1646&amp;'Coste Carretera'!D$46:D$1646,0))</f>
        <v>3968768270.1480002</v>
      </c>
      <c r="H529" s="11" cm="1">
        <f t="array" aca="1" ref="H529" ca="1">INDEX('Coste multimodal'!E$46:E$1646,MATCH(C529&amp;D529,'Coste multimodal'!C$46:C$1646&amp;'Coste multimodal'!D$46:D$1646,0))</f>
        <v>614093118.84264374</v>
      </c>
      <c r="I529" s="12" cm="1">
        <f t="array" aca="1" ref="I529" ca="1">INDEX('Tiempos intermodal (horas)'!E$45:E$1645,MATCH(C529&amp;D529,'Tiempos intermodal (horas)'!C$45:C$1645&amp;'Tiempos intermodal (horas)'!D$45:D$1645,0))</f>
        <v>90.985359182150901</v>
      </c>
      <c r="J529" s="2" cm="1">
        <f t="array" aca="1" ref="J529" ca="1">INDEX('Tiempos carretera (horas)'!E$45:E$1645,MATCH(C529&amp;D529,'Tiempos carretera (horas)'!C$45:C$1645&amp;'Tiempos carretera (horas)'!D$45:D$1645,0))</f>
        <v>17.28</v>
      </c>
      <c r="K529" s="12">
        <f t="shared" ca="1" si="48"/>
        <v>10.821982459113938</v>
      </c>
      <c r="L529" s="12">
        <f t="shared" ca="1" si="49"/>
        <v>16.792126912894993</v>
      </c>
      <c r="M529" s="12">
        <f t="shared" ca="1" si="50"/>
        <v>9.0677121429270743E-2</v>
      </c>
      <c r="N529" s="13">
        <f t="shared" ca="1" si="52"/>
        <v>-5.9701444537810548</v>
      </c>
      <c r="O529" s="13">
        <f t="shared" ca="1" si="53"/>
        <v>-73.7053591821509</v>
      </c>
      <c r="P529" s="12">
        <f t="shared" ca="1" si="51"/>
        <v>2.3053951521943215</v>
      </c>
    </row>
    <row r="530" spans="1:16" x14ac:dyDescent="0.25">
      <c r="A530">
        <v>29</v>
      </c>
      <c r="B530">
        <v>38</v>
      </c>
      <c r="C530" s="2" t="s">
        <v>147</v>
      </c>
      <c r="D530" s="2" t="s">
        <v>37</v>
      </c>
      <c r="E530" s="11" cm="1">
        <f t="array" aca="1" ref="E530" ca="1">INDEX('OD flujo mercancia multimodal'!E$45:E$1645,MATCH(C530&amp;D530,'OD flujo mercancia multimodal'!C$45:C$1645&amp;'OD flujo mercancia multimodal'!D$45:D$1645,0))</f>
        <v>23384.799999999999</v>
      </c>
      <c r="F530" s="11" cm="1">
        <f t="array" aca="1" ref="F530" ca="1">INDEX('OD flujo mercancia carretera'!E$45:E$1646,MATCH(C530&amp;D530,'OD flujo mercancia carretera'!C$45:C$1646&amp;'OD flujo mercancia carretera'!D$45:D$1646,0))</f>
        <v>369814.4846153846</v>
      </c>
      <c r="G530" s="11" cm="1">
        <f t="array" aca="1" ref="G530" ca="1">INDEX('Coste Carretera'!E$46:E$1646,MATCH(C530&amp;D530,'Coste Carretera'!C$46:C$1646&amp;'Coste Carretera'!D$46:D$1646,0))</f>
        <v>3146790765.0080042</v>
      </c>
      <c r="H530" s="11" cm="1">
        <f t="array" aca="1" ref="H530" ca="1">INDEX('Coste multimodal'!E$46:E$1646,MATCH(C530&amp;D530,'Coste multimodal'!C$46:C$1646&amp;'Coste multimodal'!D$46:D$1646,0))</f>
        <v>614093118.84264374</v>
      </c>
      <c r="I530" s="12" cm="1">
        <f t="array" aca="1" ref="I530" ca="1">INDEX('Tiempos intermodal (horas)'!E$45:E$1645,MATCH(C530&amp;D530,'Tiempos intermodal (horas)'!C$45:C$1645&amp;'Tiempos intermodal (horas)'!D$45:D$1645,0))</f>
        <v>90.985359182150901</v>
      </c>
      <c r="J530" s="2" cm="1">
        <f t="array" aca="1" ref="J530" ca="1">INDEX('Tiempos carretera (horas)'!E$45:E$1645,MATCH(C530&amp;D530,'Tiempos carretera (horas)'!C$45:C$1645&amp;'Tiempos carretera (horas)'!D$45:D$1645,0))</f>
        <v>17.28</v>
      </c>
      <c r="K530" s="12">
        <f t="shared" ca="1" si="48"/>
        <v>8.5091063111839382</v>
      </c>
      <c r="L530" s="12">
        <f t="shared" ca="1" si="49"/>
        <v>26.26035368455765</v>
      </c>
      <c r="M530" s="12">
        <f t="shared" ca="1" si="50"/>
        <v>5.9473149913978833E-2</v>
      </c>
      <c r="N530" s="13">
        <f t="shared" ca="1" si="52"/>
        <v>-17.751247373373712</v>
      </c>
      <c r="O530" s="13">
        <f t="shared" ca="1" si="53"/>
        <v>-73.7053591821509</v>
      </c>
      <c r="P530" s="12">
        <f t="shared" ca="1" si="51"/>
        <v>2.7609152483170458</v>
      </c>
    </row>
    <row r="531" spans="1:16" x14ac:dyDescent="0.25">
      <c r="A531">
        <v>39</v>
      </c>
      <c r="B531">
        <v>30</v>
      </c>
      <c r="C531" s="2" t="s">
        <v>38</v>
      </c>
      <c r="D531" s="2" t="s">
        <v>146</v>
      </c>
      <c r="E531" s="11" cm="1">
        <f t="array" aca="1" ref="E531" ca="1">INDEX('OD flujo mercancia multimodal'!E$45:E$1645,MATCH(C531&amp;D531,'OD flujo mercancia multimodal'!C$45:C$1645&amp;'OD flujo mercancia multimodal'!D$45:D$1645,0))</f>
        <v>7777.3</v>
      </c>
      <c r="F531" s="11" cm="1">
        <f t="array" aca="1" ref="F531" ca="1">INDEX('OD flujo mercancia carretera'!E$45:E$1646,MATCH(C531&amp;D531,'OD flujo mercancia carretera'!C$45:C$1646&amp;'OD flujo mercancia carretera'!D$45:D$1646,0))</f>
        <v>234881.79230769232</v>
      </c>
      <c r="G531" s="11" cm="1">
        <f t="array" aca="1" ref="G531" ca="1">INDEX('Coste Carretera'!E$46:E$1646,MATCH(C531&amp;D531,'Coste Carretera'!C$46:C$1646&amp;'Coste Carretera'!D$46:D$1646,0))</f>
        <v>2796194182.9199991</v>
      </c>
      <c r="H531" s="11" cm="1">
        <f t="array" aca="1" ref="H531" ca="1">INDEX('Coste multimodal'!E$46:E$1646,MATCH(C531&amp;D531,'Coste multimodal'!C$46:C$1646&amp;'Coste multimodal'!D$46:D$1646,0))</f>
        <v>21569009.025523353</v>
      </c>
      <c r="I531" s="12" cm="1">
        <f t="array" aca="1" ref="I531" ca="1">INDEX('Tiempos intermodal (horas)'!E$45:E$1645,MATCH(C531&amp;D531,'Tiempos intermodal (horas)'!C$45:C$1645&amp;'Tiempos intermodal (horas)'!D$45:D$1645,0))</f>
        <v>61.410725377721469</v>
      </c>
      <c r="J531" s="2" cm="1">
        <f t="array" aca="1" ref="J531" ca="1">INDEX('Tiempos carretera (horas)'!E$45:E$1645,MATCH(C531&amp;D531,'Tiempos carretera (horas)'!C$45:C$1645&amp;'Tiempos carretera (horas)'!D$45:D$1645,0))</f>
        <v>13.58</v>
      </c>
      <c r="K531" s="12">
        <f t="shared" ca="1" si="48"/>
        <v>11.904686844593805</v>
      </c>
      <c r="L531" s="12">
        <f t="shared" ca="1" si="49"/>
        <v>2.7733286648995605</v>
      </c>
      <c r="M531" s="12">
        <f t="shared" ca="1" si="50"/>
        <v>3.2050313573819711E-2</v>
      </c>
      <c r="N531" s="13">
        <f t="shared" ca="1" si="52"/>
        <v>9.131358179694244</v>
      </c>
      <c r="O531" s="13">
        <f t="shared" ca="1" si="53"/>
        <v>-47.830725377721471</v>
      </c>
      <c r="P531" s="12">
        <f t="shared" ca="1" si="51"/>
        <v>3.4078731418799286</v>
      </c>
    </row>
    <row r="532" spans="1:16" x14ac:dyDescent="0.25">
      <c r="A532">
        <v>30</v>
      </c>
      <c r="B532">
        <v>39</v>
      </c>
      <c r="C532" s="2" t="s">
        <v>146</v>
      </c>
      <c r="D532" s="2" t="s">
        <v>38</v>
      </c>
      <c r="E532" s="11" cm="1">
        <f t="array" aca="1" ref="E532" ca="1">INDEX('OD flujo mercancia multimodal'!E$45:E$1645,MATCH(C532&amp;D532,'OD flujo mercancia multimodal'!C$45:C$1645&amp;'OD flujo mercancia multimodal'!D$45:D$1645,0))</f>
        <v>5012.6923076923122</v>
      </c>
      <c r="F532" s="11" cm="1">
        <f t="array" aca="1" ref="F532" ca="1">INDEX('OD flujo mercancia carretera'!E$45:E$1646,MATCH(C532&amp;D532,'OD flujo mercancia carretera'!C$45:C$1646&amp;'OD flujo mercancia carretera'!D$45:D$1646,0))</f>
        <v>316078.64249084255</v>
      </c>
      <c r="G532" s="11" cm="1">
        <f t="array" aca="1" ref="G532" ca="1">INDEX('Coste Carretera'!E$46:E$1646,MATCH(C532&amp;D532,'Coste Carretera'!C$46:C$1646&amp;'Coste Carretera'!D$46:D$1646,0))</f>
        <v>685172900.10000002</v>
      </c>
      <c r="H532" s="11" cm="1">
        <f t="array" aca="1" ref="H532" ca="1">INDEX('Coste multimodal'!E$46:E$1646,MATCH(C532&amp;D532,'Coste multimodal'!C$46:C$1646&amp;'Coste multimodal'!D$46:D$1646,0))</f>
        <v>101210655.82104872</v>
      </c>
      <c r="I532" s="12" cm="1">
        <f t="array" aca="1" ref="I532" ca="1">INDEX('Tiempos intermodal (horas)'!E$45:E$1645,MATCH(C532&amp;D532,'Tiempos intermodal (horas)'!C$45:C$1645&amp;'Tiempos intermodal (horas)'!D$45:D$1645,0))</f>
        <v>53.184024026956642</v>
      </c>
      <c r="J532" s="2" cm="1">
        <f t="array" aca="1" ref="J532" ca="1">INDEX('Tiempos carretera (horas)'!E$45:E$1645,MATCH(C532&amp;D532,'Tiempos carretera (horas)'!C$45:C$1645&amp;'Tiempos carretera (horas)'!D$45:D$1645,0))</f>
        <v>10</v>
      </c>
      <c r="K532" s="12">
        <f t="shared" ca="1" si="48"/>
        <v>2.1677291913826502</v>
      </c>
      <c r="L532" s="12">
        <f t="shared" ca="1" si="49"/>
        <v>20.19087739850583</v>
      </c>
      <c r="M532" s="12">
        <f t="shared" ca="1" si="50"/>
        <v>1.5611421936495014E-2</v>
      </c>
      <c r="N532" s="13">
        <f t="shared" ca="1" si="52"/>
        <v>-18.023148207123178</v>
      </c>
      <c r="O532" s="13">
        <f t="shared" ca="1" si="53"/>
        <v>-43.184024026956642</v>
      </c>
      <c r="P532" s="12">
        <f t="shared" ca="1" si="51"/>
        <v>4.1440178937450085</v>
      </c>
    </row>
    <row r="533" spans="1:16" x14ac:dyDescent="0.25">
      <c r="A533">
        <v>41</v>
      </c>
      <c r="B533">
        <v>22</v>
      </c>
      <c r="C533" s="2" t="s">
        <v>40</v>
      </c>
      <c r="D533" s="2" t="s">
        <v>21</v>
      </c>
      <c r="E533" s="11" cm="1">
        <f t="array" aca="1" ref="E533" ca="1">INDEX('OD flujo mercancia multimodal'!E$45:E$1645,MATCH(C533&amp;D533,'OD flujo mercancia multimodal'!C$45:C$1645&amp;'OD flujo mercancia multimodal'!D$45:D$1645,0))</f>
        <v>29423.307692307644</v>
      </c>
      <c r="F533" s="11" cm="1">
        <f t="array" aca="1" ref="F533" ca="1">INDEX('OD flujo mercancia carretera'!E$45:E$1646,MATCH(C533&amp;D533,'OD flujo mercancia carretera'!C$45:C$1646&amp;'OD flujo mercancia carretera'!D$45:D$1646,0))</f>
        <v>193070.83333333299</v>
      </c>
      <c r="G533" s="11" cm="1">
        <f t="array" aca="1" ref="G533" ca="1">INDEX('Coste Carretera'!E$46:E$1646,MATCH(C533&amp;D533,'Coste Carretera'!C$46:C$1646&amp;'Coste Carretera'!D$46:D$1646,0))</f>
        <v>1965743494.8799963</v>
      </c>
      <c r="H533" s="11" cm="1">
        <f t="array" aca="1" ref="H533" ca="1">INDEX('Coste multimodal'!E$46:E$1646,MATCH(C533&amp;D533,'Coste multimodal'!C$46:C$1646&amp;'Coste multimodal'!D$46:D$1646,0))</f>
        <v>695426567.29357946</v>
      </c>
      <c r="I533" s="12" cm="1">
        <f t="array" aca="1" ref="I533" ca="1">INDEX('Tiempos intermodal (horas)'!E$45:E$1645,MATCH(C533&amp;D533,'Tiempos intermodal (horas)'!C$45:C$1645&amp;'Tiempos intermodal (horas)'!D$45:D$1645,0))</f>
        <v>88.492025848817562</v>
      </c>
      <c r="J533" s="2" cm="1">
        <f t="array" aca="1" ref="J533" ca="1">INDEX('Tiempos carretera (horas)'!E$45:E$1645,MATCH(C533&amp;D533,'Tiempos carretera (horas)'!C$45:C$1645&amp;'Tiempos carretera (horas)'!D$45:D$1645,0))</f>
        <v>15.81</v>
      </c>
      <c r="K533" s="12">
        <f t="shared" ca="1" si="48"/>
        <v>10.181462735420936</v>
      </c>
      <c r="L533" s="12">
        <f t="shared" ca="1" si="49"/>
        <v>23.63522737028611</v>
      </c>
      <c r="M533" s="12">
        <f t="shared" ca="1" si="50"/>
        <v>0.13224306742044431</v>
      </c>
      <c r="N533" s="13">
        <f t="shared" ca="1" si="52"/>
        <v>-13.453764634865173</v>
      </c>
      <c r="O533" s="13">
        <f t="shared" ca="1" si="53"/>
        <v>-72.68202584881756</v>
      </c>
      <c r="P533" s="12">
        <f t="shared" ca="1" si="51"/>
        <v>1.8812699947506812</v>
      </c>
    </row>
    <row r="534" spans="1:16" x14ac:dyDescent="0.25">
      <c r="A534">
        <v>22</v>
      </c>
      <c r="B534">
        <v>41</v>
      </c>
      <c r="C534" s="2" t="s">
        <v>21</v>
      </c>
      <c r="D534" s="2" t="s">
        <v>40</v>
      </c>
      <c r="E534" s="11" cm="1">
        <f t="array" aca="1" ref="E534" ca="1">INDEX('OD flujo mercancia multimodal'!E$45:E$1645,MATCH(C534&amp;D534,'OD flujo mercancia multimodal'!C$45:C$1645&amp;'OD flujo mercancia multimodal'!D$45:D$1645,0))</f>
        <v>30747.230769230762</v>
      </c>
      <c r="F534" s="11" cm="1">
        <f t="array" aca="1" ref="F534" ca="1">INDEX('OD flujo mercancia carretera'!E$45:E$1646,MATCH(C534&amp;D534,'OD flujo mercancia carretera'!C$45:C$1646&amp;'OD flujo mercancia carretera'!D$45:D$1646,0))</f>
        <v>147938.15934065936</v>
      </c>
      <c r="G534" s="11" cm="1">
        <f t="array" aca="1" ref="G534" ca="1">INDEX('Coste Carretera'!E$46:E$1646,MATCH(C534&amp;D534,'Coste Carretera'!C$46:C$1646&amp;'Coste Carretera'!D$46:D$1646,0))</f>
        <v>1462151434.8799996</v>
      </c>
      <c r="H534" s="11" cm="1">
        <f t="array" aca="1" ref="H534" ca="1">INDEX('Coste multimodal'!E$46:E$1646,MATCH(C534&amp;D534,'Coste multimodal'!C$46:C$1646&amp;'Coste multimodal'!D$46:D$1646,0))</f>
        <v>849529527.59464371</v>
      </c>
      <c r="I534" s="12" cm="1">
        <f t="array" aca="1" ref="I534" ca="1">INDEX('Tiempos intermodal (horas)'!E$45:E$1645,MATCH(C534&amp;D534,'Tiempos intermodal (horas)'!C$45:C$1645&amp;'Tiempos intermodal (horas)'!D$45:D$1645,0))</f>
        <v>89.94091473770645</v>
      </c>
      <c r="J534" s="2" cm="1">
        <f t="array" aca="1" ref="J534" ca="1">INDEX('Tiempos carretera (horas)'!E$45:E$1645,MATCH(C534&amp;D534,'Tiempos carretera (horas)'!C$45:C$1645&amp;'Tiempos carretera (horas)'!D$45:D$1645,0))</f>
        <v>15.95</v>
      </c>
      <c r="K534" s="12">
        <f t="shared" ca="1" si="48"/>
        <v>9.8835313444253572</v>
      </c>
      <c r="L534" s="12">
        <f t="shared" ca="1" si="49"/>
        <v>27.629464714096507</v>
      </c>
      <c r="M534" s="12">
        <f t="shared" ca="1" si="50"/>
        <v>0.17207467689619985</v>
      </c>
      <c r="N534" s="13">
        <f t="shared" ca="1" si="52"/>
        <v>-17.74593336967115</v>
      </c>
      <c r="O534" s="13">
        <f t="shared" ca="1" si="53"/>
        <v>-73.990914737706447</v>
      </c>
      <c r="P534" s="12">
        <f t="shared" ca="1" si="51"/>
        <v>1.5709944102388191</v>
      </c>
    </row>
    <row r="535" spans="1:16" x14ac:dyDescent="0.25">
      <c r="A535">
        <v>23</v>
      </c>
      <c r="B535">
        <v>21</v>
      </c>
      <c r="C535" s="2" t="s">
        <v>22</v>
      </c>
      <c r="D535" s="2" t="s">
        <v>20</v>
      </c>
      <c r="E535" s="11" cm="1">
        <f t="array" aca="1" ref="E535" ca="1">INDEX('OD flujo mercancia multimodal'!E$45:E$1645,MATCH(C535&amp;D535,'OD flujo mercancia multimodal'!C$45:C$1645&amp;'OD flujo mercancia multimodal'!D$45:D$1645,0))</f>
        <v>38110.846153846163</v>
      </c>
      <c r="F535" s="11" cm="1">
        <f t="array" aca="1" ref="F535" ca="1">INDEX('OD flujo mercancia carretera'!E$45:E$1646,MATCH(C535&amp;D535,'OD flujo mercancia carretera'!C$45:C$1646&amp;'OD flujo mercancia carretera'!D$45:D$1646,0))</f>
        <v>212333.99999999965</v>
      </c>
      <c r="G535" s="11" cm="1">
        <f t="array" aca="1" ref="G535" ca="1">INDEX('Coste Carretera'!E$46:E$1646,MATCH(C535&amp;D535,'Coste Carretera'!C$46:C$1646&amp;'Coste Carretera'!D$46:D$1646,0))</f>
        <v>916724391.12000024</v>
      </c>
      <c r="H535" s="11" cm="1">
        <f t="array" aca="1" ref="H535" ca="1">INDEX('Coste multimodal'!E$46:E$1646,MATCH(C535&amp;D535,'Coste multimodal'!C$46:C$1646&amp;'Coste multimodal'!D$46:D$1646,0))</f>
        <v>383797861.3770107</v>
      </c>
      <c r="I535" s="12" cm="1">
        <f t="array" aca="1" ref="I535" ca="1">INDEX('Tiempos intermodal (horas)'!E$45:E$1645,MATCH(C535&amp;D535,'Tiempos intermodal (horas)'!C$45:C$1645&amp;'Tiempos intermodal (horas)'!D$45:D$1645,0))</f>
        <v>52.057444330072251</v>
      </c>
      <c r="J535" s="2" cm="1">
        <f t="array" aca="1" ref="J535" ca="1">INDEX('Tiempos carretera (horas)'!E$45:E$1645,MATCH(C535&amp;D535,'Tiempos carretera (horas)'!C$45:C$1645&amp;'Tiempos carretera (horas)'!D$45:D$1645,0))</f>
        <v>5</v>
      </c>
      <c r="K535" s="12">
        <f t="shared" ca="1" si="48"/>
        <v>4.3173697623555425</v>
      </c>
      <c r="L535" s="12">
        <f t="shared" ca="1" si="49"/>
        <v>10.070567833306363</v>
      </c>
      <c r="M535" s="12">
        <f t="shared" ca="1" si="50"/>
        <v>0.15217261101246637</v>
      </c>
      <c r="N535" s="13">
        <f t="shared" ca="1" si="52"/>
        <v>-5.7531980709508206</v>
      </c>
      <c r="O535" s="13">
        <f t="shared" ca="1" si="53"/>
        <v>-47.057444330072251</v>
      </c>
      <c r="P535" s="12">
        <f t="shared" ca="1" si="51"/>
        <v>1.7176615890424367</v>
      </c>
    </row>
    <row r="536" spans="1:16" x14ac:dyDescent="0.25">
      <c r="A536">
        <v>21</v>
      </c>
      <c r="B536">
        <v>23</v>
      </c>
      <c r="C536" s="2" t="s">
        <v>20</v>
      </c>
      <c r="D536" s="2" t="s">
        <v>22</v>
      </c>
      <c r="E536" s="11" cm="1">
        <f t="array" aca="1" ref="E536" ca="1">INDEX('OD flujo mercancia multimodal'!E$45:E$1645,MATCH(C536&amp;D536,'OD flujo mercancia multimodal'!C$45:C$1645&amp;'OD flujo mercancia multimodal'!D$45:D$1645,0))</f>
        <v>29612.230769230773</v>
      </c>
      <c r="F536" s="11" cm="1">
        <f t="array" aca="1" ref="F536" ca="1">INDEX('OD flujo mercancia carretera'!E$45:E$1646,MATCH(C536&amp;D536,'OD flujo mercancia carretera'!C$45:C$1646&amp;'OD flujo mercancia carretera'!D$45:D$1646,0))</f>
        <v>220148.66666666701</v>
      </c>
      <c r="G536" s="11" cm="1">
        <f t="array" aca="1" ref="G536" ca="1">INDEX('Coste Carretera'!E$46:E$1646,MATCH(C536&amp;D536,'Coste Carretera'!C$46:C$1646&amp;'Coste Carretera'!D$46:D$1646,0))</f>
        <v>712297336.88</v>
      </c>
      <c r="H536" s="11" cm="1">
        <f t="array" aca="1" ref="H536" ca="1">INDEX('Coste multimodal'!E$46:E$1646,MATCH(C536&amp;D536,'Coste multimodal'!C$46:C$1646&amp;'Coste multimodal'!D$46:D$1646,0))</f>
        <v>383797861.3770107</v>
      </c>
      <c r="I536" s="12" cm="1">
        <f t="array" aca="1" ref="I536" ca="1">INDEX('Tiempos intermodal (horas)'!E$45:E$1645,MATCH(C536&amp;D536,'Tiempos intermodal (horas)'!C$45:C$1645&amp;'Tiempos intermodal (horas)'!D$45:D$1645,0))</f>
        <v>52.057444330072251</v>
      </c>
      <c r="J536" s="2" cm="1">
        <f t="array" aca="1" ref="J536" ca="1">INDEX('Tiempos carretera (horas)'!E$45:E$1645,MATCH(C536&amp;D536,'Tiempos carretera (horas)'!C$45:C$1645&amp;'Tiempos carretera (horas)'!D$45:D$1645,0))</f>
        <v>5</v>
      </c>
      <c r="K536" s="12">
        <f t="shared" ca="1" si="48"/>
        <v>3.2355287345823833</v>
      </c>
      <c r="L536" s="12">
        <f t="shared" ca="1" si="49"/>
        <v>12.960788546055914</v>
      </c>
      <c r="M536" s="12">
        <f t="shared" ca="1" si="50"/>
        <v>0.11856231729320592</v>
      </c>
      <c r="N536" s="13">
        <f t="shared" ca="1" si="52"/>
        <v>-9.7252598114735314</v>
      </c>
      <c r="O536" s="13">
        <f t="shared" ca="1" si="53"/>
        <v>-47.057444330072251</v>
      </c>
      <c r="P536" s="12">
        <f t="shared" ca="1" si="51"/>
        <v>2.0061155980578609</v>
      </c>
    </row>
    <row r="537" spans="1:16" x14ac:dyDescent="0.25">
      <c r="A537">
        <v>19</v>
      </c>
      <c r="B537">
        <v>12</v>
      </c>
      <c r="C537" s="2" t="s">
        <v>18</v>
      </c>
      <c r="D537" s="2" t="s">
        <v>11</v>
      </c>
      <c r="E537" s="11" cm="1">
        <f t="array" aca="1" ref="E537" ca="1">INDEX('OD flujo mercancia multimodal'!E$45:E$1645,MATCH(C537&amp;D537,'OD flujo mercancia multimodal'!C$45:C$1645&amp;'OD flujo mercancia multimodal'!D$45:D$1645,0))</f>
        <v>20023.923076923078</v>
      </c>
      <c r="F537" s="11" cm="1">
        <f t="array" aca="1" ref="F537" ca="1">INDEX('OD flujo mercancia carretera'!E$45:E$1646,MATCH(C537&amp;D537,'OD flujo mercancia carretera'!C$45:C$1646&amp;'OD flujo mercancia carretera'!D$45:D$1646,0))</f>
        <v>82024.076923076907</v>
      </c>
      <c r="G537" s="11" cm="1">
        <f t="array" aca="1" ref="G537" ca="1">INDEX('Coste Carretera'!E$46:E$1646,MATCH(C537&amp;D537,'Coste Carretera'!C$46:C$1646&amp;'Coste Carretera'!D$46:D$1646,0))</f>
        <v>1273555948.8400002</v>
      </c>
      <c r="H537" s="11" cm="1">
        <f t="array" aca="1" ref="H537" ca="1">INDEX('Coste multimodal'!E$46:E$1646,MATCH(C537&amp;D537,'Coste multimodal'!C$46:C$1646&amp;'Coste multimodal'!D$46:D$1646,0))</f>
        <v>153633659.07187271</v>
      </c>
      <c r="I537" s="12" cm="1">
        <f t="array" aca="1" ref="I537" ca="1">INDEX('Tiempos intermodal (horas)'!E$45:E$1645,MATCH(C537&amp;D537,'Tiempos intermodal (horas)'!C$45:C$1645&amp;'Tiempos intermodal (horas)'!D$45:D$1645,0))</f>
        <v>49.373361685904655</v>
      </c>
      <c r="J537" s="2" cm="1">
        <f t="array" aca="1" ref="J537" ca="1">INDEX('Tiempos carretera (horas)'!E$45:E$1645,MATCH(C537&amp;D537,'Tiempos carretera (horas)'!C$45:C$1645&amp;'Tiempos carretera (horas)'!D$45:D$1645,0))</f>
        <v>12.25</v>
      </c>
      <c r="K537" s="12">
        <f t="shared" ca="1" si="48"/>
        <v>15.526611168503061</v>
      </c>
      <c r="L537" s="12">
        <f t="shared" ca="1" si="49"/>
        <v>7.6725054566819884</v>
      </c>
      <c r="M537" s="12">
        <f t="shared" ca="1" si="50"/>
        <v>0.19622063222133782</v>
      </c>
      <c r="N537" s="13">
        <f t="shared" ca="1" si="52"/>
        <v>7.8541057118210729</v>
      </c>
      <c r="O537" s="13">
        <f t="shared" ca="1" si="53"/>
        <v>-37.123361685904655</v>
      </c>
      <c r="P537" s="12">
        <f t="shared" ca="1" si="51"/>
        <v>1.4100851126010716</v>
      </c>
    </row>
    <row r="538" spans="1:16" x14ac:dyDescent="0.25">
      <c r="A538">
        <v>12</v>
      </c>
      <c r="B538">
        <v>19</v>
      </c>
      <c r="C538" s="2" t="s">
        <v>11</v>
      </c>
      <c r="D538" s="2" t="s">
        <v>18</v>
      </c>
      <c r="E538" s="11" cm="1">
        <f t="array" aca="1" ref="E538" ca="1">INDEX('OD flujo mercancia multimodal'!E$45:E$1645,MATCH(C538&amp;D538,'OD flujo mercancia multimodal'!C$45:C$1645&amp;'OD flujo mercancia multimodal'!D$45:D$1645,0))</f>
        <v>6644.3076923076951</v>
      </c>
      <c r="F538" s="11" cm="1">
        <f t="array" aca="1" ref="F538" ca="1">INDEX('OD flujo mercancia carretera'!E$45:E$1646,MATCH(C538&amp;D538,'OD flujo mercancia carretera'!C$45:C$1646&amp;'OD flujo mercancia carretera'!D$45:D$1646,0))</f>
        <v>132787.61538461538</v>
      </c>
      <c r="G538" s="11" cm="1">
        <f t="array" aca="1" ref="G538" ca="1">INDEX('Coste Carretera'!E$46:E$1646,MATCH(C538&amp;D538,'Coste Carretera'!C$46:C$1646&amp;'Coste Carretera'!D$46:D$1646,0))</f>
        <v>422589397.44000018</v>
      </c>
      <c r="H538" s="11" cm="1">
        <f t="array" aca="1" ref="H538" ca="1">INDEX('Coste multimodal'!E$46:E$1646,MATCH(C538&amp;D538,'Coste multimodal'!C$46:C$1646&amp;'Coste multimodal'!D$46:D$1646,0))</f>
        <v>153633659.07187271</v>
      </c>
      <c r="I538" s="12" cm="1">
        <f t="array" aca="1" ref="I538" ca="1">INDEX('Tiempos intermodal (horas)'!E$45:E$1645,MATCH(C538&amp;D538,'Tiempos intermodal (horas)'!C$45:C$1645&amp;'Tiempos intermodal (horas)'!D$45:D$1645,0))</f>
        <v>49.373361685904655</v>
      </c>
      <c r="J538" s="2" cm="1">
        <f t="array" aca="1" ref="J538" ca="1">INDEX('Tiempos carretera (horas)'!E$45:E$1645,MATCH(C538&amp;D538,'Tiempos carretera (horas)'!C$45:C$1645&amp;'Tiempos carretera (horas)'!D$45:D$1645,0))</f>
        <v>12.25</v>
      </c>
      <c r="K538" s="12">
        <f t="shared" ref="K538:K601" ca="1" si="54">G538/(F538*1000)</f>
        <v>3.1824458645181823</v>
      </c>
      <c r="L538" s="12">
        <f t="shared" ref="L538:L601" ca="1" si="55">H538/(E538*1000)</f>
        <v>23.122598498823105</v>
      </c>
      <c r="M538" s="12">
        <f t="shared" ref="M538:M601" ca="1" si="56">E538/(E538+F538)</f>
        <v>4.7652700656234247E-2</v>
      </c>
      <c r="N538" s="13">
        <f t="shared" ca="1" si="52"/>
        <v>-19.940152634304923</v>
      </c>
      <c r="O538" s="13">
        <f t="shared" ca="1" si="53"/>
        <v>-37.123361685904655</v>
      </c>
      <c r="P538" s="12">
        <f t="shared" ref="P538:P601" ca="1" si="57">LN(1/M538-1)</f>
        <v>2.9949904730642976</v>
      </c>
    </row>
    <row r="539" spans="1:16" x14ac:dyDescent="0.25">
      <c r="A539">
        <v>13</v>
      </c>
      <c r="B539">
        <v>21</v>
      </c>
      <c r="C539" s="2" t="s">
        <v>12</v>
      </c>
      <c r="D539" s="2" t="s">
        <v>20</v>
      </c>
      <c r="E539" s="11" cm="1">
        <f t="array" aca="1" ref="E539" ca="1">INDEX('OD flujo mercancia multimodal'!E$45:E$1645,MATCH(C539&amp;D539,'OD flujo mercancia multimodal'!C$45:C$1645&amp;'OD flujo mercancia multimodal'!D$45:D$1645,0))</f>
        <v>39113.153846153858</v>
      </c>
      <c r="F539" s="11" cm="1">
        <f t="array" aca="1" ref="F539" ca="1">INDEX('OD flujo mercancia carretera'!E$45:E$1646,MATCH(C539&amp;D539,'OD flujo mercancia carretera'!C$45:C$1646&amp;'OD flujo mercancia carretera'!D$45:D$1646,0))</f>
        <v>130365.64102564068</v>
      </c>
      <c r="G539" s="11" cm="1">
        <f t="array" aca="1" ref="G539" ca="1">INDEX('Coste Carretera'!E$46:E$1646,MATCH(C539&amp;D539,'Coste Carretera'!C$46:C$1646&amp;'Coste Carretera'!D$46:D$1646,0))</f>
        <v>2598591892.6000004</v>
      </c>
      <c r="H539" s="11" cm="1">
        <f t="array" aca="1" ref="H539" ca="1">INDEX('Coste multimodal'!E$46:E$1646,MATCH(C539&amp;D539,'Coste multimodal'!C$46:C$1646&amp;'Coste multimodal'!D$46:D$1646,0))</f>
        <v>225890124.54641587</v>
      </c>
      <c r="I539" s="12" cm="1">
        <f t="array" aca="1" ref="I539" ca="1">INDEX('Tiempos intermodal (horas)'!E$45:E$1645,MATCH(C539&amp;D539,'Tiempos intermodal (horas)'!C$45:C$1645&amp;'Tiempos intermodal (horas)'!D$45:D$1645,0))</f>
        <v>50.207163311749241</v>
      </c>
      <c r="J539" s="2" cm="1">
        <f t="array" aca="1" ref="J539" ca="1">INDEX('Tiempos carretera (horas)'!E$45:E$1645,MATCH(C539&amp;D539,'Tiempos carretera (horas)'!C$45:C$1645&amp;'Tiempos carretera (horas)'!D$45:D$1645,0))</f>
        <v>13</v>
      </c>
      <c r="K539" s="12">
        <f t="shared" ca="1" si="54"/>
        <v>19.933104092119656</v>
      </c>
      <c r="L539" s="12">
        <f t="shared" ca="1" si="55"/>
        <v>5.7752981371669287</v>
      </c>
      <c r="M539" s="12">
        <f t="shared" ca="1" si="56"/>
        <v>0.23078494200847813</v>
      </c>
      <c r="N539" s="13">
        <f t="shared" ca="1" si="52"/>
        <v>14.157805954952728</v>
      </c>
      <c r="O539" s="13">
        <f t="shared" ca="1" si="53"/>
        <v>-37.207163311749241</v>
      </c>
      <c r="P539" s="12">
        <f t="shared" ca="1" si="57"/>
        <v>1.2038842997870673</v>
      </c>
    </row>
    <row r="540" spans="1:16" x14ac:dyDescent="0.25">
      <c r="A540">
        <v>21</v>
      </c>
      <c r="B540">
        <v>13</v>
      </c>
      <c r="C540" s="2" t="s">
        <v>20</v>
      </c>
      <c r="D540" s="2" t="s">
        <v>12</v>
      </c>
      <c r="E540" s="11" cm="1">
        <f t="array" aca="1" ref="E540" ca="1">INDEX('OD flujo mercancia multimodal'!E$45:E$1645,MATCH(C540&amp;D540,'OD flujo mercancia multimodal'!C$45:C$1645&amp;'OD flujo mercancia multimodal'!D$45:D$1645,0))</f>
        <v>26483.923076923082</v>
      </c>
      <c r="F540" s="11" cm="1">
        <f t="array" aca="1" ref="F540" ca="1">INDEX('OD flujo mercancia carretera'!E$45:E$1646,MATCH(C540&amp;D540,'OD flujo mercancia carretera'!C$45:C$1646&amp;'OD flujo mercancia carretera'!D$45:D$1646,0))</f>
        <v>133691.5384615385</v>
      </c>
      <c r="G540" s="11" cm="1">
        <f t="array" aca="1" ref="G540" ca="1">INDEX('Coste Carretera'!E$46:E$1646,MATCH(C540&amp;D540,'Coste Carretera'!C$46:C$1646&amp;'Coste Carretera'!D$46:D$1646,0))</f>
        <v>1759533584.6000001</v>
      </c>
      <c r="H540" s="11" cm="1">
        <f t="array" aca="1" ref="H540" ca="1">INDEX('Coste multimodal'!E$46:E$1646,MATCH(C540&amp;D540,'Coste multimodal'!C$46:C$1646&amp;'Coste multimodal'!D$46:D$1646,0))</f>
        <v>225890124.54641587</v>
      </c>
      <c r="I540" s="12" cm="1">
        <f t="array" aca="1" ref="I540" ca="1">INDEX('Tiempos intermodal (horas)'!E$45:E$1645,MATCH(C540&amp;D540,'Tiempos intermodal (horas)'!C$45:C$1645&amp;'Tiempos intermodal (horas)'!D$45:D$1645,0))</f>
        <v>50.207163311749241</v>
      </c>
      <c r="J540" s="2" cm="1">
        <f t="array" aca="1" ref="J540" ca="1">INDEX('Tiempos carretera (horas)'!E$45:E$1645,MATCH(C540&amp;D540,'Tiempos carretera (horas)'!C$45:C$1645&amp;'Tiempos carretera (horas)'!D$45:D$1645,0))</f>
        <v>13</v>
      </c>
      <c r="K540" s="12">
        <f t="shared" ca="1" si="54"/>
        <v>13.161143965040074</v>
      </c>
      <c r="L540" s="12">
        <f t="shared" ca="1" si="55"/>
        <v>8.5293301861024702</v>
      </c>
      <c r="M540" s="12">
        <f t="shared" ca="1" si="56"/>
        <v>0.16534319815625267</v>
      </c>
      <c r="N540" s="13">
        <f t="shared" ca="1" si="52"/>
        <v>4.6318137789376035</v>
      </c>
      <c r="O540" s="13">
        <f t="shared" ca="1" si="53"/>
        <v>-37.207163311749241</v>
      </c>
      <c r="P540" s="12">
        <f t="shared" ca="1" si="57"/>
        <v>1.6189973220602223</v>
      </c>
    </row>
    <row r="541" spans="1:16" x14ac:dyDescent="0.25">
      <c r="A541">
        <v>36</v>
      </c>
      <c r="B541">
        <v>30</v>
      </c>
      <c r="C541" s="2" t="s">
        <v>35</v>
      </c>
      <c r="D541" s="2" t="s">
        <v>146</v>
      </c>
      <c r="E541" s="11" cm="1">
        <f t="array" aca="1" ref="E541" ca="1">INDEX('OD flujo mercancia multimodal'!E$45:E$1645,MATCH(C541&amp;D541,'OD flujo mercancia multimodal'!C$45:C$1645&amp;'OD flujo mercancia multimodal'!D$45:D$1645,0))</f>
        <v>9863.5307692307688</v>
      </c>
      <c r="F541" s="11" cm="1">
        <f t="array" aca="1" ref="F541" ca="1">INDEX('OD flujo mercancia carretera'!E$45:E$1646,MATCH(C541&amp;D541,'OD flujo mercancia carretera'!C$45:C$1646&amp;'OD flujo mercancia carretera'!D$45:D$1646,0))</f>
        <v>322117.0230769231</v>
      </c>
      <c r="G541" s="11" cm="1">
        <f t="array" aca="1" ref="G541" ca="1">INDEX('Coste Carretera'!E$46:E$1646,MATCH(C541&amp;D541,'Coste Carretera'!C$46:C$1646&amp;'Coste Carretera'!D$46:D$1646,0))</f>
        <v>2145857665.4999995</v>
      </c>
      <c r="H541" s="11" cm="1">
        <f t="array" aca="1" ref="H541" ca="1">INDEX('Coste multimodal'!E$46:E$1646,MATCH(C541&amp;D541,'Coste multimodal'!C$46:C$1646&amp;'Coste multimodal'!D$46:D$1646,0))</f>
        <v>450538125.34211165</v>
      </c>
      <c r="I541" s="12" cm="1">
        <f t="array" aca="1" ref="I541" ca="1">INDEX('Tiempos intermodal (horas)'!E$45:E$1645,MATCH(C541&amp;D541,'Tiempos intermodal (horas)'!C$45:C$1645&amp;'Tiempos intermodal (horas)'!D$45:D$1645,0))</f>
        <v>52.499492199230474</v>
      </c>
      <c r="J541" s="2" cm="1">
        <f t="array" aca="1" ref="J541" ca="1">INDEX('Tiempos carretera (horas)'!E$45:E$1645,MATCH(C541&amp;D541,'Tiempos carretera (horas)'!C$45:C$1645&amp;'Tiempos carretera (horas)'!D$45:D$1645,0))</f>
        <v>9.82</v>
      </c>
      <c r="K541" s="12">
        <f t="shared" ca="1" si="54"/>
        <v>6.6617331956018928</v>
      </c>
      <c r="L541" s="12">
        <f t="shared" ca="1" si="55"/>
        <v>45.677165295368972</v>
      </c>
      <c r="M541" s="12">
        <f t="shared" ca="1" si="56"/>
        <v>2.971117029282901E-2</v>
      </c>
      <c r="N541" s="13">
        <f t="shared" ca="1" si="52"/>
        <v>-39.015432099767082</v>
      </c>
      <c r="O541" s="13">
        <f t="shared" ca="1" si="53"/>
        <v>-42.679492199230474</v>
      </c>
      <c r="P541" s="12">
        <f t="shared" ca="1" si="57"/>
        <v>3.4860707105247815</v>
      </c>
    </row>
    <row r="542" spans="1:16" x14ac:dyDescent="0.25">
      <c r="A542">
        <v>30</v>
      </c>
      <c r="B542">
        <v>36</v>
      </c>
      <c r="C542" s="2" t="s">
        <v>146</v>
      </c>
      <c r="D542" s="2" t="s">
        <v>35</v>
      </c>
      <c r="E542" s="11" cm="1">
        <f t="array" aca="1" ref="E542" ca="1">INDEX('OD flujo mercancia multimodal'!E$45:E$1645,MATCH(C542&amp;D542,'OD flujo mercancia multimodal'!C$45:C$1645&amp;'OD flujo mercancia multimodal'!D$45:D$1645,0))</f>
        <v>5555.1538461538421</v>
      </c>
      <c r="F542" s="11" cm="1">
        <f t="array" aca="1" ref="F542" ca="1">INDEX('OD flujo mercancia carretera'!E$45:E$1646,MATCH(C542&amp;D542,'OD flujo mercancia carretera'!C$45:C$1646&amp;'OD flujo mercancia carretera'!D$45:D$1646,0))</f>
        <v>316115.72307692317</v>
      </c>
      <c r="G542" s="11" cm="1">
        <f t="array" aca="1" ref="G542" ca="1">INDEX('Coste Carretera'!E$46:E$1646,MATCH(C542&amp;D542,'Coste Carretera'!C$46:C$1646&amp;'Coste Carretera'!D$46:D$1646,0))</f>
        <v>1829618827.9000008</v>
      </c>
      <c r="H542" s="11" cm="1">
        <f t="array" aca="1" ref="H542" ca="1">INDEX('Coste multimodal'!E$46:E$1646,MATCH(C542&amp;D542,'Coste multimodal'!C$46:C$1646&amp;'Coste multimodal'!D$46:D$1646,0))</f>
        <v>450538125.34211165</v>
      </c>
      <c r="I542" s="12" cm="1">
        <f t="array" aca="1" ref="I542" ca="1">INDEX('Tiempos intermodal (horas)'!E$45:E$1645,MATCH(C542&amp;D542,'Tiempos intermodal (horas)'!C$45:C$1645&amp;'Tiempos intermodal (horas)'!D$45:D$1645,0))</f>
        <v>52.499492199230474</v>
      </c>
      <c r="J542" s="2" cm="1">
        <f t="array" aca="1" ref="J542" ca="1">INDEX('Tiempos carretera (horas)'!E$45:E$1645,MATCH(C542&amp;D542,'Tiempos carretera (horas)'!C$45:C$1645&amp;'Tiempos carretera (horas)'!D$45:D$1645,0))</f>
        <v>9.82</v>
      </c>
      <c r="K542" s="12">
        <f t="shared" ca="1" si="54"/>
        <v>5.787813431395767</v>
      </c>
      <c r="L542" s="12">
        <f t="shared" ca="1" si="55"/>
        <v>81.10272691260306</v>
      </c>
      <c r="M542" s="12">
        <f t="shared" ca="1" si="56"/>
        <v>1.726968228921227E-2</v>
      </c>
      <c r="N542" s="13">
        <f t="shared" ca="1" si="52"/>
        <v>-75.314913481207299</v>
      </c>
      <c r="O542" s="13">
        <f t="shared" ca="1" si="53"/>
        <v>-42.679492199230474</v>
      </c>
      <c r="P542" s="12">
        <f t="shared" ca="1" si="57"/>
        <v>4.0413822410310187</v>
      </c>
    </row>
    <row r="543" spans="1:16" x14ac:dyDescent="0.25">
      <c r="A543">
        <v>30</v>
      </c>
      <c r="B543">
        <v>11</v>
      </c>
      <c r="C543" s="2" t="s">
        <v>146</v>
      </c>
      <c r="D543" s="2" t="s">
        <v>10</v>
      </c>
      <c r="E543" s="11" cm="1">
        <f t="array" aca="1" ref="E543" ca="1">INDEX('OD flujo mercancia multimodal'!E$45:E$1645,MATCH(C543&amp;D543,'OD flujo mercancia multimodal'!C$45:C$1645&amp;'OD flujo mercancia multimodal'!D$45:D$1645,0))</f>
        <v>23082.69230769229</v>
      </c>
      <c r="F543" s="11" cm="1">
        <f t="array" aca="1" ref="F543" ca="1">INDEX('OD flujo mercancia carretera'!E$45:E$1646,MATCH(C543&amp;D543,'OD flujo mercancia carretera'!C$45:C$1646&amp;'OD flujo mercancia carretera'!D$45:D$1646,0))</f>
        <v>322062.80000000005</v>
      </c>
      <c r="G543" s="11" cm="1">
        <f t="array" aca="1" ref="G543" ca="1">INDEX('Coste Carretera'!E$46:E$1646,MATCH(C543&amp;D543,'Coste Carretera'!C$46:C$1646&amp;'Coste Carretera'!D$46:D$1646,0))</f>
        <v>1788115526.1199987</v>
      </c>
      <c r="H543" s="11" cm="1">
        <f t="array" aca="1" ref="H543" ca="1">INDEX('Coste multimodal'!E$46:E$1646,MATCH(C543&amp;D543,'Coste multimodal'!C$46:C$1646&amp;'Coste multimodal'!D$46:D$1646,0))</f>
        <v>215336905.88288561</v>
      </c>
      <c r="I543" s="12" cm="1">
        <f t="array" aca="1" ref="I543" ca="1">INDEX('Tiempos intermodal (horas)'!E$45:E$1645,MATCH(C543&amp;D543,'Tiempos intermodal (horas)'!C$45:C$1645&amp;'Tiempos intermodal (horas)'!D$45:D$1645,0))</f>
        <v>47.496479923282649</v>
      </c>
      <c r="J543" s="2" cm="1">
        <f t="array" aca="1" ref="J543" ca="1">INDEX('Tiempos carretera (horas)'!E$45:E$1645,MATCH(C543&amp;D543,'Tiempos carretera (horas)'!C$45:C$1645&amp;'Tiempos carretera (horas)'!D$45:D$1645,0))</f>
        <v>9.8800000000000008</v>
      </c>
      <c r="K543" s="12">
        <f t="shared" ca="1" si="54"/>
        <v>5.5520709815601128</v>
      </c>
      <c r="L543" s="12">
        <f t="shared" ca="1" si="55"/>
        <v>9.3289336881696752</v>
      </c>
      <c r="M543" s="12">
        <f t="shared" ca="1" si="56"/>
        <v>6.6878150873007469E-2</v>
      </c>
      <c r="N543" s="13">
        <f t="shared" ca="1" si="52"/>
        <v>-3.7768627066095624</v>
      </c>
      <c r="O543" s="13">
        <f t="shared" ca="1" si="53"/>
        <v>-37.616479923282647</v>
      </c>
      <c r="P543" s="12">
        <f t="shared" ca="1" si="57"/>
        <v>2.6356634716343543</v>
      </c>
    </row>
    <row r="544" spans="1:16" x14ac:dyDescent="0.25">
      <c r="A544">
        <v>11</v>
      </c>
      <c r="B544">
        <v>30</v>
      </c>
      <c r="C544" s="2" t="s">
        <v>10</v>
      </c>
      <c r="D544" s="2" t="s">
        <v>146</v>
      </c>
      <c r="E544" s="11" cm="1">
        <f t="array" aca="1" ref="E544" ca="1">INDEX('OD flujo mercancia multimodal'!E$45:E$1645,MATCH(C544&amp;D544,'OD flujo mercancia multimodal'!C$45:C$1645&amp;'OD flujo mercancia multimodal'!D$45:D$1645,0))</f>
        <v>18449.06923076923</v>
      </c>
      <c r="F544" s="11" cm="1">
        <f t="array" aca="1" ref="F544" ca="1">INDEX('OD flujo mercancia carretera'!E$45:E$1646,MATCH(C544&amp;D544,'OD flujo mercancia carretera'!C$45:C$1646&amp;'OD flujo mercancia carretera'!D$45:D$1646,0))</f>
        <v>327217.33076923079</v>
      </c>
      <c r="G544" s="11" cm="1">
        <f t="array" aca="1" ref="G544" ca="1">INDEX('Coste Carretera'!E$46:E$1646,MATCH(C544&amp;D544,'Coste Carretera'!C$46:C$1646&amp;'Coste Carretera'!D$46:D$1646,0))</f>
        <v>2259911105.4799995</v>
      </c>
      <c r="H544" s="11" cm="1">
        <f t="array" aca="1" ref="H544" ca="1">INDEX('Coste multimodal'!E$46:E$1646,MATCH(C544&amp;D544,'Coste multimodal'!C$46:C$1646&amp;'Coste multimodal'!D$46:D$1646,0))</f>
        <v>215336905.88288561</v>
      </c>
      <c r="I544" s="12" cm="1">
        <f t="array" aca="1" ref="I544" ca="1">INDEX('Tiempos intermodal (horas)'!E$45:E$1645,MATCH(C544&amp;D544,'Tiempos intermodal (horas)'!C$45:C$1645&amp;'Tiempos intermodal (horas)'!D$45:D$1645,0))</f>
        <v>47.496479923282649</v>
      </c>
      <c r="J544" s="2" cm="1">
        <f t="array" aca="1" ref="J544" ca="1">INDEX('Tiempos carretera (horas)'!E$45:E$1645,MATCH(C544&amp;D544,'Tiempos carretera (horas)'!C$45:C$1645&amp;'Tiempos carretera (horas)'!D$45:D$1645,0))</f>
        <v>9.8800000000000008</v>
      </c>
      <c r="K544" s="12">
        <f t="shared" ca="1" si="54"/>
        <v>6.906452968635076</v>
      </c>
      <c r="L544" s="12">
        <f t="shared" ca="1" si="55"/>
        <v>11.671965842252259</v>
      </c>
      <c r="M544" s="12">
        <f t="shared" ca="1" si="56"/>
        <v>5.3372469035952663E-2</v>
      </c>
      <c r="N544" s="13">
        <f t="shared" ca="1" si="52"/>
        <v>-4.7655128736171832</v>
      </c>
      <c r="O544" s="13">
        <f t="shared" ca="1" si="53"/>
        <v>-37.616479923282647</v>
      </c>
      <c r="P544" s="12">
        <f t="shared" ca="1" si="57"/>
        <v>2.8756106492073292</v>
      </c>
    </row>
    <row r="545" spans="1:16" x14ac:dyDescent="0.25">
      <c r="A545">
        <v>19</v>
      </c>
      <c r="B545">
        <v>24</v>
      </c>
      <c r="C545" s="2" t="s">
        <v>18</v>
      </c>
      <c r="D545" s="2" t="s">
        <v>23</v>
      </c>
      <c r="E545" s="11" cm="1">
        <f t="array" aca="1" ref="E545" ca="1">INDEX('OD flujo mercancia multimodal'!E$45:E$1645,MATCH(C545&amp;D545,'OD flujo mercancia multimodal'!C$45:C$1645&amp;'OD flujo mercancia multimodal'!D$45:D$1645,0))</f>
        <v>9392.9999999999964</v>
      </c>
      <c r="F545" s="11" cm="1">
        <f t="array" aca="1" ref="F545" ca="1">INDEX('OD flujo mercancia carretera'!E$45:E$1646,MATCH(C545&amp;D545,'OD flujo mercancia carretera'!C$45:C$1646&amp;'OD flujo mercancia carretera'!D$45:D$1646,0))</f>
        <v>107641.6666666667</v>
      </c>
      <c r="G545" s="11" cm="1">
        <f t="array" aca="1" ref="G545" ca="1">INDEX('Coste Carretera'!E$46:E$1646,MATCH(C545&amp;D545,'Coste Carretera'!C$46:C$1646&amp;'Coste Carretera'!D$46:D$1646,0))</f>
        <v>303885341.75999987</v>
      </c>
      <c r="H545" s="11" cm="1">
        <f t="array" aca="1" ref="H545" ca="1">INDEX('Coste multimodal'!E$46:E$1646,MATCH(C545&amp;D545,'Coste multimodal'!C$46:C$1646&amp;'Coste multimodal'!D$46:D$1646,0))</f>
        <v>170359954.77828616</v>
      </c>
      <c r="I545" s="12" cm="1">
        <f t="array" aca="1" ref="I545" ca="1">INDEX('Tiempos intermodal (horas)'!E$45:E$1645,MATCH(C545&amp;D545,'Tiempos intermodal (horas)'!C$45:C$1645&amp;'Tiempos intermodal (horas)'!D$45:D$1645,0))</f>
        <v>43.617982935083518</v>
      </c>
      <c r="J545" s="2" cm="1">
        <f t="array" aca="1" ref="J545" ca="1">INDEX('Tiempos carretera (horas)'!E$45:E$1645,MATCH(C545&amp;D545,'Tiempos carretera (horas)'!C$45:C$1645&amp;'Tiempos carretera (horas)'!D$45:D$1645,0))</f>
        <v>6</v>
      </c>
      <c r="K545" s="12">
        <f t="shared" ca="1" si="54"/>
        <v>2.823119997770378</v>
      </c>
      <c r="L545" s="12">
        <f t="shared" ca="1" si="55"/>
        <v>18.136905650834262</v>
      </c>
      <c r="M545" s="12">
        <f t="shared" ca="1" si="56"/>
        <v>8.0258271053590902E-2</v>
      </c>
      <c r="N545" s="13">
        <f t="shared" ca="1" si="52"/>
        <v>-15.313785653063883</v>
      </c>
      <c r="O545" s="13">
        <f t="shared" ca="1" si="53"/>
        <v>-37.617982935083518</v>
      </c>
      <c r="P545" s="12">
        <f t="shared" ca="1" si="57"/>
        <v>2.4388430784375918</v>
      </c>
    </row>
    <row r="546" spans="1:16" x14ac:dyDescent="0.25">
      <c r="A546">
        <v>24</v>
      </c>
      <c r="B546">
        <v>19</v>
      </c>
      <c r="C546" s="2" t="s">
        <v>23</v>
      </c>
      <c r="D546" s="2" t="s">
        <v>18</v>
      </c>
      <c r="E546" s="11" cm="1">
        <f t="array" aca="1" ref="E546" ca="1">INDEX('OD flujo mercancia multimodal'!E$45:E$1645,MATCH(C546&amp;D546,'OD flujo mercancia multimodal'!C$45:C$1645&amp;'OD flujo mercancia multimodal'!D$45:D$1645,0))</f>
        <v>5026.3846153846189</v>
      </c>
      <c r="F546" s="11" cm="1">
        <f t="array" aca="1" ref="F546" ca="1">INDEX('OD flujo mercancia carretera'!E$45:E$1646,MATCH(C546&amp;D546,'OD flujo mercancia carretera'!C$45:C$1646&amp;'OD flujo mercancia carretera'!D$45:D$1646,0))</f>
        <v>173387.3846153846</v>
      </c>
      <c r="G546" s="11" cm="1">
        <f t="array" aca="1" ref="G546" ca="1">INDEX('Coste Carretera'!E$46:E$1646,MATCH(C546&amp;D546,'Coste Carretera'!C$46:C$1646&amp;'Coste Carretera'!D$46:D$1646,0))</f>
        <v>162615203.5200001</v>
      </c>
      <c r="H546" s="11" cm="1">
        <f t="array" aca="1" ref="H546" ca="1">INDEX('Coste multimodal'!E$46:E$1646,MATCH(C546&amp;D546,'Coste multimodal'!C$46:C$1646&amp;'Coste multimodal'!D$46:D$1646,0))</f>
        <v>170359954.77828616</v>
      </c>
      <c r="I546" s="12" cm="1">
        <f t="array" aca="1" ref="I546" ca="1">INDEX('Tiempos intermodal (horas)'!E$45:E$1645,MATCH(C546&amp;D546,'Tiempos intermodal (horas)'!C$45:C$1645&amp;'Tiempos intermodal (horas)'!D$45:D$1645,0))</f>
        <v>43.617982935083518</v>
      </c>
      <c r="J546" s="2" cm="1">
        <f t="array" aca="1" ref="J546" ca="1">INDEX('Tiempos carretera (horas)'!E$45:E$1645,MATCH(C546&amp;D546,'Tiempos carretera (horas)'!C$45:C$1645&amp;'Tiempos carretera (horas)'!D$45:D$1645,0))</f>
        <v>6</v>
      </c>
      <c r="K546" s="12">
        <f t="shared" ca="1" si="54"/>
        <v>0.93787217496082642</v>
      </c>
      <c r="L546" s="12">
        <f t="shared" ca="1" si="55"/>
        <v>33.893139465860436</v>
      </c>
      <c r="M546" s="12">
        <f t="shared" ca="1" si="56"/>
        <v>2.817262724203334E-2</v>
      </c>
      <c r="N546" s="13">
        <f t="shared" ca="1" si="52"/>
        <v>-32.955267290899613</v>
      </c>
      <c r="O546" s="13">
        <f t="shared" ca="1" si="53"/>
        <v>-37.617982935083518</v>
      </c>
      <c r="P546" s="12">
        <f t="shared" ca="1" si="57"/>
        <v>3.5408273472770091</v>
      </c>
    </row>
    <row r="547" spans="1:16" x14ac:dyDescent="0.25">
      <c r="A547">
        <v>19</v>
      </c>
      <c r="B547">
        <v>25</v>
      </c>
      <c r="C547" s="2" t="s">
        <v>18</v>
      </c>
      <c r="D547" s="2" t="s">
        <v>24</v>
      </c>
      <c r="E547" s="11" cm="1">
        <f t="array" aca="1" ref="E547" ca="1">INDEX('OD flujo mercancia multimodal'!E$45:E$1645,MATCH(C547&amp;D547,'OD flujo mercancia multimodal'!C$45:C$1645&amp;'OD flujo mercancia multimodal'!D$45:D$1645,0))</f>
        <v>6997.6153846153875</v>
      </c>
      <c r="F547" s="11" cm="1">
        <f t="array" aca="1" ref="F547" ca="1">INDEX('OD flujo mercancia carretera'!E$45:E$1646,MATCH(C547&amp;D547,'OD flujo mercancia carretera'!C$45:C$1646&amp;'OD flujo mercancia carretera'!D$45:D$1646,0))</f>
        <v>100589.3333333333</v>
      </c>
      <c r="G547" s="11" cm="1">
        <f t="array" aca="1" ref="G547" ca="1">INDEX('Coste Carretera'!E$46:E$1646,MATCH(C547&amp;D547,'Coste Carretera'!C$46:C$1646&amp;'Coste Carretera'!D$46:D$1646,0))</f>
        <v>174569511.00000006</v>
      </c>
      <c r="H547" s="11" cm="1">
        <f t="array" aca="1" ref="H547" ca="1">INDEX('Coste multimodal'!E$46:E$1646,MATCH(C547&amp;D547,'Coste multimodal'!C$46:C$1646&amp;'Coste multimodal'!D$46:D$1646,0))</f>
        <v>111648341.67828615</v>
      </c>
      <c r="I547" s="12" cm="1">
        <f t="array" aca="1" ref="I547" ca="1">INDEX('Tiempos intermodal (horas)'!E$45:E$1645,MATCH(C547&amp;D547,'Tiempos intermodal (horas)'!C$45:C$1645&amp;'Tiempos intermodal (horas)'!D$45:D$1645,0))</f>
        <v>42.279094046194629</v>
      </c>
      <c r="J547" s="2" cm="1">
        <f t="array" aca="1" ref="J547" ca="1">INDEX('Tiempos carretera (horas)'!E$45:E$1645,MATCH(C547&amp;D547,'Tiempos carretera (horas)'!C$45:C$1645&amp;'Tiempos carretera (horas)'!D$45:D$1645,0))</f>
        <v>4.6500000000000004</v>
      </c>
      <c r="K547" s="12">
        <f t="shared" ca="1" si="54"/>
        <v>1.7354674219930555</v>
      </c>
      <c r="L547" s="12">
        <f t="shared" ca="1" si="55"/>
        <v>15.955198384259685</v>
      </c>
      <c r="M547" s="12">
        <f t="shared" ca="1" si="56"/>
        <v>6.5041489399986843E-2</v>
      </c>
      <c r="N547" s="13">
        <f t="shared" ca="1" si="52"/>
        <v>-14.219730962266629</v>
      </c>
      <c r="O547" s="13">
        <f t="shared" ca="1" si="53"/>
        <v>-37.629094046194631</v>
      </c>
      <c r="P547" s="12">
        <f t="shared" ca="1" si="57"/>
        <v>2.6654767898831651</v>
      </c>
    </row>
    <row r="548" spans="1:16" x14ac:dyDescent="0.25">
      <c r="A548">
        <v>25</v>
      </c>
      <c r="B548">
        <v>19</v>
      </c>
      <c r="C548" s="2" t="s">
        <v>24</v>
      </c>
      <c r="D548" s="2" t="s">
        <v>18</v>
      </c>
      <c r="E548" s="11" cm="1">
        <f t="array" aca="1" ref="E548" ca="1">INDEX('OD flujo mercancia multimodal'!E$45:E$1645,MATCH(C548&amp;D548,'OD flujo mercancia multimodal'!C$45:C$1645&amp;'OD flujo mercancia multimodal'!D$45:D$1645,0))</f>
        <v>4988.2307692307722</v>
      </c>
      <c r="F548" s="11" cm="1">
        <f t="array" aca="1" ref="F548" ca="1">INDEX('OD flujo mercancia carretera'!E$45:E$1646,MATCH(C548&amp;D548,'OD flujo mercancia carretera'!C$45:C$1646&amp;'OD flujo mercancia carretera'!D$45:D$1646,0))</f>
        <v>156341.71794871794</v>
      </c>
      <c r="G548" s="11" cm="1">
        <f t="array" aca="1" ref="G548" ca="1">INDEX('Coste Carretera'!E$46:E$1646,MATCH(C548&amp;D548,'Coste Carretera'!C$46:C$1646&amp;'Coste Carretera'!D$46:D$1646,0))</f>
        <v>124441393.00000006</v>
      </c>
      <c r="H548" s="11" cm="1">
        <f t="array" aca="1" ref="H548" ca="1">INDEX('Coste multimodal'!E$46:E$1646,MATCH(C548&amp;D548,'Coste multimodal'!C$46:C$1646&amp;'Coste multimodal'!D$46:D$1646,0))</f>
        <v>111648341.67828615</v>
      </c>
      <c r="I548" s="12" cm="1">
        <f t="array" aca="1" ref="I548" ca="1">INDEX('Tiempos intermodal (horas)'!E$45:E$1645,MATCH(C548&amp;D548,'Tiempos intermodal (horas)'!C$45:C$1645&amp;'Tiempos intermodal (horas)'!D$45:D$1645,0))</f>
        <v>42.279094046194629</v>
      </c>
      <c r="J548" s="2" cm="1">
        <f t="array" aca="1" ref="J548" ca="1">INDEX('Tiempos carretera (horas)'!E$45:E$1645,MATCH(C548&amp;D548,'Tiempos carretera (horas)'!C$45:C$1645&amp;'Tiempos carretera (horas)'!D$45:D$1645,0))</f>
        <v>4.6500000000000004</v>
      </c>
      <c r="K548" s="12">
        <f t="shared" ca="1" si="54"/>
        <v>0.79595769211656231</v>
      </c>
      <c r="L548" s="12">
        <f t="shared" ca="1" si="55"/>
        <v>22.382352951065108</v>
      </c>
      <c r="M548" s="12">
        <f t="shared" ca="1" si="56"/>
        <v>3.0919434419158207E-2</v>
      </c>
      <c r="N548" s="13">
        <f t="shared" ca="1" si="52"/>
        <v>-21.586395258948546</v>
      </c>
      <c r="O548" s="13">
        <f t="shared" ca="1" si="53"/>
        <v>-37.629094046194631</v>
      </c>
      <c r="P548" s="12">
        <f t="shared" ca="1" si="57"/>
        <v>3.4449628196447311</v>
      </c>
    </row>
    <row r="549" spans="1:16" x14ac:dyDescent="0.25">
      <c r="A549">
        <v>37</v>
      </c>
      <c r="B549">
        <v>30</v>
      </c>
      <c r="C549" s="2" t="s">
        <v>36</v>
      </c>
      <c r="D549" s="2" t="s">
        <v>146</v>
      </c>
      <c r="E549" s="11" cm="1">
        <f t="array" aca="1" ref="E549" ca="1">INDEX('OD flujo mercancia multimodal'!E$45:E$1645,MATCH(C549&amp;D549,'OD flujo mercancia multimodal'!C$45:C$1645&amp;'OD flujo mercancia multimodal'!D$45:D$1645,0))</f>
        <v>13352.453846153847</v>
      </c>
      <c r="F549" s="11" cm="1">
        <f t="array" aca="1" ref="F549" ca="1">INDEX('OD flujo mercancia carretera'!E$45:E$1646,MATCH(C549&amp;D549,'OD flujo mercancia carretera'!C$45:C$1646&amp;'OD flujo mercancia carretera'!D$45:D$1646,0))</f>
        <v>311548.67509157513</v>
      </c>
      <c r="G549" s="11" cm="1">
        <f t="array" aca="1" ref="G549" ca="1">INDEX('Coste Carretera'!E$46:E$1646,MATCH(C549&amp;D549,'Coste Carretera'!C$46:C$1646&amp;'Coste Carretera'!D$46:D$1646,0))</f>
        <v>1651311785.6399999</v>
      </c>
      <c r="H549" s="11" cm="1">
        <f t="array" aca="1" ref="H549" ca="1">INDEX('Coste multimodal'!E$46:E$1646,MATCH(C549&amp;D549,'Coste multimodal'!C$46:C$1646&amp;'Coste multimodal'!D$46:D$1646,0))</f>
        <v>153868993.50104874</v>
      </c>
      <c r="I549" s="12" cm="1">
        <f t="array" aca="1" ref="I549" ca="1">INDEX('Tiempos intermodal (horas)'!E$45:E$1645,MATCH(C549&amp;D549,'Tiempos intermodal (horas)'!C$45:C$1645&amp;'Tiempos intermodal (horas)'!D$45:D$1645,0))</f>
        <v>53.461801804734421</v>
      </c>
      <c r="J549" s="2" cm="1">
        <f t="array" aca="1" ref="J549" ca="1">INDEX('Tiempos carretera (horas)'!E$45:E$1645,MATCH(C549&amp;D549,'Tiempos carretera (horas)'!C$45:C$1645&amp;'Tiempos carretera (horas)'!D$45:D$1645,0))</f>
        <v>9.33</v>
      </c>
      <c r="K549" s="12">
        <f t="shared" ca="1" si="54"/>
        <v>5.3003331988319999</v>
      </c>
      <c r="L549" s="12">
        <f t="shared" ca="1" si="55"/>
        <v>11.523649156471</v>
      </c>
      <c r="M549" s="12">
        <f t="shared" ca="1" si="56"/>
        <v>4.1096975839419125E-2</v>
      </c>
      <c r="N549" s="13">
        <f t="shared" ca="1" si="52"/>
        <v>-6.2233159576390005</v>
      </c>
      <c r="O549" s="13">
        <f t="shared" ca="1" si="53"/>
        <v>-44.131801804734422</v>
      </c>
      <c r="P549" s="12">
        <f t="shared" ca="1" si="57"/>
        <v>3.1498554096900468</v>
      </c>
    </row>
    <row r="550" spans="1:16" x14ac:dyDescent="0.25">
      <c r="A550">
        <v>30</v>
      </c>
      <c r="B550">
        <v>37</v>
      </c>
      <c r="C550" s="2" t="s">
        <v>146</v>
      </c>
      <c r="D550" s="2" t="s">
        <v>36</v>
      </c>
      <c r="E550" s="11" cm="1">
        <f t="array" aca="1" ref="E550" ca="1">INDEX('OD flujo mercancia multimodal'!E$45:E$1645,MATCH(C550&amp;D550,'OD flujo mercancia multimodal'!C$45:C$1645&amp;'OD flujo mercancia multimodal'!D$45:D$1645,0))</f>
        <v>11974.153846153891</v>
      </c>
      <c r="F550" s="11" cm="1">
        <f t="array" aca="1" ref="F550" ca="1">INDEX('OD flujo mercancia carretera'!E$45:E$1646,MATCH(C550&amp;D550,'OD flujo mercancia carretera'!C$45:C$1646&amp;'OD flujo mercancia carretera'!D$45:D$1646,0))</f>
        <v>310931.22673992673</v>
      </c>
      <c r="G550" s="11" cm="1">
        <f t="array" aca="1" ref="G550" ca="1">INDEX('Coste Carretera'!E$46:E$1646,MATCH(C550&amp;D550,'Coste Carretera'!C$46:C$1646&amp;'Coste Carretera'!D$46:D$1646,0))</f>
        <v>795796569.95999968</v>
      </c>
      <c r="H550" s="11" cm="1">
        <f t="array" aca="1" ref="H550" ca="1">INDEX('Coste multimodal'!E$46:E$1646,MATCH(C550&amp;D550,'Coste multimodal'!C$46:C$1646&amp;'Coste multimodal'!D$46:D$1646,0))</f>
        <v>153868993.50104874</v>
      </c>
      <c r="I550" s="12" cm="1">
        <f t="array" aca="1" ref="I550" ca="1">INDEX('Tiempos intermodal (horas)'!E$45:E$1645,MATCH(C550&amp;D550,'Tiempos intermodal (horas)'!C$45:C$1645&amp;'Tiempos intermodal (horas)'!D$45:D$1645,0))</f>
        <v>53.461801804734421</v>
      </c>
      <c r="J550" s="2" cm="1">
        <f t="array" aca="1" ref="J550" ca="1">INDEX('Tiempos carretera (horas)'!E$45:E$1645,MATCH(C550&amp;D550,'Tiempos carretera (horas)'!C$45:C$1645&amp;'Tiempos carretera (horas)'!D$45:D$1645,0))</f>
        <v>9.33</v>
      </c>
      <c r="K550" s="12">
        <f t="shared" ca="1" si="54"/>
        <v>2.5593973892677897</v>
      </c>
      <c r="L550" s="12">
        <f t="shared" ca="1" si="55"/>
        <v>12.850093249008289</v>
      </c>
      <c r="M550" s="12">
        <f t="shared" ca="1" si="56"/>
        <v>3.7082546671785184E-2</v>
      </c>
      <c r="N550" s="13">
        <f t="shared" ca="1" si="52"/>
        <v>-10.290695859740499</v>
      </c>
      <c r="O550" s="13">
        <f t="shared" ca="1" si="53"/>
        <v>-44.131801804734422</v>
      </c>
      <c r="P550" s="12">
        <f t="shared" ca="1" si="57"/>
        <v>3.2568212710690703</v>
      </c>
    </row>
    <row r="551" spans="1:16" x14ac:dyDescent="0.25">
      <c r="A551">
        <v>12</v>
      </c>
      <c r="B551">
        <v>20</v>
      </c>
      <c r="C551" s="2" t="s">
        <v>11</v>
      </c>
      <c r="D551" s="2" t="s">
        <v>19</v>
      </c>
      <c r="E551" s="11" cm="1">
        <f t="array" aca="1" ref="E551" ca="1">INDEX('OD flujo mercancia multimodal'!E$45:E$1645,MATCH(C551&amp;D551,'OD flujo mercancia multimodal'!C$45:C$1645&amp;'OD flujo mercancia multimodal'!D$45:D$1645,0))</f>
        <v>63816.076923076915</v>
      </c>
      <c r="F551" s="11" cm="1">
        <f t="array" aca="1" ref="F551" ca="1">INDEX('OD flujo mercancia carretera'!E$45:E$1646,MATCH(C551&amp;D551,'OD flujo mercancia carretera'!C$45:C$1646&amp;'OD flujo mercancia carretera'!D$45:D$1646,0))</f>
        <v>104602.89743589747</v>
      </c>
      <c r="G551" s="11" cm="1">
        <f t="array" aca="1" ref="G551" ca="1">INDEX('Coste Carretera'!E$46:E$1646,MATCH(C551&amp;D551,'Coste Carretera'!C$46:C$1646&amp;'Coste Carretera'!D$46:D$1646,0))</f>
        <v>4269964338.6399994</v>
      </c>
      <c r="H551" s="11" cm="1">
        <f t="array" aca="1" ref="H551" ca="1">INDEX('Coste multimodal'!E$46:E$1646,MATCH(C551&amp;D551,'Coste multimodal'!C$46:C$1646&amp;'Coste multimodal'!D$46:D$1646,0))</f>
        <v>594868432.80570829</v>
      </c>
      <c r="I551" s="12" cm="1">
        <f t="array" aca="1" ref="I551" ca="1">INDEX('Tiempos intermodal (horas)'!E$45:E$1645,MATCH(C551&amp;D551,'Tiempos intermodal (horas)'!C$45:C$1645&amp;'Tiempos intermodal (horas)'!D$45:D$1645,0))</f>
        <v>50.67724412009666</v>
      </c>
      <c r="J551" s="2" cm="1">
        <f t="array" aca="1" ref="J551" ca="1">INDEX('Tiempos carretera (horas)'!E$45:E$1645,MATCH(C551&amp;D551,'Tiempos carretera (horas)'!C$45:C$1645&amp;'Tiempos carretera (horas)'!D$45:D$1645,0))</f>
        <v>12.82</v>
      </c>
      <c r="K551" s="12">
        <f t="shared" ca="1" si="54"/>
        <v>40.820708061712246</v>
      </c>
      <c r="L551" s="12">
        <f t="shared" ca="1" si="55"/>
        <v>9.3216076808161539</v>
      </c>
      <c r="M551" s="12">
        <f t="shared" ca="1" si="56"/>
        <v>0.37891263241549605</v>
      </c>
      <c r="N551" s="13">
        <f t="shared" ca="1" si="52"/>
        <v>31.499100380896092</v>
      </c>
      <c r="O551" s="13">
        <f t="shared" ca="1" si="53"/>
        <v>-37.857244120096659</v>
      </c>
      <c r="P551" s="12">
        <f t="shared" ca="1" si="57"/>
        <v>0.49416610340249306</v>
      </c>
    </row>
    <row r="552" spans="1:16" x14ac:dyDescent="0.25">
      <c r="A552">
        <v>20</v>
      </c>
      <c r="B552">
        <v>12</v>
      </c>
      <c r="C552" s="2" t="s">
        <v>19</v>
      </c>
      <c r="D552" s="2" t="s">
        <v>11</v>
      </c>
      <c r="E552" s="11" cm="1">
        <f t="array" aca="1" ref="E552" ca="1">INDEX('OD flujo mercancia multimodal'!E$45:E$1645,MATCH(C552&amp;D552,'OD flujo mercancia multimodal'!C$45:C$1645&amp;'OD flujo mercancia multimodal'!D$45:D$1645,0))</f>
        <v>50186.769230769234</v>
      </c>
      <c r="F552" s="11" cm="1">
        <f t="array" aca="1" ref="F552" ca="1">INDEX('OD flujo mercancia carretera'!E$45:E$1646,MATCH(C552&amp;D552,'OD flujo mercancia carretera'!C$45:C$1646&amp;'OD flujo mercancia carretera'!D$45:D$1646,0))</f>
        <v>103590.41025641024</v>
      </c>
      <c r="G552" s="11" cm="1">
        <f t="array" aca="1" ref="G552" ca="1">INDEX('Coste Carretera'!E$46:E$1646,MATCH(C552&amp;D552,'Coste Carretera'!C$46:C$1646&amp;'Coste Carretera'!D$46:D$1646,0))</f>
        <v>3358020818.8800001</v>
      </c>
      <c r="H552" s="11" cm="1">
        <f t="array" aca="1" ref="H552" ca="1">INDEX('Coste multimodal'!E$46:E$1646,MATCH(C552&amp;D552,'Coste multimodal'!C$46:C$1646&amp;'Coste multimodal'!D$46:D$1646,0))</f>
        <v>594868432.80570829</v>
      </c>
      <c r="I552" s="12" cm="1">
        <f t="array" aca="1" ref="I552" ca="1">INDEX('Tiempos intermodal (horas)'!E$45:E$1645,MATCH(C552&amp;D552,'Tiempos intermodal (horas)'!C$45:C$1645&amp;'Tiempos intermodal (horas)'!D$45:D$1645,0))</f>
        <v>50.67724412009666</v>
      </c>
      <c r="J552" s="2" cm="1">
        <f t="array" aca="1" ref="J552" ca="1">INDEX('Tiempos carretera (horas)'!E$45:E$1645,MATCH(C552&amp;D552,'Tiempos carretera (horas)'!C$45:C$1645&amp;'Tiempos carretera (horas)'!D$45:D$1645,0))</f>
        <v>12.82</v>
      </c>
      <c r="K552" s="12">
        <f t="shared" ca="1" si="54"/>
        <v>32.416328988060975</v>
      </c>
      <c r="L552" s="12">
        <f t="shared" ca="1" si="55"/>
        <v>11.853092795640604</v>
      </c>
      <c r="M552" s="12">
        <f t="shared" ca="1" si="56"/>
        <v>0.32636031820933059</v>
      </c>
      <c r="N552" s="13">
        <f t="shared" ca="1" si="52"/>
        <v>20.563236192420369</v>
      </c>
      <c r="O552" s="13">
        <f t="shared" ca="1" si="53"/>
        <v>-37.857244120096659</v>
      </c>
      <c r="P552" s="12">
        <f t="shared" ca="1" si="57"/>
        <v>0.72469332962911759</v>
      </c>
    </row>
    <row r="553" spans="1:16" x14ac:dyDescent="0.25">
      <c r="A553">
        <v>12</v>
      </c>
      <c r="B553">
        <v>21</v>
      </c>
      <c r="C553" s="2" t="s">
        <v>11</v>
      </c>
      <c r="D553" s="2" t="s">
        <v>20</v>
      </c>
      <c r="E553" s="11" cm="1">
        <f t="array" aca="1" ref="E553" ca="1">INDEX('OD flujo mercancia multimodal'!E$45:E$1645,MATCH(C553&amp;D553,'OD flujo mercancia multimodal'!C$45:C$1645&amp;'OD flujo mercancia multimodal'!D$45:D$1645,0))</f>
        <v>42660.692307692319</v>
      </c>
      <c r="F553" s="11" cm="1">
        <f t="array" aca="1" ref="F553" ca="1">INDEX('OD flujo mercancia carretera'!E$45:E$1646,MATCH(C553&amp;D553,'OD flujo mercancia carretera'!C$45:C$1646&amp;'OD flujo mercancia carretera'!D$45:D$1646,0))</f>
        <v>148754.56410256377</v>
      </c>
      <c r="G553" s="11" cm="1">
        <f t="array" aca="1" ref="G553" ca="1">INDEX('Coste Carretera'!E$46:E$1646,MATCH(C553&amp;D553,'Coste Carretera'!C$46:C$1646&amp;'Coste Carretera'!D$46:D$1646,0))</f>
        <v>3150198621.3600006</v>
      </c>
      <c r="H553" s="11" cm="1">
        <f t="array" aca="1" ref="H553" ca="1">INDEX('Coste multimodal'!E$46:E$1646,MATCH(C553&amp;D553,'Coste multimodal'!C$46:C$1646&amp;'Coste multimodal'!D$46:D$1646,0))</f>
        <v>337191211.23469025</v>
      </c>
      <c r="I553" s="12" cm="1">
        <f t="array" aca="1" ref="I553" ca="1">INDEX('Tiempos intermodal (horas)'!E$45:E$1645,MATCH(C553&amp;D553,'Tiempos intermodal (horas)'!C$45:C$1645&amp;'Tiempos intermodal (horas)'!D$45:D$1645,0))</f>
        <v>52.023897094359981</v>
      </c>
      <c r="J553" s="2" cm="1">
        <f t="array" aca="1" ref="J553" ca="1">INDEX('Tiempos carretera (horas)'!E$45:E$1645,MATCH(C553&amp;D553,'Tiempos carretera (horas)'!C$45:C$1645&amp;'Tiempos carretera (horas)'!D$45:D$1645,0))</f>
        <v>14.15</v>
      </c>
      <c r="K553" s="12">
        <f t="shared" ca="1" si="54"/>
        <v>21.177156078303533</v>
      </c>
      <c r="L553" s="12">
        <f t="shared" ca="1" si="55"/>
        <v>7.9040257669210385</v>
      </c>
      <c r="M553" s="12">
        <f t="shared" ca="1" si="56"/>
        <v>0.22286986475236123</v>
      </c>
      <c r="N553" s="13">
        <f t="shared" ca="1" si="52"/>
        <v>13.273130311382495</v>
      </c>
      <c r="O553" s="13">
        <f t="shared" ca="1" si="53"/>
        <v>-37.873897094359982</v>
      </c>
      <c r="P553" s="12">
        <f t="shared" ca="1" si="57"/>
        <v>1.2490197855887044</v>
      </c>
    </row>
    <row r="554" spans="1:16" x14ac:dyDescent="0.25">
      <c r="A554">
        <v>21</v>
      </c>
      <c r="B554">
        <v>12</v>
      </c>
      <c r="C554" s="2" t="s">
        <v>20</v>
      </c>
      <c r="D554" s="2" t="s">
        <v>11</v>
      </c>
      <c r="E554" s="11" cm="1">
        <f t="array" aca="1" ref="E554" ca="1">INDEX('OD flujo mercancia multimodal'!E$45:E$1645,MATCH(C554&amp;D554,'OD flujo mercancia multimodal'!C$45:C$1645&amp;'OD flujo mercancia multimodal'!D$45:D$1645,0))</f>
        <v>41405.538461538461</v>
      </c>
      <c r="F554" s="11" cm="1">
        <f t="array" aca="1" ref="F554" ca="1">INDEX('OD flujo mercancia carretera'!E$45:E$1646,MATCH(C554&amp;D554,'OD flujo mercancia carretera'!C$45:C$1646&amp;'OD flujo mercancia carretera'!D$45:D$1646,0))</f>
        <v>152003.07692307691</v>
      </c>
      <c r="G554" s="11" cm="1">
        <f t="array" aca="1" ref="G554" ca="1">INDEX('Coste Carretera'!E$46:E$1646,MATCH(C554&amp;D554,'Coste Carretera'!C$46:C$1646&amp;'Coste Carretera'!D$46:D$1646,0))</f>
        <v>3057514145.2800002</v>
      </c>
      <c r="H554" s="11" cm="1">
        <f t="array" aca="1" ref="H554" ca="1">INDEX('Coste multimodal'!E$46:E$1646,MATCH(C554&amp;D554,'Coste multimodal'!C$46:C$1646&amp;'Coste multimodal'!D$46:D$1646,0))</f>
        <v>337191211.23469025</v>
      </c>
      <c r="I554" s="12" cm="1">
        <f t="array" aca="1" ref="I554" ca="1">INDEX('Tiempos intermodal (horas)'!E$45:E$1645,MATCH(C554&amp;D554,'Tiempos intermodal (horas)'!C$45:C$1645&amp;'Tiempos intermodal (horas)'!D$45:D$1645,0))</f>
        <v>52.023897094359981</v>
      </c>
      <c r="J554" s="2" cm="1">
        <f t="array" aca="1" ref="J554" ca="1">INDEX('Tiempos carretera (horas)'!E$45:E$1645,MATCH(C554&amp;D554,'Tiempos carretera (horas)'!C$45:C$1645&amp;'Tiempos carretera (horas)'!D$45:D$1645,0))</f>
        <v>14.15</v>
      </c>
      <c r="K554" s="12">
        <f t="shared" ca="1" si="54"/>
        <v>20.114817457460379</v>
      </c>
      <c r="L554" s="12">
        <f t="shared" ca="1" si="55"/>
        <v>8.1436257989473226</v>
      </c>
      <c r="M554" s="12">
        <f t="shared" ca="1" si="56"/>
        <v>0.21408321640273761</v>
      </c>
      <c r="N554" s="13">
        <f t="shared" ca="1" si="52"/>
        <v>11.971191658513057</v>
      </c>
      <c r="O554" s="13">
        <f t="shared" ca="1" si="53"/>
        <v>-37.873897094359982</v>
      </c>
      <c r="P554" s="12">
        <f t="shared" ca="1" si="57"/>
        <v>1.3004861124085361</v>
      </c>
    </row>
    <row r="555" spans="1:16" x14ac:dyDescent="0.25">
      <c r="A555">
        <v>9</v>
      </c>
      <c r="B555">
        <v>13</v>
      </c>
      <c r="C555" s="2" t="s">
        <v>148</v>
      </c>
      <c r="D555" s="2" t="s">
        <v>12</v>
      </c>
      <c r="E555" s="11" cm="1">
        <f t="array" aca="1" ref="E555" ca="1">INDEX('OD flujo mercancia multimodal'!E$45:E$1645,MATCH(C555&amp;D555,'OD flujo mercancia multimodal'!C$45:C$1645&amp;'OD flujo mercancia multimodal'!D$45:D$1645,0))</f>
        <v>4211.8846153846198</v>
      </c>
      <c r="F555" s="11" cm="1">
        <f t="array" aca="1" ref="F555" ca="1">INDEX('OD flujo mercancia carretera'!E$45:E$1646,MATCH(C555&amp;D555,'OD flujo mercancia carretera'!C$45:C$1646&amp;'OD flujo mercancia carretera'!D$45:D$1646,0))</f>
        <v>598854.83547008561</v>
      </c>
      <c r="G555" s="11" cm="1">
        <f t="array" aca="1" ref="G555" ca="1">INDEX('Coste Carretera'!E$46:E$1646,MATCH(C555&amp;D555,'Coste Carretera'!C$46:C$1646&amp;'Coste Carretera'!D$46:D$1646,0))</f>
        <v>360126917.04000038</v>
      </c>
      <c r="H555" s="11" cm="1">
        <f t="array" aca="1" ref="H555" ca="1">INDEX('Coste multimodal'!E$46:E$1646,MATCH(C555&amp;D555,'Coste multimodal'!C$46:C$1646&amp;'Coste multimodal'!D$46:D$1646,0))</f>
        <v>414270737.74308693</v>
      </c>
      <c r="I555" s="12" cm="1">
        <f t="array" aca="1" ref="I555" ca="1">INDEX('Tiempos intermodal (horas)'!E$45:E$1645,MATCH(C555&amp;D555,'Tiempos intermodal (horas)'!C$45:C$1645&amp;'Tiempos intermodal (horas)'!D$45:D$1645,0))</f>
        <v>55.765461004950261</v>
      </c>
      <c r="J555" s="2" cm="1">
        <f t="array" aca="1" ref="J555" ca="1">INDEX('Tiempos carretera (horas)'!E$45:E$1645,MATCH(C555&amp;D555,'Tiempos carretera (horas)'!C$45:C$1645&amp;'Tiempos carretera (horas)'!D$45:D$1645,0))</f>
        <v>17.53</v>
      </c>
      <c r="K555" s="12">
        <f t="shared" ca="1" si="54"/>
        <v>0.60135928727587218</v>
      </c>
      <c r="L555" s="12">
        <f t="shared" ca="1" si="55"/>
        <v>98.35757044005743</v>
      </c>
      <c r="M555" s="12">
        <f t="shared" ca="1" si="56"/>
        <v>6.9841105056960961E-3</v>
      </c>
      <c r="N555" s="13">
        <f t="shared" ca="1" si="52"/>
        <v>-97.75621115278156</v>
      </c>
      <c r="O555" s="13">
        <f t="shared" ca="1" si="53"/>
        <v>-38.23546100495026</v>
      </c>
      <c r="P555" s="12">
        <f t="shared" ca="1" si="57"/>
        <v>4.9571090243156926</v>
      </c>
    </row>
    <row r="556" spans="1:16" x14ac:dyDescent="0.25">
      <c r="A556">
        <v>13</v>
      </c>
      <c r="B556">
        <v>9</v>
      </c>
      <c r="C556" s="2" t="s">
        <v>12</v>
      </c>
      <c r="D556" s="2" t="s">
        <v>148</v>
      </c>
      <c r="E556" s="11" cm="1">
        <f t="array" aca="1" ref="E556" ca="1">INDEX('OD flujo mercancia multimodal'!E$45:E$1645,MATCH(C556&amp;D556,'OD flujo mercancia multimodal'!C$45:C$1645&amp;'OD flujo mercancia multimodal'!D$45:D$1645,0))</f>
        <v>2406.3006993006989</v>
      </c>
      <c r="F556" s="11" cm="1">
        <f t="array" aca="1" ref="F556" ca="1">INDEX('OD flujo mercancia carretera'!E$45:E$1646,MATCH(C556&amp;D556,'OD flujo mercancia carretera'!C$45:C$1646&amp;'OD flujo mercancia carretera'!D$45:D$1646,0))</f>
        <v>593216.92948717973</v>
      </c>
      <c r="G556" s="11" cm="1">
        <f t="array" aca="1" ref="G556" ca="1">INDEX('Coste Carretera'!E$46:E$1646,MATCH(C556&amp;D556,'Coste Carretera'!C$46:C$1646&amp;'Coste Carretera'!D$46:D$1646,0))</f>
        <v>205744869.91999993</v>
      </c>
      <c r="H556" s="11" cm="1">
        <f t="array" aca="1" ref="H556" ca="1">INDEX('Coste multimodal'!E$46:E$1646,MATCH(C556&amp;D556,'Coste multimodal'!C$46:C$1646&amp;'Coste multimodal'!D$46:D$1646,0))</f>
        <v>414270737.74308693</v>
      </c>
      <c r="I556" s="12" cm="1">
        <f t="array" aca="1" ref="I556" ca="1">INDEX('Tiempos intermodal (horas)'!E$45:E$1645,MATCH(C556&amp;D556,'Tiempos intermodal (horas)'!C$45:C$1645&amp;'Tiempos intermodal (horas)'!D$45:D$1645,0))</f>
        <v>55.765461004950261</v>
      </c>
      <c r="J556" s="2" cm="1">
        <f t="array" aca="1" ref="J556" ca="1">INDEX('Tiempos carretera (horas)'!E$45:E$1645,MATCH(C556&amp;D556,'Tiempos carretera (horas)'!C$45:C$1645&amp;'Tiempos carretera (horas)'!D$45:D$1645,0))</f>
        <v>17.53</v>
      </c>
      <c r="K556" s="12">
        <f t="shared" ca="1" si="54"/>
        <v>0.3468290598143598</v>
      </c>
      <c r="L556" s="12">
        <f t="shared" ca="1" si="55"/>
        <v>172.16083503756585</v>
      </c>
      <c r="M556" s="12">
        <f t="shared" ca="1" si="56"/>
        <v>4.0399712055342821E-3</v>
      </c>
      <c r="N556" s="13">
        <f t="shared" ca="1" si="52"/>
        <v>-171.81400597775149</v>
      </c>
      <c r="O556" s="13">
        <f t="shared" ca="1" si="53"/>
        <v>-38.23546100495026</v>
      </c>
      <c r="P556" s="12">
        <f t="shared" ca="1" si="57"/>
        <v>5.5074695604421748</v>
      </c>
    </row>
    <row r="557" spans="1:16" x14ac:dyDescent="0.25">
      <c r="A557">
        <v>13</v>
      </c>
      <c r="B557">
        <v>1</v>
      </c>
      <c r="C557" s="2" t="s">
        <v>12</v>
      </c>
      <c r="D557" s="2" t="s">
        <v>0</v>
      </c>
      <c r="E557" s="11" cm="1">
        <f t="array" aca="1" ref="E557" ca="1">INDEX('OD flujo mercancia multimodal'!E$45:E$1645,MATCH(C557&amp;D557,'OD flujo mercancia multimodal'!C$45:C$1645&amp;'OD flujo mercancia multimodal'!D$45:D$1645,0))</f>
        <v>94288.917582417562</v>
      </c>
      <c r="F557" s="11" cm="1">
        <f t="array" aca="1" ref="F557" ca="1">INDEX('OD flujo mercancia carretera'!E$45:E$1646,MATCH(C557&amp;D557,'OD flujo mercancia carretera'!C$45:C$1646&amp;'OD flujo mercancia carretera'!D$45:D$1646,0))</f>
        <v>71621.153846153888</v>
      </c>
      <c r="G557" s="11" cm="1">
        <f t="array" aca="1" ref="G557" ca="1">INDEX('Coste Carretera'!E$46:E$1646,MATCH(C557&amp;D557,'Coste Carretera'!C$46:C$1646&amp;'Coste Carretera'!D$46:D$1646,0))</f>
        <v>6908115262.2428551</v>
      </c>
      <c r="H557" s="11" cm="1">
        <f t="array" aca="1" ref="H557" ca="1">INDEX('Coste multimodal'!E$46:E$1646,MATCH(C557&amp;D557,'Coste multimodal'!C$46:C$1646&amp;'Coste multimodal'!D$46:D$1646,0))</f>
        <v>546931364.00451553</v>
      </c>
      <c r="I557" s="12" cm="1">
        <f t="array" aca="1" ref="I557" ca="1">INDEX('Tiempos intermodal (horas)'!E$45:E$1645,MATCH(C557&amp;D557,'Tiempos intermodal (horas)'!C$45:C$1645&amp;'Tiempos intermodal (horas)'!D$45:D$1645,0))</f>
        <v>53.304349893839145</v>
      </c>
      <c r="J557" s="2" cm="1">
        <f t="array" aca="1" ref="J557" ca="1">INDEX('Tiempos carretera (horas)'!E$45:E$1645,MATCH(C557&amp;D557,'Tiempos carretera (horas)'!C$45:C$1645&amp;'Tiempos carretera (horas)'!D$45:D$1645,0))</f>
        <v>15.01</v>
      </c>
      <c r="K557" s="12">
        <f t="shared" ca="1" si="54"/>
        <v>96.453560034537574</v>
      </c>
      <c r="L557" s="12">
        <f t="shared" ca="1" si="55"/>
        <v>5.8005901226561969</v>
      </c>
      <c r="M557" s="12">
        <f t="shared" ca="1" si="56"/>
        <v>0.56831340478936121</v>
      </c>
      <c r="N557" s="13">
        <f t="shared" ca="1" si="52"/>
        <v>90.652969911881371</v>
      </c>
      <c r="O557" s="13">
        <f t="shared" ca="1" si="53"/>
        <v>-38.294349893839147</v>
      </c>
      <c r="P557" s="12">
        <f t="shared" ca="1" si="57"/>
        <v>-0.27497318463694526</v>
      </c>
    </row>
    <row r="558" spans="1:16" x14ac:dyDescent="0.25">
      <c r="A558">
        <v>1</v>
      </c>
      <c r="B558">
        <v>13</v>
      </c>
      <c r="C558" s="2" t="s">
        <v>0</v>
      </c>
      <c r="D558" s="2" t="s">
        <v>12</v>
      </c>
      <c r="E558" s="11" cm="1">
        <f t="array" aca="1" ref="E558" ca="1">INDEX('OD flujo mercancia multimodal'!E$45:E$1645,MATCH(C558&amp;D558,'OD flujo mercancia multimodal'!C$45:C$1645&amp;'OD flujo mercancia multimodal'!D$45:D$1645,0))</f>
        <v>88914.456043956059</v>
      </c>
      <c r="F558" s="11" cm="1">
        <f t="array" aca="1" ref="F558" ca="1">INDEX('OD flujo mercancia carretera'!E$45:E$1646,MATCH(C558&amp;D558,'OD flujo mercancia carretera'!C$45:C$1646&amp;'OD flujo mercancia carretera'!D$45:D$1646,0))</f>
        <v>71708.538461538497</v>
      </c>
      <c r="G558" s="11" cm="1">
        <f t="array" aca="1" ref="G558" ca="1">INDEX('Coste Carretera'!E$46:E$1646,MATCH(C558&amp;D558,'Coste Carretera'!C$46:C$1646&amp;'Coste Carretera'!D$46:D$1646,0))</f>
        <v>6514353187.8428583</v>
      </c>
      <c r="H558" s="11" cm="1">
        <f t="array" aca="1" ref="H558" ca="1">INDEX('Coste multimodal'!E$46:E$1646,MATCH(C558&amp;D558,'Coste multimodal'!C$46:C$1646&amp;'Coste multimodal'!D$46:D$1646,0))</f>
        <v>546931364.00451553</v>
      </c>
      <c r="I558" s="12" cm="1">
        <f t="array" aca="1" ref="I558" ca="1">INDEX('Tiempos intermodal (horas)'!E$45:E$1645,MATCH(C558&amp;D558,'Tiempos intermodal (horas)'!C$45:C$1645&amp;'Tiempos intermodal (horas)'!D$45:D$1645,0))</f>
        <v>53.304349893839145</v>
      </c>
      <c r="J558" s="2" cm="1">
        <f t="array" aca="1" ref="J558" ca="1">INDEX('Tiempos carretera (horas)'!E$45:E$1645,MATCH(C558&amp;D558,'Tiempos carretera (horas)'!C$45:C$1645&amp;'Tiempos carretera (horas)'!D$45:D$1645,0))</f>
        <v>15.01</v>
      </c>
      <c r="K558" s="12">
        <f t="shared" ca="1" si="54"/>
        <v>90.844874649577321</v>
      </c>
      <c r="L558" s="12">
        <f t="shared" ca="1" si="55"/>
        <v>6.1512085698880359</v>
      </c>
      <c r="M558" s="12">
        <f t="shared" ca="1" si="56"/>
        <v>0.55355994524753116</v>
      </c>
      <c r="N558" s="13">
        <f t="shared" ca="1" si="52"/>
        <v>84.69366607968928</v>
      </c>
      <c r="O558" s="13">
        <f t="shared" ca="1" si="53"/>
        <v>-38.294349893839147</v>
      </c>
      <c r="P558" s="12">
        <f t="shared" ca="1" si="57"/>
        <v>-0.21506491301809977</v>
      </c>
    </row>
    <row r="559" spans="1:16" x14ac:dyDescent="0.25">
      <c r="A559">
        <v>14</v>
      </c>
      <c r="B559">
        <v>21</v>
      </c>
      <c r="C559" s="2" t="s">
        <v>13</v>
      </c>
      <c r="D559" s="2" t="s">
        <v>20</v>
      </c>
      <c r="E559" s="11" cm="1">
        <f t="array" aca="1" ref="E559" ca="1">INDEX('OD flujo mercancia multimodal'!E$45:E$1645,MATCH(C559&amp;D559,'OD flujo mercancia multimodal'!C$45:C$1645&amp;'OD flujo mercancia multimodal'!D$45:D$1645,0))</f>
        <v>48858.384615384624</v>
      </c>
      <c r="F559" s="11" cm="1">
        <f t="array" aca="1" ref="F559" ca="1">INDEX('OD flujo mercancia carretera'!E$45:E$1646,MATCH(C559&amp;D559,'OD flujo mercancia carretera'!C$45:C$1646&amp;'OD flujo mercancia carretera'!D$45:D$1646,0))</f>
        <v>211412.94871794837</v>
      </c>
      <c r="G559" s="11" cm="1">
        <f t="array" aca="1" ref="G559" ca="1">INDEX('Coste Carretera'!E$46:E$1646,MATCH(C559&amp;D559,'Coste Carretera'!C$46:C$1646&amp;'Coste Carretera'!D$46:D$1646,0))</f>
        <v>2889363697.3600001</v>
      </c>
      <c r="H559" s="11" cm="1">
        <f t="array" aca="1" ref="H559" ca="1">INDEX('Coste multimodal'!E$46:E$1646,MATCH(C559&amp;D559,'Coste multimodal'!C$46:C$1646&amp;'Coste multimodal'!D$46:D$1646,0))</f>
        <v>266012999.93841586</v>
      </c>
      <c r="I559" s="12" cm="1">
        <f t="array" aca="1" ref="I559" ca="1">INDEX('Tiempos intermodal (horas)'!E$45:E$1645,MATCH(C559&amp;D559,'Tiempos intermodal (horas)'!C$45:C$1645&amp;'Tiempos intermodal (horas)'!D$45:D$1645,0))</f>
        <v>49.709385533971464</v>
      </c>
      <c r="J559" s="2" cm="1">
        <f t="array" aca="1" ref="J559" ca="1">INDEX('Tiempos carretera (horas)'!E$45:E$1645,MATCH(C559&amp;D559,'Tiempos carretera (horas)'!C$45:C$1645&amp;'Tiempos carretera (horas)'!D$45:D$1645,0))</f>
        <v>11.28</v>
      </c>
      <c r="K559" s="12">
        <f t="shared" ca="1" si="54"/>
        <v>13.666919244453551</v>
      </c>
      <c r="L559" s="12">
        <f t="shared" ca="1" si="55"/>
        <v>5.4445721452414366</v>
      </c>
      <c r="M559" s="12">
        <f t="shared" ca="1" si="56"/>
        <v>0.18772096023656604</v>
      </c>
      <c r="N559" s="13">
        <f t="shared" ca="1" si="52"/>
        <v>8.222347099212115</v>
      </c>
      <c r="O559" s="13">
        <f t="shared" ca="1" si="53"/>
        <v>-38.429385533971463</v>
      </c>
      <c r="P559" s="12">
        <f t="shared" ca="1" si="57"/>
        <v>1.4648873199851937</v>
      </c>
    </row>
    <row r="560" spans="1:16" x14ac:dyDescent="0.25">
      <c r="A560">
        <v>21</v>
      </c>
      <c r="B560">
        <v>14</v>
      </c>
      <c r="C560" s="2" t="s">
        <v>20</v>
      </c>
      <c r="D560" s="2" t="s">
        <v>13</v>
      </c>
      <c r="E560" s="11" cm="1">
        <f t="array" aca="1" ref="E560" ca="1">INDEX('OD flujo mercancia multimodal'!E$45:E$1645,MATCH(C560&amp;D560,'OD flujo mercancia multimodal'!C$45:C$1645&amp;'OD flujo mercancia multimodal'!D$45:D$1645,0))</f>
        <v>47108.923076923063</v>
      </c>
      <c r="F560" s="11" cm="1">
        <f t="array" aca="1" ref="F560" ca="1">INDEX('OD flujo mercancia carretera'!E$45:E$1646,MATCH(C560&amp;D560,'OD flujo mercancia carretera'!C$45:C$1646&amp;'OD flujo mercancia carretera'!D$45:D$1646,0))</f>
        <v>280155.76923076902</v>
      </c>
      <c r="G560" s="11" cm="1">
        <f t="array" aca="1" ref="G560" ca="1">INDEX('Coste Carretera'!E$46:E$1646,MATCH(C560&amp;D560,'Coste Carretera'!C$46:C$1646&amp;'Coste Carretera'!D$46:D$1646,0))</f>
        <v>2785904880.6399989</v>
      </c>
      <c r="H560" s="11" cm="1">
        <f t="array" aca="1" ref="H560" ca="1">INDEX('Coste multimodal'!E$46:E$1646,MATCH(C560&amp;D560,'Coste multimodal'!C$46:C$1646&amp;'Coste multimodal'!D$46:D$1646,0))</f>
        <v>266012999.93841586</v>
      </c>
      <c r="I560" s="12" cm="1">
        <f t="array" aca="1" ref="I560" ca="1">INDEX('Tiempos intermodal (horas)'!E$45:E$1645,MATCH(C560&amp;D560,'Tiempos intermodal (horas)'!C$45:C$1645&amp;'Tiempos intermodal (horas)'!D$45:D$1645,0))</f>
        <v>49.709385533971464</v>
      </c>
      <c r="J560" s="2" cm="1">
        <f t="array" aca="1" ref="J560" ca="1">INDEX('Tiempos carretera (horas)'!E$45:E$1645,MATCH(C560&amp;D560,'Tiempos carretera (horas)'!C$45:C$1645&amp;'Tiempos carretera (horas)'!D$45:D$1645,0))</f>
        <v>11.28</v>
      </c>
      <c r="K560" s="12">
        <f t="shared" ca="1" si="54"/>
        <v>9.9441281837219702</v>
      </c>
      <c r="L560" s="12">
        <f t="shared" ca="1" si="55"/>
        <v>5.6467646162076219</v>
      </c>
      <c r="M560" s="12">
        <f t="shared" ca="1" si="56"/>
        <v>0.1439474657187631</v>
      </c>
      <c r="N560" s="13">
        <f t="shared" ca="1" si="52"/>
        <v>4.2973635675143482</v>
      </c>
      <c r="O560" s="13">
        <f t="shared" ca="1" si="53"/>
        <v>-38.429385533971463</v>
      </c>
      <c r="P560" s="12">
        <f t="shared" ca="1" si="57"/>
        <v>1.7828833344674373</v>
      </c>
    </row>
    <row r="561" spans="1:16" x14ac:dyDescent="0.25">
      <c r="A561">
        <v>13</v>
      </c>
      <c r="B561">
        <v>36</v>
      </c>
      <c r="C561" s="2" t="s">
        <v>12</v>
      </c>
      <c r="D561" s="2" t="s">
        <v>35</v>
      </c>
      <c r="E561" s="11" cm="1">
        <f t="array" aca="1" ref="E561" ca="1">INDEX('OD flujo mercancia multimodal'!E$45:E$1645,MATCH(C561&amp;D561,'OD flujo mercancia multimodal'!C$45:C$1645&amp;'OD flujo mercancia multimodal'!D$45:D$1645,0))</f>
        <v>5528.692307692304</v>
      </c>
      <c r="F561" s="11" cm="1">
        <f t="array" aca="1" ref="F561" ca="1">INDEX('OD flujo mercancia carretera'!E$45:E$1646,MATCH(C561&amp;D561,'OD flujo mercancia carretera'!C$45:C$1646&amp;'OD flujo mercancia carretera'!D$45:D$1646,0))</f>
        <v>114410.23076923079</v>
      </c>
      <c r="G561" s="11" cm="1">
        <f t="array" aca="1" ref="G561" ca="1">INDEX('Coste Carretera'!E$46:E$1646,MATCH(C561&amp;D561,'Coste Carretera'!C$46:C$1646&amp;'Coste Carretera'!D$46:D$1646,0))</f>
        <v>1943661727.5200012</v>
      </c>
      <c r="H561" s="11" cm="1">
        <f t="array" aca="1" ref="H561" ca="1">INDEX('Coste multimodal'!E$46:E$1646,MATCH(C561&amp;D561,'Coste multimodal'!C$46:C$1646&amp;'Coste multimodal'!D$46:D$1646,0))</f>
        <v>408543339.22708696</v>
      </c>
      <c r="I561" s="12" cm="1">
        <f t="array" aca="1" ref="I561" ca="1">INDEX('Tiempos intermodal (horas)'!E$45:E$1645,MATCH(C561&amp;D561,'Tiempos intermodal (horas)'!C$45:C$1645&amp;'Tiempos intermodal (horas)'!D$45:D$1645,0))</f>
        <v>53.92434989383915</v>
      </c>
      <c r="J561" s="2" cm="1">
        <f t="array" aca="1" ref="J561" ca="1">INDEX('Tiempos carretera (horas)'!E$45:E$1645,MATCH(C561&amp;D561,'Tiempos carretera (horas)'!C$45:C$1645&amp;'Tiempos carretera (horas)'!D$45:D$1645,0))</f>
        <v>15.28</v>
      </c>
      <c r="K561" s="12">
        <f t="shared" ca="1" si="54"/>
        <v>16.988530784807445</v>
      </c>
      <c r="L561" s="12">
        <f t="shared" ca="1" si="55"/>
        <v>73.895112350286396</v>
      </c>
      <c r="M561" s="12">
        <f t="shared" ca="1" si="56"/>
        <v>4.6095897527331182E-2</v>
      </c>
      <c r="N561" s="13">
        <f t="shared" ca="1" si="52"/>
        <v>-56.906581565478952</v>
      </c>
      <c r="O561" s="13">
        <f t="shared" ca="1" si="53"/>
        <v>-38.644349893839149</v>
      </c>
      <c r="P561" s="12">
        <f t="shared" ca="1" si="57"/>
        <v>3.029839189566192</v>
      </c>
    </row>
    <row r="562" spans="1:16" x14ac:dyDescent="0.25">
      <c r="A562">
        <v>36</v>
      </c>
      <c r="B562">
        <v>13</v>
      </c>
      <c r="C562" s="2" t="s">
        <v>35</v>
      </c>
      <c r="D562" s="2" t="s">
        <v>12</v>
      </c>
      <c r="E562" s="11" cm="1">
        <f t="array" aca="1" ref="E562" ca="1">INDEX('OD flujo mercancia multimodal'!E$45:E$1645,MATCH(C562&amp;D562,'OD flujo mercancia multimodal'!C$45:C$1645&amp;'OD flujo mercancia multimodal'!D$45:D$1645,0))</f>
        <v>5402.6153846153884</v>
      </c>
      <c r="F562" s="11" cm="1">
        <f t="array" aca="1" ref="F562" ca="1">INDEX('OD flujo mercancia carretera'!E$45:E$1646,MATCH(C562&amp;D562,'OD flujo mercancia carretera'!C$45:C$1646&amp;'OD flujo mercancia carretera'!D$45:D$1646,0))</f>
        <v>116305.46153846158</v>
      </c>
      <c r="G562" s="11" cm="1">
        <f t="array" aca="1" ref="G562" ca="1">INDEX('Coste Carretera'!E$46:E$1646,MATCH(C562&amp;D562,'Coste Carretera'!C$46:C$1646&amp;'Coste Carretera'!D$46:D$1646,0))</f>
        <v>1017601090.3200003</v>
      </c>
      <c r="H562" s="11" cm="1">
        <f t="array" aca="1" ref="H562" ca="1">INDEX('Coste multimodal'!E$46:E$1646,MATCH(C562&amp;D562,'Coste multimodal'!C$46:C$1646&amp;'Coste multimodal'!D$46:D$1646,0))</f>
        <v>408543339.22708696</v>
      </c>
      <c r="I562" s="12" cm="1">
        <f t="array" aca="1" ref="I562" ca="1">INDEX('Tiempos intermodal (horas)'!E$45:E$1645,MATCH(C562&amp;D562,'Tiempos intermodal (horas)'!C$45:C$1645&amp;'Tiempos intermodal (horas)'!D$45:D$1645,0))</f>
        <v>53.92434989383915</v>
      </c>
      <c r="J562" s="2" cm="1">
        <f t="array" aca="1" ref="J562" ca="1">INDEX('Tiempos carretera (horas)'!E$45:E$1645,MATCH(C562&amp;D562,'Tiempos carretera (horas)'!C$45:C$1645&amp;'Tiempos carretera (horas)'!D$45:D$1645,0))</f>
        <v>15.28</v>
      </c>
      <c r="K562" s="12">
        <f t="shared" ca="1" si="54"/>
        <v>8.7493835359011509</v>
      </c>
      <c r="L562" s="12">
        <f t="shared" ca="1" si="55"/>
        <v>75.619549078112115</v>
      </c>
      <c r="M562" s="12">
        <f t="shared" ca="1" si="56"/>
        <v>4.438994946925337E-2</v>
      </c>
      <c r="N562" s="13">
        <f t="shared" ca="1" si="52"/>
        <v>-66.87016554221097</v>
      </c>
      <c r="O562" s="13">
        <f t="shared" ca="1" si="53"/>
        <v>-38.644349893839149</v>
      </c>
      <c r="P562" s="12">
        <f t="shared" ca="1" si="57"/>
        <v>3.0693368523954176</v>
      </c>
    </row>
    <row r="563" spans="1:16" x14ac:dyDescent="0.25">
      <c r="A563">
        <v>32</v>
      </c>
      <c r="B563">
        <v>25</v>
      </c>
      <c r="C563" s="2" t="s">
        <v>31</v>
      </c>
      <c r="D563" s="2" t="s">
        <v>24</v>
      </c>
      <c r="E563" s="11" cm="1">
        <f t="array" aca="1" ref="E563" ca="1">INDEX('OD flujo mercancia multimodal'!E$45:E$1645,MATCH(C563&amp;D563,'OD flujo mercancia multimodal'!C$45:C$1645&amp;'OD flujo mercancia multimodal'!D$45:D$1645,0))</f>
        <v>5296.7692307692332</v>
      </c>
      <c r="F563" s="11" cm="1">
        <f t="array" aca="1" ref="F563" ca="1">INDEX('OD flujo mercancia carretera'!E$45:E$1646,MATCH(C563&amp;D563,'OD flujo mercancia carretera'!C$45:C$1646&amp;'OD flujo mercancia carretera'!D$45:D$1646,0))</f>
        <v>107164.93333333329</v>
      </c>
      <c r="G563" s="11" cm="1">
        <f t="array" aca="1" ref="G563" ca="1">INDEX('Coste Carretera'!E$46:E$1646,MATCH(C563&amp;D563,'Coste Carretera'!C$46:C$1646&amp;'Coste Carretera'!D$46:D$1646,0))</f>
        <v>399576099.00000018</v>
      </c>
      <c r="H563" s="11" cm="1">
        <f t="array" aca="1" ref="H563" ca="1">INDEX('Coste multimodal'!E$46:E$1646,MATCH(C563&amp;D563,'Coste multimodal'!C$46:C$1646&amp;'Coste multimodal'!D$46:D$1646,0))</f>
        <v>21124666.726557329</v>
      </c>
      <c r="I563" s="12" cm="1">
        <f t="array" aca="1" ref="I563" ca="1">INDEX('Tiempos intermodal (horas)'!E$45:E$1645,MATCH(C563&amp;D563,'Tiempos intermodal (horas)'!C$45:C$1645&amp;'Tiempos intermodal (horas)'!D$45:D$1645,0))</f>
        <v>59.95985728110923</v>
      </c>
      <c r="J563" s="2" cm="1">
        <f t="array" aca="1" ref="J563" ca="1">INDEX('Tiempos carretera (horas)'!E$45:E$1645,MATCH(C563&amp;D563,'Tiempos carretera (horas)'!C$45:C$1645&amp;'Tiempos carretera (horas)'!D$45:D$1645,0))</f>
        <v>12.92</v>
      </c>
      <c r="K563" s="12">
        <f t="shared" ca="1" si="54"/>
        <v>3.7286086648990935</v>
      </c>
      <c r="L563" s="12">
        <f t="shared" ca="1" si="55"/>
        <v>3.9882173087403814</v>
      </c>
      <c r="M563" s="12">
        <f t="shared" ca="1" si="56"/>
        <v>4.7098426486564218E-2</v>
      </c>
      <c r="N563" s="13">
        <f t="shared" ca="1" si="52"/>
        <v>-0.2596086438412879</v>
      </c>
      <c r="O563" s="13">
        <f t="shared" ca="1" si="53"/>
        <v>-47.039857281109228</v>
      </c>
      <c r="P563" s="12">
        <f t="shared" ca="1" si="57"/>
        <v>3.0072720251061922</v>
      </c>
    </row>
    <row r="564" spans="1:16" x14ac:dyDescent="0.25">
      <c r="A564">
        <v>25</v>
      </c>
      <c r="B564">
        <v>32</v>
      </c>
      <c r="C564" s="2" t="s">
        <v>24</v>
      </c>
      <c r="D564" s="2" t="s">
        <v>31</v>
      </c>
      <c r="E564" s="11" cm="1">
        <f t="array" aca="1" ref="E564" ca="1">INDEX('OD flujo mercancia multimodal'!E$45:E$1645,MATCH(C564&amp;D564,'OD flujo mercancia multimodal'!C$45:C$1645&amp;'OD flujo mercancia multimodal'!D$45:D$1645,0))</f>
        <v>4189.6923076923076</v>
      </c>
      <c r="F564" s="11" cm="1">
        <f t="array" aca="1" ref="F564" ca="1">INDEX('OD flujo mercancia carretera'!E$45:E$1646,MATCH(C564&amp;D564,'OD flujo mercancia carretera'!C$45:C$1646&amp;'OD flujo mercancia carretera'!D$45:D$1646,0))</f>
        <v>114824.83333333333</v>
      </c>
      <c r="G564" s="11" cm="1">
        <f t="array" aca="1" ref="G564" ca="1">INDEX('Coste Carretera'!E$46:E$1646,MATCH(C564&amp;D564,'Coste Carretera'!C$46:C$1646&amp;'Coste Carretera'!D$46:D$1646,0))</f>
        <v>360885144.24000007</v>
      </c>
      <c r="H564" s="11" cm="1">
        <f t="array" aca="1" ref="H564" ca="1">INDEX('Coste multimodal'!E$46:E$1646,MATCH(C564&amp;D564,'Coste multimodal'!C$46:C$1646&amp;'Coste multimodal'!D$46:D$1646,0))</f>
        <v>21124666.726557329</v>
      </c>
      <c r="I564" s="12" cm="1">
        <f t="array" aca="1" ref="I564" ca="1">INDEX('Tiempos intermodal (horas)'!E$45:E$1645,MATCH(C564&amp;D564,'Tiempos intermodal (horas)'!C$45:C$1645&amp;'Tiempos intermodal (horas)'!D$45:D$1645,0))</f>
        <v>59.95985728110923</v>
      </c>
      <c r="J564" s="2" cm="1">
        <f t="array" aca="1" ref="J564" ca="1">INDEX('Tiempos carretera (horas)'!E$45:E$1645,MATCH(C564&amp;D564,'Tiempos carretera (horas)'!C$45:C$1645&amp;'Tiempos carretera (horas)'!D$45:D$1645,0))</f>
        <v>12.92</v>
      </c>
      <c r="K564" s="12">
        <f t="shared" ca="1" si="54"/>
        <v>3.1429189467435186</v>
      </c>
      <c r="L564" s="12">
        <f t="shared" ca="1" si="55"/>
        <v>5.0420568326156738</v>
      </c>
      <c r="M564" s="12">
        <f t="shared" ca="1" si="56"/>
        <v>3.5203201332998244E-2</v>
      </c>
      <c r="N564" s="13">
        <f t="shared" ca="1" si="52"/>
        <v>-1.8991378858721553</v>
      </c>
      <c r="O564" s="13">
        <f t="shared" ca="1" si="53"/>
        <v>-47.039857281109228</v>
      </c>
      <c r="P564" s="12">
        <f t="shared" ca="1" si="57"/>
        <v>3.3107804824073943</v>
      </c>
    </row>
    <row r="565" spans="1:16" x14ac:dyDescent="0.25">
      <c r="A565">
        <v>38</v>
      </c>
      <c r="B565">
        <v>30</v>
      </c>
      <c r="C565" s="2" t="s">
        <v>37</v>
      </c>
      <c r="D565" s="2" t="s">
        <v>146</v>
      </c>
      <c r="E565" s="11" cm="1">
        <f t="array" aca="1" ref="E565" ca="1">INDEX('OD flujo mercancia multimodal'!E$45:E$1645,MATCH(C565&amp;D565,'OD flujo mercancia multimodal'!C$45:C$1645&amp;'OD flujo mercancia multimodal'!D$45:D$1645,0))</f>
        <v>7777.3</v>
      </c>
      <c r="F565" s="11" cm="1">
        <f t="array" aca="1" ref="F565" ca="1">INDEX('OD flujo mercancia carretera'!E$45:E$1646,MATCH(C565&amp;D565,'OD flujo mercancia carretera'!C$45:C$1646&amp;'OD flujo mercancia carretera'!D$45:D$1646,0))</f>
        <v>234881.79230769232</v>
      </c>
      <c r="G565" s="11" cm="1">
        <f t="array" aca="1" ref="G565" ca="1">INDEX('Coste Carretera'!E$46:E$1646,MATCH(C565&amp;D565,'Coste Carretera'!C$46:C$1646&amp;'Coste Carretera'!D$46:D$1646,0))</f>
        <v>2796194182.9199991</v>
      </c>
      <c r="H565" s="11" cm="1">
        <f t="array" aca="1" ref="H565" ca="1">INDEX('Coste multimodal'!E$46:E$1646,MATCH(C565&amp;D565,'Coste multimodal'!C$46:C$1646&amp;'Coste multimodal'!D$46:D$1646,0))</f>
        <v>21569009.025523353</v>
      </c>
      <c r="I565" s="12" cm="1">
        <f t="array" aca="1" ref="I565" ca="1">INDEX('Tiempos intermodal (horas)'!E$45:E$1645,MATCH(C565&amp;D565,'Tiempos intermodal (horas)'!C$45:C$1645&amp;'Tiempos intermodal (horas)'!D$45:D$1645,0))</f>
        <v>61.410725377721469</v>
      </c>
      <c r="J565" s="2" cm="1">
        <f t="array" aca="1" ref="J565" ca="1">INDEX('Tiempos carretera (horas)'!E$45:E$1645,MATCH(C565&amp;D565,'Tiempos carretera (horas)'!C$45:C$1645&amp;'Tiempos carretera (horas)'!D$45:D$1645,0))</f>
        <v>13.58</v>
      </c>
      <c r="K565" s="12">
        <f t="shared" ca="1" si="54"/>
        <v>11.904686844593805</v>
      </c>
      <c r="L565" s="12">
        <f t="shared" ca="1" si="55"/>
        <v>2.7733286648995605</v>
      </c>
      <c r="M565" s="12">
        <f t="shared" ca="1" si="56"/>
        <v>3.2050313573819711E-2</v>
      </c>
      <c r="N565" s="13">
        <f t="shared" ca="1" si="52"/>
        <v>9.131358179694244</v>
      </c>
      <c r="O565" s="13">
        <f t="shared" ca="1" si="53"/>
        <v>-47.830725377721471</v>
      </c>
      <c r="P565" s="12">
        <f t="shared" ca="1" si="57"/>
        <v>3.4078731418799286</v>
      </c>
    </row>
    <row r="566" spans="1:16" x14ac:dyDescent="0.25">
      <c r="A566">
        <v>30</v>
      </c>
      <c r="B566">
        <v>38</v>
      </c>
      <c r="C566" s="2" t="s">
        <v>146</v>
      </c>
      <c r="D566" s="2" t="s">
        <v>37</v>
      </c>
      <c r="E566" s="11" cm="1">
        <f t="array" aca="1" ref="E566" ca="1">INDEX('OD flujo mercancia multimodal'!E$45:E$1645,MATCH(C566&amp;D566,'OD flujo mercancia multimodal'!C$45:C$1645&amp;'OD flujo mercancia multimodal'!D$45:D$1645,0))</f>
        <v>1942.3076923076924</v>
      </c>
      <c r="F566" s="11" cm="1">
        <f t="array" aca="1" ref="F566" ca="1">INDEX('OD flujo mercancia carretera'!E$45:E$1646,MATCH(C566&amp;D566,'OD flujo mercancia carretera'!C$45:C$1646&amp;'OD flujo mercancia carretera'!D$45:D$1646,0))</f>
        <v>231908.18461538467</v>
      </c>
      <c r="G566" s="11" cm="1">
        <f t="array" aca="1" ref="G566" ca="1">INDEX('Coste Carretera'!E$46:E$1646,MATCH(C566&amp;D566,'Coste Carretera'!C$46:C$1646&amp;'Coste Carretera'!D$46:D$1646,0))</f>
        <v>1694391024.7600033</v>
      </c>
      <c r="H566" s="11" cm="1">
        <f t="array" aca="1" ref="H566" ca="1">INDEX('Coste multimodal'!E$46:E$1646,MATCH(C566&amp;D566,'Coste multimodal'!C$46:C$1646&amp;'Coste multimodal'!D$46:D$1646,0))</f>
        <v>21569009.025523353</v>
      </c>
      <c r="I566" s="12" cm="1">
        <f t="array" aca="1" ref="I566" ca="1">INDEX('Tiempos intermodal (horas)'!E$45:E$1645,MATCH(C566&amp;D566,'Tiempos intermodal (horas)'!C$45:C$1645&amp;'Tiempos intermodal (horas)'!D$45:D$1645,0))</f>
        <v>61.410725377721469</v>
      </c>
      <c r="J566" s="2" cm="1">
        <f t="array" aca="1" ref="J566" ca="1">INDEX('Tiempos carretera (horas)'!E$45:E$1645,MATCH(C566&amp;D566,'Tiempos carretera (horas)'!C$45:C$1645&amp;'Tiempos carretera (horas)'!D$45:D$1645,0))</f>
        <v>13.58</v>
      </c>
      <c r="K566" s="12">
        <f t="shared" ca="1" si="54"/>
        <v>7.3063011017490336</v>
      </c>
      <c r="L566" s="12">
        <f t="shared" ca="1" si="55"/>
        <v>11.104836329972418</v>
      </c>
      <c r="M566" s="12">
        <f t="shared" ca="1" si="56"/>
        <v>8.3057669587972109E-3</v>
      </c>
      <c r="N566" s="13">
        <f t="shared" ca="1" si="52"/>
        <v>-3.7985352282233844</v>
      </c>
      <c r="O566" s="13">
        <f t="shared" ca="1" si="53"/>
        <v>-47.830725377721471</v>
      </c>
      <c r="P566" s="12">
        <f t="shared" ca="1" si="57"/>
        <v>4.7824647391062474</v>
      </c>
    </row>
    <row r="567" spans="1:16" x14ac:dyDescent="0.25">
      <c r="A567">
        <v>14</v>
      </c>
      <c r="B567">
        <v>1</v>
      </c>
      <c r="C567" s="2" t="s">
        <v>13</v>
      </c>
      <c r="D567" s="2" t="s">
        <v>0</v>
      </c>
      <c r="E567" s="11" cm="1">
        <f t="array" aca="1" ref="E567" ca="1">INDEX('OD flujo mercancia multimodal'!E$45:E$1645,MATCH(C567&amp;D567,'OD flujo mercancia multimodal'!C$45:C$1645&amp;'OD flujo mercancia multimodal'!D$45:D$1645,0))</f>
        <v>104034.14835164833</v>
      </c>
      <c r="F567" s="11" cm="1">
        <f t="array" aca="1" ref="F567" ca="1">INDEX('OD flujo mercancia carretera'!E$45:E$1646,MATCH(C567&amp;D567,'OD flujo mercancia carretera'!C$45:C$1646&amp;'OD flujo mercancia carretera'!D$45:D$1646,0))</f>
        <v>152668.46153846156</v>
      </c>
      <c r="G567" s="11" cm="1">
        <f t="array" aca="1" ref="G567" ca="1">INDEX('Coste Carretera'!E$46:E$1646,MATCH(C567&amp;D567,'Coste Carretera'!C$46:C$1646&amp;'Coste Carretera'!D$46:D$1646,0))</f>
        <v>6862625080.1142845</v>
      </c>
      <c r="H567" s="11" cm="1">
        <f t="array" aca="1" ref="H567" ca="1">INDEX('Coste multimodal'!E$46:E$1646,MATCH(C567&amp;D567,'Coste multimodal'!C$46:C$1646&amp;'Coste multimodal'!D$46:D$1646,0))</f>
        <v>633888999.49251556</v>
      </c>
      <c r="I567" s="12" cm="1">
        <f t="array" aca="1" ref="I567" ca="1">INDEX('Tiempos intermodal (horas)'!E$45:E$1645,MATCH(C567&amp;D567,'Tiempos intermodal (horas)'!C$45:C$1645&amp;'Tiempos intermodal (horas)'!D$45:D$1645,0))</f>
        <v>52.806572116061368</v>
      </c>
      <c r="J567" s="2" cm="1">
        <f t="array" aca="1" ref="J567" ca="1">INDEX('Tiempos carretera (horas)'!E$45:E$1645,MATCH(C567&amp;D567,'Tiempos carretera (horas)'!C$45:C$1645&amp;'Tiempos carretera (horas)'!D$45:D$1645,0))</f>
        <v>13.51</v>
      </c>
      <c r="K567" s="12">
        <f t="shared" ca="1" si="54"/>
        <v>44.951164182560341</v>
      </c>
      <c r="L567" s="12">
        <f t="shared" ca="1" si="55"/>
        <v>6.0930858716687153</v>
      </c>
      <c r="M567" s="12">
        <f t="shared" ca="1" si="56"/>
        <v>0.40527109715083776</v>
      </c>
      <c r="N567" s="13">
        <f t="shared" ca="1" si="52"/>
        <v>38.858078310891628</v>
      </c>
      <c r="O567" s="13">
        <f t="shared" ca="1" si="53"/>
        <v>-39.29657211606137</v>
      </c>
      <c r="P567" s="12">
        <f t="shared" ca="1" si="57"/>
        <v>0.38354945739757318</v>
      </c>
    </row>
    <row r="568" spans="1:16" x14ac:dyDescent="0.25">
      <c r="A568">
        <v>24</v>
      </c>
      <c r="B568">
        <v>20</v>
      </c>
      <c r="C568" s="2" t="s">
        <v>23</v>
      </c>
      <c r="D568" s="2" t="s">
        <v>19</v>
      </c>
      <c r="E568" s="11" cm="1">
        <f t="array" aca="1" ref="E568" ca="1">INDEX('OD flujo mercancia multimodal'!E$45:E$1645,MATCH(C568&amp;D568,'OD flujo mercancia multimodal'!C$45:C$1645&amp;'OD flujo mercancia multimodal'!D$45:D$1645,0))</f>
        <v>62198.153846153837</v>
      </c>
      <c r="F568" s="11" cm="1">
        <f t="array" aca="1" ref="F568" ca="1">INDEX('OD flujo mercancia carretera'!E$45:E$1646,MATCH(C568&amp;D568,'OD flujo mercancia carretera'!C$45:C$1646&amp;'OD flujo mercancia carretera'!D$45:D$1646,0))</f>
        <v>145202.66666666669</v>
      </c>
      <c r="G568" s="11" cm="1">
        <f t="array" aca="1" ref="G568" ca="1">INDEX('Coste Carretera'!E$46:E$1646,MATCH(C568&amp;D568,'Coste Carretera'!C$46:C$1646&amp;'Coste Carretera'!D$46:D$1646,0))</f>
        <v>2231119928.3199997</v>
      </c>
      <c r="H568" s="11" cm="1">
        <f t="array" aca="1" ref="H568" ca="1">INDEX('Coste multimodal'!E$46:E$1646,MATCH(C568&amp;D568,'Coste multimodal'!C$46:C$1646&amp;'Coste multimodal'!D$46:D$1646,0))</f>
        <v>514474120.72542822</v>
      </c>
      <c r="I568" s="12" cm="1">
        <f t="array" aca="1" ref="I568" ca="1">INDEX('Tiempos intermodal (horas)'!E$45:E$1645,MATCH(C568&amp;D568,'Tiempos intermodal (horas)'!C$45:C$1645&amp;'Tiempos intermodal (horas)'!D$45:D$1645,0))</f>
        <v>46.072384891727665</v>
      </c>
      <c r="J568" s="2" cm="1">
        <f t="array" aca="1" ref="J568" ca="1">INDEX('Tiempos carretera (horas)'!E$45:E$1645,MATCH(C568&amp;D568,'Tiempos carretera (horas)'!C$45:C$1645&amp;'Tiempos carretera (horas)'!D$45:D$1645,0))</f>
        <v>6.72</v>
      </c>
      <c r="K568" s="12">
        <f t="shared" ca="1" si="54"/>
        <v>15.365557530991163</v>
      </c>
      <c r="L568" s="12">
        <f t="shared" ca="1" si="55"/>
        <v>8.2715336213671549</v>
      </c>
      <c r="M568" s="12">
        <f t="shared" ca="1" si="56"/>
        <v>0.29989348013359979</v>
      </c>
      <c r="N568" s="13">
        <f t="shared" ca="1" si="52"/>
        <v>7.0940239096240081</v>
      </c>
      <c r="O568" s="13">
        <f t="shared" ca="1" si="53"/>
        <v>-39.352384891727667</v>
      </c>
      <c r="P568" s="12">
        <f t="shared" ca="1" si="57"/>
        <v>0.84780514932031992</v>
      </c>
    </row>
    <row r="569" spans="1:16" x14ac:dyDescent="0.25">
      <c r="A569">
        <v>20</v>
      </c>
      <c r="B569">
        <v>24</v>
      </c>
      <c r="C569" s="2" t="s">
        <v>19</v>
      </c>
      <c r="D569" s="2" t="s">
        <v>23</v>
      </c>
      <c r="E569" s="11" cm="1">
        <f t="array" aca="1" ref="E569" ca="1">INDEX('OD flujo mercancia multimodal'!E$45:E$1645,MATCH(C569&amp;D569,'OD flujo mercancia multimodal'!C$45:C$1645&amp;'OD flujo mercancia multimodal'!D$45:D$1645,0))</f>
        <v>39555.846153846149</v>
      </c>
      <c r="F569" s="11" cm="1">
        <f t="array" aca="1" ref="F569" ca="1">INDEX('OD flujo mercancia carretera'!E$45:E$1646,MATCH(C569&amp;D569,'OD flujo mercancia carretera'!C$45:C$1646&amp;'OD flujo mercancia carretera'!D$45:D$1646,0))</f>
        <v>129208.00000000003</v>
      </c>
      <c r="G569" s="11" cm="1">
        <f t="array" aca="1" ref="G569" ca="1">INDEX('Coste Carretera'!E$46:E$1646,MATCH(C569&amp;D569,'Coste Carretera'!C$46:C$1646&amp;'Coste Carretera'!D$46:D$1646,0))</f>
        <v>1418914086.3199999</v>
      </c>
      <c r="H569" s="11" cm="1">
        <f t="array" aca="1" ref="H569" ca="1">INDEX('Coste multimodal'!E$46:E$1646,MATCH(C569&amp;D569,'Coste multimodal'!C$46:C$1646&amp;'Coste multimodal'!D$46:D$1646,0))</f>
        <v>514474120.72542822</v>
      </c>
      <c r="I569" s="12" cm="1">
        <f t="array" aca="1" ref="I569" ca="1">INDEX('Tiempos intermodal (horas)'!E$45:E$1645,MATCH(C569&amp;D569,'Tiempos intermodal (horas)'!C$45:C$1645&amp;'Tiempos intermodal (horas)'!D$45:D$1645,0))</f>
        <v>46.072384891727665</v>
      </c>
      <c r="J569" s="2" cm="1">
        <f t="array" aca="1" ref="J569" ca="1">INDEX('Tiempos carretera (horas)'!E$45:E$1645,MATCH(C569&amp;D569,'Tiempos carretera (horas)'!C$45:C$1645&amp;'Tiempos carretera (horas)'!D$45:D$1645,0))</f>
        <v>6.72</v>
      </c>
      <c r="K569" s="12">
        <f t="shared" ca="1" si="54"/>
        <v>10.981627192743481</v>
      </c>
      <c r="L569" s="12">
        <f t="shared" ca="1" si="55"/>
        <v>13.006272668885989</v>
      </c>
      <c r="M569" s="12">
        <f t="shared" ca="1" si="56"/>
        <v>0.234385782591058</v>
      </c>
      <c r="N569" s="13">
        <f t="shared" ca="1" si="52"/>
        <v>-2.0246454761425081</v>
      </c>
      <c r="O569" s="13">
        <f t="shared" ca="1" si="53"/>
        <v>-39.352384891727667</v>
      </c>
      <c r="P569" s="12">
        <f t="shared" ca="1" si="57"/>
        <v>1.183710008861389</v>
      </c>
    </row>
    <row r="570" spans="1:16" x14ac:dyDescent="0.25">
      <c r="A570">
        <v>25</v>
      </c>
      <c r="B570">
        <v>20</v>
      </c>
      <c r="C570" s="2" t="s">
        <v>24</v>
      </c>
      <c r="D570" s="2" t="s">
        <v>19</v>
      </c>
      <c r="E570" s="11" cm="1">
        <f t="array" aca="1" ref="E570" ca="1">INDEX('OD flujo mercancia multimodal'!E$45:E$1645,MATCH(C570&amp;D570,'OD flujo mercancia multimodal'!C$45:C$1645&amp;'OD flujo mercancia multimodal'!D$45:D$1645,0))</f>
        <v>62159.999999999993</v>
      </c>
      <c r="F570" s="11" cm="1">
        <f t="array" aca="1" ref="F570" ca="1">INDEX('OD flujo mercancia carretera'!E$45:E$1646,MATCH(C570&amp;D570,'OD flujo mercancia carretera'!C$45:C$1646&amp;'OD flujo mercancia carretera'!D$45:D$1646,0))</f>
        <v>128157.00000000003</v>
      </c>
      <c r="G570" s="11" cm="1">
        <f t="array" aca="1" ref="G570" ca="1">INDEX('Coste Carretera'!E$46:E$1646,MATCH(C570&amp;D570,'Coste Carretera'!C$46:C$1646&amp;'Coste Carretera'!D$46:D$1646,0))</f>
        <v>1772701257.5999994</v>
      </c>
      <c r="H570" s="11" cm="1">
        <f t="array" aca="1" ref="H570" ca="1">INDEX('Coste multimodal'!E$46:E$1646,MATCH(C570&amp;D570,'Coste multimodal'!C$46:C$1646&amp;'Coste multimodal'!D$46:D$1646,0))</f>
        <v>455762507.62542826</v>
      </c>
      <c r="I570" s="12" cm="1">
        <f t="array" aca="1" ref="I570" ca="1">INDEX('Tiempos intermodal (horas)'!E$45:E$1645,MATCH(C570&amp;D570,'Tiempos intermodal (horas)'!C$45:C$1645&amp;'Tiempos intermodal (horas)'!D$45:D$1645,0))</f>
        <v>44.733496002838777</v>
      </c>
      <c r="J570" s="2" cm="1">
        <f t="array" aca="1" ref="J570" ca="1">INDEX('Tiempos carretera (horas)'!E$45:E$1645,MATCH(C570&amp;D570,'Tiempos carretera (horas)'!C$45:C$1645&amp;'Tiempos carretera (horas)'!D$45:D$1645,0))</f>
        <v>5.38</v>
      </c>
      <c r="K570" s="12">
        <f t="shared" ca="1" si="54"/>
        <v>13.832262440600193</v>
      </c>
      <c r="L570" s="12">
        <f t="shared" ca="1" si="55"/>
        <v>7.3320866735107515</v>
      </c>
      <c r="M570" s="12">
        <f t="shared" ca="1" si="56"/>
        <v>0.32661296678699214</v>
      </c>
      <c r="N570" s="13">
        <f t="shared" ca="1" si="52"/>
        <v>6.5001757670894413</v>
      </c>
      <c r="O570" s="13">
        <f t="shared" ca="1" si="53"/>
        <v>-39.353496002838774</v>
      </c>
      <c r="P570" s="12">
        <f t="shared" ca="1" si="57"/>
        <v>0.72354436874698014</v>
      </c>
    </row>
    <row r="571" spans="1:16" x14ac:dyDescent="0.25">
      <c r="A571">
        <v>20</v>
      </c>
      <c r="B571">
        <v>25</v>
      </c>
      <c r="C571" s="2" t="s">
        <v>19</v>
      </c>
      <c r="D571" s="2" t="s">
        <v>24</v>
      </c>
      <c r="E571" s="11" cm="1">
        <f t="array" aca="1" ref="E571" ca="1">INDEX('OD flujo mercancia multimodal'!E$45:E$1645,MATCH(C571&amp;D571,'OD flujo mercancia multimodal'!C$45:C$1645&amp;'OD flujo mercancia multimodal'!D$45:D$1645,0))</f>
        <v>37160.461538461539</v>
      </c>
      <c r="F571" s="11" cm="1">
        <f t="array" aca="1" ref="F571" ca="1">INDEX('OD flujo mercancia carretera'!E$45:E$1646,MATCH(C571&amp;D571,'OD flujo mercancia carretera'!C$45:C$1646&amp;'OD flujo mercancia carretera'!D$45:D$1646,0))</f>
        <v>122155.66666666663</v>
      </c>
      <c r="G571" s="11" cm="1">
        <f t="array" aca="1" ref="G571" ca="1">INDEX('Coste Carretera'!E$46:E$1646,MATCH(C571&amp;D571,'Coste Carretera'!C$46:C$1646&amp;'Coste Carretera'!D$46:D$1646,0))</f>
        <v>1059755419.9199998</v>
      </c>
      <c r="H571" s="11" cm="1">
        <f t="array" aca="1" ref="H571" ca="1">INDEX('Coste multimodal'!E$46:E$1646,MATCH(C571&amp;D571,'Coste multimodal'!C$46:C$1646&amp;'Coste multimodal'!D$46:D$1646,0))</f>
        <v>455762507.62542826</v>
      </c>
      <c r="I571" s="12" cm="1">
        <f t="array" aca="1" ref="I571" ca="1">INDEX('Tiempos intermodal (horas)'!E$45:E$1645,MATCH(C571&amp;D571,'Tiempos intermodal (horas)'!C$45:C$1645&amp;'Tiempos intermodal (horas)'!D$45:D$1645,0))</f>
        <v>44.733496002838777</v>
      </c>
      <c r="J571" s="2" cm="1">
        <f t="array" aca="1" ref="J571" ca="1">INDEX('Tiempos carretera (horas)'!E$45:E$1645,MATCH(C571&amp;D571,'Tiempos carretera (horas)'!C$45:C$1645&amp;'Tiempos carretera (horas)'!D$45:D$1645,0))</f>
        <v>5.38</v>
      </c>
      <c r="K571" s="12">
        <f t="shared" ca="1" si="54"/>
        <v>8.6754503400306184</v>
      </c>
      <c r="L571" s="12">
        <f t="shared" ca="1" si="55"/>
        <v>12.264716011498093</v>
      </c>
      <c r="M571" s="12">
        <f t="shared" ca="1" si="56"/>
        <v>0.23324984078583325</v>
      </c>
      <c r="N571" s="13">
        <f t="shared" ca="1" si="52"/>
        <v>-3.5892656714674747</v>
      </c>
      <c r="O571" s="13">
        <f t="shared" ca="1" si="53"/>
        <v>-39.353496002838774</v>
      </c>
      <c r="P571" s="12">
        <f t="shared" ca="1" si="57"/>
        <v>1.1900508535054122</v>
      </c>
    </row>
    <row r="572" spans="1:16" x14ac:dyDescent="0.25">
      <c r="A572">
        <v>9</v>
      </c>
      <c r="B572">
        <v>14</v>
      </c>
      <c r="C572" s="2" t="s">
        <v>148</v>
      </c>
      <c r="D572" s="2" t="s">
        <v>13</v>
      </c>
      <c r="E572" s="11" cm="1">
        <f t="array" aca="1" ref="E572" ca="1">INDEX('OD flujo mercancia multimodal'!E$45:E$1645,MATCH(C572&amp;D572,'OD flujo mercancia multimodal'!C$45:C$1645&amp;'OD flujo mercancia multimodal'!D$45:D$1645,0))</f>
        <v>24836.884615384599</v>
      </c>
      <c r="F572" s="11" cm="1">
        <f t="array" aca="1" ref="F572" ca="1">INDEX('OD flujo mercancia carretera'!E$45:E$1646,MATCH(C572&amp;D572,'OD flujo mercancia carretera'!C$45:C$1646&amp;'OD flujo mercancia carretera'!D$45:D$1646,0))</f>
        <v>745319.06623931613</v>
      </c>
      <c r="G572" s="11" cm="1">
        <f t="array" aca="1" ref="G572" ca="1">INDEX('Coste Carretera'!E$46:E$1646,MATCH(C572&amp;D572,'Coste Carretera'!C$46:C$1646&amp;'Coste Carretera'!D$46:D$1646,0))</f>
        <v>1940996571.8399985</v>
      </c>
      <c r="H572" s="11" cm="1">
        <f t="array" aca="1" ref="H572" ca="1">INDEX('Coste multimodal'!E$46:E$1646,MATCH(C572&amp;D572,'Coste multimodal'!C$46:C$1646&amp;'Coste multimodal'!D$46:D$1646,0))</f>
        <v>501228373.23108697</v>
      </c>
      <c r="I572" s="12" cm="1">
        <f t="array" aca="1" ref="I572" ca="1">INDEX('Tiempos intermodal (horas)'!E$45:E$1645,MATCH(C572&amp;D572,'Tiempos intermodal (horas)'!C$45:C$1645&amp;'Tiempos intermodal (horas)'!D$45:D$1645,0))</f>
        <v>55.267683227172483</v>
      </c>
      <c r="J572" s="2" cm="1">
        <f t="array" aca="1" ref="J572" ca="1">INDEX('Tiempos carretera (horas)'!E$45:E$1645,MATCH(C572&amp;D572,'Tiempos carretera (horas)'!C$45:C$1645&amp;'Tiempos carretera (horas)'!D$45:D$1645,0))</f>
        <v>15.88</v>
      </c>
      <c r="K572" s="12">
        <f t="shared" ca="1" si="54"/>
        <v>2.6042491863702835</v>
      </c>
      <c r="L572" s="12">
        <f t="shared" ca="1" si="55"/>
        <v>20.180806932630084</v>
      </c>
      <c r="M572" s="12">
        <f t="shared" ca="1" si="56"/>
        <v>3.2249162767386548E-2</v>
      </c>
      <c r="N572" s="13">
        <f t="shared" ca="1" si="52"/>
        <v>-17.576557746259802</v>
      </c>
      <c r="O572" s="13">
        <f t="shared" ca="1" si="53"/>
        <v>-39.387683227172481</v>
      </c>
      <c r="P572" s="12">
        <f t="shared" ca="1" si="57"/>
        <v>3.4014825723869366</v>
      </c>
    </row>
    <row r="573" spans="1:16" x14ac:dyDescent="0.25">
      <c r="A573">
        <v>14</v>
      </c>
      <c r="B573">
        <v>9</v>
      </c>
      <c r="C573" s="2" t="s">
        <v>13</v>
      </c>
      <c r="D573" s="2" t="s">
        <v>148</v>
      </c>
      <c r="E573" s="11" cm="1">
        <f t="array" aca="1" ref="E573" ca="1">INDEX('OD flujo mercancia multimodal'!E$45:E$1645,MATCH(C573&amp;D573,'OD flujo mercancia multimodal'!C$45:C$1645&amp;'OD flujo mercancia multimodal'!D$45:D$1645,0))</f>
        <v>12151.531468531468</v>
      </c>
      <c r="F573" s="11" cm="1">
        <f t="array" aca="1" ref="F573" ca="1">INDEX('OD flujo mercancia carretera'!E$45:E$1646,MATCH(C573&amp;D573,'OD flujo mercancia carretera'!C$45:C$1646&amp;'OD flujo mercancia carretera'!D$45:D$1646,0))</f>
        <v>674264.23717948736</v>
      </c>
      <c r="G573" s="11" cm="1">
        <f t="array" aca="1" ref="G573" ca="1">INDEX('Coste Carretera'!E$46:E$1646,MATCH(C573&amp;D573,'Coste Carretera'!C$46:C$1646&amp;'Coste Carretera'!D$46:D$1646,0))</f>
        <v>978996395.80363619</v>
      </c>
      <c r="H573" s="11" cm="1">
        <f t="array" aca="1" ref="H573" ca="1">INDEX('Coste multimodal'!E$46:E$1646,MATCH(C573&amp;D573,'Coste multimodal'!C$46:C$1646&amp;'Coste multimodal'!D$46:D$1646,0))</f>
        <v>501228373.23108697</v>
      </c>
      <c r="I573" s="12" cm="1">
        <f t="array" aca="1" ref="I573" ca="1">INDEX('Tiempos intermodal (horas)'!E$45:E$1645,MATCH(C573&amp;D573,'Tiempos intermodal (horas)'!C$45:C$1645&amp;'Tiempos intermodal (horas)'!D$45:D$1645,0))</f>
        <v>55.267683227172483</v>
      </c>
      <c r="J573" s="2" cm="1">
        <f t="array" aca="1" ref="J573" ca="1">INDEX('Tiempos carretera (horas)'!E$45:E$1645,MATCH(C573&amp;D573,'Tiempos carretera (horas)'!C$45:C$1645&amp;'Tiempos carretera (horas)'!D$45:D$1645,0))</f>
        <v>15.88</v>
      </c>
      <c r="K573" s="12">
        <f t="shared" ca="1" si="54"/>
        <v>1.4519476813702488</v>
      </c>
      <c r="L573" s="12">
        <f t="shared" ca="1" si="55"/>
        <v>41.248164853056274</v>
      </c>
      <c r="M573" s="12">
        <f t="shared" ca="1" si="56"/>
        <v>1.7702873423880428E-2</v>
      </c>
      <c r="N573" s="13">
        <f t="shared" ca="1" si="52"/>
        <v>-39.796217171686024</v>
      </c>
      <c r="O573" s="13">
        <f t="shared" ca="1" si="53"/>
        <v>-39.387683227172481</v>
      </c>
      <c r="P573" s="12">
        <f t="shared" ca="1" si="57"/>
        <v>4.0161668687403811</v>
      </c>
    </row>
    <row r="574" spans="1:16" x14ac:dyDescent="0.25">
      <c r="A574">
        <v>30</v>
      </c>
      <c r="B574">
        <v>20</v>
      </c>
      <c r="C574" s="2" t="s">
        <v>146</v>
      </c>
      <c r="D574" s="2" t="s">
        <v>19</v>
      </c>
      <c r="E574" s="11" cm="1">
        <f t="array" aca="1" ref="E574" ca="1">INDEX('OD flujo mercancia multimodal'!E$45:E$1645,MATCH(C574&amp;D574,'OD flujo mercancia multimodal'!C$45:C$1645&amp;'OD flujo mercancia multimodal'!D$45:D$1645,0))</f>
        <v>60294.999999999993</v>
      </c>
      <c r="F574" s="11" cm="1">
        <f t="array" aca="1" ref="F574" ca="1">INDEX('OD flujo mercancia carretera'!E$45:E$1646,MATCH(C574&amp;D574,'OD flujo mercancia carretera'!C$45:C$1646&amp;'OD flujo mercancia carretera'!D$45:D$1646,0))</f>
        <v>287919.46666666673</v>
      </c>
      <c r="G574" s="11" cm="1">
        <f t="array" aca="1" ref="G574" ca="1">INDEX('Coste Carretera'!E$46:E$1646,MATCH(C574&amp;D574,'Coste Carretera'!C$46:C$1646&amp;'Coste Carretera'!D$46:D$1646,0))</f>
        <v>2293265921.1799998</v>
      </c>
      <c r="H574" s="11" cm="1">
        <f t="array" aca="1" ref="H574" ca="1">INDEX('Coste multimodal'!E$46:E$1646,MATCH(C574&amp;D574,'Coste multimodal'!C$46:C$1646&amp;'Coste multimodal'!D$46:D$1646,0))</f>
        <v>487037208.93342829</v>
      </c>
      <c r="I574" s="12" cm="1">
        <f t="array" aca="1" ref="I574" ca="1">INDEX('Tiempos intermodal (horas)'!E$45:E$1645,MATCH(C574&amp;D574,'Tiempos intermodal (horas)'!C$45:C$1645&amp;'Tiempos intermodal (horas)'!D$45:D$1645,0))</f>
        <v>45.261273780616548</v>
      </c>
      <c r="J574" s="2" cm="1">
        <f t="array" aca="1" ref="J574" ca="1">INDEX('Tiempos carretera (horas)'!E$45:E$1645,MATCH(C574&amp;D574,'Tiempos carretera (horas)'!C$45:C$1645&amp;'Tiempos carretera (horas)'!D$45:D$1645,0))</f>
        <v>5.86</v>
      </c>
      <c r="K574" s="12">
        <f t="shared" ca="1" si="54"/>
        <v>7.9649561307189574</v>
      </c>
      <c r="L574" s="12">
        <f t="shared" ca="1" si="55"/>
        <v>8.0775720861336495</v>
      </c>
      <c r="M574" s="12">
        <f t="shared" ca="1" si="56"/>
        <v>0.1731547818135834</v>
      </c>
      <c r="N574" s="13">
        <f t="shared" ca="1" si="52"/>
        <v>-0.11261595541469216</v>
      </c>
      <c r="O574" s="13">
        <f t="shared" ca="1" si="53"/>
        <v>-39.401273780616549</v>
      </c>
      <c r="P574" s="12">
        <f t="shared" ca="1" si="57"/>
        <v>1.563431629847106</v>
      </c>
    </row>
    <row r="575" spans="1:16" x14ac:dyDescent="0.25">
      <c r="A575">
        <v>20</v>
      </c>
      <c r="B575">
        <v>30</v>
      </c>
      <c r="C575" s="2" t="s">
        <v>19</v>
      </c>
      <c r="D575" s="2" t="s">
        <v>146</v>
      </c>
      <c r="E575" s="11" cm="1">
        <f t="array" aca="1" ref="E575" ca="1">INDEX('OD flujo mercancia multimodal'!E$45:E$1645,MATCH(C575&amp;D575,'OD flujo mercancia multimodal'!C$45:C$1645&amp;'OD flujo mercancia multimodal'!D$45:D$1645,0))</f>
        <v>39726.06923076923</v>
      </c>
      <c r="F575" s="11" cm="1">
        <f t="array" aca="1" ref="F575" ca="1">INDEX('OD flujo mercancia carretera'!E$45:E$1646,MATCH(C575&amp;D575,'OD flujo mercancia carretera'!C$45:C$1646&amp;'OD flujo mercancia carretera'!D$45:D$1646,0))</f>
        <v>291090.43333333335</v>
      </c>
      <c r="G575" s="11" cm="1">
        <f t="array" aca="1" ref="G575" ca="1">INDEX('Coste Carretera'!E$46:E$1646,MATCH(C575&amp;D575,'Coste Carretera'!C$46:C$1646&amp;'Coste Carretera'!D$46:D$1646,0))</f>
        <v>2071913501.0599999</v>
      </c>
      <c r="H575" s="11" cm="1">
        <f t="array" aca="1" ref="H575" ca="1">INDEX('Coste multimodal'!E$46:E$1646,MATCH(C575&amp;D575,'Coste multimodal'!C$46:C$1646&amp;'Coste multimodal'!D$46:D$1646,0))</f>
        <v>487037208.93342829</v>
      </c>
      <c r="I575" s="12" cm="1">
        <f t="array" aca="1" ref="I575" ca="1">INDEX('Tiempos intermodal (horas)'!E$45:E$1645,MATCH(C575&amp;D575,'Tiempos intermodal (horas)'!C$45:C$1645&amp;'Tiempos intermodal (horas)'!D$45:D$1645,0))</f>
        <v>45.261273780616548</v>
      </c>
      <c r="J575" s="2" cm="1">
        <f t="array" aca="1" ref="J575" ca="1">INDEX('Tiempos carretera (horas)'!E$45:E$1645,MATCH(C575&amp;D575,'Tiempos carretera (horas)'!C$45:C$1645&amp;'Tiempos carretera (horas)'!D$45:D$1645,0))</f>
        <v>5.86</v>
      </c>
      <c r="K575" s="12">
        <f t="shared" ca="1" si="54"/>
        <v>7.1177656968458702</v>
      </c>
      <c r="L575" s="12">
        <f t="shared" ca="1" si="55"/>
        <v>12.259889245629187</v>
      </c>
      <c r="M575" s="12">
        <f t="shared" ca="1" si="56"/>
        <v>0.12008490786541544</v>
      </c>
      <c r="N575" s="13">
        <f t="shared" ca="1" si="52"/>
        <v>-5.1421235487833172</v>
      </c>
      <c r="O575" s="13">
        <f t="shared" ca="1" si="53"/>
        <v>-39.401273780616549</v>
      </c>
      <c r="P575" s="12">
        <f t="shared" ca="1" si="57"/>
        <v>1.9916263584857665</v>
      </c>
    </row>
    <row r="576" spans="1:16" x14ac:dyDescent="0.25">
      <c r="A576">
        <v>3</v>
      </c>
      <c r="B576">
        <v>13</v>
      </c>
      <c r="C576" s="2" t="s">
        <v>2</v>
      </c>
      <c r="D576" s="2" t="s">
        <v>12</v>
      </c>
      <c r="E576" s="11" cm="1">
        <f t="array" aca="1" ref="E576" ca="1">INDEX('OD flujo mercancia multimodal'!E$45:E$1645,MATCH(C576&amp;D576,'OD flujo mercancia multimodal'!C$45:C$1645&amp;'OD flujo mercancia multimodal'!D$45:D$1645,0))</f>
        <v>18271.956043956048</v>
      </c>
      <c r="F576" s="11" cm="1">
        <f t="array" aca="1" ref="F576" ca="1">INDEX('OD flujo mercancia carretera'!E$45:E$1646,MATCH(C576&amp;D576,'OD flujo mercancia carretera'!C$45:C$1646&amp;'OD flujo mercancia carretera'!D$45:D$1646,0))</f>
        <v>61227.307692307731</v>
      </c>
      <c r="G576" s="11" cm="1">
        <f t="array" aca="1" ref="G576" ca="1">INDEX('Coste Carretera'!E$46:E$1646,MATCH(C576&amp;D576,'Coste Carretera'!C$46:C$1646&amp;'Coste Carretera'!D$46:D$1646,0))</f>
        <v>1272486792.274286</v>
      </c>
      <c r="H576" s="11" cm="1">
        <f t="array" aca="1" ref="H576" ca="1">INDEX('Coste multimodal'!E$46:E$1646,MATCH(C576&amp;D576,'Coste multimodal'!C$46:C$1646&amp;'Coste multimodal'!D$46:D$1646,0))</f>
        <v>264319152.18995339</v>
      </c>
      <c r="I576" s="12" cm="1">
        <f t="array" aca="1" ref="I576" ca="1">INDEX('Tiempos intermodal (horas)'!E$45:E$1645,MATCH(C576&amp;D576,'Tiempos intermodal (horas)'!C$45:C$1645&amp;'Tiempos intermodal (horas)'!D$45:D$1645,0))</f>
        <v>53.093321330119181</v>
      </c>
      <c r="J576" s="2" cm="1">
        <f t="array" aca="1" ref="J576" ca="1">INDEX('Tiempos carretera (horas)'!E$45:E$1645,MATCH(C576&amp;D576,'Tiempos carretera (horas)'!C$45:C$1645&amp;'Tiempos carretera (horas)'!D$45:D$1645,0))</f>
        <v>13.56</v>
      </c>
      <c r="K576" s="12">
        <f t="shared" ca="1" si="54"/>
        <v>20.782994389840766</v>
      </c>
      <c r="L576" s="12">
        <f t="shared" ca="1" si="55"/>
        <v>14.465837787377133</v>
      </c>
      <c r="M576" s="12">
        <f t="shared" ca="1" si="56"/>
        <v>0.22983805365258059</v>
      </c>
      <c r="N576" s="13">
        <f t="shared" ref="N576:N639" ca="1" si="58">K576-L576</f>
        <v>6.3171566024636334</v>
      </c>
      <c r="O576" s="13">
        <f t="shared" ref="O576:O639" ca="1" si="59">J576-I576</f>
        <v>-39.533321330119179</v>
      </c>
      <c r="P576" s="12">
        <f t="shared" ca="1" si="57"/>
        <v>1.2092258663011843</v>
      </c>
    </row>
    <row r="577" spans="1:16" x14ac:dyDescent="0.25">
      <c r="A577">
        <v>24</v>
      </c>
      <c r="B577">
        <v>33</v>
      </c>
      <c r="C577" s="2" t="s">
        <v>23</v>
      </c>
      <c r="D577" s="2" t="s">
        <v>32</v>
      </c>
      <c r="E577" s="11" cm="1">
        <f t="array" aca="1" ref="E577" ca="1">INDEX('OD flujo mercancia multimodal'!E$45:E$1645,MATCH(C577&amp;D577,'OD flujo mercancia multimodal'!C$45:C$1645&amp;'OD flujo mercancia multimodal'!D$45:D$1645,0))</f>
        <v>67905.230769230737</v>
      </c>
      <c r="F577" s="11" cm="1">
        <f t="array" aca="1" ref="F577" ca="1">INDEX('OD flujo mercancia carretera'!E$45:E$1646,MATCH(C577&amp;D577,'OD flujo mercancia carretera'!C$45:C$1646&amp;'OD flujo mercancia carretera'!D$45:D$1646,0))</f>
        <v>181580.72307692311</v>
      </c>
      <c r="G577" s="11" cm="1">
        <f t="array" aca="1" ref="G577" ca="1">INDEX('Coste Carretera'!E$46:E$1646,MATCH(C577&amp;D577,'Coste Carretera'!C$46:C$1646&amp;'Coste Carretera'!D$46:D$1646,0))</f>
        <v>251578661.83999994</v>
      </c>
      <c r="H577" s="11" cm="1">
        <f t="array" aca="1" ref="H577" ca="1">INDEX('Coste multimodal'!E$46:E$1646,MATCH(C577&amp;D577,'Coste multimodal'!C$46:C$1646&amp;'Coste multimodal'!D$46:D$1646,0))</f>
        <v>124546253.23055734</v>
      </c>
      <c r="I577" s="12" cm="1">
        <f t="array" aca="1" ref="I577" ca="1">INDEX('Tiempos intermodal (horas)'!E$45:E$1645,MATCH(C577&amp;D577,'Tiempos intermodal (horas)'!C$45:C$1645&amp;'Tiempos intermodal (horas)'!D$45:D$1645,0))</f>
        <v>59.990968392220339</v>
      </c>
      <c r="J577" s="2" cm="1">
        <f t="array" aca="1" ref="J577" ca="1">INDEX('Tiempos carretera (horas)'!E$45:E$1645,MATCH(C577&amp;D577,'Tiempos carretera (horas)'!C$45:C$1645&amp;'Tiempos carretera (horas)'!D$45:D$1645,0))</f>
        <v>11.93</v>
      </c>
      <c r="K577" s="12">
        <f t="shared" ca="1" si="54"/>
        <v>1.3854921248078937</v>
      </c>
      <c r="L577" s="12">
        <f t="shared" ca="1" si="55"/>
        <v>1.8341186948294979</v>
      </c>
      <c r="M577" s="12">
        <f t="shared" ca="1" si="56"/>
        <v>0.27218057659111611</v>
      </c>
      <c r="N577" s="13">
        <f t="shared" ca="1" si="58"/>
        <v>-0.44862657002160411</v>
      </c>
      <c r="O577" s="13">
        <f t="shared" ca="1" si="59"/>
        <v>-48.060968392220339</v>
      </c>
      <c r="P577" s="12">
        <f t="shared" ca="1" si="57"/>
        <v>0.98358724211216486</v>
      </c>
    </row>
    <row r="578" spans="1:16" x14ac:dyDescent="0.25">
      <c r="A578">
        <v>33</v>
      </c>
      <c r="B578">
        <v>24</v>
      </c>
      <c r="C578" s="2" t="s">
        <v>32</v>
      </c>
      <c r="D578" s="2" t="s">
        <v>23</v>
      </c>
      <c r="E578" s="11" cm="1">
        <f t="array" aca="1" ref="E578" ca="1">INDEX('OD flujo mercancia multimodal'!E$45:E$1645,MATCH(C578&amp;D578,'OD flujo mercancia multimodal'!C$45:C$1645&amp;'OD flujo mercancia multimodal'!D$45:D$1645,0))</f>
        <v>37741.692307692305</v>
      </c>
      <c r="F578" s="11" cm="1">
        <f t="array" aca="1" ref="F578" ca="1">INDEX('OD flujo mercancia carretera'!E$45:E$1646,MATCH(C578&amp;D578,'OD flujo mercancia carretera'!C$45:C$1646&amp;'OD flujo mercancia carretera'!D$45:D$1646,0))</f>
        <v>160327.6871794872</v>
      </c>
      <c r="G578" s="11" cm="1">
        <f t="array" aca="1" ref="G578" ca="1">INDEX('Coste Carretera'!E$46:E$1646,MATCH(C578&amp;D578,'Coste Carretera'!C$46:C$1646&amp;'Coste Carretera'!D$46:D$1646,0))</f>
        <v>457722845.35999984</v>
      </c>
      <c r="H578" s="11" cm="1">
        <f t="array" aca="1" ref="H578" ca="1">INDEX('Coste multimodal'!E$46:E$1646,MATCH(C578&amp;D578,'Coste multimodal'!C$46:C$1646&amp;'Coste multimodal'!D$46:D$1646,0))</f>
        <v>124546253.23055734</v>
      </c>
      <c r="I578" s="12" cm="1">
        <f t="array" aca="1" ref="I578" ca="1">INDEX('Tiempos intermodal (horas)'!E$45:E$1645,MATCH(C578&amp;D578,'Tiempos intermodal (horas)'!C$45:C$1645&amp;'Tiempos intermodal (horas)'!D$45:D$1645,0))</f>
        <v>59.990968392220339</v>
      </c>
      <c r="J578" s="2" cm="1">
        <f t="array" aca="1" ref="J578" ca="1">INDEX('Tiempos carretera (horas)'!E$45:E$1645,MATCH(C578&amp;D578,'Tiempos carretera (horas)'!C$45:C$1645&amp;'Tiempos carretera (horas)'!D$45:D$1645,0))</f>
        <v>11.93</v>
      </c>
      <c r="K578" s="12">
        <f t="shared" ca="1" si="54"/>
        <v>2.8549207776419685</v>
      </c>
      <c r="L578" s="12">
        <f t="shared" ca="1" si="55"/>
        <v>3.2999647237644667</v>
      </c>
      <c r="M578" s="12">
        <f t="shared" ca="1" si="56"/>
        <v>0.19054783937531961</v>
      </c>
      <c r="N578" s="13">
        <f t="shared" ca="1" si="58"/>
        <v>-0.4450439461224982</v>
      </c>
      <c r="O578" s="13">
        <f t="shared" ca="1" si="59"/>
        <v>-48.060968392220339</v>
      </c>
      <c r="P578" s="12">
        <f t="shared" ca="1" si="57"/>
        <v>1.4464543855644536</v>
      </c>
    </row>
    <row r="579" spans="1:16" x14ac:dyDescent="0.25">
      <c r="A579">
        <v>12</v>
      </c>
      <c r="B579">
        <v>34</v>
      </c>
      <c r="C579" s="2" t="s">
        <v>11</v>
      </c>
      <c r="D579" s="2" t="s">
        <v>33</v>
      </c>
      <c r="E579" s="11" cm="1">
        <f t="array" aca="1" ref="E579" ca="1">INDEX('OD flujo mercancia multimodal'!E$45:E$1645,MATCH(C579&amp;D579,'OD flujo mercancia multimodal'!C$45:C$1645&amp;'OD flujo mercancia multimodal'!D$45:D$1645,0))</f>
        <v>302133.6923076926</v>
      </c>
      <c r="F579" s="11" cm="1">
        <f t="array" aca="1" ref="F579" ca="1">INDEX('OD flujo mercancia carretera'!E$45:E$1646,MATCH(C579&amp;D579,'OD flujo mercancia carretera'!C$45:C$1646&amp;'OD flujo mercancia carretera'!D$45:D$1646,0))</f>
        <v>308542.61965811974</v>
      </c>
      <c r="G579" s="11" cm="1">
        <f t="array" aca="1" ref="G579" ca="1">INDEX('Coste Carretera'!E$46:E$1646,MATCH(C579&amp;D579,'Coste Carretera'!C$46:C$1646&amp;'Coste Carretera'!D$46:D$1646,0))</f>
        <v>6039342890.159997</v>
      </c>
      <c r="H579" s="11" cm="1">
        <f t="array" aca="1" ref="H579" ca="1">INDEX('Coste multimodal'!E$46:E$1646,MATCH(C579&amp;D579,'Coste multimodal'!C$46:C$1646&amp;'Coste multimodal'!D$46:D$1646,0))</f>
        <v>3035828446.8012538</v>
      </c>
      <c r="I579" s="12" cm="1">
        <f t="array" aca="1" ref="I579" ca="1">INDEX('Tiempos intermodal (horas)'!E$45:E$1645,MATCH(C579&amp;D579,'Tiempos intermodal (horas)'!C$45:C$1645&amp;'Tiempos intermodal (horas)'!D$45:D$1645,0))</f>
        <v>56.232119211007877</v>
      </c>
      <c r="J579" s="2" cm="1">
        <f t="array" aca="1" ref="J579" ca="1">INDEX('Tiempos carretera (horas)'!E$45:E$1645,MATCH(C579&amp;D579,'Tiempos carretera (horas)'!C$45:C$1645&amp;'Tiempos carretera (horas)'!D$45:D$1645,0))</f>
        <v>16.43</v>
      </c>
      <c r="K579" s="12">
        <f t="shared" ca="1" si="54"/>
        <v>19.573772002233866</v>
      </c>
      <c r="L579" s="12">
        <f t="shared" ca="1" si="55"/>
        <v>10.047963944747909</v>
      </c>
      <c r="M579" s="12">
        <f t="shared" ca="1" si="56"/>
        <v>0.49475259869684785</v>
      </c>
      <c r="N579" s="13">
        <f t="shared" ca="1" si="58"/>
        <v>9.5258080574859569</v>
      </c>
      <c r="O579" s="13">
        <f t="shared" ca="1" si="59"/>
        <v>-39.802119211007877</v>
      </c>
      <c r="P579" s="12">
        <f t="shared" ca="1" si="57"/>
        <v>2.0990375868079419E-2</v>
      </c>
    </row>
    <row r="580" spans="1:16" x14ac:dyDescent="0.25">
      <c r="A580">
        <v>34</v>
      </c>
      <c r="B580">
        <v>12</v>
      </c>
      <c r="C580" s="2" t="s">
        <v>33</v>
      </c>
      <c r="D580" s="2" t="s">
        <v>11</v>
      </c>
      <c r="E580" s="11" cm="1">
        <f t="array" aca="1" ref="E580" ca="1">INDEX('OD flujo mercancia multimodal'!E$45:E$1645,MATCH(C580&amp;D580,'OD flujo mercancia multimodal'!C$45:C$1645&amp;'OD flujo mercancia multimodal'!D$45:D$1645,0))</f>
        <v>142888.76923076925</v>
      </c>
      <c r="F580" s="11" cm="1">
        <f t="array" aca="1" ref="F580" ca="1">INDEX('OD flujo mercancia carretera'!E$45:E$1646,MATCH(C580&amp;D580,'OD flujo mercancia carretera'!C$45:C$1646&amp;'OD flujo mercancia carretera'!D$45:D$1646,0))</f>
        <v>316619.30341880338</v>
      </c>
      <c r="G580" s="11" cm="1">
        <f t="array" aca="1" ref="G580" ca="1">INDEX('Coste Carretera'!E$46:E$1646,MATCH(C580&amp;D580,'Coste Carretera'!C$46:C$1646&amp;'Coste Carretera'!D$46:D$1646,0))</f>
        <v>4202036223.0399995</v>
      </c>
      <c r="H580" s="11" cm="1">
        <f t="array" aca="1" ref="H580" ca="1">INDEX('Coste multimodal'!E$46:E$1646,MATCH(C580&amp;D580,'Coste multimodal'!C$46:C$1646&amp;'Coste multimodal'!D$46:D$1646,0))</f>
        <v>3035828446.8012538</v>
      </c>
      <c r="I580" s="12" cm="1">
        <f t="array" aca="1" ref="I580" ca="1">INDEX('Tiempos intermodal (horas)'!E$45:E$1645,MATCH(C580&amp;D580,'Tiempos intermodal (horas)'!C$45:C$1645&amp;'Tiempos intermodal (horas)'!D$45:D$1645,0))</f>
        <v>56.232119211007877</v>
      </c>
      <c r="J580" s="2" cm="1">
        <f t="array" aca="1" ref="J580" ca="1">INDEX('Tiempos carretera (horas)'!E$45:E$1645,MATCH(C580&amp;D580,'Tiempos carretera (horas)'!C$45:C$1645&amp;'Tiempos carretera (horas)'!D$45:D$1645,0))</f>
        <v>16.43</v>
      </c>
      <c r="K580" s="12">
        <f t="shared" ca="1" si="54"/>
        <v>13.271573077405895</v>
      </c>
      <c r="L580" s="12">
        <f t="shared" ca="1" si="55"/>
        <v>21.246095568912825</v>
      </c>
      <c r="M580" s="12">
        <f t="shared" ca="1" si="56"/>
        <v>0.31096030240961242</v>
      </c>
      <c r="N580" s="13">
        <f t="shared" ca="1" si="58"/>
        <v>-7.9745224915069297</v>
      </c>
      <c r="O580" s="13">
        <f t="shared" ca="1" si="59"/>
        <v>-39.802119211007877</v>
      </c>
      <c r="P580" s="12">
        <f t="shared" ca="1" si="57"/>
        <v>0.79563362654864744</v>
      </c>
    </row>
    <row r="581" spans="1:16" x14ac:dyDescent="0.25">
      <c r="A581">
        <v>25</v>
      </c>
      <c r="B581">
        <v>33</v>
      </c>
      <c r="C581" s="2" t="s">
        <v>24</v>
      </c>
      <c r="D581" s="2" t="s">
        <v>32</v>
      </c>
      <c r="E581" s="11" cm="1">
        <f t="array" aca="1" ref="E581" ca="1">INDEX('OD flujo mercancia multimodal'!E$45:E$1645,MATCH(C581&amp;D581,'OD flujo mercancia multimodal'!C$45:C$1645&amp;'OD flujo mercancia multimodal'!D$45:D$1645,0))</f>
        <v>67867.076923076893</v>
      </c>
      <c r="F581" s="11" cm="1">
        <f t="array" aca="1" ref="F581" ca="1">INDEX('OD flujo mercancia carretera'!E$45:E$1646,MATCH(C581&amp;D581,'OD flujo mercancia carretera'!C$45:C$1646&amp;'OD flujo mercancia carretera'!D$45:D$1646,0))</f>
        <v>164535.05641025642</v>
      </c>
      <c r="G581" s="11" cm="1">
        <f t="array" aca="1" ref="G581" ca="1">INDEX('Coste Carretera'!E$46:E$1646,MATCH(C581&amp;D581,'Coste Carretera'!C$46:C$1646&amp;'Coste Carretera'!D$46:D$1646,0))</f>
        <v>218282298.88</v>
      </c>
      <c r="H581" s="11" cm="1">
        <f t="array" aca="1" ref="H581" ca="1">INDEX('Coste multimodal'!E$46:E$1646,MATCH(C581&amp;D581,'Coste multimodal'!C$46:C$1646&amp;'Coste multimodal'!D$46:D$1646,0))</f>
        <v>100028287.09055734</v>
      </c>
      <c r="I581" s="12" cm="1">
        <f t="array" aca="1" ref="I581" ca="1">INDEX('Tiempos intermodal (horas)'!E$45:E$1645,MATCH(C581&amp;D581,'Tiempos intermodal (horas)'!C$45:C$1645&amp;'Tiempos intermodal (horas)'!D$45:D$1645,0))</f>
        <v>58.65207950333145</v>
      </c>
      <c r="J581" s="2" cm="1">
        <f t="array" aca="1" ref="J581" ca="1">INDEX('Tiempos carretera (horas)'!E$45:E$1645,MATCH(C581&amp;D581,'Tiempos carretera (horas)'!C$45:C$1645&amp;'Tiempos carretera (horas)'!D$45:D$1645,0))</f>
        <v>10.5</v>
      </c>
      <c r="K581" s="12">
        <f t="shared" ca="1" si="54"/>
        <v>1.3266613428309688</v>
      </c>
      <c r="L581" s="12">
        <f t="shared" ca="1" si="55"/>
        <v>1.4738853008791459</v>
      </c>
      <c r="M581" s="12">
        <f t="shared" ca="1" si="56"/>
        <v>0.29202432847608789</v>
      </c>
      <c r="N581" s="13">
        <f t="shared" ca="1" si="58"/>
        <v>-0.14722395804817712</v>
      </c>
      <c r="O581" s="13">
        <f t="shared" ca="1" si="59"/>
        <v>-48.15207950333145</v>
      </c>
      <c r="P581" s="12">
        <f t="shared" ca="1" si="57"/>
        <v>0.88557261535239307</v>
      </c>
    </row>
    <row r="582" spans="1:16" x14ac:dyDescent="0.25">
      <c r="A582">
        <v>33</v>
      </c>
      <c r="B582">
        <v>25</v>
      </c>
      <c r="C582" s="2" t="s">
        <v>32</v>
      </c>
      <c r="D582" s="2" t="s">
        <v>24</v>
      </c>
      <c r="E582" s="11" cm="1">
        <f t="array" aca="1" ref="E582" ca="1">INDEX('OD flujo mercancia multimodal'!E$45:E$1645,MATCH(C582&amp;D582,'OD flujo mercancia multimodal'!C$45:C$1645&amp;'OD flujo mercancia multimodal'!D$45:D$1645,0))</f>
        <v>35346.307692307695</v>
      </c>
      <c r="F582" s="11" cm="1">
        <f t="array" aca="1" ref="F582" ca="1">INDEX('OD flujo mercancia carretera'!E$45:E$1646,MATCH(C582&amp;D582,'OD flujo mercancia carretera'!C$45:C$1646&amp;'OD flujo mercancia carretera'!D$45:D$1646,0))</f>
        <v>153275.35384615383</v>
      </c>
      <c r="G582" s="11" cm="1">
        <f t="array" aca="1" ref="G582" ca="1">INDEX('Coste Carretera'!E$46:E$1646,MATCH(C582&amp;D582,'Coste Carretera'!C$46:C$1646&amp;'Coste Carretera'!D$46:D$1646,0))</f>
        <v>275960829.44000006</v>
      </c>
      <c r="H582" s="11" cm="1">
        <f t="array" aca="1" ref="H582" ca="1">INDEX('Coste multimodal'!E$46:E$1646,MATCH(C582&amp;D582,'Coste multimodal'!C$46:C$1646&amp;'Coste multimodal'!D$46:D$1646,0))</f>
        <v>100028287.09055734</v>
      </c>
      <c r="I582" s="12" cm="1">
        <f t="array" aca="1" ref="I582" ca="1">INDEX('Tiempos intermodal (horas)'!E$45:E$1645,MATCH(C582&amp;D582,'Tiempos intermodal (horas)'!C$45:C$1645&amp;'Tiempos intermodal (horas)'!D$45:D$1645,0))</f>
        <v>58.65207950333145</v>
      </c>
      <c r="J582" s="2" cm="1">
        <f t="array" aca="1" ref="J582" ca="1">INDEX('Tiempos carretera (horas)'!E$45:E$1645,MATCH(C582&amp;D582,'Tiempos carretera (horas)'!C$45:C$1645&amp;'Tiempos carretera (horas)'!D$45:D$1645,0))</f>
        <v>10.5</v>
      </c>
      <c r="K582" s="12">
        <f t="shared" ca="1" si="54"/>
        <v>1.8004253294172043</v>
      </c>
      <c r="L582" s="12">
        <f t="shared" ca="1" si="55"/>
        <v>2.8299501028880076</v>
      </c>
      <c r="M582" s="12">
        <f t="shared" ca="1" si="56"/>
        <v>0.1873926218442323</v>
      </c>
      <c r="N582" s="13">
        <f t="shared" ca="1" si="58"/>
        <v>-1.0295247734708033</v>
      </c>
      <c r="O582" s="13">
        <f t="shared" ca="1" si="59"/>
        <v>-48.15207950333145</v>
      </c>
      <c r="P582" s="12">
        <f t="shared" ca="1" si="57"/>
        <v>1.4670420653347949</v>
      </c>
    </row>
    <row r="583" spans="1:16" x14ac:dyDescent="0.25">
      <c r="A583">
        <v>36</v>
      </c>
      <c r="B583">
        <v>14</v>
      </c>
      <c r="C583" s="2" t="s">
        <v>35</v>
      </c>
      <c r="D583" s="2" t="s">
        <v>13</v>
      </c>
      <c r="E583" s="11" cm="1">
        <f t="array" aca="1" ref="E583" ca="1">INDEX('OD flujo mercancia multimodal'!E$45:E$1645,MATCH(C583&amp;D583,'OD flujo mercancia multimodal'!C$45:C$1645&amp;'OD flujo mercancia multimodal'!D$45:D$1645,0))</f>
        <v>26027.615384615368</v>
      </c>
      <c r="F583" s="11" cm="1">
        <f t="array" aca="1" ref="F583" ca="1">INDEX('OD flujo mercancia carretera'!E$45:E$1646,MATCH(C583&amp;D583,'OD flujo mercancia carretera'!C$45:C$1646&amp;'OD flujo mercancia carretera'!D$45:D$1646,0))</f>
        <v>262769.69230769208</v>
      </c>
      <c r="G583" s="11" cm="1">
        <f t="array" aca="1" ref="G583" ca="1">INDEX('Coste Carretera'!E$46:E$1646,MATCH(C583&amp;D583,'Coste Carretera'!C$46:C$1646&amp;'Coste Carretera'!D$46:D$1646,0))</f>
        <v>2381519060.6399984</v>
      </c>
      <c r="H583" s="11" cm="1">
        <f t="array" aca="1" ref="H583" ca="1">INDEX('Coste multimodal'!E$46:E$1646,MATCH(C583&amp;D583,'Coste multimodal'!C$46:C$1646&amp;'Coste multimodal'!D$46:D$1646,0))</f>
        <v>448666214.61908698</v>
      </c>
      <c r="I583" s="12" cm="1">
        <f t="array" aca="1" ref="I583" ca="1">INDEX('Tiempos intermodal (horas)'!E$45:E$1645,MATCH(C583&amp;D583,'Tiempos intermodal (horas)'!C$45:C$1645&amp;'Tiempos intermodal (horas)'!D$45:D$1645,0))</f>
        <v>53.426572116061372</v>
      </c>
      <c r="J583" s="2" cm="1">
        <f t="array" aca="1" ref="J583" ca="1">INDEX('Tiempos carretera (horas)'!E$45:E$1645,MATCH(C583&amp;D583,'Tiempos carretera (horas)'!C$45:C$1645&amp;'Tiempos carretera (horas)'!D$45:D$1645,0))</f>
        <v>13.52</v>
      </c>
      <c r="K583" s="12">
        <f t="shared" ca="1" si="54"/>
        <v>9.0631420987902267</v>
      </c>
      <c r="L583" s="12">
        <f t="shared" ca="1" si="55"/>
        <v>17.238083780978588</v>
      </c>
      <c r="M583" s="12">
        <f t="shared" ca="1" si="56"/>
        <v>9.0124162141933473E-2</v>
      </c>
      <c r="N583" s="13">
        <f t="shared" ca="1" si="58"/>
        <v>-8.1749416821883614</v>
      </c>
      <c r="O583" s="13">
        <f t="shared" ca="1" si="59"/>
        <v>-39.906572116061369</v>
      </c>
      <c r="P583" s="12">
        <f t="shared" ca="1" si="57"/>
        <v>2.3121198493478365</v>
      </c>
    </row>
    <row r="584" spans="1:16" x14ac:dyDescent="0.25">
      <c r="A584">
        <v>14</v>
      </c>
      <c r="B584">
        <v>36</v>
      </c>
      <c r="C584" s="2" t="s">
        <v>13</v>
      </c>
      <c r="D584" s="2" t="s">
        <v>35</v>
      </c>
      <c r="E584" s="11" cm="1">
        <f t="array" aca="1" ref="E584" ca="1">INDEX('OD flujo mercancia multimodal'!E$45:E$1645,MATCH(C584&amp;D584,'OD flujo mercancia multimodal'!C$45:C$1645&amp;'OD flujo mercancia multimodal'!D$45:D$1645,0))</f>
        <v>15273.923076923074</v>
      </c>
      <c r="F584" s="11" cm="1">
        <f t="array" aca="1" ref="F584" ca="1">INDEX('OD flujo mercancia carretera'!E$45:E$1646,MATCH(C584&amp;D584,'OD flujo mercancia carretera'!C$45:C$1646&amp;'OD flujo mercancia carretera'!D$45:D$1646,0))</f>
        <v>195457.5384615385</v>
      </c>
      <c r="G584" s="11" cm="1">
        <f t="array" aca="1" ref="G584" ca="1">INDEX('Coste Carretera'!E$46:E$1646,MATCH(C584&amp;D584,'Coste Carretera'!C$46:C$1646&amp;'Coste Carretera'!D$46:D$1646,0))</f>
        <v>2451273078.480001</v>
      </c>
      <c r="H584" s="11" cm="1">
        <f t="array" aca="1" ref="H584" ca="1">INDEX('Coste multimodal'!E$46:E$1646,MATCH(C584&amp;D584,'Coste multimodal'!C$46:C$1646&amp;'Coste multimodal'!D$46:D$1646,0))</f>
        <v>448666214.61908698</v>
      </c>
      <c r="I584" s="12" cm="1">
        <f t="array" aca="1" ref="I584" ca="1">INDEX('Tiempos intermodal (horas)'!E$45:E$1645,MATCH(C584&amp;D584,'Tiempos intermodal (horas)'!C$45:C$1645&amp;'Tiempos intermodal (horas)'!D$45:D$1645,0))</f>
        <v>53.426572116061372</v>
      </c>
      <c r="J584" s="2" cm="1">
        <f t="array" aca="1" ref="J584" ca="1">INDEX('Tiempos carretera (horas)'!E$45:E$1645,MATCH(C584&amp;D584,'Tiempos carretera (horas)'!C$45:C$1645&amp;'Tiempos carretera (horas)'!D$45:D$1645,0))</f>
        <v>13.52</v>
      </c>
      <c r="K584" s="12">
        <f t="shared" ca="1" si="54"/>
        <v>12.541205101497555</v>
      </c>
      <c r="L584" s="12">
        <f t="shared" ca="1" si="55"/>
        <v>29.374654590015822</v>
      </c>
      <c r="M584" s="12">
        <f t="shared" ca="1" si="56"/>
        <v>7.2480506543325815E-2</v>
      </c>
      <c r="N584" s="13">
        <f t="shared" ca="1" si="58"/>
        <v>-16.833449488518269</v>
      </c>
      <c r="O584" s="13">
        <f t="shared" ca="1" si="59"/>
        <v>-39.906572116061369</v>
      </c>
      <c r="P584" s="12">
        <f t="shared" ca="1" si="57"/>
        <v>2.5491961610219702</v>
      </c>
    </row>
    <row r="585" spans="1:16" x14ac:dyDescent="0.25">
      <c r="A585">
        <v>22</v>
      </c>
      <c r="B585">
        <v>20</v>
      </c>
      <c r="C585" s="2" t="s">
        <v>21</v>
      </c>
      <c r="D585" s="2" t="s">
        <v>19</v>
      </c>
      <c r="E585" s="11" cm="1">
        <f t="array" aca="1" ref="E585" ca="1">INDEX('OD flujo mercancia multimodal'!E$45:E$1645,MATCH(C585&amp;D585,'OD flujo mercancia multimodal'!C$45:C$1645&amp;'OD flujo mercancia multimodal'!D$45:D$1645,0))</f>
        <v>67124.230769230751</v>
      </c>
      <c r="F585" s="11" cm="1">
        <f t="array" aca="1" ref="F585" ca="1">INDEX('OD flujo mercancia carretera'!E$45:E$1646,MATCH(C585&amp;D585,'OD flujo mercancia carretera'!C$45:C$1646&amp;'OD flujo mercancia carretera'!D$45:D$1646,0))</f>
        <v>190281.33333333337</v>
      </c>
      <c r="G585" s="11" cm="1">
        <f t="array" aca="1" ref="G585" ca="1">INDEX('Coste Carretera'!E$46:E$1646,MATCH(C585&amp;D585,'Coste Carretera'!C$46:C$1646&amp;'Coste Carretera'!D$46:D$1646,0))</f>
        <v>927170889.79999959</v>
      </c>
      <c r="H585" s="11" cm="1">
        <f t="array" aca="1" ref="H585" ca="1">INDEX('Coste multimodal'!E$46:E$1646,MATCH(C585&amp;D585,'Coste multimodal'!C$46:C$1646&amp;'Coste multimodal'!D$46:D$1646,0))</f>
        <v>653970143.12344241</v>
      </c>
      <c r="I585" s="12" cm="1">
        <f t="array" aca="1" ref="I585" ca="1">INDEX('Tiempos intermodal (horas)'!E$45:E$1645,MATCH(C585&amp;D585,'Tiempos intermodal (horas)'!C$45:C$1645&amp;'Tiempos intermodal (horas)'!D$45:D$1645,0))</f>
        <v>46.678418354389542</v>
      </c>
      <c r="J585" s="2" cm="1">
        <f t="array" aca="1" ref="J585" ca="1">INDEX('Tiempos carretera (horas)'!E$45:E$1645,MATCH(C585&amp;D585,'Tiempos carretera (horas)'!C$45:C$1645&amp;'Tiempos carretera (horas)'!D$45:D$1645,0))</f>
        <v>2.75</v>
      </c>
      <c r="K585" s="12">
        <f t="shared" ca="1" si="54"/>
        <v>4.8726318738569523</v>
      </c>
      <c r="L585" s="12">
        <f t="shared" ca="1" si="55"/>
        <v>9.7426836125951919</v>
      </c>
      <c r="M585" s="12">
        <f t="shared" ca="1" si="56"/>
        <v>0.26077226031712691</v>
      </c>
      <c r="N585" s="13">
        <f t="shared" ca="1" si="58"/>
        <v>-4.8700517387382396</v>
      </c>
      <c r="O585" s="13">
        <f t="shared" ca="1" si="59"/>
        <v>-43.928418354389542</v>
      </c>
      <c r="P585" s="12">
        <f t="shared" ca="1" si="57"/>
        <v>1.0419585856698628</v>
      </c>
    </row>
    <row r="586" spans="1:16" x14ac:dyDescent="0.25">
      <c r="A586">
        <v>20</v>
      </c>
      <c r="B586">
        <v>22</v>
      </c>
      <c r="C586" s="2" t="s">
        <v>19</v>
      </c>
      <c r="D586" s="2" t="s">
        <v>21</v>
      </c>
      <c r="E586" s="11" cm="1">
        <f t="array" aca="1" ref="E586" ca="1">INDEX('OD flujo mercancia multimodal'!E$45:E$1645,MATCH(C586&amp;D586,'OD flujo mercancia multimodal'!C$45:C$1645&amp;'OD flujo mercancia multimodal'!D$45:D$1645,0))</f>
        <v>53714.923076923034</v>
      </c>
      <c r="F586" s="11" cm="1">
        <f t="array" aca="1" ref="F586" ca="1">INDEX('OD flujo mercancia carretera'!E$45:E$1646,MATCH(C586&amp;D586,'OD flujo mercancia carretera'!C$45:C$1646&amp;'OD flujo mercancia carretera'!D$45:D$1646,0))</f>
        <v>187999.66666666634</v>
      </c>
      <c r="G586" s="11" cm="1">
        <f t="array" aca="1" ref="G586" ca="1">INDEX('Coste Carretera'!E$46:E$1646,MATCH(C586&amp;D586,'Coste Carretera'!C$46:C$1646&amp;'Coste Carretera'!D$46:D$1646,0))</f>
        <v>741951340.8799994</v>
      </c>
      <c r="H586" s="11" cm="1">
        <f t="array" aca="1" ref="H586" ca="1">INDEX('Coste multimodal'!E$46:E$1646,MATCH(C586&amp;D586,'Coste multimodal'!C$46:C$1646&amp;'Coste multimodal'!D$46:D$1646,0))</f>
        <v>653970143.12344241</v>
      </c>
      <c r="I586" s="12" cm="1">
        <f t="array" aca="1" ref="I586" ca="1">INDEX('Tiempos intermodal (horas)'!E$45:E$1645,MATCH(C586&amp;D586,'Tiempos intermodal (horas)'!C$45:C$1645&amp;'Tiempos intermodal (horas)'!D$45:D$1645,0))</f>
        <v>46.678418354389542</v>
      </c>
      <c r="J586" s="2" cm="1">
        <f t="array" aca="1" ref="J586" ca="1">INDEX('Tiempos carretera (horas)'!E$45:E$1645,MATCH(C586&amp;D586,'Tiempos carretera (horas)'!C$45:C$1645&amp;'Tiempos carretera (horas)'!D$45:D$1645,0))</f>
        <v>2.75</v>
      </c>
      <c r="K586" s="12">
        <f t="shared" ca="1" si="54"/>
        <v>3.946556682972846</v>
      </c>
      <c r="L586" s="12">
        <f t="shared" ca="1" si="55"/>
        <v>12.174831604746364</v>
      </c>
      <c r="M586" s="12">
        <f t="shared" ca="1" si="56"/>
        <v>0.22222457955021988</v>
      </c>
      <c r="N586" s="13">
        <f t="shared" ca="1" si="58"/>
        <v>-8.2282749217735187</v>
      </c>
      <c r="O586" s="13">
        <f t="shared" ca="1" si="59"/>
        <v>-43.928418354389542</v>
      </c>
      <c r="P586" s="12">
        <f t="shared" ca="1" si="57"/>
        <v>1.252749329720767</v>
      </c>
    </row>
    <row r="587" spans="1:16" x14ac:dyDescent="0.25">
      <c r="A587">
        <v>13</v>
      </c>
      <c r="B587">
        <v>34</v>
      </c>
      <c r="C587" s="2" t="s">
        <v>12</v>
      </c>
      <c r="D587" s="2" t="s">
        <v>33</v>
      </c>
      <c r="E587" s="11" cm="1">
        <f t="array" aca="1" ref="E587" ca="1">INDEX('OD flujo mercancia multimodal'!E$45:E$1645,MATCH(C587&amp;D587,'OD flujo mercancia multimodal'!C$45:C$1645&amp;'OD flujo mercancia multimodal'!D$45:D$1645,0))</f>
        <v>298586.15384615411</v>
      </c>
      <c r="F587" s="11" cm="1">
        <f t="array" aca="1" ref="F587" ca="1">INDEX('OD flujo mercancia carretera'!E$45:E$1646,MATCH(C587&amp;D587,'OD flujo mercancia carretera'!C$45:C$1646&amp;'OD flujo mercancia carretera'!D$45:D$1646,0))</f>
        <v>290153.69658119668</v>
      </c>
      <c r="G587" s="11" cm="1">
        <f t="array" aca="1" ref="G587" ca="1">INDEX('Coste Carretera'!E$46:E$1646,MATCH(C587&amp;D587,'Coste Carretera'!C$46:C$1646&amp;'Coste Carretera'!D$46:D$1646,0))</f>
        <v>5242604491.159997</v>
      </c>
      <c r="H587" s="11" cm="1">
        <f t="array" aca="1" ref="H587" ca="1">INDEX('Coste multimodal'!E$46:E$1646,MATCH(C587&amp;D587,'Coste multimodal'!C$46:C$1646&amp;'Coste multimodal'!D$46:D$1646,0))</f>
        <v>2743546601.4030242</v>
      </c>
      <c r="I587" s="12" cm="1">
        <f t="array" aca="1" ref="I587" ca="1">INDEX('Tiempos intermodal (horas)'!E$45:E$1645,MATCH(C587&amp;D587,'Tiempos intermodal (horas)'!C$45:C$1645&amp;'Tiempos intermodal (horas)'!D$45:D$1645,0))</f>
        <v>55.589655874624619</v>
      </c>
      <c r="J587" s="2" cm="1">
        <f t="array" aca="1" ref="J587" ca="1">INDEX('Tiempos carretera (horas)'!E$45:E$1645,MATCH(C587&amp;D587,'Tiempos carretera (horas)'!C$45:C$1645&amp;'Tiempos carretera (horas)'!D$45:D$1645,0))</f>
        <v>15.62</v>
      </c>
      <c r="K587" s="12">
        <f t="shared" ca="1" si="54"/>
        <v>18.068370497885095</v>
      </c>
      <c r="L587" s="12">
        <f t="shared" ca="1" si="55"/>
        <v>9.1884588955743443</v>
      </c>
      <c r="M587" s="12">
        <f t="shared" ca="1" si="56"/>
        <v>0.50716144597553281</v>
      </c>
      <c r="N587" s="13">
        <f t="shared" ca="1" si="58"/>
        <v>8.8799116023107505</v>
      </c>
      <c r="O587" s="13">
        <f t="shared" ca="1" si="59"/>
        <v>-39.969655874624621</v>
      </c>
      <c r="P587" s="12">
        <f t="shared" ca="1" si="57"/>
        <v>-2.8647742991954633E-2</v>
      </c>
    </row>
    <row r="588" spans="1:16" x14ac:dyDescent="0.25">
      <c r="A588">
        <v>34</v>
      </c>
      <c r="B588">
        <v>13</v>
      </c>
      <c r="C588" s="2" t="s">
        <v>33</v>
      </c>
      <c r="D588" s="2" t="s">
        <v>12</v>
      </c>
      <c r="E588" s="11" cm="1">
        <f t="array" aca="1" ref="E588" ca="1">INDEX('OD flujo mercancia multimodal'!E$45:E$1645,MATCH(C588&amp;D588,'OD flujo mercancia multimodal'!C$45:C$1645&amp;'OD flujo mercancia multimodal'!D$45:D$1645,0))</f>
        <v>127967.15384615386</v>
      </c>
      <c r="F588" s="11" cm="1">
        <f t="array" aca="1" ref="F588" ca="1">INDEX('OD flujo mercancia carretera'!E$45:E$1646,MATCH(C588&amp;D588,'OD flujo mercancia carretera'!C$45:C$1646&amp;'OD flujo mercancia carretera'!D$45:D$1646,0))</f>
        <v>298307.764957265</v>
      </c>
      <c r="G588" s="11" cm="1">
        <f t="array" aca="1" ref="G588" ca="1">INDEX('Coste Carretera'!E$46:E$1646,MATCH(C588&amp;D588,'Coste Carretera'!C$46:C$1646&amp;'Coste Carretera'!D$46:D$1646,0))</f>
        <v>2658108784.7599998</v>
      </c>
      <c r="H588" s="11" cm="1">
        <f t="array" aca="1" ref="H588" ca="1">INDEX('Coste multimodal'!E$46:E$1646,MATCH(C588&amp;D588,'Coste multimodal'!C$46:C$1646&amp;'Coste multimodal'!D$46:D$1646,0))</f>
        <v>2743546601.4030242</v>
      </c>
      <c r="I588" s="12" cm="1">
        <f t="array" aca="1" ref="I588" ca="1">INDEX('Tiempos intermodal (horas)'!E$45:E$1645,MATCH(C588&amp;D588,'Tiempos intermodal (horas)'!C$45:C$1645&amp;'Tiempos intermodal (horas)'!D$45:D$1645,0))</f>
        <v>55.589655874624619</v>
      </c>
      <c r="J588" s="2" cm="1">
        <f t="array" aca="1" ref="J588" ca="1">INDEX('Tiempos carretera (horas)'!E$45:E$1645,MATCH(C588&amp;D588,'Tiempos carretera (horas)'!C$45:C$1645&amp;'Tiempos carretera (horas)'!D$45:D$1645,0))</f>
        <v>15.62</v>
      </c>
      <c r="K588" s="12">
        <f t="shared" ca="1" si="54"/>
        <v>8.9106255250874717</v>
      </c>
      <c r="L588" s="12">
        <f t="shared" ca="1" si="55"/>
        <v>21.439459415510658</v>
      </c>
      <c r="M588" s="12">
        <f t="shared" ca="1" si="56"/>
        <v>0.30019864693274917</v>
      </c>
      <c r="N588" s="13">
        <f t="shared" ca="1" si="58"/>
        <v>-12.528833890423186</v>
      </c>
      <c r="O588" s="13">
        <f t="shared" ca="1" si="59"/>
        <v>-39.969655874624621</v>
      </c>
      <c r="P588" s="12">
        <f t="shared" ca="1" si="57"/>
        <v>0.8463521014675166</v>
      </c>
    </row>
    <row r="589" spans="1:16" x14ac:dyDescent="0.25">
      <c r="A589">
        <v>13</v>
      </c>
      <c r="B589">
        <v>2</v>
      </c>
      <c r="C589" s="2" t="s">
        <v>12</v>
      </c>
      <c r="D589" s="2" t="s">
        <v>1</v>
      </c>
      <c r="E589" s="11" cm="1">
        <f t="array" aca="1" ref="E589" ca="1">INDEX('OD flujo mercancia multimodal'!E$45:E$1645,MATCH(C589&amp;D589,'OD flujo mercancia multimodal'!C$45:C$1645&amp;'OD flujo mercancia multimodal'!D$45:D$1645,0))</f>
        <v>23027.917582417551</v>
      </c>
      <c r="F589" s="11" cm="1">
        <f t="array" aca="1" ref="F589" ca="1">INDEX('OD flujo mercancia carretera'!E$45:E$1646,MATCH(C589&amp;D589,'OD flujo mercancia carretera'!C$45:C$1646&amp;'OD flujo mercancia carretera'!D$45:D$1646,0))</f>
        <v>62009.538461538497</v>
      </c>
      <c r="G589" s="11" cm="1">
        <f t="array" aca="1" ref="G589" ca="1">INDEX('Coste Carretera'!E$46:E$1646,MATCH(C589&amp;D589,'Coste Carretera'!C$46:C$1646&amp;'Coste Carretera'!D$46:D$1646,0))</f>
        <v>1623050002.5771403</v>
      </c>
      <c r="H589" s="11" cm="1">
        <f t="array" aca="1" ref="H589" ca="1">INDEX('Coste multimodal'!E$46:E$1646,MATCH(C589&amp;D589,'Coste multimodal'!C$46:C$1646&amp;'Coste multimodal'!D$46:D$1646,0))</f>
        <v>423399895.44308698</v>
      </c>
      <c r="I589" s="12" cm="1">
        <f t="array" aca="1" ref="I589" ca="1">INDEX('Tiempos intermodal (horas)'!E$45:E$1645,MATCH(C589&amp;D589,'Tiempos intermodal (horas)'!C$45:C$1645&amp;'Tiempos intermodal (horas)'!D$45:D$1645,0))</f>
        <v>53.682127671616925</v>
      </c>
      <c r="J589" s="2" cm="1">
        <f t="array" aca="1" ref="J589" ca="1">INDEX('Tiempos carretera (horas)'!E$45:E$1645,MATCH(C589&amp;D589,'Tiempos carretera (horas)'!C$45:C$1645&amp;'Tiempos carretera (horas)'!D$45:D$1645,0))</f>
        <v>13.68</v>
      </c>
      <c r="K589" s="12">
        <f t="shared" ca="1" si="54"/>
        <v>26.174199048164816</v>
      </c>
      <c r="L589" s="12">
        <f t="shared" ca="1" si="55"/>
        <v>18.386373580143626</v>
      </c>
      <c r="M589" s="12">
        <f t="shared" ca="1" si="56"/>
        <v>0.27079734805935834</v>
      </c>
      <c r="N589" s="13">
        <f t="shared" ca="1" si="58"/>
        <v>7.7878254680211896</v>
      </c>
      <c r="O589" s="13">
        <f t="shared" ca="1" si="59"/>
        <v>-40.002127671616925</v>
      </c>
      <c r="P589" s="12">
        <f t="shared" ca="1" si="57"/>
        <v>0.99058093157476068</v>
      </c>
    </row>
    <row r="590" spans="1:16" x14ac:dyDescent="0.25">
      <c r="A590">
        <v>2</v>
      </c>
      <c r="B590">
        <v>13</v>
      </c>
      <c r="C590" s="2" t="s">
        <v>1</v>
      </c>
      <c r="D590" s="2" t="s">
        <v>12</v>
      </c>
      <c r="E590" s="11" cm="1">
        <f t="array" aca="1" ref="E590" ca="1">INDEX('OD flujo mercancia multimodal'!E$45:E$1645,MATCH(C590&amp;D590,'OD flujo mercancia multimodal'!C$45:C$1645&amp;'OD flujo mercancia multimodal'!D$45:D$1645,0))</f>
        <v>9714.3846153846207</v>
      </c>
      <c r="F590" s="11" cm="1">
        <f t="array" aca="1" ref="F590" ca="1">INDEX('OD flujo mercancia carretera'!E$45:E$1646,MATCH(C590&amp;D590,'OD flujo mercancia carretera'!C$45:C$1646&amp;'OD flujo mercancia carretera'!D$45:D$1646,0))</f>
        <v>62276.538461538497</v>
      </c>
      <c r="G590" s="11" cm="1">
        <f t="array" aca="1" ref="G590" ca="1">INDEX('Coste Carretera'!E$46:E$1646,MATCH(C590&amp;D590,'Coste Carretera'!C$46:C$1646&amp;'Coste Carretera'!D$46:D$1646,0))</f>
        <v>684687702.16000032</v>
      </c>
      <c r="H590" s="11" cm="1">
        <f t="array" aca="1" ref="H590" ca="1">INDEX('Coste multimodal'!E$46:E$1646,MATCH(C590&amp;D590,'Coste multimodal'!C$46:C$1646&amp;'Coste multimodal'!D$46:D$1646,0))</f>
        <v>423399895.44308698</v>
      </c>
      <c r="I590" s="12" cm="1">
        <f t="array" aca="1" ref="I590" ca="1">INDEX('Tiempos intermodal (horas)'!E$45:E$1645,MATCH(C590&amp;D590,'Tiempos intermodal (horas)'!C$45:C$1645&amp;'Tiempos intermodal (horas)'!D$45:D$1645,0))</f>
        <v>53.682127671616925</v>
      </c>
      <c r="J590" s="2" cm="1">
        <f t="array" aca="1" ref="J590" ca="1">INDEX('Tiempos carretera (horas)'!E$45:E$1645,MATCH(C590&amp;D590,'Tiempos carretera (horas)'!C$45:C$1645&amp;'Tiempos carretera (horas)'!D$45:D$1645,0))</f>
        <v>13.68</v>
      </c>
      <c r="K590" s="12">
        <f t="shared" ca="1" si="54"/>
        <v>10.994312129002772</v>
      </c>
      <c r="L590" s="12">
        <f t="shared" ca="1" si="55"/>
        <v>43.584839617380467</v>
      </c>
      <c r="M590" s="12">
        <f t="shared" ca="1" si="56"/>
        <v>0.13493902009013956</v>
      </c>
      <c r="N590" s="13">
        <f t="shared" ca="1" si="58"/>
        <v>-32.590527488377695</v>
      </c>
      <c r="O590" s="13">
        <f t="shared" ca="1" si="59"/>
        <v>-40.002127671616925</v>
      </c>
      <c r="P590" s="12">
        <f t="shared" ca="1" si="57"/>
        <v>1.857977028098823</v>
      </c>
    </row>
    <row r="591" spans="1:16" x14ac:dyDescent="0.25">
      <c r="A591">
        <v>12</v>
      </c>
      <c r="B591">
        <v>27</v>
      </c>
      <c r="C591" s="2" t="s">
        <v>11</v>
      </c>
      <c r="D591" s="2" t="s">
        <v>145</v>
      </c>
      <c r="E591" s="11" cm="1">
        <f t="array" aca="1" ref="E591" ca="1">INDEX('OD flujo mercancia multimodal'!E$45:E$1645,MATCH(C591&amp;D591,'OD flujo mercancia multimodal'!C$45:C$1645&amp;'OD flujo mercancia multimodal'!D$45:D$1645,0))</f>
        <v>64840.384615384617</v>
      </c>
      <c r="F591" s="11" cm="1">
        <f t="array" aca="1" ref="F591" ca="1">INDEX('OD flujo mercancia carretera'!E$45:E$1646,MATCH(C591&amp;D591,'OD flujo mercancia carretera'!C$45:C$1646&amp;'OD flujo mercancia carretera'!D$45:D$1646,0))</f>
        <v>458044.33076923073</v>
      </c>
      <c r="G591" s="11" cm="1">
        <f t="array" aca="1" ref="G591" ca="1">INDEX('Coste Carretera'!E$46:E$1646,MATCH(C591&amp;D591,'Coste Carretera'!C$46:C$1646&amp;'Coste Carretera'!D$46:D$1646,0))</f>
        <v>4093311233.9999995</v>
      </c>
      <c r="H591" s="11" cm="1">
        <f t="array" aca="1" ref="H591" ca="1">INDEX('Coste multimodal'!E$46:E$1646,MATCH(C591&amp;D591,'Coste multimodal'!C$46:C$1646&amp;'Coste multimodal'!D$46:D$1646,0))</f>
        <v>1005026115.9657083</v>
      </c>
      <c r="I591" s="12" cm="1">
        <f t="array" aca="1" ref="I591" ca="1">INDEX('Tiempos intermodal (horas)'!E$45:E$1645,MATCH(C591&amp;D591,'Tiempos intermodal (horas)'!C$45:C$1645&amp;'Tiempos intermodal (horas)'!D$45:D$1645,0))</f>
        <v>52.123910786763325</v>
      </c>
      <c r="J591" s="2" cm="1">
        <f t="array" aca="1" ref="J591" ca="1">INDEX('Tiempos carretera (horas)'!E$45:E$1645,MATCH(C591&amp;D591,'Tiempos carretera (horas)'!C$45:C$1645&amp;'Tiempos carretera (horas)'!D$45:D$1645,0))</f>
        <v>12.06</v>
      </c>
      <c r="K591" s="12">
        <f t="shared" ca="1" si="54"/>
        <v>8.9364957909767657</v>
      </c>
      <c r="L591" s="12">
        <f t="shared" ca="1" si="55"/>
        <v>15.500002381652232</v>
      </c>
      <c r="M591" s="12">
        <f t="shared" ca="1" si="56"/>
        <v>0.1240051252362394</v>
      </c>
      <c r="N591" s="13">
        <f t="shared" ca="1" si="58"/>
        <v>-6.5635065906754662</v>
      </c>
      <c r="O591" s="13">
        <f t="shared" ca="1" si="59"/>
        <v>-40.063910786763323</v>
      </c>
      <c r="P591" s="12">
        <f t="shared" ca="1" si="57"/>
        <v>1.9550373428917871</v>
      </c>
    </row>
    <row r="592" spans="1:16" x14ac:dyDescent="0.25">
      <c r="A592">
        <v>27</v>
      </c>
      <c r="B592">
        <v>12</v>
      </c>
      <c r="C592" s="2" t="s">
        <v>145</v>
      </c>
      <c r="D592" s="2" t="s">
        <v>11</v>
      </c>
      <c r="E592" s="11" cm="1">
        <f t="array" aca="1" ref="E592" ca="1">INDEX('OD flujo mercancia multimodal'!E$45:E$1645,MATCH(C592&amp;D592,'OD flujo mercancia multimodal'!C$45:C$1645&amp;'OD flujo mercancia multimodal'!D$45:D$1645,0))</f>
        <v>51481</v>
      </c>
      <c r="F592" s="11" cm="1">
        <f t="array" aca="1" ref="F592" ca="1">INDEX('OD flujo mercancia carretera'!E$45:E$1646,MATCH(C592&amp;D592,'OD flujo mercancia carretera'!C$45:C$1646&amp;'OD flujo mercancia carretera'!D$45:D$1646,0))</f>
        <v>461760.27692307683</v>
      </c>
      <c r="G592" s="11" cm="1">
        <f t="array" aca="1" ref="G592" ca="1">INDEX('Coste Carretera'!E$46:E$1646,MATCH(C592&amp;D592,'Coste Carretera'!C$46:C$1646&amp;'Coste Carretera'!D$46:D$1646,0))</f>
        <v>3249946108.2399998</v>
      </c>
      <c r="H592" s="11" cm="1">
        <f t="array" aca="1" ref="H592" ca="1">INDEX('Coste multimodal'!E$46:E$1646,MATCH(C592&amp;D592,'Coste multimodal'!C$46:C$1646&amp;'Coste multimodal'!D$46:D$1646,0))</f>
        <v>1005026115.9657083</v>
      </c>
      <c r="I592" s="12" cm="1">
        <f t="array" aca="1" ref="I592" ca="1">INDEX('Tiempos intermodal (horas)'!E$45:E$1645,MATCH(C592&amp;D592,'Tiempos intermodal (horas)'!C$45:C$1645&amp;'Tiempos intermodal (horas)'!D$45:D$1645,0))</f>
        <v>52.123910786763325</v>
      </c>
      <c r="J592" s="2" cm="1">
        <f t="array" aca="1" ref="J592" ca="1">INDEX('Tiempos carretera (horas)'!E$45:E$1645,MATCH(C592&amp;D592,'Tiempos carretera (horas)'!C$45:C$1645&amp;'Tiempos carretera (horas)'!D$45:D$1645,0))</f>
        <v>12.06</v>
      </c>
      <c r="K592" s="12">
        <f t="shared" ca="1" si="54"/>
        <v>7.0381673579544346</v>
      </c>
      <c r="L592" s="12">
        <f t="shared" ca="1" si="55"/>
        <v>19.522272604761142</v>
      </c>
      <c r="M592" s="12">
        <f t="shared" ca="1" si="56"/>
        <v>0.10030565021705343</v>
      </c>
      <c r="N592" s="13">
        <f t="shared" ca="1" si="58"/>
        <v>-12.484105246806706</v>
      </c>
      <c r="O592" s="13">
        <f t="shared" ca="1" si="59"/>
        <v>-40.063910786763323</v>
      </c>
      <c r="P592" s="12">
        <f t="shared" ca="1" si="57"/>
        <v>2.1938330677387765</v>
      </c>
    </row>
    <row r="593" spans="1:16" x14ac:dyDescent="0.25">
      <c r="A593">
        <v>1</v>
      </c>
      <c r="B593">
        <v>22</v>
      </c>
      <c r="C593" s="2" t="s">
        <v>0</v>
      </c>
      <c r="D593" s="2" t="s">
        <v>21</v>
      </c>
      <c r="E593" s="11" cm="1">
        <f t="array" aca="1" ref="E593" ca="1">INDEX('OD flujo mercancia multimodal'!E$45:E$1645,MATCH(C593&amp;D593,'OD flujo mercancia multimodal'!C$45:C$1645&amp;'OD flujo mercancia multimodal'!D$45:D$1645,0))</f>
        <v>107364.22527472524</v>
      </c>
      <c r="F593" s="11" cm="1">
        <f t="array" aca="1" ref="F593" ca="1">INDEX('OD flujo mercancia carretera'!E$45:E$1646,MATCH(C593&amp;D593,'OD flujo mercancia carretera'!C$45:C$1646&amp;'OD flujo mercancia carretera'!D$45:D$1646,0))</f>
        <v>174429.33333333299</v>
      </c>
      <c r="G593" s="11" cm="1">
        <f t="array" aca="1" ref="G593" ca="1">INDEX('Coste Carretera'!E$46:E$1646,MATCH(C593&amp;D593,'Coste Carretera'!C$46:C$1646&amp;'Coste Carretera'!D$46:D$1646,0))</f>
        <v>3355067621.2999988</v>
      </c>
      <c r="H593" s="11" cm="1">
        <f t="array" aca="1" ref="H593" ca="1">INDEX('Coste multimodal'!E$46:E$1646,MATCH(C593&amp;D593,'Coste multimodal'!C$46:C$1646&amp;'Coste multimodal'!D$46:D$1646,0))</f>
        <v>4614606103.975503</v>
      </c>
      <c r="I593" s="12" cm="1">
        <f t="array" aca="1" ref="I593" ca="1">INDEX('Tiempos intermodal (horas)'!E$45:E$1645,MATCH(C593&amp;D593,'Tiempos intermodal (horas)'!C$45:C$1645&amp;'Tiempos intermodal (horas)'!D$45:D$1645,0))</f>
        <v>67.784198329312972</v>
      </c>
      <c r="J593" s="2" cm="1">
        <f t="array" aca="1" ref="J593" ca="1">INDEX('Tiempos carretera (horas)'!E$45:E$1645,MATCH(C593&amp;D593,'Tiempos carretera (horas)'!C$45:C$1645&amp;'Tiempos carretera (horas)'!D$45:D$1645,0))</f>
        <v>7.1</v>
      </c>
      <c r="K593" s="12">
        <f t="shared" ca="1" si="54"/>
        <v>19.234537890989316</v>
      </c>
      <c r="L593" s="12">
        <f t="shared" ca="1" si="55"/>
        <v>42.980854117538485</v>
      </c>
      <c r="M593" s="12">
        <f t="shared" ca="1" si="56"/>
        <v>0.38100312088416566</v>
      </c>
      <c r="N593" s="13">
        <f t="shared" ca="1" si="58"/>
        <v>-23.746316226549169</v>
      </c>
      <c r="O593" s="13">
        <f t="shared" ca="1" si="59"/>
        <v>-60.68419832931297</v>
      </c>
      <c r="P593" s="12">
        <f t="shared" ca="1" si="57"/>
        <v>0.48529266446561131</v>
      </c>
    </row>
    <row r="594" spans="1:16" x14ac:dyDescent="0.25">
      <c r="A594">
        <v>22</v>
      </c>
      <c r="B594">
        <v>1</v>
      </c>
      <c r="C594" s="2" t="s">
        <v>21</v>
      </c>
      <c r="D594" s="2" t="s">
        <v>0</v>
      </c>
      <c r="E594" s="11" cm="1">
        <f t="array" aca="1" ref="E594" ca="1">INDEX('OD flujo mercancia multimodal'!E$45:E$1645,MATCH(C594&amp;D594,'OD flujo mercancia multimodal'!C$45:C$1645&amp;'OD flujo mercancia multimodal'!D$45:D$1645,0))</f>
        <v>101144.60989010986</v>
      </c>
      <c r="F594" s="11" cm="1">
        <f t="array" aca="1" ref="F594" ca="1">INDEX('OD flujo mercancia carretera'!E$45:E$1646,MATCH(C594&amp;D594,'OD flujo mercancia carretera'!C$45:C$1646&amp;'OD flujo mercancia carretera'!D$45:D$1646,0))</f>
        <v>175688.51282051287</v>
      </c>
      <c r="G594" s="11" cm="1">
        <f t="array" aca="1" ref="G594" ca="1">INDEX('Coste Carretera'!E$46:E$1646,MATCH(C594&amp;D594,'Coste Carretera'!C$46:C$1646&amp;'Coste Carretera'!D$46:D$1646,0))</f>
        <v>3160708372.2999992</v>
      </c>
      <c r="H594" s="11" cm="1">
        <f t="array" aca="1" ref="H594" ca="1">INDEX('Coste multimodal'!E$46:E$1646,MATCH(C594&amp;D594,'Coste multimodal'!C$46:C$1646&amp;'Coste multimodal'!D$46:D$1646,0))</f>
        <v>4614606103.975503</v>
      </c>
      <c r="I594" s="12" cm="1">
        <f t="array" aca="1" ref="I594" ca="1">INDEX('Tiempos intermodal (horas)'!E$45:E$1645,MATCH(C594&amp;D594,'Tiempos intermodal (horas)'!C$45:C$1645&amp;'Tiempos intermodal (horas)'!D$45:D$1645,0))</f>
        <v>67.784198329312972</v>
      </c>
      <c r="J594" s="2" cm="1">
        <f t="array" aca="1" ref="J594" ca="1">INDEX('Tiempos carretera (horas)'!E$45:E$1645,MATCH(C594&amp;D594,'Tiempos carretera (horas)'!C$45:C$1645&amp;'Tiempos carretera (horas)'!D$45:D$1645,0))</f>
        <v>7.1</v>
      </c>
      <c r="K594" s="12">
        <f t="shared" ca="1" si="54"/>
        <v>17.990409967947343</v>
      </c>
      <c r="L594" s="12">
        <f t="shared" ca="1" si="55"/>
        <v>45.623845986346808</v>
      </c>
      <c r="M594" s="12">
        <f t="shared" ca="1" si="56"/>
        <v>0.36536310720244858</v>
      </c>
      <c r="N594" s="13">
        <f t="shared" ca="1" si="58"/>
        <v>-27.633436018399465</v>
      </c>
      <c r="O594" s="13">
        <f t="shared" ca="1" si="59"/>
        <v>-60.68419832931297</v>
      </c>
      <c r="P594" s="12">
        <f t="shared" ca="1" si="57"/>
        <v>0.55216133963786418</v>
      </c>
    </row>
    <row r="595" spans="1:16" x14ac:dyDescent="0.25">
      <c r="A595">
        <v>30</v>
      </c>
      <c r="B595">
        <v>41</v>
      </c>
      <c r="C595" s="2" t="s">
        <v>146</v>
      </c>
      <c r="D595" s="2" t="s">
        <v>40</v>
      </c>
      <c r="E595" s="11" cm="1">
        <f t="array" aca="1" ref="E595" ca="1">INDEX('OD flujo mercancia multimodal'!E$45:E$1645,MATCH(C595&amp;D595,'OD flujo mercancia multimodal'!C$45:C$1645&amp;'OD flujo mercancia multimodal'!D$45:D$1645,0))</f>
        <v>23917.999999999993</v>
      </c>
      <c r="F595" s="11" cm="1">
        <f t="array" aca="1" ref="F595" ca="1">INDEX('OD flujo mercancia carretera'!E$45:E$1646,MATCH(C595&amp;D595,'OD flujo mercancia carretera'!C$45:C$1646&amp;'OD flujo mercancia carretera'!D$45:D$1646,0))</f>
        <v>245576.29267399275</v>
      </c>
      <c r="G595" s="11" cm="1">
        <f t="array" aca="1" ref="G595" ca="1">INDEX('Coste Carretera'!E$46:E$1646,MATCH(C595&amp;D595,'Coste Carretera'!C$46:C$1646&amp;'Coste Carretera'!D$46:D$1646,0))</f>
        <v>1416908486.9000001</v>
      </c>
      <c r="H595" s="11" cm="1">
        <f t="array" aca="1" ref="H595" ca="1">INDEX('Coste multimodal'!E$46:E$1646,MATCH(C595&amp;D595,'Coste multimodal'!C$46:C$1646&amp;'Coste multimodal'!D$46:D$1646,0))</f>
        <v>178535225.98552337</v>
      </c>
      <c r="I595" s="12" cm="1">
        <f t="array" aca="1" ref="I595" ca="1">INDEX('Tiempos intermodal (horas)'!E$45:E$1645,MATCH(C595&amp;D595,'Tiempos intermodal (horas)'!C$45:C$1645&amp;'Tiempos intermodal (horas)'!D$45:D$1645,0))</f>
        <v>60.810725377721468</v>
      </c>
      <c r="J595" s="2" cm="1">
        <f t="array" aca="1" ref="J595" ca="1">INDEX('Tiempos carretera (horas)'!E$45:E$1645,MATCH(C595&amp;D595,'Tiempos carretera (horas)'!C$45:C$1645&amp;'Tiempos carretera (horas)'!D$45:D$1645,0))</f>
        <v>12</v>
      </c>
      <c r="K595" s="12">
        <f t="shared" ca="1" si="54"/>
        <v>5.7697283050891777</v>
      </c>
      <c r="L595" s="12">
        <f t="shared" ca="1" si="55"/>
        <v>7.464471359876387</v>
      </c>
      <c r="M595" s="12">
        <f t="shared" ca="1" si="56"/>
        <v>8.8751415707840606E-2</v>
      </c>
      <c r="N595" s="13">
        <f t="shared" ca="1" si="58"/>
        <v>-1.6947430547872093</v>
      </c>
      <c r="O595" s="13">
        <f t="shared" ca="1" si="59"/>
        <v>-48.810725377721468</v>
      </c>
      <c r="P595" s="12">
        <f t="shared" ca="1" si="57"/>
        <v>2.3289763498668701</v>
      </c>
    </row>
    <row r="596" spans="1:16" x14ac:dyDescent="0.25">
      <c r="A596">
        <v>41</v>
      </c>
      <c r="B596">
        <v>30</v>
      </c>
      <c r="C596" s="2" t="s">
        <v>40</v>
      </c>
      <c r="D596" s="2" t="s">
        <v>146</v>
      </c>
      <c r="E596" s="11" cm="1">
        <f t="array" aca="1" ref="E596" ca="1">INDEX('OD flujo mercancia multimodal'!E$45:E$1645,MATCH(C596&amp;D596,'OD flujo mercancia multimodal'!C$45:C$1645&amp;'OD flujo mercancia multimodal'!D$45:D$1645,0))</f>
        <v>15434.453846153847</v>
      </c>
      <c r="F596" s="11" cm="1">
        <f t="array" aca="1" ref="F596" ca="1">INDEX('OD flujo mercancia carretera'!E$45:E$1646,MATCH(C596&amp;D596,'OD flujo mercancia carretera'!C$45:C$1646&amp;'OD flujo mercancia carretera'!D$45:D$1646,0))</f>
        <v>296161.59999999998</v>
      </c>
      <c r="G596" s="11" cm="1">
        <f t="array" aca="1" ref="G596" ca="1">INDEX('Coste Carretera'!E$46:E$1646,MATCH(C596&amp;D596,'Coste Carretera'!C$46:C$1646&amp;'Coste Carretera'!D$46:D$1646,0))</f>
        <v>2232063308.7200003</v>
      </c>
      <c r="H596" s="11" cm="1">
        <f t="array" aca="1" ref="H596" ca="1">INDEX('Coste multimodal'!E$46:E$1646,MATCH(C596&amp;D596,'Coste multimodal'!C$46:C$1646&amp;'Coste multimodal'!D$46:D$1646,0))</f>
        <v>99985863.794128016</v>
      </c>
      <c r="I596" s="12" cm="1">
        <f t="array" aca="1" ref="I596" ca="1">INDEX('Tiempos intermodal (horas)'!E$45:E$1645,MATCH(C596&amp;D596,'Tiempos intermodal (horas)'!C$45:C$1645&amp;'Tiempos intermodal (horas)'!D$45:D$1645,0))</f>
        <v>56.273384535707571</v>
      </c>
      <c r="J596" s="2" cm="1">
        <f t="array" aca="1" ref="J596" ca="1">INDEX('Tiempos carretera (horas)'!E$45:E$1645,MATCH(C596&amp;D596,'Tiempos carretera (horas)'!C$45:C$1645&amp;'Tiempos carretera (horas)'!D$45:D$1645,0))</f>
        <v>11.92</v>
      </c>
      <c r="K596" s="12">
        <f t="shared" ca="1" si="54"/>
        <v>7.536639823393716</v>
      </c>
      <c r="L596" s="12">
        <f t="shared" ca="1" si="55"/>
        <v>6.4780953567102584</v>
      </c>
      <c r="M596" s="12">
        <f t="shared" ca="1" si="56"/>
        <v>4.9533534380940492E-2</v>
      </c>
      <c r="N596" s="13">
        <f t="shared" ca="1" si="58"/>
        <v>1.0585444666834576</v>
      </c>
      <c r="O596" s="13">
        <f t="shared" ca="1" si="59"/>
        <v>-44.353384535707569</v>
      </c>
      <c r="P596" s="12">
        <f t="shared" ca="1" si="57"/>
        <v>2.9543029780846641</v>
      </c>
    </row>
    <row r="597" spans="1:16" x14ac:dyDescent="0.25">
      <c r="A597">
        <v>32</v>
      </c>
      <c r="B597">
        <v>24</v>
      </c>
      <c r="C597" s="2" t="s">
        <v>31</v>
      </c>
      <c r="D597" s="2" t="s">
        <v>23</v>
      </c>
      <c r="E597" s="11" cm="1">
        <f t="array" aca="1" ref="E597" ca="1">INDEX('OD flujo mercancia multimodal'!E$45:E$1645,MATCH(C597&amp;D597,'OD flujo mercancia multimodal'!C$45:C$1645&amp;'OD flujo mercancia multimodal'!D$45:D$1645,0))</f>
        <v>7692.153846153843</v>
      </c>
      <c r="F597" s="11" cm="1">
        <f t="array" aca="1" ref="F597" ca="1">INDEX('OD flujo mercancia carretera'!E$45:E$1646,MATCH(C597&amp;D597,'OD flujo mercancia carretera'!C$45:C$1646&amp;'OD flujo mercancia carretera'!D$45:D$1646,0))</f>
        <v>114217.26666666669</v>
      </c>
      <c r="G597" s="11" cm="1">
        <f t="array" aca="1" ref="G597" ca="1">INDEX('Coste Carretera'!E$46:E$1646,MATCH(C597&amp;D597,'Coste Carretera'!C$46:C$1646&amp;'Coste Carretera'!D$46:D$1646,0))</f>
        <v>606079284.99999988</v>
      </c>
      <c r="H597" s="11" cm="1">
        <f t="array" aca="1" ref="H597" ca="1">INDEX('Coste multimodal'!E$46:E$1646,MATCH(C597&amp;D597,'Coste multimodal'!C$46:C$1646&amp;'Coste multimodal'!D$46:D$1646,0))</f>
        <v>45642632.86655733</v>
      </c>
      <c r="I597" s="12" cm="1">
        <f t="array" aca="1" ref="I597" ca="1">INDEX('Tiempos intermodal (horas)'!E$45:E$1645,MATCH(C597&amp;D597,'Tiempos intermodal (horas)'!C$45:C$1645&amp;'Tiempos intermodal (horas)'!D$45:D$1645,0))</f>
        <v>61.298746169998118</v>
      </c>
      <c r="J597" s="2" cm="1">
        <f t="array" aca="1" ref="J597" ca="1">INDEX('Tiempos carretera (horas)'!E$45:E$1645,MATCH(C597&amp;D597,'Tiempos carretera (horas)'!C$45:C$1645&amp;'Tiempos carretera (horas)'!D$45:D$1645,0))</f>
        <v>12.7</v>
      </c>
      <c r="K597" s="12">
        <f t="shared" ca="1" si="54"/>
        <v>5.306371818271491</v>
      </c>
      <c r="L597" s="12">
        <f t="shared" ca="1" si="55"/>
        <v>5.9336609458713729</v>
      </c>
      <c r="M597" s="12">
        <f t="shared" ca="1" si="56"/>
        <v>6.3097288247259797E-2</v>
      </c>
      <c r="N597" s="13">
        <f t="shared" ca="1" si="58"/>
        <v>-0.62728912759988198</v>
      </c>
      <c r="O597" s="13">
        <f t="shared" ca="1" si="59"/>
        <v>-48.598746169998122</v>
      </c>
      <c r="P597" s="12">
        <f t="shared" ca="1" si="57"/>
        <v>2.6979016541971661</v>
      </c>
    </row>
    <row r="598" spans="1:16" x14ac:dyDescent="0.25">
      <c r="A598">
        <v>24</v>
      </c>
      <c r="B598">
        <v>32</v>
      </c>
      <c r="C598" s="2" t="s">
        <v>23</v>
      </c>
      <c r="D598" s="2" t="s">
        <v>31</v>
      </c>
      <c r="E598" s="11" cm="1">
        <f t="array" aca="1" ref="E598" ca="1">INDEX('OD flujo mercancia multimodal'!E$45:E$1645,MATCH(C598&amp;D598,'OD flujo mercancia multimodal'!C$45:C$1645&amp;'OD flujo mercancia multimodal'!D$45:D$1645,0))</f>
        <v>4227.8461538461534</v>
      </c>
      <c r="F598" s="11" cm="1">
        <f t="array" aca="1" ref="F598" ca="1">INDEX('OD flujo mercancia carretera'!E$45:E$1646,MATCH(C598&amp;D598,'OD flujo mercancia carretera'!C$45:C$1646&amp;'OD flujo mercancia carretera'!D$45:D$1646,0))</f>
        <v>131870.5</v>
      </c>
      <c r="G598" s="11" cm="1">
        <f t="array" aca="1" ref="G598" ca="1">INDEX('Coste Carretera'!E$46:E$1646,MATCH(C598&amp;D598,'Coste Carretera'!C$46:C$1646&amp;'Coste Carretera'!D$46:D$1646,0))</f>
        <v>410658122.00000006</v>
      </c>
      <c r="H598" s="11" cm="1">
        <f t="array" aca="1" ref="H598" ca="1">INDEX('Coste multimodal'!E$46:E$1646,MATCH(C598&amp;D598,'Coste multimodal'!C$46:C$1646&amp;'Coste multimodal'!D$46:D$1646,0))</f>
        <v>45642632.86655733</v>
      </c>
      <c r="I598" s="12" cm="1">
        <f t="array" aca="1" ref="I598" ca="1">INDEX('Tiempos intermodal (horas)'!E$45:E$1645,MATCH(C598&amp;D598,'Tiempos intermodal (horas)'!C$45:C$1645&amp;'Tiempos intermodal (horas)'!D$45:D$1645,0))</f>
        <v>61.298746169998118</v>
      </c>
      <c r="J598" s="2" cm="1">
        <f t="array" aca="1" ref="J598" ca="1">INDEX('Tiempos carretera (horas)'!E$45:E$1645,MATCH(C598&amp;D598,'Tiempos carretera (horas)'!C$45:C$1645&amp;'Tiempos carretera (horas)'!D$45:D$1645,0))</f>
        <v>12.7</v>
      </c>
      <c r="K598" s="12">
        <f t="shared" ca="1" si="54"/>
        <v>3.1141015010938768</v>
      </c>
      <c r="L598" s="12">
        <f t="shared" ca="1" si="55"/>
        <v>10.795717536939074</v>
      </c>
      <c r="M598" s="12">
        <f t="shared" ca="1" si="56"/>
        <v>3.1064640190902673E-2</v>
      </c>
      <c r="N598" s="13">
        <f t="shared" ca="1" si="58"/>
        <v>-7.681616035845197</v>
      </c>
      <c r="O598" s="13">
        <f t="shared" ca="1" si="59"/>
        <v>-48.598746169998122</v>
      </c>
      <c r="P598" s="12">
        <f t="shared" ca="1" si="57"/>
        <v>3.4401277005330262</v>
      </c>
    </row>
    <row r="599" spans="1:16" x14ac:dyDescent="0.25">
      <c r="A599">
        <v>12</v>
      </c>
      <c r="B599">
        <v>35</v>
      </c>
      <c r="C599" s="2" t="s">
        <v>11</v>
      </c>
      <c r="D599" s="2" t="s">
        <v>34</v>
      </c>
      <c r="E599" s="11" cm="1">
        <f t="array" aca="1" ref="E599" ca="1">INDEX('OD flujo mercancia multimodal'!E$45:E$1645,MATCH(C599&amp;D599,'OD flujo mercancia multimodal'!C$45:C$1645&amp;'OD flujo mercancia multimodal'!D$45:D$1645,0))</f>
        <v>28452.000000000015</v>
      </c>
      <c r="F599" s="11" cm="1">
        <f t="array" aca="1" ref="F599" ca="1">INDEX('OD flujo mercancia carretera'!E$45:E$1646,MATCH(C599&amp;D599,'OD flujo mercancia carretera'!C$45:C$1646&amp;'OD flujo mercancia carretera'!D$45:D$1646,0))</f>
        <v>56952.769230769263</v>
      </c>
      <c r="G599" s="11" cm="1">
        <f t="array" aca="1" ref="G599" ca="1">INDEX('Coste Carretera'!E$46:E$1646,MATCH(C599&amp;D599,'Coste Carretera'!C$46:C$1646&amp;'Coste Carretera'!D$46:D$1646,0))</f>
        <v>26372718246.240025</v>
      </c>
      <c r="H599" s="11" cm="1">
        <f t="array" aca="1" ref="H599" ca="1">INDEX('Coste multimodal'!E$46:E$1646,MATCH(C599&amp;D599,'Coste multimodal'!C$46:C$1646&amp;'Coste multimodal'!D$46:D$1646,0))</f>
        <v>2406093837.8732538</v>
      </c>
      <c r="I599" s="12" cm="1">
        <f t="array" aca="1" ref="I599" ca="1">INDEX('Tiempos intermodal (horas)'!E$45:E$1645,MATCH(C599&amp;D599,'Tiempos intermodal (horas)'!C$45:C$1645&amp;'Tiempos intermodal (horas)'!D$45:D$1645,0))</f>
        <v>57.156563655452324</v>
      </c>
      <c r="J599" s="2" cm="1">
        <f t="array" aca="1" ref="J599" ca="1">INDEX('Tiempos carretera (horas)'!E$45:E$1645,MATCH(C599&amp;D599,'Tiempos carretera (horas)'!C$45:C$1645&amp;'Tiempos carretera (horas)'!D$45:D$1645,0))</f>
        <v>16.82</v>
      </c>
      <c r="K599" s="12">
        <f t="shared" ca="1" si="54"/>
        <v>463.06296607596596</v>
      </c>
      <c r="L599" s="12">
        <f t="shared" ca="1" si="55"/>
        <v>84.566773438536927</v>
      </c>
      <c r="M599" s="12">
        <f t="shared" ca="1" si="56"/>
        <v>0.33314298787133123</v>
      </c>
      <c r="N599" s="13">
        <f t="shared" ca="1" si="58"/>
        <v>378.49619263742903</v>
      </c>
      <c r="O599" s="13">
        <f t="shared" ca="1" si="59"/>
        <v>-40.336563655452323</v>
      </c>
      <c r="P599" s="12">
        <f t="shared" ca="1" si="57"/>
        <v>0.69400385748976434</v>
      </c>
    </row>
    <row r="600" spans="1:16" x14ac:dyDescent="0.25">
      <c r="A600">
        <v>35</v>
      </c>
      <c r="B600">
        <v>12</v>
      </c>
      <c r="C600" s="2" t="s">
        <v>34</v>
      </c>
      <c r="D600" s="2" t="s">
        <v>11</v>
      </c>
      <c r="E600" s="11" cm="1">
        <f t="array" aca="1" ref="E600" ca="1">INDEX('OD flujo mercancia multimodal'!E$45:E$1645,MATCH(C600&amp;D600,'OD flujo mercancia multimodal'!C$45:C$1645&amp;'OD flujo mercancia multimodal'!D$45:D$1645,0))</f>
        <v>27960.307692307691</v>
      </c>
      <c r="F600" s="11" cm="1">
        <f t="array" aca="1" ref="F600" ca="1">INDEX('OD flujo mercancia carretera'!E$45:E$1646,MATCH(C600&amp;D600,'OD flujo mercancia carretera'!C$45:C$1646&amp;'OD flujo mercancia carretera'!D$45:D$1646,0))</f>
        <v>56117.461538461517</v>
      </c>
      <c r="G600" s="11" cm="1">
        <f t="array" aca="1" ref="G600" ca="1">INDEX('Coste Carretera'!E$46:E$1646,MATCH(C600&amp;D600,'Coste Carretera'!C$46:C$1646&amp;'Coste Carretera'!D$46:D$1646,0))</f>
        <v>12472509181.920002</v>
      </c>
      <c r="H600" s="11" cm="1">
        <f t="array" aca="1" ref="H600" ca="1">INDEX('Coste multimodal'!E$46:E$1646,MATCH(C600&amp;D600,'Coste multimodal'!C$46:C$1646&amp;'Coste multimodal'!D$46:D$1646,0))</f>
        <v>2406093837.8732538</v>
      </c>
      <c r="I600" s="12" cm="1">
        <f t="array" aca="1" ref="I600" ca="1">INDEX('Tiempos intermodal (horas)'!E$45:E$1645,MATCH(C600&amp;D600,'Tiempos intermodal (horas)'!C$45:C$1645&amp;'Tiempos intermodal (horas)'!D$45:D$1645,0))</f>
        <v>57.156563655452324</v>
      </c>
      <c r="J600" s="2" cm="1">
        <f t="array" aca="1" ref="J600" ca="1">INDEX('Tiempos carretera (horas)'!E$45:E$1645,MATCH(C600&amp;D600,'Tiempos carretera (horas)'!C$45:C$1645&amp;'Tiempos carretera (horas)'!D$45:D$1645,0))</f>
        <v>16.82</v>
      </c>
      <c r="K600" s="12">
        <f t="shared" ca="1" si="54"/>
        <v>222.2571876914221</v>
      </c>
      <c r="L600" s="12">
        <f t="shared" ca="1" si="55"/>
        <v>86.053911292800507</v>
      </c>
      <c r="M600" s="12">
        <f t="shared" ca="1" si="56"/>
        <v>0.33255292032742589</v>
      </c>
      <c r="N600" s="13">
        <f t="shared" ca="1" si="58"/>
        <v>136.2032763986216</v>
      </c>
      <c r="O600" s="13">
        <f t="shared" ca="1" si="59"/>
        <v>-40.336563655452323</v>
      </c>
      <c r="P600" s="12">
        <f t="shared" ca="1" si="57"/>
        <v>0.69666109943111243</v>
      </c>
    </row>
    <row r="601" spans="1:16" x14ac:dyDescent="0.25">
      <c r="A601">
        <v>3</v>
      </c>
      <c r="B601">
        <v>22</v>
      </c>
      <c r="C601" s="2" t="s">
        <v>2</v>
      </c>
      <c r="D601" s="2" t="s">
        <v>21</v>
      </c>
      <c r="E601" s="11" cm="1">
        <f t="array" aca="1" ref="E601" ca="1">INDEX('OD flujo mercancia multimodal'!E$45:E$1645,MATCH(C601&amp;D601,'OD flujo mercancia multimodal'!C$45:C$1645&amp;'OD flujo mercancia multimodal'!D$45:D$1645,0))</f>
        <v>36721.725274725228</v>
      </c>
      <c r="F601" s="11" cm="1">
        <f t="array" aca="1" ref="F601" ca="1">INDEX('OD flujo mercancia carretera'!E$45:E$1646,MATCH(C601&amp;D601,'OD flujo mercancia carretera'!C$45:C$1646&amp;'OD flujo mercancia carretera'!D$45:D$1646,0))</f>
        <v>163948.10256410221</v>
      </c>
      <c r="G601" s="11" cm="1">
        <f t="array" aca="1" ref="G601" ca="1">INDEX('Coste Carretera'!E$46:E$1646,MATCH(C601&amp;D601,'Coste Carretera'!C$46:C$1646&amp;'Coste Carretera'!D$46:D$1646,0))</f>
        <v>1014456756.0114272</v>
      </c>
      <c r="H601" s="11" cm="1">
        <f t="array" aca="1" ref="H601" ca="1">INDEX('Coste multimodal'!E$46:E$1646,MATCH(C601&amp;D601,'Coste multimodal'!C$46:C$1646&amp;'Coste multimodal'!D$46:D$1646,0))</f>
        <v>654613213.79361737</v>
      </c>
      <c r="I601" s="12" cm="1">
        <f t="array" aca="1" ref="I601" ca="1">INDEX('Tiempos intermodal (horas)'!E$45:E$1645,MATCH(C601&amp;D601,'Tiempos intermodal (horas)'!C$45:C$1645&amp;'Tiempos intermodal (horas)'!D$45:D$1645,0))</f>
        <v>24.882344642982826</v>
      </c>
      <c r="J601" s="2" cm="1">
        <f t="array" aca="1" ref="J601" ca="1">INDEX('Tiempos carretera (horas)'!E$45:E$1645,MATCH(C601&amp;D601,'Tiempos carretera (horas)'!C$45:C$1645&amp;'Tiempos carretera (horas)'!D$45:D$1645,0))</f>
        <v>5.6</v>
      </c>
      <c r="K601" s="12">
        <f t="shared" ca="1" si="54"/>
        <v>6.1876700013334034</v>
      </c>
      <c r="L601" s="12">
        <f t="shared" ca="1" si="55"/>
        <v>17.826319675785317</v>
      </c>
      <c r="M601" s="12">
        <f t="shared" ca="1" si="56"/>
        <v>0.18299574814116609</v>
      </c>
      <c r="N601" s="13">
        <f t="shared" ca="1" si="58"/>
        <v>-11.638649674451914</v>
      </c>
      <c r="O601" s="13">
        <f t="shared" ca="1" si="59"/>
        <v>-19.282344642982828</v>
      </c>
      <c r="P601" s="12">
        <f t="shared" ca="1" si="57"/>
        <v>1.4961813807098152</v>
      </c>
    </row>
    <row r="602" spans="1:16" x14ac:dyDescent="0.25">
      <c r="A602">
        <v>9</v>
      </c>
      <c r="B602">
        <v>22</v>
      </c>
      <c r="C602" s="2" t="s">
        <v>148</v>
      </c>
      <c r="D602" s="2" t="s">
        <v>21</v>
      </c>
      <c r="E602" s="11" cm="1">
        <f t="array" aca="1" ref="E602" ca="1">INDEX('OD flujo mercancia multimodal'!E$45:E$1645,MATCH(C602&amp;D602,'OD flujo mercancia multimodal'!C$45:C$1645&amp;'OD flujo mercancia multimodal'!D$45:D$1645,0))</f>
        <v>22661.6538461538</v>
      </c>
      <c r="F602" s="11" cm="1">
        <f t="array" aca="1" ref="F602" ca="1">INDEX('OD flujo mercancia carretera'!E$45:E$1646,MATCH(C602&amp;D602,'OD flujo mercancia carretera'!C$45:C$1646&amp;'OD flujo mercancia carretera'!D$45:D$1646,0))</f>
        <v>701575.63034188014</v>
      </c>
      <c r="G602" s="11" cm="1">
        <f t="array" aca="1" ref="G602" ca="1">INDEX('Coste Carretera'!E$46:E$1646,MATCH(C602&amp;D602,'Coste Carretera'!C$46:C$1646&amp;'Coste Carretera'!D$46:D$1646,0))</f>
        <v>985477369.67999804</v>
      </c>
      <c r="H602" s="11" cm="1">
        <f t="array" aca="1" ref="H602" ca="1">INDEX('Coste multimodal'!E$46:E$1646,MATCH(C602&amp;D602,'Coste multimodal'!C$46:C$1646&amp;'Coste multimodal'!D$46:D$1646,0))</f>
        <v>4481945477.7140741</v>
      </c>
      <c r="I602" s="12" cm="1">
        <f t="array" aca="1" ref="I602" ca="1">INDEX('Tiempos intermodal (horas)'!E$45:E$1645,MATCH(C602&amp;D602,'Tiempos intermodal (horas)'!C$45:C$1645&amp;'Tiempos intermodal (horas)'!D$45:D$1645,0))</f>
        <v>70.24530944042408</v>
      </c>
      <c r="J602" s="2" cm="1">
        <f t="array" aca="1" ref="J602" ca="1">INDEX('Tiempos carretera (horas)'!E$45:E$1645,MATCH(C602&amp;D602,'Tiempos carretera (horas)'!C$45:C$1645&amp;'Tiempos carretera (horas)'!D$45:D$1645,0))</f>
        <v>9.1300000000000008</v>
      </c>
      <c r="K602" s="12">
        <f t="shared" ref="K602:K665" ca="1" si="60">G602/(F602*1000)</f>
        <v>1.4046630570673782</v>
      </c>
      <c r="L602" s="12">
        <f t="shared" ref="L602:L665" ca="1" si="61">H602/(E602*1000)</f>
        <v>197.77662778459404</v>
      </c>
      <c r="M602" s="12">
        <f t="shared" ref="M602:M665" ca="1" si="62">E602/(E602+F602)</f>
        <v>3.1290371734397131E-2</v>
      </c>
      <c r="N602" s="13">
        <f t="shared" ca="1" si="58"/>
        <v>-196.37196472752666</v>
      </c>
      <c r="O602" s="13">
        <f t="shared" ca="1" si="59"/>
        <v>-61.115309440424078</v>
      </c>
      <c r="P602" s="12">
        <f t="shared" ref="P602:P665" ca="1" si="63">LN(1/M602-1)</f>
        <v>3.4326544678466071</v>
      </c>
    </row>
    <row r="603" spans="1:16" x14ac:dyDescent="0.25">
      <c r="A603">
        <v>22</v>
      </c>
      <c r="B603">
        <v>9</v>
      </c>
      <c r="C603" s="2" t="s">
        <v>21</v>
      </c>
      <c r="D603" s="2" t="s">
        <v>148</v>
      </c>
      <c r="E603" s="11" cm="1">
        <f t="array" aca="1" ref="E603" ca="1">INDEX('OD flujo mercancia multimodal'!E$45:E$1645,MATCH(C603&amp;D603,'OD flujo mercancia multimodal'!C$45:C$1645&amp;'OD flujo mercancia multimodal'!D$45:D$1645,0))</f>
        <v>9261.9930069930051</v>
      </c>
      <c r="F603" s="11" cm="1">
        <f t="array" aca="1" ref="F603" ca="1">INDEX('OD flujo mercancia carretera'!E$45:E$1646,MATCH(C603&amp;D603,'OD flujo mercancia carretera'!C$45:C$1646&amp;'OD flujo mercancia carretera'!D$45:D$1646,0))</f>
        <v>697284.28846153861</v>
      </c>
      <c r="G603" s="11" cm="1">
        <f t="array" aca="1" ref="G603" ca="1">INDEX('Coste Carretera'!E$46:E$1646,MATCH(C603&amp;D603,'Coste Carretera'!C$46:C$1646&amp;'Coste Carretera'!D$46:D$1646,0))</f>
        <v>399853575.38181812</v>
      </c>
      <c r="H603" s="11" cm="1">
        <f t="array" aca="1" ref="H603" ca="1">INDEX('Coste multimodal'!E$46:E$1646,MATCH(C603&amp;D603,'Coste multimodal'!C$46:C$1646&amp;'Coste multimodal'!D$46:D$1646,0))</f>
        <v>4481945477.7140741</v>
      </c>
      <c r="I603" s="12" cm="1">
        <f t="array" aca="1" ref="I603" ca="1">INDEX('Tiempos intermodal (horas)'!E$45:E$1645,MATCH(C603&amp;D603,'Tiempos intermodal (horas)'!C$45:C$1645&amp;'Tiempos intermodal (horas)'!D$45:D$1645,0))</f>
        <v>70.24530944042408</v>
      </c>
      <c r="J603" s="2" cm="1">
        <f t="array" aca="1" ref="J603" ca="1">INDEX('Tiempos carretera (horas)'!E$45:E$1645,MATCH(C603&amp;D603,'Tiempos carretera (horas)'!C$45:C$1645&amp;'Tiempos carretera (horas)'!D$45:D$1645,0))</f>
        <v>9.1300000000000008</v>
      </c>
      <c r="K603" s="12">
        <f t="shared" ca="1" si="60"/>
        <v>0.57344412027989289</v>
      </c>
      <c r="L603" s="12">
        <f t="shared" ca="1" si="61"/>
        <v>483.90724051833212</v>
      </c>
      <c r="M603" s="12">
        <f t="shared" ca="1" si="62"/>
        <v>1.3108827050568123E-2</v>
      </c>
      <c r="N603" s="13">
        <f t="shared" ca="1" si="58"/>
        <v>-483.33379639805224</v>
      </c>
      <c r="O603" s="13">
        <f t="shared" ca="1" si="59"/>
        <v>-61.115309440424078</v>
      </c>
      <c r="P603" s="12">
        <f t="shared" ca="1" si="63"/>
        <v>4.3212739489721619</v>
      </c>
    </row>
    <row r="604" spans="1:16" x14ac:dyDescent="0.25">
      <c r="A604">
        <v>36</v>
      </c>
      <c r="B604">
        <v>22</v>
      </c>
      <c r="C604" s="2" t="s">
        <v>35</v>
      </c>
      <c r="D604" s="2" t="s">
        <v>21</v>
      </c>
      <c r="E604" s="11" cm="1">
        <f t="array" aca="1" ref="E604" ca="1">INDEX('OD flujo mercancia multimodal'!E$45:E$1645,MATCH(C604&amp;D604,'OD flujo mercancia multimodal'!C$45:C$1645&amp;'OD flujo mercancia multimodal'!D$45:D$1645,0))</f>
        <v>23852.38461538457</v>
      </c>
      <c r="F604" s="11" cm="1">
        <f t="array" aca="1" ref="F604" ca="1">INDEX('OD flujo mercancia carretera'!E$45:E$1646,MATCH(C604&amp;D604,'OD flujo mercancia carretera'!C$45:C$1646&amp;'OD flujo mercancia carretera'!D$45:D$1646,0))</f>
        <v>219026.25641025609</v>
      </c>
      <c r="G604" s="11" cm="1">
        <f t="array" aca="1" ref="G604" ca="1">INDEX('Coste Carretera'!E$46:E$1646,MATCH(C604&amp;D604,'Coste Carretera'!C$46:C$1646&amp;'Coste Carretera'!D$46:D$1646,0))</f>
        <v>1132835189.9999983</v>
      </c>
      <c r="H604" s="11" cm="1">
        <f t="array" aca="1" ref="H604" ca="1">INDEX('Coste multimodal'!E$46:E$1646,MATCH(C604&amp;D604,'Coste multimodal'!C$46:C$1646&amp;'Coste multimodal'!D$46:D$1646,0))</f>
        <v>4352595582.0780735</v>
      </c>
      <c r="I604" s="12" cm="1">
        <f t="array" aca="1" ref="I604" ca="1">INDEX('Tiempos intermodal (horas)'!E$45:E$1645,MATCH(C604&amp;D604,'Tiempos intermodal (horas)'!C$45:C$1645&amp;'Tiempos intermodal (horas)'!D$45:D$1645,0))</f>
        <v>37.625168374917884</v>
      </c>
      <c r="J604" s="2" cm="1">
        <f t="array" aca="1" ref="J604" ca="1">INDEX('Tiempos carretera (horas)'!E$45:E$1645,MATCH(C604&amp;D604,'Tiempos carretera (horas)'!C$45:C$1645&amp;'Tiempos carretera (horas)'!D$45:D$1645,0))</f>
        <v>7.25</v>
      </c>
      <c r="K604" s="12">
        <f t="shared" ca="1" si="60"/>
        <v>5.1721433245797481</v>
      </c>
      <c r="L604" s="12">
        <f t="shared" ca="1" si="61"/>
        <v>182.48052143477045</v>
      </c>
      <c r="M604" s="12">
        <f t="shared" ca="1" si="62"/>
        <v>9.82070078894524E-2</v>
      </c>
      <c r="N604" s="13">
        <f t="shared" ca="1" si="58"/>
        <v>-177.30837811019072</v>
      </c>
      <c r="O604" s="13">
        <f t="shared" ca="1" si="59"/>
        <v>-30.375168374917884</v>
      </c>
      <c r="P604" s="12">
        <f t="shared" ca="1" si="63"/>
        <v>2.2173074187044071</v>
      </c>
    </row>
    <row r="605" spans="1:16" x14ac:dyDescent="0.25">
      <c r="A605">
        <v>22</v>
      </c>
      <c r="B605">
        <v>36</v>
      </c>
      <c r="C605" s="2" t="s">
        <v>21</v>
      </c>
      <c r="D605" s="2" t="s">
        <v>35</v>
      </c>
      <c r="E605" s="11" cm="1">
        <f t="array" aca="1" ref="E605" ca="1">INDEX('OD flujo mercancia multimodal'!E$45:E$1645,MATCH(C605&amp;D605,'OD flujo mercancia multimodal'!C$45:C$1645&amp;'OD flujo mercancia multimodal'!D$45:D$1645,0))</f>
        <v>12384.384615384612</v>
      </c>
      <c r="F605" s="11" cm="1">
        <f t="array" aca="1" ref="F605" ca="1">INDEX('OD flujo mercancia carretera'!E$45:E$1646,MATCH(C605&amp;D605,'OD flujo mercancia carretera'!C$45:C$1646&amp;'OD flujo mercancia carretera'!D$45:D$1646,0))</f>
        <v>218477.58974358975</v>
      </c>
      <c r="G605" s="11" cm="1">
        <f t="array" aca="1" ref="G605" ca="1">INDEX('Coste Carretera'!E$46:E$1646,MATCH(C605&amp;D605,'Coste Carretera'!C$46:C$1646&amp;'Coste Carretera'!D$46:D$1646,0))</f>
        <v>1142609646.8000004</v>
      </c>
      <c r="H605" s="11" cm="1">
        <f t="array" aca="1" ref="H605" ca="1">INDEX('Coste multimodal'!E$46:E$1646,MATCH(C605&amp;D605,'Coste multimodal'!C$46:C$1646&amp;'Coste multimodal'!D$46:D$1646,0))</f>
        <v>4352595582.0780735</v>
      </c>
      <c r="I605" s="12" cm="1">
        <f t="array" aca="1" ref="I605" ca="1">INDEX('Tiempos intermodal (horas)'!E$45:E$1645,MATCH(C605&amp;D605,'Tiempos intermodal (horas)'!C$45:C$1645&amp;'Tiempos intermodal (horas)'!D$45:D$1645,0))</f>
        <v>37.625168374917884</v>
      </c>
      <c r="J605" s="2" cm="1">
        <f t="array" aca="1" ref="J605" ca="1">INDEX('Tiempos carretera (horas)'!E$45:E$1645,MATCH(C605&amp;D605,'Tiempos carretera (horas)'!C$45:C$1645&amp;'Tiempos carretera (horas)'!D$45:D$1645,0))</f>
        <v>7.25</v>
      </c>
      <c r="K605" s="12">
        <f t="shared" ca="1" si="60"/>
        <v>5.2298711650059531</v>
      </c>
      <c r="L605" s="12">
        <f t="shared" ca="1" si="61"/>
        <v>351.4583661000824</v>
      </c>
      <c r="M605" s="12">
        <f t="shared" ca="1" si="62"/>
        <v>5.3644107695829335E-2</v>
      </c>
      <c r="N605" s="13">
        <f t="shared" ca="1" si="58"/>
        <v>-346.22849493507647</v>
      </c>
      <c r="O605" s="13">
        <f t="shared" ca="1" si="59"/>
        <v>-30.375168374917884</v>
      </c>
      <c r="P605" s="12">
        <f t="shared" ca="1" si="63"/>
        <v>2.8702470713640769</v>
      </c>
    </row>
    <row r="606" spans="1:16" x14ac:dyDescent="0.25">
      <c r="A606">
        <v>3</v>
      </c>
      <c r="B606">
        <v>14</v>
      </c>
      <c r="C606" s="2" t="s">
        <v>2</v>
      </c>
      <c r="D606" s="2" t="s">
        <v>13</v>
      </c>
      <c r="E606" s="11" cm="1">
        <f t="array" aca="1" ref="E606" ca="1">INDEX('OD flujo mercancia multimodal'!E$45:E$1645,MATCH(C606&amp;D606,'OD flujo mercancia multimodal'!C$45:C$1645&amp;'OD flujo mercancia multimodal'!D$45:D$1645,0))</f>
        <v>38896.95604395603</v>
      </c>
      <c r="F606" s="11" cm="1">
        <f t="array" aca="1" ref="F606" ca="1">INDEX('OD flujo mercancia carretera'!E$45:E$1646,MATCH(C606&amp;D606,'OD flujo mercancia carretera'!C$45:C$1646&amp;'OD flujo mercancia carretera'!D$45:D$1646,0))</f>
        <v>207691.53846153821</v>
      </c>
      <c r="G606" s="11" cm="1">
        <f t="array" aca="1" ref="G606" ca="1">INDEX('Coste Carretera'!E$46:E$1646,MATCH(C606&amp;D606,'Coste Carretera'!C$46:C$1646&amp;'Coste Carretera'!D$46:D$1646,0))</f>
        <v>2422841603.8742843</v>
      </c>
      <c r="H606" s="11" cm="1">
        <f t="array" aca="1" ref="H606" ca="1">INDEX('Coste multimodal'!E$46:E$1646,MATCH(C606&amp;D606,'Coste multimodal'!C$46:C$1646&amp;'Coste multimodal'!D$46:D$1646,0))</f>
        <v>351276787.67795336</v>
      </c>
      <c r="I606" s="12" cm="1">
        <f t="array" aca="1" ref="I606" ca="1">INDEX('Tiempos intermodal (horas)'!E$45:E$1645,MATCH(C606&amp;D606,'Tiempos intermodal (horas)'!C$45:C$1645&amp;'Tiempos intermodal (horas)'!D$45:D$1645,0))</f>
        <v>52.595543552341404</v>
      </c>
      <c r="J606" s="2" cm="1">
        <f t="array" aca="1" ref="J606" ca="1">INDEX('Tiempos carretera (horas)'!E$45:E$1645,MATCH(C606&amp;D606,'Tiempos carretera (horas)'!C$45:C$1645&amp;'Tiempos carretera (horas)'!D$45:D$1645,0))</f>
        <v>12.03</v>
      </c>
      <c r="K606" s="12">
        <f t="shared" ca="1" si="60"/>
        <v>11.665576854123806</v>
      </c>
      <c r="L606" s="12">
        <f t="shared" ca="1" si="61"/>
        <v>9.0309582909518245</v>
      </c>
      <c r="M606" s="12">
        <f t="shared" ca="1" si="62"/>
        <v>0.15774035249276144</v>
      </c>
      <c r="N606" s="13">
        <f t="shared" ca="1" si="58"/>
        <v>2.6346185631719816</v>
      </c>
      <c r="O606" s="13">
        <f t="shared" ca="1" si="59"/>
        <v>-40.565543552341403</v>
      </c>
      <c r="P606" s="12">
        <f t="shared" ca="1" si="63"/>
        <v>1.6751379940557185</v>
      </c>
    </row>
    <row r="607" spans="1:16" x14ac:dyDescent="0.25">
      <c r="A607">
        <v>19</v>
      </c>
      <c r="B607">
        <v>23</v>
      </c>
      <c r="C607" s="2" t="s">
        <v>18</v>
      </c>
      <c r="D607" s="2" t="s">
        <v>22</v>
      </c>
      <c r="E607" s="11" cm="1">
        <f t="array" aca="1" ref="E607" ca="1">INDEX('OD flujo mercancia multimodal'!E$45:E$1645,MATCH(C607&amp;D607,'OD flujo mercancia multimodal'!C$45:C$1645&amp;'OD flujo mercancia multimodal'!D$45:D$1645,0))</f>
        <v>8230.6153846153866</v>
      </c>
      <c r="F607" s="11" cm="1">
        <f t="array" aca="1" ref="F607" ca="1">INDEX('OD flujo mercancia carretera'!E$45:E$1646,MATCH(C607&amp;D607,'OD flujo mercancia carretera'!C$45:C$1646&amp;'OD flujo mercancia carretera'!D$45:D$1646,0))</f>
        <v>150169.66666666701</v>
      </c>
      <c r="G607" s="11" cm="1">
        <f t="array" aca="1" ref="G607" ca="1">INDEX('Coste Carretera'!E$46:E$1646,MATCH(C607&amp;D607,'Coste Carretera'!C$46:C$1646&amp;'Coste Carretera'!D$46:D$1646,0))</f>
        <v>152591987.76000005</v>
      </c>
      <c r="H607" s="11" cm="1">
        <f t="array" aca="1" ref="H607" ca="1">INDEX('Coste multimodal'!E$46:E$1646,MATCH(C607&amp;D607,'Coste multimodal'!C$46:C$1646&amp;'Coste multimodal'!D$46:D$1646,0))</f>
        <v>178707544.17828614</v>
      </c>
      <c r="I607" s="12" cm="1">
        <f t="array" aca="1" ref="I607" ca="1">INDEX('Tiempos intermodal (horas)'!E$45:E$1645,MATCH(C607&amp;D607,'Tiempos intermodal (horas)'!C$45:C$1645&amp;'Tiempos intermodal (horas)'!D$45:D$1645,0))</f>
        <v>44.329094046194626</v>
      </c>
      <c r="J607" s="2" cm="1">
        <f t="array" aca="1" ref="J607" ca="1">INDEX('Tiempos carretera (horas)'!E$45:E$1645,MATCH(C607&amp;D607,'Tiempos carretera (horas)'!C$45:C$1645&amp;'Tiempos carretera (horas)'!D$45:D$1645,0))</f>
        <v>3.75</v>
      </c>
      <c r="K607" s="12">
        <f t="shared" ca="1" si="60"/>
        <v>1.0161305618311711</v>
      </c>
      <c r="L607" s="12">
        <f t="shared" ca="1" si="61"/>
        <v>21.712537377499757</v>
      </c>
      <c r="M607" s="12">
        <f t="shared" ca="1" si="62"/>
        <v>5.1960863188051078E-2</v>
      </c>
      <c r="N607" s="13">
        <f t="shared" ca="1" si="58"/>
        <v>-20.696406815668585</v>
      </c>
      <c r="O607" s="13">
        <f t="shared" ca="1" si="59"/>
        <v>-40.579094046194626</v>
      </c>
      <c r="P607" s="12">
        <f t="shared" ca="1" si="63"/>
        <v>2.9039049807462782</v>
      </c>
    </row>
    <row r="608" spans="1:16" x14ac:dyDescent="0.25">
      <c r="A608">
        <v>23</v>
      </c>
      <c r="B608">
        <v>19</v>
      </c>
      <c r="C608" s="2" t="s">
        <v>22</v>
      </c>
      <c r="D608" s="2" t="s">
        <v>18</v>
      </c>
      <c r="E608" s="11" cm="1">
        <f t="array" aca="1" ref="E608" ca="1">INDEX('OD flujo mercancia multimodal'!E$45:E$1645,MATCH(C608&amp;D608,'OD flujo mercancia multimodal'!C$45:C$1645&amp;'OD flujo mercancia multimodal'!D$45:D$1645,0))</f>
        <v>2094.4615384615417</v>
      </c>
      <c r="F608" s="11" cm="1">
        <f t="array" aca="1" ref="F608" ca="1">INDEX('OD flujo mercancia carretera'!E$45:E$1646,MATCH(C608&amp;D608,'OD flujo mercancia carretera'!C$45:C$1646&amp;'OD flujo mercancia carretera'!D$45:D$1646,0))</f>
        <v>196367.05128205125</v>
      </c>
      <c r="G608" s="11" cm="1">
        <f t="array" aca="1" ref="G608" ca="1">INDEX('Coste Carretera'!E$46:E$1646,MATCH(C608&amp;D608,'Coste Carretera'!C$46:C$1646&amp;'Coste Carretera'!D$46:D$1646,0))</f>
        <v>38830395.360000059</v>
      </c>
      <c r="H608" s="11" cm="1">
        <f t="array" aca="1" ref="H608" ca="1">INDEX('Coste multimodal'!E$46:E$1646,MATCH(C608&amp;D608,'Coste multimodal'!C$46:C$1646&amp;'Coste multimodal'!D$46:D$1646,0))</f>
        <v>178707544.17828614</v>
      </c>
      <c r="I608" s="12" cm="1">
        <f t="array" aca="1" ref="I608" ca="1">INDEX('Tiempos intermodal (horas)'!E$45:E$1645,MATCH(C608&amp;D608,'Tiempos intermodal (horas)'!C$45:C$1645&amp;'Tiempos intermodal (horas)'!D$45:D$1645,0))</f>
        <v>44.329094046194626</v>
      </c>
      <c r="J608" s="2" cm="1">
        <f t="array" aca="1" ref="J608" ca="1">INDEX('Tiempos carretera (horas)'!E$45:E$1645,MATCH(C608&amp;D608,'Tiempos carretera (horas)'!C$45:C$1645&amp;'Tiempos carretera (horas)'!D$45:D$1645,0))</f>
        <v>3.75</v>
      </c>
      <c r="K608" s="12">
        <f t="shared" ca="1" si="60"/>
        <v>0.19774394485471053</v>
      </c>
      <c r="L608" s="12">
        <f t="shared" ca="1" si="61"/>
        <v>85.323860522907154</v>
      </c>
      <c r="M608" s="12">
        <f t="shared" ca="1" si="62"/>
        <v>1.0553489735593008E-2</v>
      </c>
      <c r="N608" s="13">
        <f t="shared" ca="1" si="58"/>
        <v>-85.126116578052446</v>
      </c>
      <c r="O608" s="13">
        <f t="shared" ca="1" si="59"/>
        <v>-40.579094046194626</v>
      </c>
      <c r="P608" s="12">
        <f t="shared" ca="1" si="63"/>
        <v>4.5406891203926758</v>
      </c>
    </row>
    <row r="609" spans="1:16" x14ac:dyDescent="0.25">
      <c r="A609">
        <v>1</v>
      </c>
      <c r="B609">
        <v>12</v>
      </c>
      <c r="C609" s="2" t="s">
        <v>0</v>
      </c>
      <c r="D609" s="2" t="s">
        <v>11</v>
      </c>
      <c r="E609" s="11" cm="1">
        <f t="array" aca="1" ref="E609" ca="1">INDEX('OD flujo mercancia multimodal'!E$45:E$1645,MATCH(C609&amp;D609,'OD flujo mercancia multimodal'!C$45:C$1645&amp;'OD flujo mercancia multimodal'!D$45:D$1645,0))</f>
        <v>103836.07142857143</v>
      </c>
      <c r="F609" s="11" cm="1">
        <f t="array" aca="1" ref="F609" ca="1">INDEX('OD flujo mercancia carretera'!E$45:E$1646,MATCH(C609&amp;D609,'OD flujo mercancia carretera'!C$45:C$1646&amp;'OD flujo mercancia carretera'!D$45:D$1646,0))</f>
        <v>90020.076923076907</v>
      </c>
      <c r="G609" s="11" cm="1">
        <f t="array" aca="1" ref="G609" ca="1">INDEX('Coste Carretera'!E$46:E$1646,MATCH(C609&amp;D609,'Coste Carretera'!C$46:C$1646&amp;'Coste Carretera'!D$46:D$1646,0))</f>
        <v>8387437585.0571432</v>
      </c>
      <c r="H609" s="11" cm="1">
        <f t="array" aca="1" ref="H609" ca="1">INDEX('Coste multimodal'!E$46:E$1646,MATCH(C609&amp;D609,'Coste multimodal'!C$46:C$1646&amp;'Coste multimodal'!D$46:D$1646,0))</f>
        <v>917601763.78186345</v>
      </c>
      <c r="I609" s="12" cm="1">
        <f t="array" aca="1" ref="I609" ca="1">INDEX('Tiempos intermodal (horas)'!E$45:E$1645,MATCH(C609&amp;D609,'Tiempos intermodal (horas)'!C$45:C$1645&amp;'Tiempos intermodal (horas)'!D$45:D$1645,0))</f>
        <v>56.839622299056863</v>
      </c>
      <c r="J609" s="2" cm="1">
        <f t="array" aca="1" ref="J609" ca="1">INDEX('Tiempos carretera (horas)'!E$45:E$1645,MATCH(C609&amp;D609,'Tiempos carretera (horas)'!C$45:C$1645&amp;'Tiempos carretera (horas)'!D$45:D$1645,0))</f>
        <v>16.25</v>
      </c>
      <c r="K609" s="12">
        <f t="shared" ca="1" si="60"/>
        <v>93.172966206464096</v>
      </c>
      <c r="L609" s="12">
        <f t="shared" ca="1" si="61"/>
        <v>8.8370231188212784</v>
      </c>
      <c r="M609" s="12">
        <f t="shared" ca="1" si="62"/>
        <v>0.53563465647845421</v>
      </c>
      <c r="N609" s="13">
        <f t="shared" ca="1" si="58"/>
        <v>84.335943087642818</v>
      </c>
      <c r="O609" s="13">
        <f t="shared" ca="1" si="59"/>
        <v>-40.589622299056863</v>
      </c>
      <c r="P609" s="12">
        <f t="shared" ca="1" si="63"/>
        <v>-0.14278069693492942</v>
      </c>
    </row>
    <row r="610" spans="1:16" x14ac:dyDescent="0.25">
      <c r="A610">
        <v>12</v>
      </c>
      <c r="B610">
        <v>1</v>
      </c>
      <c r="C610" s="2" t="s">
        <v>11</v>
      </c>
      <c r="D610" s="2" t="s">
        <v>0</v>
      </c>
      <c r="E610" s="11" cm="1">
        <f t="array" aca="1" ref="E610" ca="1">INDEX('OD flujo mercancia multimodal'!E$45:E$1645,MATCH(C610&amp;D610,'OD flujo mercancia multimodal'!C$45:C$1645&amp;'OD flujo mercancia multimodal'!D$45:D$1645,0))</f>
        <v>97836.456043956015</v>
      </c>
      <c r="F610" s="11" cm="1">
        <f t="array" aca="1" ref="F610" ca="1">INDEX('OD flujo mercancia carretera'!E$45:E$1646,MATCH(C610&amp;D610,'OD flujo mercancia carretera'!C$45:C$1646&amp;'OD flujo mercancia carretera'!D$45:D$1646,0))</f>
        <v>90010.076923076966</v>
      </c>
      <c r="G610" s="11" cm="1">
        <f t="array" aca="1" ref="G610" ca="1">INDEX('Coste Carretera'!E$46:E$1646,MATCH(C610&amp;D610,'Coste Carretera'!C$46:C$1646&amp;'Coste Carretera'!D$46:D$1646,0))</f>
        <v>7902814092.6571398</v>
      </c>
      <c r="H610" s="11" cm="1">
        <f t="array" aca="1" ref="H610" ca="1">INDEX('Coste multimodal'!E$46:E$1646,MATCH(C610&amp;D610,'Coste multimodal'!C$46:C$1646&amp;'Coste multimodal'!D$46:D$1646,0))</f>
        <v>917601763.78186345</v>
      </c>
      <c r="I610" s="12" cm="1">
        <f t="array" aca="1" ref="I610" ca="1">INDEX('Tiempos intermodal (horas)'!E$45:E$1645,MATCH(C610&amp;D610,'Tiempos intermodal (horas)'!C$45:C$1645&amp;'Tiempos intermodal (horas)'!D$45:D$1645,0))</f>
        <v>56.839622299056863</v>
      </c>
      <c r="J610" s="2" cm="1">
        <f t="array" aca="1" ref="J610" ca="1">INDEX('Tiempos carretera (horas)'!E$45:E$1645,MATCH(C610&amp;D610,'Tiempos carretera (horas)'!C$45:C$1645&amp;'Tiempos carretera (horas)'!D$45:D$1645,0))</f>
        <v>16.25</v>
      </c>
      <c r="K610" s="12">
        <f t="shared" ca="1" si="60"/>
        <v>87.799214963574812</v>
      </c>
      <c r="L610" s="12">
        <f t="shared" ca="1" si="61"/>
        <v>9.3789350195759642</v>
      </c>
      <c r="M610" s="12">
        <f t="shared" ca="1" si="62"/>
        <v>0.52083184341297528</v>
      </c>
      <c r="N610" s="13">
        <f t="shared" ca="1" si="58"/>
        <v>78.42027994399885</v>
      </c>
      <c r="O610" s="13">
        <f t="shared" ca="1" si="59"/>
        <v>-40.589622299056863</v>
      </c>
      <c r="P610" s="12">
        <f t="shared" ca="1" si="63"/>
        <v>-8.3375638893698117E-2</v>
      </c>
    </row>
    <row r="611" spans="1:16" x14ac:dyDescent="0.25">
      <c r="A611">
        <v>40</v>
      </c>
      <c r="B611">
        <v>23</v>
      </c>
      <c r="C611" s="2" t="s">
        <v>39</v>
      </c>
      <c r="D611" s="2" t="s">
        <v>22</v>
      </c>
      <c r="E611" s="11" cm="1">
        <f t="array" aca="1" ref="E611" ca="1">INDEX('OD flujo mercancia multimodal'!E$45:E$1645,MATCH(C611&amp;D611,'OD flujo mercancia multimodal'!C$45:C$1645&amp;'OD flujo mercancia multimodal'!D$45:D$1645,0))</f>
        <v>9125.6153846153866</v>
      </c>
      <c r="F611" s="11" cm="1">
        <f t="array" aca="1" ref="F611" ca="1">INDEX('OD flujo mercancia carretera'!E$45:E$1646,MATCH(C611&amp;D611,'OD flujo mercancia carretera'!C$45:C$1646&amp;'OD flujo mercancia carretera'!D$45:D$1646,0))</f>
        <v>209810.17948717985</v>
      </c>
      <c r="G611" s="11" cm="1">
        <f t="array" aca="1" ref="G611" ca="1">INDEX('Coste Carretera'!E$46:E$1646,MATCH(C611&amp;D611,'Coste Carretera'!C$46:C$1646&amp;'Coste Carretera'!D$46:D$1646,0))</f>
        <v>437310010.08000022</v>
      </c>
      <c r="H611" s="11" cm="1">
        <f t="array" aca="1" ref="H611" ca="1">INDEX('Coste multimodal'!E$46:E$1646,MATCH(C611&amp;D611,'Coste multimodal'!C$46:C$1646&amp;'Coste multimodal'!D$46:D$1646,0))</f>
        <v>98909482.638902575</v>
      </c>
      <c r="I611" s="12" cm="1">
        <f t="array" aca="1" ref="I611" ca="1">INDEX('Tiempos intermodal (horas)'!E$45:E$1645,MATCH(C611&amp;D611,'Tiempos intermodal (horas)'!C$45:C$1645&amp;'Tiempos intermodal (horas)'!D$45:D$1645,0))</f>
        <v>54.706246249178861</v>
      </c>
      <c r="J611" s="2" cm="1">
        <f t="array" aca="1" ref="J611" ca="1">INDEX('Tiempos carretera (horas)'!E$45:E$1645,MATCH(C611&amp;D611,'Tiempos carretera (horas)'!C$45:C$1645&amp;'Tiempos carretera (horas)'!D$45:D$1645,0))</f>
        <v>13.1</v>
      </c>
      <c r="K611" s="12">
        <f t="shared" ca="1" si="60"/>
        <v>2.0843126446432567</v>
      </c>
      <c r="L611" s="12">
        <f t="shared" ca="1" si="61"/>
        <v>10.838664404556349</v>
      </c>
      <c r="M611" s="12">
        <f t="shared" ca="1" si="62"/>
        <v>4.1681696636035138E-2</v>
      </c>
      <c r="N611" s="13">
        <f t="shared" ca="1" si="58"/>
        <v>-8.7543517599130922</v>
      </c>
      <c r="O611" s="13">
        <f t="shared" ca="1" si="59"/>
        <v>-41.606246249178859</v>
      </c>
      <c r="P611" s="12">
        <f t="shared" ca="1" si="63"/>
        <v>3.1351178781385753</v>
      </c>
    </row>
    <row r="612" spans="1:16" x14ac:dyDescent="0.25">
      <c r="A612">
        <v>23</v>
      </c>
      <c r="B612">
        <v>40</v>
      </c>
      <c r="C612" s="2" t="s">
        <v>22</v>
      </c>
      <c r="D612" s="2" t="s">
        <v>39</v>
      </c>
      <c r="E612" s="11" cm="1">
        <f t="array" aca="1" ref="E612" ca="1">INDEX('OD flujo mercancia multimodal'!E$45:E$1645,MATCH(C612&amp;D612,'OD flujo mercancia multimodal'!C$45:C$1645&amp;'OD flujo mercancia multimodal'!D$45:D$1645,0))</f>
        <v>10530.307692307691</v>
      </c>
      <c r="F612" s="11" cm="1">
        <f t="array" aca="1" ref="F612" ca="1">INDEX('OD flujo mercancia carretera'!E$45:E$1646,MATCH(C612&amp;D612,'OD flujo mercancia carretera'!C$45:C$1646&amp;'OD flujo mercancia carretera'!D$45:D$1646,0))</f>
        <v>177660.80952380958</v>
      </c>
      <c r="G612" s="11" cm="1">
        <f t="array" aca="1" ref="G612" ca="1">INDEX('Coste Carretera'!E$46:E$1646,MATCH(C612&amp;D612,'Coste Carretera'!C$46:C$1646&amp;'Coste Carretera'!D$46:D$1646,0))</f>
        <v>314271931.28000033</v>
      </c>
      <c r="H612" s="11" cm="1">
        <f t="array" aca="1" ref="H612" ca="1">INDEX('Coste multimodal'!E$46:E$1646,MATCH(C612&amp;D612,'Coste multimodal'!C$46:C$1646&amp;'Coste multimodal'!D$46:D$1646,0))</f>
        <v>97551699.154128015</v>
      </c>
      <c r="I612" s="12" cm="1">
        <f t="array" aca="1" ref="I612" ca="1">INDEX('Tiempos intermodal (horas)'!E$45:E$1645,MATCH(C612&amp;D612,'Tiempos intermodal (horas)'!C$45:C$1645&amp;'Tiempos intermodal (horas)'!D$45:D$1645,0))</f>
        <v>57.795606757929789</v>
      </c>
      <c r="J612" s="2" cm="1">
        <f t="array" aca="1" ref="J612" ca="1">INDEX('Tiempos carretera (horas)'!E$45:E$1645,MATCH(C612&amp;D612,'Tiempos carretera (horas)'!C$45:C$1645&amp;'Tiempos carretera (horas)'!D$45:D$1645,0))</f>
        <v>15.65</v>
      </c>
      <c r="K612" s="12">
        <f t="shared" ca="1" si="60"/>
        <v>1.768943483497313</v>
      </c>
      <c r="L612" s="12">
        <f t="shared" ca="1" si="61"/>
        <v>9.2638982643772856</v>
      </c>
      <c r="M612" s="12">
        <f t="shared" ca="1" si="62"/>
        <v>5.5955391774494677E-2</v>
      </c>
      <c r="N612" s="13">
        <f t="shared" ca="1" si="58"/>
        <v>-7.4949547808799721</v>
      </c>
      <c r="O612" s="13">
        <f t="shared" ca="1" si="59"/>
        <v>-42.145606757929791</v>
      </c>
      <c r="P612" s="12">
        <f t="shared" ca="1" si="63"/>
        <v>2.8256186216603303</v>
      </c>
    </row>
    <row r="613" spans="1:16" x14ac:dyDescent="0.25">
      <c r="A613">
        <v>29</v>
      </c>
      <c r="B613">
        <v>20</v>
      </c>
      <c r="C613" s="2" t="s">
        <v>147</v>
      </c>
      <c r="D613" s="2" t="s">
        <v>19</v>
      </c>
      <c r="E613" s="11" cm="1">
        <f t="array" aca="1" ref="E613" ca="1">INDEX('OD flujo mercancia multimodal'!E$45:E$1645,MATCH(C613&amp;D613,'OD flujo mercancia multimodal'!C$45:C$1645&amp;'OD flujo mercancia multimodal'!D$45:D$1645,0))</f>
        <v>81737.492307692301</v>
      </c>
      <c r="F613" s="11" cm="1">
        <f t="array" aca="1" ref="F613" ca="1">INDEX('OD flujo mercancia carretera'!E$45:E$1646,MATCH(C613&amp;D613,'OD flujo mercancia carretera'!C$45:C$1646&amp;'OD flujo mercancia carretera'!D$45:D$1646,0))</f>
        <v>425825.76666666666</v>
      </c>
      <c r="G613" s="11" cm="1">
        <f t="array" aca="1" ref="G613" ca="1">INDEX('Coste Carretera'!E$46:E$1646,MATCH(C613&amp;D613,'Coste Carretera'!C$46:C$1646&amp;'Coste Carretera'!D$46:D$1646,0))</f>
        <v>931549121.8319999</v>
      </c>
      <c r="H613" s="11" cm="1">
        <f t="array" aca="1" ref="H613" ca="1">INDEX('Coste multimodal'!E$46:E$1646,MATCH(C613&amp;D613,'Coste multimodal'!C$46:C$1646&amp;'Coste multimodal'!D$46:D$1646,0))</f>
        <v>833924873.12344241</v>
      </c>
      <c r="I613" s="12" cm="1">
        <f t="array" aca="1" ref="I613" ca="1">INDEX('Tiempos intermodal (horas)'!E$45:E$1645,MATCH(C613&amp;D613,'Tiempos intermodal (horas)'!C$45:C$1645&amp;'Tiempos intermodal (horas)'!D$45:D$1645,0))</f>
        <v>47.122862798833992</v>
      </c>
      <c r="J613" s="2" cm="1">
        <f t="array" aca="1" ref="J613" ca="1">INDEX('Tiempos carretera (horas)'!E$45:E$1645,MATCH(C613&amp;D613,'Tiempos carretera (horas)'!C$45:C$1645&amp;'Tiempos carretera (horas)'!D$45:D$1645,0))</f>
        <v>2.3199999999999998</v>
      </c>
      <c r="K613" s="12">
        <f t="shared" ca="1" si="60"/>
        <v>2.187629764924981</v>
      </c>
      <c r="L613" s="12">
        <f t="shared" ca="1" si="61"/>
        <v>10.202476850943981</v>
      </c>
      <c r="M613" s="12">
        <f t="shared" ca="1" si="62"/>
        <v>0.16103902491457031</v>
      </c>
      <c r="N613" s="13">
        <f t="shared" ca="1" si="58"/>
        <v>-8.0148470860189995</v>
      </c>
      <c r="O613" s="13">
        <f t="shared" ca="1" si="59"/>
        <v>-44.802862798833992</v>
      </c>
      <c r="P613" s="12">
        <f t="shared" ca="1" si="63"/>
        <v>1.6505174653941499</v>
      </c>
    </row>
    <row r="614" spans="1:16" x14ac:dyDescent="0.25">
      <c r="A614">
        <v>20</v>
      </c>
      <c r="B614">
        <v>29</v>
      </c>
      <c r="C614" s="2" t="s">
        <v>19</v>
      </c>
      <c r="D614" s="2" t="s">
        <v>147</v>
      </c>
      <c r="E614" s="11" cm="1">
        <f t="array" aca="1" ref="E614" ca="1">INDEX('OD flujo mercancia multimodal'!E$45:E$1645,MATCH(C614&amp;D614,'OD flujo mercancia multimodal'!C$45:C$1645&amp;'OD flujo mercancia multimodal'!D$45:D$1645,0))</f>
        <v>68519.069230769237</v>
      </c>
      <c r="F614" s="11" cm="1">
        <f t="array" aca="1" ref="F614" ca="1">INDEX('OD flujo mercancia carretera'!E$45:E$1646,MATCH(C614&amp;D614,'OD flujo mercancia carretera'!C$45:C$1646&amp;'OD flujo mercancia carretera'!D$45:D$1646,0))</f>
        <v>422940.73333333334</v>
      </c>
      <c r="G614" s="11" cm="1">
        <f t="array" aca="1" ref="G614" ca="1">INDEX('Coste Carretera'!E$46:E$1646,MATCH(C614&amp;D614,'Coste Carretera'!C$46:C$1646&amp;'Coste Carretera'!D$46:D$1646,0))</f>
        <v>780900868.972</v>
      </c>
      <c r="H614" s="11" cm="1">
        <f t="array" aca="1" ref="H614" ca="1">INDEX('Coste multimodal'!E$46:E$1646,MATCH(C614&amp;D614,'Coste multimodal'!C$46:C$1646&amp;'Coste multimodal'!D$46:D$1646,0))</f>
        <v>833924873.12344241</v>
      </c>
      <c r="I614" s="12" cm="1">
        <f t="array" aca="1" ref="I614" ca="1">INDEX('Tiempos intermodal (horas)'!E$45:E$1645,MATCH(C614&amp;D614,'Tiempos intermodal (horas)'!C$45:C$1645&amp;'Tiempos intermodal (horas)'!D$45:D$1645,0))</f>
        <v>47.122862798833992</v>
      </c>
      <c r="J614" s="2" cm="1">
        <f t="array" aca="1" ref="J614" ca="1">INDEX('Tiempos carretera (horas)'!E$45:E$1645,MATCH(C614&amp;D614,'Tiempos carretera (horas)'!C$45:C$1645&amp;'Tiempos carretera (horas)'!D$45:D$1645,0))</f>
        <v>2.3199999999999998</v>
      </c>
      <c r="K614" s="12">
        <f t="shared" ca="1" si="60"/>
        <v>1.8463600391891</v>
      </c>
      <c r="L614" s="12">
        <f t="shared" ca="1" si="61"/>
        <v>12.170697624552076</v>
      </c>
      <c r="M614" s="12">
        <f t="shared" ca="1" si="62"/>
        <v>0.13941947820204906</v>
      </c>
      <c r="N614" s="13">
        <f t="shared" ca="1" si="58"/>
        <v>-10.324337585362976</v>
      </c>
      <c r="O614" s="13">
        <f t="shared" ca="1" si="59"/>
        <v>-44.802862798833992</v>
      </c>
      <c r="P614" s="12">
        <f t="shared" ca="1" si="63"/>
        <v>1.8201199694490418</v>
      </c>
    </row>
    <row r="615" spans="1:16" x14ac:dyDescent="0.25">
      <c r="A615">
        <v>13</v>
      </c>
      <c r="B615">
        <v>35</v>
      </c>
      <c r="C615" s="2" t="s">
        <v>12</v>
      </c>
      <c r="D615" s="2" t="s">
        <v>34</v>
      </c>
      <c r="E615" s="11" cm="1">
        <f t="array" aca="1" ref="E615" ca="1">INDEX('OD flujo mercancia multimodal'!E$45:E$1645,MATCH(C615&amp;D615,'OD flujo mercancia multimodal'!C$45:C$1645&amp;'OD flujo mercancia multimodal'!D$45:D$1645,0))</f>
        <v>24904.461538461554</v>
      </c>
      <c r="F615" s="11" cm="1">
        <f t="array" aca="1" ref="F615" ca="1">INDEX('OD flujo mercancia carretera'!E$45:E$1646,MATCH(C615&amp;D615,'OD flujo mercancia carretera'!C$45:C$1646&amp;'OD flujo mercancia carretera'!D$45:D$1646,0))</f>
        <v>38563.846153846192</v>
      </c>
      <c r="G615" s="11" cm="1">
        <f t="array" aca="1" ref="G615" ca="1">INDEX('Coste Carretera'!E$46:E$1646,MATCH(C615&amp;D615,'Coste Carretera'!C$46:C$1646&amp;'Coste Carretera'!D$46:D$1646,0))</f>
        <v>23851933840.800018</v>
      </c>
      <c r="H615" s="11" cm="1">
        <f t="array" aca="1" ref="H615" ca="1">INDEX('Coste multimodal'!E$46:E$1646,MATCH(C615&amp;D615,'Coste multimodal'!C$46:C$1646&amp;'Coste multimodal'!D$46:D$1646,0))</f>
        <v>2113811992.4750245</v>
      </c>
      <c r="I615" s="12" cm="1">
        <f t="array" aca="1" ref="I615" ca="1">INDEX('Tiempos intermodal (horas)'!E$45:E$1645,MATCH(C615&amp;D615,'Tiempos intermodal (horas)'!C$45:C$1645&amp;'Tiempos intermodal (horas)'!D$45:D$1645,0))</f>
        <v>56.514100319069065</v>
      </c>
      <c r="J615" s="2" cm="1">
        <f t="array" aca="1" ref="J615" ca="1">INDEX('Tiempos carretera (horas)'!E$45:E$1645,MATCH(C615&amp;D615,'Tiempos carretera (horas)'!C$45:C$1645&amp;'Tiempos carretera (horas)'!D$45:D$1645,0))</f>
        <v>15.62</v>
      </c>
      <c r="K615" s="12">
        <f t="shared" ca="1" si="60"/>
        <v>618.50505641074733</v>
      </c>
      <c r="L615" s="12">
        <f t="shared" ca="1" si="61"/>
        <v>84.876839806816506</v>
      </c>
      <c r="M615" s="12">
        <f t="shared" ca="1" si="62"/>
        <v>0.3923920842382872</v>
      </c>
      <c r="N615" s="13">
        <f t="shared" ca="1" si="58"/>
        <v>533.62821660393081</v>
      </c>
      <c r="O615" s="13">
        <f t="shared" ca="1" si="59"/>
        <v>-40.894100319069068</v>
      </c>
      <c r="P615" s="12">
        <f t="shared" ca="1" si="63"/>
        <v>0.43726824375024087</v>
      </c>
    </row>
    <row r="616" spans="1:16" x14ac:dyDescent="0.25">
      <c r="A616">
        <v>35</v>
      </c>
      <c r="B616">
        <v>13</v>
      </c>
      <c r="C616" s="2" t="s">
        <v>34</v>
      </c>
      <c r="D616" s="2" t="s">
        <v>12</v>
      </c>
      <c r="E616" s="11" cm="1">
        <f t="array" aca="1" ref="E616" ca="1">INDEX('OD flujo mercancia multimodal'!E$45:E$1645,MATCH(C616&amp;D616,'OD flujo mercancia multimodal'!C$45:C$1645&amp;'OD flujo mercancia multimodal'!D$45:D$1645,0))</f>
        <v>13038.692307692312</v>
      </c>
      <c r="F616" s="11" cm="1">
        <f t="array" aca="1" ref="F616" ca="1">INDEX('OD flujo mercancia carretera'!E$45:E$1646,MATCH(C616&amp;D616,'OD flujo mercancia carretera'!C$45:C$1646&amp;'OD flujo mercancia carretera'!D$45:D$1646,0))</f>
        <v>37805.923076923114</v>
      </c>
      <c r="G616" s="11" cm="1">
        <f t="array" aca="1" ref="G616" ca="1">INDEX('Coste Carretera'!E$46:E$1646,MATCH(C616&amp;D616,'Coste Carretera'!C$46:C$1646&amp;'Coste Carretera'!D$46:D$1646,0))</f>
        <v>10222389913.32</v>
      </c>
      <c r="H616" s="11" cm="1">
        <f t="array" aca="1" ref="H616" ca="1">INDEX('Coste multimodal'!E$46:E$1646,MATCH(C616&amp;D616,'Coste multimodal'!C$46:C$1646&amp;'Coste multimodal'!D$46:D$1646,0))</f>
        <v>2113811992.4750245</v>
      </c>
      <c r="I616" s="12" cm="1">
        <f t="array" aca="1" ref="I616" ca="1">INDEX('Tiempos intermodal (horas)'!E$45:E$1645,MATCH(C616&amp;D616,'Tiempos intermodal (horas)'!C$45:C$1645&amp;'Tiempos intermodal (horas)'!D$45:D$1645,0))</f>
        <v>56.514100319069065</v>
      </c>
      <c r="J616" s="2" cm="1">
        <f t="array" aca="1" ref="J616" ca="1">INDEX('Tiempos carretera (horas)'!E$45:E$1645,MATCH(C616&amp;D616,'Tiempos carretera (horas)'!C$45:C$1645&amp;'Tiempos carretera (horas)'!D$45:D$1645,0))</f>
        <v>15.62</v>
      </c>
      <c r="K616" s="12">
        <f t="shared" ca="1" si="60"/>
        <v>270.3912265948556</v>
      </c>
      <c r="L616" s="12">
        <f t="shared" ca="1" si="61"/>
        <v>162.11840440685597</v>
      </c>
      <c r="M616" s="12">
        <f t="shared" ca="1" si="62"/>
        <v>0.25644194983206742</v>
      </c>
      <c r="N616" s="13">
        <f t="shared" ca="1" si="58"/>
        <v>108.27282218799962</v>
      </c>
      <c r="O616" s="13">
        <f t="shared" ca="1" si="59"/>
        <v>-40.894100319069068</v>
      </c>
      <c r="P616" s="12">
        <f t="shared" ca="1" si="63"/>
        <v>1.064544517189449</v>
      </c>
    </row>
    <row r="617" spans="1:16" x14ac:dyDescent="0.25">
      <c r="A617">
        <v>36</v>
      </c>
      <c r="B617">
        <v>12</v>
      </c>
      <c r="C617" s="2" t="s">
        <v>35</v>
      </c>
      <c r="D617" s="2" t="s">
        <v>11</v>
      </c>
      <c r="E617" s="11" cm="1">
        <f t="array" aca="1" ref="E617" ca="1">INDEX('OD flujo mercancia multimodal'!E$45:E$1645,MATCH(C617&amp;D617,'OD flujo mercancia multimodal'!C$45:C$1645&amp;'OD flujo mercancia multimodal'!D$45:D$1645,0))</f>
        <v>20324.23076923077</v>
      </c>
      <c r="F617" s="11" cm="1">
        <f t="array" aca="1" ref="F617" ca="1">INDEX('OD flujo mercancia carretera'!E$45:E$1646,MATCH(C617&amp;D617,'OD flujo mercancia carretera'!C$45:C$1646&amp;'OD flujo mercancia carretera'!D$45:D$1646,0))</f>
        <v>134616.99999999997</v>
      </c>
      <c r="G617" s="11" cm="1">
        <f t="array" aca="1" ref="G617" ca="1">INDEX('Coste Carretera'!E$46:E$1646,MATCH(C617&amp;D617,'Coste Carretera'!C$46:C$1646&amp;'Coste Carretera'!D$46:D$1646,0))</f>
        <v>2389209410.7199998</v>
      </c>
      <c r="H617" s="11" cm="1">
        <f t="array" aca="1" ref="H617" ca="1">INDEX('Coste multimodal'!E$46:E$1646,MATCH(C617&amp;D617,'Coste multimodal'!C$46:C$1646&amp;'Coste multimodal'!D$46:D$1646,0))</f>
        <v>597418461.76443493</v>
      </c>
      <c r="I617" s="12" cm="1">
        <f t="array" aca="1" ref="I617" ca="1">INDEX('Tiempos intermodal (horas)'!E$45:E$1645,MATCH(C617&amp;D617,'Tiempos intermodal (horas)'!C$45:C$1645&amp;'Tiempos intermodal (horas)'!D$45:D$1645,0))</f>
        <v>57.459622299056868</v>
      </c>
      <c r="J617" s="2" cm="1">
        <f t="array" aca="1" ref="J617" ca="1">INDEX('Tiempos carretera (horas)'!E$45:E$1645,MATCH(C617&amp;D617,'Tiempos carretera (horas)'!C$45:C$1645&amp;'Tiempos carretera (horas)'!D$45:D$1645,0))</f>
        <v>16.510000000000002</v>
      </c>
      <c r="K617" s="12">
        <f t="shared" ca="1" si="60"/>
        <v>17.74819978695113</v>
      </c>
      <c r="L617" s="12">
        <f t="shared" ca="1" si="61"/>
        <v>29.394394727542547</v>
      </c>
      <c r="M617" s="12">
        <f t="shared" ca="1" si="62"/>
        <v>0.1311738048570277</v>
      </c>
      <c r="N617" s="13">
        <f t="shared" ca="1" si="58"/>
        <v>-11.646194940591418</v>
      </c>
      <c r="O617" s="13">
        <f t="shared" ca="1" si="59"/>
        <v>-40.94962229905687</v>
      </c>
      <c r="P617" s="12">
        <f t="shared" ca="1" si="63"/>
        <v>1.8906199011986586</v>
      </c>
    </row>
    <row r="618" spans="1:16" x14ac:dyDescent="0.25">
      <c r="A618">
        <v>12</v>
      </c>
      <c r="B618">
        <v>36</v>
      </c>
      <c r="C618" s="2" t="s">
        <v>11</v>
      </c>
      <c r="D618" s="2" t="s">
        <v>35</v>
      </c>
      <c r="E618" s="11" cm="1">
        <f t="array" aca="1" ref="E618" ca="1">INDEX('OD flujo mercancia multimodal'!E$45:E$1645,MATCH(C618&amp;D618,'OD flujo mercancia multimodal'!C$45:C$1645&amp;'OD flujo mercancia multimodal'!D$45:D$1645,0))</f>
        <v>9076.2307692307659</v>
      </c>
      <c r="F618" s="11" cm="1">
        <f t="array" aca="1" ref="F618" ca="1">INDEX('OD flujo mercancia carretera'!E$45:E$1646,MATCH(C618&amp;D618,'OD flujo mercancia carretera'!C$45:C$1646&amp;'OD flujo mercancia carretera'!D$45:D$1646,0))</f>
        <v>132799.15384615387</v>
      </c>
      <c r="G618" s="11" cm="1">
        <f t="array" aca="1" ref="G618" ca="1">INDEX('Coste Carretera'!E$46:E$1646,MATCH(C618&amp;D618,'Coste Carretera'!C$46:C$1646&amp;'Coste Carretera'!D$46:D$1646,0))</f>
        <v>2431224538.0800014</v>
      </c>
      <c r="H618" s="11" cm="1">
        <f t="array" aca="1" ref="H618" ca="1">INDEX('Coste multimodal'!E$46:E$1646,MATCH(C618&amp;D618,'Coste multimodal'!C$46:C$1646&amp;'Coste multimodal'!D$46:D$1646,0))</f>
        <v>597418461.76443493</v>
      </c>
      <c r="I618" s="12" cm="1">
        <f t="array" aca="1" ref="I618" ca="1">INDEX('Tiempos intermodal (horas)'!E$45:E$1645,MATCH(C618&amp;D618,'Tiempos intermodal (horas)'!C$45:C$1645&amp;'Tiempos intermodal (horas)'!D$45:D$1645,0))</f>
        <v>57.459622299056868</v>
      </c>
      <c r="J618" s="2" cm="1">
        <f t="array" aca="1" ref="J618" ca="1">INDEX('Tiempos carretera (horas)'!E$45:E$1645,MATCH(C618&amp;D618,'Tiempos carretera (horas)'!C$45:C$1645&amp;'Tiempos carretera (horas)'!D$45:D$1645,0))</f>
        <v>16.510000000000002</v>
      </c>
      <c r="K618" s="12">
        <f t="shared" ca="1" si="60"/>
        <v>18.307530339361531</v>
      </c>
      <c r="L618" s="12">
        <f t="shared" ca="1" si="61"/>
        <v>65.822308506052636</v>
      </c>
      <c r="M618" s="12">
        <f t="shared" ca="1" si="62"/>
        <v>6.3973259306650446E-2</v>
      </c>
      <c r="N618" s="13">
        <f t="shared" ca="1" si="58"/>
        <v>-47.514778166691102</v>
      </c>
      <c r="O618" s="13">
        <f t="shared" ca="1" si="59"/>
        <v>-40.94962229905687</v>
      </c>
      <c r="P618" s="12">
        <f t="shared" ca="1" si="63"/>
        <v>2.6831788724727348</v>
      </c>
    </row>
    <row r="619" spans="1:16" x14ac:dyDescent="0.25">
      <c r="A619">
        <v>1</v>
      </c>
      <c r="B619">
        <v>29</v>
      </c>
      <c r="C619" s="2" t="s">
        <v>0</v>
      </c>
      <c r="D619" s="2" t="s">
        <v>147</v>
      </c>
      <c r="E619" s="11" cm="1">
        <f t="array" aca="1" ref="E619" ca="1">INDEX('OD flujo mercancia multimodal'!E$45:E$1645,MATCH(C619&amp;D619,'OD flujo mercancia multimodal'!C$45:C$1645&amp;'OD flujo mercancia multimodal'!D$45:D$1645,0))</f>
        <v>122168.37142857144</v>
      </c>
      <c r="F619" s="11" cm="1">
        <f t="array" aca="1" ref="F619" ca="1">INDEX('OD flujo mercancia carretera'!E$45:E$1646,MATCH(C619&amp;D619,'OD flujo mercancia carretera'!C$45:C$1646&amp;'OD flujo mercancia carretera'!D$45:D$1646,0))</f>
        <v>409370.4</v>
      </c>
      <c r="G619" s="11" cm="1">
        <f t="array" aca="1" ref="G619" ca="1">INDEX('Coste Carretera'!E$46:E$1646,MATCH(C619&amp;D619,'Coste Carretera'!C$46:C$1646&amp;'Coste Carretera'!D$46:D$1646,0))</f>
        <v>460689109.88137144</v>
      </c>
      <c r="H619" s="11" cm="1">
        <f t="array" aca="1" ref="H619" ca="1">INDEX('Coste multimodal'!E$46:E$1646,MATCH(C619&amp;D619,'Coste multimodal'!C$46:C$1646&amp;'Coste multimodal'!D$46:D$1646,0))</f>
        <v>4794560833.975503</v>
      </c>
      <c r="I619" s="12" cm="1">
        <f t="array" aca="1" ref="I619" ca="1">INDEX('Tiempos intermodal (horas)'!E$45:E$1645,MATCH(C619&amp;D619,'Tiempos intermodal (horas)'!C$45:C$1645&amp;'Tiempos intermodal (horas)'!D$45:D$1645,0))</f>
        <v>68.228642773757414</v>
      </c>
      <c r="J619" s="2" cm="1">
        <f t="array" aca="1" ref="J619" ca="1">INDEX('Tiempos carretera (horas)'!E$45:E$1645,MATCH(C619&amp;D619,'Tiempos carretera (horas)'!C$45:C$1645&amp;'Tiempos carretera (horas)'!D$45:D$1645,0))</f>
        <v>6.63</v>
      </c>
      <c r="K619" s="12">
        <f t="shared" ca="1" si="60"/>
        <v>1.1253600892525972</v>
      </c>
      <c r="L619" s="12">
        <f t="shared" ca="1" si="61"/>
        <v>39.245516477877864</v>
      </c>
      <c r="M619" s="12">
        <f t="shared" ca="1" si="62"/>
        <v>0.22983905971756288</v>
      </c>
      <c r="N619" s="13">
        <f t="shared" ca="1" si="58"/>
        <v>-38.120156388625269</v>
      </c>
      <c r="O619" s="13">
        <f t="shared" ca="1" si="59"/>
        <v>-61.598642773757412</v>
      </c>
      <c r="P619" s="12">
        <f t="shared" ca="1" si="63"/>
        <v>1.2092201827290738</v>
      </c>
    </row>
    <row r="620" spans="1:16" x14ac:dyDescent="0.25">
      <c r="A620">
        <v>29</v>
      </c>
      <c r="B620">
        <v>1</v>
      </c>
      <c r="C620" s="2" t="s">
        <v>147</v>
      </c>
      <c r="D620" s="2" t="s">
        <v>0</v>
      </c>
      <c r="E620" s="11" cm="1">
        <f t="array" aca="1" ref="E620" ca="1">INDEX('OD flujo mercancia multimodal'!E$45:E$1645,MATCH(C620&amp;D620,'OD flujo mercancia multimodal'!C$45:C$1645&amp;'OD flujo mercancia multimodal'!D$45:D$1645,0))</f>
        <v>115757.87142857141</v>
      </c>
      <c r="F620" s="11" cm="1">
        <f t="array" aca="1" ref="F620" ca="1">INDEX('OD flujo mercancia carretera'!E$45:E$1646,MATCH(C620&amp;D620,'OD flujo mercancia carretera'!C$45:C$1646&amp;'OD flujo mercancia carretera'!D$45:D$1646,0))</f>
        <v>411232.94615384616</v>
      </c>
      <c r="G620" s="11" cm="1">
        <f t="array" aca="1" ref="G620" ca="1">INDEX('Coste Carretera'!E$46:E$1646,MATCH(C620&amp;D620,'Coste Carretera'!C$46:C$1646&amp;'Coste Carretera'!D$46:D$1646,0))</f>
        <v>436515524.65337133</v>
      </c>
      <c r="H620" s="11" cm="1">
        <f t="array" aca="1" ref="H620" ca="1">INDEX('Coste multimodal'!E$46:E$1646,MATCH(C620&amp;D620,'Coste multimodal'!C$46:C$1646&amp;'Coste multimodal'!D$46:D$1646,0))</f>
        <v>4794560833.975503</v>
      </c>
      <c r="I620" s="12" cm="1">
        <f t="array" aca="1" ref="I620" ca="1">INDEX('Tiempos intermodal (horas)'!E$45:E$1645,MATCH(C620&amp;D620,'Tiempos intermodal (horas)'!C$45:C$1645&amp;'Tiempos intermodal (horas)'!D$45:D$1645,0))</f>
        <v>68.228642773757414</v>
      </c>
      <c r="J620" s="2" cm="1">
        <f t="array" aca="1" ref="J620" ca="1">INDEX('Tiempos carretera (horas)'!E$45:E$1645,MATCH(C620&amp;D620,'Tiempos carretera (horas)'!C$45:C$1645&amp;'Tiempos carretera (horas)'!D$45:D$1645,0))</f>
        <v>6.63</v>
      </c>
      <c r="K620" s="12">
        <f t="shared" ca="1" si="60"/>
        <v>1.0614799439976454</v>
      </c>
      <c r="L620" s="12">
        <f t="shared" ca="1" si="61"/>
        <v>41.418875233326965</v>
      </c>
      <c r="M620" s="12">
        <f t="shared" ca="1" si="62"/>
        <v>0.21965823230016285</v>
      </c>
      <c r="N620" s="13">
        <f t="shared" ca="1" si="58"/>
        <v>-40.357395289329318</v>
      </c>
      <c r="O620" s="13">
        <f t="shared" ca="1" si="59"/>
        <v>-61.598642773757412</v>
      </c>
      <c r="P620" s="12">
        <f t="shared" ca="1" si="63"/>
        <v>1.2676591385440747</v>
      </c>
    </row>
    <row r="621" spans="1:16" x14ac:dyDescent="0.25">
      <c r="A621">
        <v>22</v>
      </c>
      <c r="B621">
        <v>21</v>
      </c>
      <c r="C621" s="2" t="s">
        <v>21</v>
      </c>
      <c r="D621" s="2" t="s">
        <v>20</v>
      </c>
      <c r="E621" s="11" cm="1">
        <f t="array" aca="1" ref="E621" ca="1">INDEX('OD flujo mercancia multimodal'!E$45:E$1645,MATCH(C621&amp;D621,'OD flujo mercancia multimodal'!C$45:C$1645&amp;'OD flujo mercancia multimodal'!D$45:D$1645,0))</f>
        <v>45968.846153846163</v>
      </c>
      <c r="F621" s="11" cm="1">
        <f t="array" aca="1" ref="F621" ca="1">INDEX('OD flujo mercancia carretera'!E$45:E$1646,MATCH(C621&amp;D621,'OD flujo mercancia carretera'!C$45:C$1646&amp;'OD flujo mercancia carretera'!D$45:D$1646,0))</f>
        <v>234432.99999999965</v>
      </c>
      <c r="G621" s="11" cm="1">
        <f t="array" aca="1" ref="G621" ca="1">INDEX('Coste Carretera'!E$46:E$1646,MATCH(C621&amp;D621,'Coste Carretera'!C$46:C$1646&amp;'Coste Carretera'!D$46:D$1646,0))</f>
        <v>1120227683.2000003</v>
      </c>
      <c r="H621" s="11" cm="1">
        <f t="array" aca="1" ref="H621" ca="1">INDEX('Coste multimodal'!E$46:E$1646,MATCH(C621&amp;D621,'Coste multimodal'!C$46:C$1646&amp;'Coste multimodal'!D$46:D$1646,0))</f>
        <v>797223554.1047883</v>
      </c>
      <c r="I621" s="12" cm="1">
        <f t="array" aca="1" ref="I621" ca="1">INDEX('Tiempos intermodal (horas)'!E$45:E$1645,MATCH(C621&amp;D621,'Tiempos intermodal (horas)'!C$45:C$1645&amp;'Tiempos intermodal (horas)'!D$45:D$1645,0))</f>
        <v>49.972166816230292</v>
      </c>
      <c r="J621" s="2" cm="1">
        <f t="array" aca="1" ref="J621" ca="1">INDEX('Tiempos carretera (horas)'!E$45:E$1645,MATCH(C621&amp;D621,'Tiempos carretera (horas)'!C$45:C$1645&amp;'Tiempos carretera (horas)'!D$45:D$1645,0))</f>
        <v>4.95</v>
      </c>
      <c r="K621" s="12">
        <f t="shared" ca="1" si="60"/>
        <v>4.7784556065059185</v>
      </c>
      <c r="L621" s="12">
        <f t="shared" ca="1" si="61"/>
        <v>17.342692297228467</v>
      </c>
      <c r="M621" s="12">
        <f t="shared" ca="1" si="62"/>
        <v>0.16393917081638901</v>
      </c>
      <c r="N621" s="13">
        <f t="shared" ca="1" si="58"/>
        <v>-12.564236690722549</v>
      </c>
      <c r="O621" s="13">
        <f t="shared" ca="1" si="59"/>
        <v>-45.022166816230289</v>
      </c>
      <c r="P621" s="12">
        <f t="shared" ca="1" si="63"/>
        <v>1.6292059232549818</v>
      </c>
    </row>
    <row r="622" spans="1:16" x14ac:dyDescent="0.25">
      <c r="A622">
        <v>21</v>
      </c>
      <c r="B622">
        <v>22</v>
      </c>
      <c r="C622" s="2" t="s">
        <v>20</v>
      </c>
      <c r="D622" s="2" t="s">
        <v>21</v>
      </c>
      <c r="E622" s="11" cm="1">
        <f t="array" aca="1" ref="E622" ca="1">INDEX('OD flujo mercancia multimodal'!E$45:E$1645,MATCH(C622&amp;D622,'OD flujo mercancia multimodal'!C$45:C$1645&amp;'OD flujo mercancia multimodal'!D$45:D$1645,0))</f>
        <v>44933.692307692261</v>
      </c>
      <c r="F622" s="11" cm="1">
        <f t="array" aca="1" ref="F622" ca="1">INDEX('OD flujo mercancia carretera'!E$45:E$1646,MATCH(C622&amp;D622,'OD flujo mercancia carretera'!C$45:C$1646&amp;'OD flujo mercancia carretera'!D$45:D$1646,0))</f>
        <v>236412.33333333299</v>
      </c>
      <c r="G622" s="11" cm="1">
        <f t="array" aca="1" ref="G622" ca="1">INDEX('Coste Carretera'!E$46:E$1646,MATCH(C622&amp;D622,'Coste Carretera'!C$46:C$1646&amp;'Coste Carretera'!D$46:D$1646,0))</f>
        <v>1095001729.2799988</v>
      </c>
      <c r="H622" s="11" cm="1">
        <f t="array" aca="1" ref="H622" ca="1">INDEX('Coste multimodal'!E$46:E$1646,MATCH(C622&amp;D622,'Coste multimodal'!C$46:C$1646&amp;'Coste multimodal'!D$46:D$1646,0))</f>
        <v>797223554.1047883</v>
      </c>
      <c r="I622" s="12" cm="1">
        <f t="array" aca="1" ref="I622" ca="1">INDEX('Tiempos intermodal (horas)'!E$45:E$1645,MATCH(C622&amp;D622,'Tiempos intermodal (horas)'!C$45:C$1645&amp;'Tiempos intermodal (horas)'!D$45:D$1645,0))</f>
        <v>49.972166816230292</v>
      </c>
      <c r="J622" s="2" cm="1">
        <f t="array" aca="1" ref="J622" ca="1">INDEX('Tiempos carretera (horas)'!E$45:E$1645,MATCH(C622&amp;D622,'Tiempos carretera (horas)'!C$45:C$1645&amp;'Tiempos carretera (horas)'!D$45:D$1645,0))</f>
        <v>4.95</v>
      </c>
      <c r="K622" s="12">
        <f t="shared" ca="1" si="60"/>
        <v>4.631745365568916</v>
      </c>
      <c r="L622" s="12">
        <f t="shared" ca="1" si="61"/>
        <v>17.742222220369602</v>
      </c>
      <c r="M622" s="12">
        <f t="shared" ca="1" si="62"/>
        <v>0.15970971050795651</v>
      </c>
      <c r="N622" s="13">
        <f t="shared" ca="1" si="58"/>
        <v>-13.110476854800686</v>
      </c>
      <c r="O622" s="13">
        <f t="shared" ca="1" si="59"/>
        <v>-45.022166816230289</v>
      </c>
      <c r="P622" s="12">
        <f t="shared" ca="1" si="63"/>
        <v>1.6603895568100784</v>
      </c>
    </row>
    <row r="623" spans="1:16" x14ac:dyDescent="0.25">
      <c r="A623">
        <v>14</v>
      </c>
      <c r="B623">
        <v>2</v>
      </c>
      <c r="C623" s="2" t="s">
        <v>13</v>
      </c>
      <c r="D623" s="2" t="s">
        <v>1</v>
      </c>
      <c r="E623" s="11" cm="1">
        <f t="array" aca="1" ref="E623" ca="1">INDEX('OD flujo mercancia multimodal'!E$45:E$1645,MATCH(C623&amp;D623,'OD flujo mercancia multimodal'!C$45:C$1645&amp;'OD flujo mercancia multimodal'!D$45:D$1645,0))</f>
        <v>32773.14835164832</v>
      </c>
      <c r="F623" s="11" cm="1">
        <f t="array" aca="1" ref="F623" ca="1">INDEX('OD flujo mercancia carretera'!E$45:E$1646,MATCH(C623&amp;D623,'OD flujo mercancia carretera'!C$45:C$1646&amp;'OD flujo mercancia carretera'!D$45:D$1646,0))</f>
        <v>143056.84615384619</v>
      </c>
      <c r="G623" s="11" cm="1">
        <f t="array" aca="1" ref="G623" ca="1">INDEX('Coste Carretera'!E$46:E$1646,MATCH(C623&amp;D623,'Coste Carretera'!C$46:C$1646&amp;'Coste Carretera'!D$46:D$1646,0))</f>
        <v>2068937393.2171409</v>
      </c>
      <c r="H623" s="11" cm="1">
        <f t="array" aca="1" ref="H623" ca="1">INDEX('Coste multimodal'!E$46:E$1646,MATCH(C623&amp;D623,'Coste multimodal'!C$46:C$1646&amp;'Coste multimodal'!D$46:D$1646,0))</f>
        <v>510357530.93108702</v>
      </c>
      <c r="I623" s="12" cm="1">
        <f t="array" aca="1" ref="I623" ca="1">INDEX('Tiempos intermodal (horas)'!E$45:E$1645,MATCH(C623&amp;D623,'Tiempos intermodal (horas)'!C$45:C$1645&amp;'Tiempos intermodal (horas)'!D$45:D$1645,0))</f>
        <v>53.184349893839148</v>
      </c>
      <c r="J623" s="2" cm="1">
        <f t="array" aca="1" ref="J623" ca="1">INDEX('Tiempos carretera (horas)'!E$45:E$1645,MATCH(C623&amp;D623,'Tiempos carretera (horas)'!C$45:C$1645&amp;'Tiempos carretera (horas)'!D$45:D$1645,0))</f>
        <v>12.15</v>
      </c>
      <c r="K623" s="12">
        <f t="shared" ca="1" si="60"/>
        <v>14.462344507386696</v>
      </c>
      <c r="L623" s="12">
        <f t="shared" ca="1" si="61"/>
        <v>15.57242915618202</v>
      </c>
      <c r="M623" s="12">
        <f t="shared" ca="1" si="62"/>
        <v>0.18639111286910831</v>
      </c>
      <c r="N623" s="13">
        <f t="shared" ca="1" si="58"/>
        <v>-1.1100846487953238</v>
      </c>
      <c r="O623" s="13">
        <f t="shared" ca="1" si="59"/>
        <v>-41.034349893839149</v>
      </c>
      <c r="P623" s="12">
        <f t="shared" ca="1" si="63"/>
        <v>1.4736325445195497</v>
      </c>
    </row>
    <row r="624" spans="1:16" x14ac:dyDescent="0.25">
      <c r="A624">
        <v>2</v>
      </c>
      <c r="B624">
        <v>14</v>
      </c>
      <c r="C624" s="2" t="s">
        <v>1</v>
      </c>
      <c r="D624" s="2" t="s">
        <v>13</v>
      </c>
      <c r="E624" s="11" cm="1">
        <f t="array" aca="1" ref="E624" ca="1">INDEX('OD flujo mercancia multimodal'!E$45:E$1645,MATCH(C624&amp;D624,'OD flujo mercancia multimodal'!C$45:C$1645&amp;'OD flujo mercancia multimodal'!D$45:D$1645,0))</f>
        <v>30339.384615384599</v>
      </c>
      <c r="F624" s="11" cm="1">
        <f t="array" aca="1" ref="F624" ca="1">INDEX('OD flujo mercancia carretera'!E$45:E$1646,MATCH(C624&amp;D624,'OD flujo mercancia carretera'!C$45:C$1646&amp;'OD flujo mercancia carretera'!D$45:D$1646,0))</f>
        <v>208740.76923076899</v>
      </c>
      <c r="G624" s="11" cm="1">
        <f t="array" aca="1" ref="G624" ca="1">INDEX('Coste Carretera'!E$46:E$1646,MATCH(C624&amp;D624,'Coste Carretera'!C$46:C$1646&amp;'Coste Carretera'!D$46:D$1646,0))</f>
        <v>1915296224.9599986</v>
      </c>
      <c r="H624" s="11" cm="1">
        <f t="array" aca="1" ref="H624" ca="1">INDEX('Coste multimodal'!E$46:E$1646,MATCH(C624&amp;D624,'Coste multimodal'!C$46:C$1646&amp;'Coste multimodal'!D$46:D$1646,0))</f>
        <v>510357530.93108702</v>
      </c>
      <c r="I624" s="12" cm="1">
        <f t="array" aca="1" ref="I624" ca="1">INDEX('Tiempos intermodal (horas)'!E$45:E$1645,MATCH(C624&amp;D624,'Tiempos intermodal (horas)'!C$45:C$1645&amp;'Tiempos intermodal (horas)'!D$45:D$1645,0))</f>
        <v>53.184349893839148</v>
      </c>
      <c r="J624" s="2" cm="1">
        <f t="array" aca="1" ref="J624" ca="1">INDEX('Tiempos carretera (horas)'!E$45:E$1645,MATCH(C624&amp;D624,'Tiempos carretera (horas)'!C$45:C$1645&amp;'Tiempos carretera (horas)'!D$45:D$1645,0))</f>
        <v>12.15</v>
      </c>
      <c r="K624" s="12">
        <f t="shared" ca="1" si="60"/>
        <v>9.1754774691022778</v>
      </c>
      <c r="L624" s="12">
        <f t="shared" ca="1" si="61"/>
        <v>16.821617755301904</v>
      </c>
      <c r="M624" s="12">
        <f t="shared" ca="1" si="62"/>
        <v>0.1269004730309308</v>
      </c>
      <c r="N624" s="13">
        <f t="shared" ca="1" si="58"/>
        <v>-7.6461402861996266</v>
      </c>
      <c r="O624" s="13">
        <f t="shared" ca="1" si="59"/>
        <v>-41.034349893839149</v>
      </c>
      <c r="P624" s="12">
        <f t="shared" ca="1" si="63"/>
        <v>1.9286464527318918</v>
      </c>
    </row>
    <row r="625" spans="1:16" x14ac:dyDescent="0.25">
      <c r="A625">
        <v>24</v>
      </c>
      <c r="B625">
        <v>27</v>
      </c>
      <c r="C625" s="2" t="s">
        <v>23</v>
      </c>
      <c r="D625" s="2" t="s">
        <v>145</v>
      </c>
      <c r="E625" s="11" cm="1">
        <f t="array" aca="1" ref="E625" ca="1">INDEX('OD flujo mercancia multimodal'!E$45:E$1645,MATCH(C625&amp;D625,'OD flujo mercancia multimodal'!C$45:C$1645&amp;'OD flujo mercancia multimodal'!D$45:D$1645,0))</f>
        <v>63222.461538461539</v>
      </c>
      <c r="F625" s="11" cm="1">
        <f t="array" aca="1" ref="F625" ca="1">INDEX('OD flujo mercancia carretera'!E$45:E$1646,MATCH(C625&amp;D625,'OD flujo mercancia carretera'!C$45:C$1646&amp;'OD flujo mercancia carretera'!D$45:D$1646,0))</f>
        <v>498644.1</v>
      </c>
      <c r="G625" s="11" cm="1">
        <f t="array" aca="1" ref="G625" ca="1">INDEX('Coste Carretera'!E$46:E$1646,MATCH(C625&amp;D625,'Coste Carretera'!C$46:C$1646&amp;'Coste Carretera'!D$46:D$1646,0))</f>
        <v>2032111532.1599998</v>
      </c>
      <c r="H625" s="11" cm="1">
        <f t="array" aca="1" ref="H625" ca="1">INDEX('Coste multimodal'!E$46:E$1646,MATCH(C625&amp;D625,'Coste multimodal'!C$46:C$1646&amp;'Coste multimodal'!D$46:D$1646,0))</f>
        <v>990357025.45342827</v>
      </c>
      <c r="I625" s="12" cm="1">
        <f t="array" aca="1" ref="I625" ca="1">INDEX('Tiempos intermodal (horas)'!E$45:E$1645,MATCH(C625&amp;D625,'Tiempos intermodal (horas)'!C$45:C$1645&amp;'Tiempos intermodal (horas)'!D$45:D$1645,0))</f>
        <v>47.519051558394331</v>
      </c>
      <c r="J625" s="2" cm="1">
        <f t="array" aca="1" ref="J625" ca="1">INDEX('Tiempos carretera (horas)'!E$45:E$1645,MATCH(C625&amp;D625,'Tiempos carretera (horas)'!C$45:C$1645&amp;'Tiempos carretera (horas)'!D$45:D$1645,0))</f>
        <v>6.45</v>
      </c>
      <c r="K625" s="12">
        <f t="shared" ca="1" si="60"/>
        <v>4.0752743934200764</v>
      </c>
      <c r="L625" s="12">
        <f t="shared" ca="1" si="61"/>
        <v>15.66463882224741</v>
      </c>
      <c r="M625" s="12">
        <f t="shared" ca="1" si="62"/>
        <v>0.11252219987135463</v>
      </c>
      <c r="N625" s="13">
        <f t="shared" ca="1" si="58"/>
        <v>-11.589364428827334</v>
      </c>
      <c r="O625" s="13">
        <f t="shared" ca="1" si="59"/>
        <v>-41.069051558394328</v>
      </c>
      <c r="P625" s="12">
        <f t="shared" ca="1" si="63"/>
        <v>2.0652329727303043</v>
      </c>
    </row>
    <row r="626" spans="1:16" x14ac:dyDescent="0.25">
      <c r="A626">
        <v>27</v>
      </c>
      <c r="B626">
        <v>24</v>
      </c>
      <c r="C626" s="2" t="s">
        <v>145</v>
      </c>
      <c r="D626" s="2" t="s">
        <v>23</v>
      </c>
      <c r="E626" s="11" cm="1">
        <f t="array" aca="1" ref="E626" ca="1">INDEX('OD flujo mercancia multimodal'!E$45:E$1645,MATCH(C626&amp;D626,'OD flujo mercancia multimodal'!C$45:C$1645&amp;'OD flujo mercancia multimodal'!D$45:D$1645,0))</f>
        <v>40850.076923076922</v>
      </c>
      <c r="F626" s="11" cm="1">
        <f t="array" aca="1" ref="F626" ca="1">INDEX('OD flujo mercancia carretera'!E$45:E$1646,MATCH(C626&amp;D626,'OD flujo mercancia carretera'!C$45:C$1646&amp;'OD flujo mercancia carretera'!D$45:D$1646,0))</f>
        <v>487377.86666666664</v>
      </c>
      <c r="G626" s="11" cm="1">
        <f t="array" aca="1" ref="G626" ca="1">INDEX('Coste Carretera'!E$46:E$1646,MATCH(C626&amp;D626,'Coste Carretera'!C$46:C$1646&amp;'Coste Carretera'!D$46:D$1646,0))</f>
        <v>1313012976.4799998</v>
      </c>
      <c r="H626" s="11" cm="1">
        <f t="array" aca="1" ref="H626" ca="1">INDEX('Coste multimodal'!E$46:E$1646,MATCH(C626&amp;D626,'Coste multimodal'!C$46:C$1646&amp;'Coste multimodal'!D$46:D$1646,0))</f>
        <v>990357025.45342827</v>
      </c>
      <c r="I626" s="12" cm="1">
        <f t="array" aca="1" ref="I626" ca="1">INDEX('Tiempos intermodal (horas)'!E$45:E$1645,MATCH(C626&amp;D626,'Tiempos intermodal (horas)'!C$45:C$1645&amp;'Tiempos intermodal (horas)'!D$45:D$1645,0))</f>
        <v>47.519051558394331</v>
      </c>
      <c r="J626" s="2" cm="1">
        <f t="array" aca="1" ref="J626" ca="1">INDEX('Tiempos carretera (horas)'!E$45:E$1645,MATCH(C626&amp;D626,'Tiempos carretera (horas)'!C$45:C$1645&amp;'Tiempos carretera (horas)'!D$45:D$1645,0))</f>
        <v>6.45</v>
      </c>
      <c r="K626" s="12">
        <f t="shared" ca="1" si="60"/>
        <v>2.6940348880840981</v>
      </c>
      <c r="L626" s="12">
        <f t="shared" ca="1" si="61"/>
        <v>24.243700380744162</v>
      </c>
      <c r="M626" s="12">
        <f t="shared" ca="1" si="62"/>
        <v>7.7334183885591198E-2</v>
      </c>
      <c r="N626" s="13">
        <f t="shared" ca="1" si="58"/>
        <v>-21.549665492660065</v>
      </c>
      <c r="O626" s="13">
        <f t="shared" ca="1" si="59"/>
        <v>-41.069051558394328</v>
      </c>
      <c r="P626" s="12">
        <f t="shared" ca="1" si="63"/>
        <v>2.4791310247694129</v>
      </c>
    </row>
    <row r="627" spans="1:16" x14ac:dyDescent="0.25">
      <c r="A627">
        <v>38</v>
      </c>
      <c r="B627">
        <v>14</v>
      </c>
      <c r="C627" s="2" t="s">
        <v>37</v>
      </c>
      <c r="D627" s="2" t="s">
        <v>13</v>
      </c>
      <c r="E627" s="11" cm="1">
        <f t="array" aca="1" ref="E627" ca="1">INDEX('OD flujo mercancia multimodal'!E$45:E$1645,MATCH(C627&amp;D627,'OD flujo mercancia multimodal'!C$45:C$1645&amp;'OD flujo mercancia multimodal'!D$45:D$1645,0))</f>
        <v>23941.384615384599</v>
      </c>
      <c r="F627" s="11" cm="1">
        <f t="array" aca="1" ref="F627" ca="1">INDEX('OD flujo mercancia carretera'!E$45:E$1646,MATCH(C627&amp;D627,'OD flujo mercancia carretera'!C$45:C$1646&amp;'OD flujo mercancia carretera'!D$45:D$1646,0))</f>
        <v>175534.4615384613</v>
      </c>
      <c r="G627" s="11" cm="1">
        <f t="array" aca="1" ref="G627" ca="1">INDEX('Coste Carretera'!E$46:E$1646,MATCH(C627&amp;D627,'Coste Carretera'!C$46:C$1646&amp;'Coste Carretera'!D$46:D$1646,0))</f>
        <v>1590514023.599999</v>
      </c>
      <c r="H627" s="11" cm="1">
        <f t="array" aca="1" ref="H627" ca="1">INDEX('Coste multimodal'!E$46:E$1646,MATCH(C627&amp;D627,'Coste multimodal'!C$46:C$1646&amp;'Coste multimodal'!D$46:D$1646,0))</f>
        <v>65235608.595740393</v>
      </c>
      <c r="I627" s="12" cm="1">
        <f t="array" aca="1" ref="I627" ca="1">INDEX('Tiempos intermodal (horas)'!E$45:E$1645,MATCH(C627&amp;D627,'Tiempos intermodal (horas)'!C$45:C$1645&amp;'Tiempos intermodal (horas)'!D$45:D$1645,0))</f>
        <v>51.005199984163852</v>
      </c>
      <c r="J627" s="2" cm="1">
        <f t="array" aca="1" ref="J627" ca="1">INDEX('Tiempos carretera (horas)'!E$45:E$1645,MATCH(C627&amp;D627,'Tiempos carretera (horas)'!C$45:C$1645&amp;'Tiempos carretera (horas)'!D$45:D$1645,0))</f>
        <v>9.85</v>
      </c>
      <c r="K627" s="12">
        <f t="shared" ca="1" si="60"/>
        <v>9.0609787369387966</v>
      </c>
      <c r="L627" s="12">
        <f t="shared" ca="1" si="61"/>
        <v>2.7248051707844985</v>
      </c>
      <c r="M627" s="12">
        <f t="shared" ca="1" si="62"/>
        <v>0.12002147165687313</v>
      </c>
      <c r="N627" s="13">
        <f t="shared" ca="1" si="58"/>
        <v>6.3361735661542982</v>
      </c>
      <c r="O627" s="13">
        <f t="shared" ca="1" si="59"/>
        <v>-41.155199984163851</v>
      </c>
      <c r="P627" s="12">
        <f t="shared" ca="1" si="63"/>
        <v>1.992226850314653</v>
      </c>
    </row>
    <row r="628" spans="1:16" x14ac:dyDescent="0.25">
      <c r="A628">
        <v>14</v>
      </c>
      <c r="B628">
        <v>38</v>
      </c>
      <c r="C628" s="2" t="s">
        <v>13</v>
      </c>
      <c r="D628" s="2" t="s">
        <v>37</v>
      </c>
      <c r="E628" s="11" cm="1">
        <f t="array" aca="1" ref="E628" ca="1">INDEX('OD flujo mercancia multimodal'!E$45:E$1645,MATCH(C628&amp;D628,'OD flujo mercancia multimodal'!C$45:C$1645&amp;'OD flujo mercancia multimodal'!D$45:D$1645,0))</f>
        <v>11661.076923076924</v>
      </c>
      <c r="F628" s="11" cm="1">
        <f t="array" aca="1" ref="F628" ca="1">INDEX('OD flujo mercancia carretera'!E$45:E$1646,MATCH(C628&amp;D628,'OD flujo mercancia carretera'!C$45:C$1646&amp;'OD flujo mercancia carretera'!D$45:D$1646,0))</f>
        <v>111250</v>
      </c>
      <c r="G628" s="11" cm="1">
        <f t="array" aca="1" ref="G628" ca="1">INDEX('Coste Carretera'!E$46:E$1646,MATCH(C628&amp;D628,'Coste Carretera'!C$46:C$1646&amp;'Coste Carretera'!D$46:D$1646,0))</f>
        <v>1168934440.3200023</v>
      </c>
      <c r="H628" s="11" cm="1">
        <f t="array" aca="1" ref="H628" ca="1">INDEX('Coste multimodal'!E$46:E$1646,MATCH(C628&amp;D628,'Coste multimodal'!C$46:C$1646&amp;'Coste multimodal'!D$46:D$1646,0))</f>
        <v>65235608.595740393</v>
      </c>
      <c r="I628" s="12" cm="1">
        <f t="array" aca="1" ref="I628" ca="1">INDEX('Tiempos intermodal (horas)'!E$45:E$1645,MATCH(C628&amp;D628,'Tiempos intermodal (horas)'!C$45:C$1645&amp;'Tiempos intermodal (horas)'!D$45:D$1645,0))</f>
        <v>51.005199984163852</v>
      </c>
      <c r="J628" s="2" cm="1">
        <f t="array" aca="1" ref="J628" ca="1">INDEX('Tiempos carretera (horas)'!E$45:E$1645,MATCH(C628&amp;D628,'Tiempos carretera (horas)'!C$45:C$1645&amp;'Tiempos carretera (horas)'!D$45:D$1645,0))</f>
        <v>9.85</v>
      </c>
      <c r="K628" s="12">
        <f t="shared" ca="1" si="60"/>
        <v>10.507275868044964</v>
      </c>
      <c r="L628" s="12">
        <f t="shared" ca="1" si="61"/>
        <v>5.5943039417432425</v>
      </c>
      <c r="M628" s="12">
        <f t="shared" ca="1" si="62"/>
        <v>9.4874092840102051E-2</v>
      </c>
      <c r="N628" s="13">
        <f t="shared" ca="1" si="58"/>
        <v>4.9129719263017213</v>
      </c>
      <c r="O628" s="13">
        <f t="shared" ca="1" si="59"/>
        <v>-41.155199984163851</v>
      </c>
      <c r="P628" s="12">
        <f t="shared" ca="1" si="63"/>
        <v>2.2555233839192499</v>
      </c>
    </row>
    <row r="629" spans="1:16" x14ac:dyDescent="0.25">
      <c r="A629">
        <v>22</v>
      </c>
      <c r="B629">
        <v>27</v>
      </c>
      <c r="C629" s="2" t="s">
        <v>21</v>
      </c>
      <c r="D629" s="2" t="s">
        <v>145</v>
      </c>
      <c r="E629" s="11" cm="1">
        <f t="array" aca="1" ref="E629" ca="1">INDEX('OD flujo mercancia multimodal'!E$45:E$1645,MATCH(C629&amp;D629,'OD flujo mercancia multimodal'!C$45:C$1645&amp;'OD flujo mercancia multimodal'!D$45:D$1645,0))</f>
        <v>68148.538461538468</v>
      </c>
      <c r="F629" s="11" cm="1">
        <f t="array" aca="1" ref="F629" ca="1">INDEX('OD flujo mercancia carretera'!E$45:E$1646,MATCH(C629&amp;D629,'OD flujo mercancia carretera'!C$45:C$1646&amp;'OD flujo mercancia carretera'!D$45:D$1646,0))</f>
        <v>543722.7666666666</v>
      </c>
      <c r="G629" s="11" cm="1">
        <f t="array" aca="1" ref="G629" ca="1">INDEX('Coste Carretera'!E$46:E$1646,MATCH(C629&amp;D629,'Coste Carretera'!C$46:C$1646&amp;'Coste Carretera'!D$46:D$1646,0))</f>
        <v>930581922.39999998</v>
      </c>
      <c r="H629" s="11" cm="1">
        <f t="array" aca="1" ref="H629" ca="1">INDEX('Coste multimodal'!E$46:E$1646,MATCH(C629&amp;D629,'Coste multimodal'!C$46:C$1646&amp;'Coste multimodal'!D$46:D$1646,0))</f>
        <v>737020573.29744613</v>
      </c>
      <c r="I629" s="12" cm="1">
        <f t="array" aca="1" ref="I629" ca="1">INDEX('Tiempos intermodal (horas)'!E$45:E$1645,MATCH(C629&amp;D629,'Tiempos intermodal (horas)'!C$45:C$1645&amp;'Tiempos intermodal (horas)'!D$45:D$1645,0))</f>
        <v>48.125085021056208</v>
      </c>
      <c r="J629" s="2" cm="1">
        <f t="array" aca="1" ref="J629" ca="1">INDEX('Tiempos carretera (horas)'!E$45:E$1645,MATCH(C629&amp;D629,'Tiempos carretera (horas)'!C$45:C$1645&amp;'Tiempos carretera (horas)'!D$45:D$1645,0))</f>
        <v>2.96</v>
      </c>
      <c r="K629" s="12">
        <f t="shared" ca="1" si="60"/>
        <v>1.7115007490030305</v>
      </c>
      <c r="L629" s="12">
        <f t="shared" ca="1" si="61"/>
        <v>10.814913862215905</v>
      </c>
      <c r="M629" s="12">
        <f t="shared" ca="1" si="62"/>
        <v>0.11137724206115425</v>
      </c>
      <c r="N629" s="13">
        <f t="shared" ca="1" si="58"/>
        <v>-9.1034131132128735</v>
      </c>
      <c r="O629" s="13">
        <f t="shared" ca="1" si="59"/>
        <v>-45.165085021056207</v>
      </c>
      <c r="P629" s="12">
        <f t="shared" ca="1" si="63"/>
        <v>2.0767497848503962</v>
      </c>
    </row>
    <row r="630" spans="1:16" x14ac:dyDescent="0.25">
      <c r="A630">
        <v>27</v>
      </c>
      <c r="B630">
        <v>22</v>
      </c>
      <c r="C630" s="2" t="s">
        <v>145</v>
      </c>
      <c r="D630" s="2" t="s">
        <v>21</v>
      </c>
      <c r="E630" s="11" cm="1">
        <f t="array" aca="1" ref="E630" ca="1">INDEX('OD flujo mercancia multimodal'!E$45:E$1645,MATCH(C630&amp;D630,'OD flujo mercancia multimodal'!C$45:C$1645&amp;'OD flujo mercancia multimodal'!D$45:D$1645,0))</f>
        <v>55009.1538461538</v>
      </c>
      <c r="F630" s="11" cm="1">
        <f t="array" aca="1" ref="F630" ca="1">INDEX('OD flujo mercancia carretera'!E$45:E$1646,MATCH(C630&amp;D630,'OD flujo mercancia carretera'!C$45:C$1646&amp;'OD flujo mercancia carretera'!D$45:D$1646,0))</f>
        <v>546169.53333333298</v>
      </c>
      <c r="G630" s="11" cm="1">
        <f t="array" aca="1" ref="G630" ca="1">INDEX('Coste Carretera'!E$46:E$1646,MATCH(C630&amp;D630,'Coste Carretera'!C$46:C$1646&amp;'Coste Carretera'!D$46:D$1646,0))</f>
        <v>751160997.59999943</v>
      </c>
      <c r="H630" s="11" cm="1">
        <f t="array" aca="1" ref="H630" ca="1">INDEX('Coste multimodal'!E$46:E$1646,MATCH(C630&amp;D630,'Coste multimodal'!C$46:C$1646&amp;'Coste multimodal'!D$46:D$1646,0))</f>
        <v>737020573.29744613</v>
      </c>
      <c r="I630" s="12" cm="1">
        <f t="array" aca="1" ref="I630" ca="1">INDEX('Tiempos intermodal (horas)'!E$45:E$1645,MATCH(C630&amp;D630,'Tiempos intermodal (horas)'!C$45:C$1645&amp;'Tiempos intermodal (horas)'!D$45:D$1645,0))</f>
        <v>48.125085021056208</v>
      </c>
      <c r="J630" s="2" cm="1">
        <f t="array" aca="1" ref="J630" ca="1">INDEX('Tiempos carretera (horas)'!E$45:E$1645,MATCH(C630&amp;D630,'Tiempos carretera (horas)'!C$45:C$1645&amp;'Tiempos carretera (horas)'!D$45:D$1645,0))</f>
        <v>2.96</v>
      </c>
      <c r="K630" s="12">
        <f t="shared" ca="1" si="60"/>
        <v>1.375325703386604</v>
      </c>
      <c r="L630" s="12">
        <f t="shared" ca="1" si="61"/>
        <v>13.398144159037598</v>
      </c>
      <c r="M630" s="12">
        <f t="shared" ca="1" si="62"/>
        <v>9.1502169021055763E-2</v>
      </c>
      <c r="N630" s="13">
        <f t="shared" ca="1" si="58"/>
        <v>-12.022818455650993</v>
      </c>
      <c r="O630" s="13">
        <f t="shared" ca="1" si="59"/>
        <v>-45.165085021056207</v>
      </c>
      <c r="P630" s="12">
        <f t="shared" ca="1" si="63"/>
        <v>2.2954298232096924</v>
      </c>
    </row>
    <row r="631" spans="1:16" x14ac:dyDescent="0.25">
      <c r="A631">
        <v>14</v>
      </c>
      <c r="B631">
        <v>34</v>
      </c>
      <c r="C631" s="2" t="s">
        <v>13</v>
      </c>
      <c r="D631" s="2" t="s">
        <v>33</v>
      </c>
      <c r="E631" s="11" cm="1">
        <f t="array" aca="1" ref="E631" ca="1">INDEX('OD flujo mercancia multimodal'!E$45:E$1645,MATCH(C631&amp;D631,'OD flujo mercancia multimodal'!C$45:C$1645&amp;'OD flujo mercancia multimodal'!D$45:D$1645,0))</f>
        <v>308331.38461538492</v>
      </c>
      <c r="F631" s="11" cm="1">
        <f t="array" aca="1" ref="F631" ca="1">INDEX('OD flujo mercancia carretera'!E$45:E$1646,MATCH(C631&amp;D631,'OD flujo mercancia carretera'!C$45:C$1646&amp;'OD flujo mercancia carretera'!D$45:D$1646,0))</f>
        <v>371201.00427350437</v>
      </c>
      <c r="G631" s="11" cm="1">
        <f t="array" aca="1" ref="G631" ca="1">INDEX('Coste Carretera'!E$46:E$1646,MATCH(C631&amp;D631,'Coste Carretera'!C$46:C$1646&amp;'Coste Carretera'!D$46:D$1646,0))</f>
        <v>5464204046.1599979</v>
      </c>
      <c r="H631" s="11" cm="1">
        <f t="array" aca="1" ref="H631" ca="1">INDEX('Coste multimodal'!E$46:E$1646,MATCH(C631&amp;D631,'Coste multimodal'!C$46:C$1646&amp;'Coste multimodal'!D$46:D$1646,0))</f>
        <v>2783669476.7950244</v>
      </c>
      <c r="I631" s="12" cm="1">
        <f t="array" aca="1" ref="I631" ca="1">INDEX('Tiempos intermodal (horas)'!E$45:E$1645,MATCH(C631&amp;D631,'Tiempos intermodal (horas)'!C$45:C$1645&amp;'Tiempos intermodal (horas)'!D$45:D$1645,0))</f>
        <v>55.091878096846841</v>
      </c>
      <c r="J631" s="2" cm="1">
        <f t="array" aca="1" ref="J631" ca="1">INDEX('Tiempos carretera (horas)'!E$45:E$1645,MATCH(C631&amp;D631,'Tiempos carretera (horas)'!C$45:C$1645&amp;'Tiempos carretera (horas)'!D$45:D$1645,0))</f>
        <v>13.83</v>
      </c>
      <c r="K631" s="12">
        <f t="shared" ca="1" si="60"/>
        <v>14.720337453973915</v>
      </c>
      <c r="L631" s="12">
        <f t="shared" ca="1" si="61"/>
        <v>9.0281742816009345</v>
      </c>
      <c r="M631" s="12">
        <f t="shared" ca="1" si="62"/>
        <v>0.45374052754062377</v>
      </c>
      <c r="N631" s="13">
        <f t="shared" ca="1" si="58"/>
        <v>5.6921631723729806</v>
      </c>
      <c r="O631" s="13">
        <f t="shared" ca="1" si="59"/>
        <v>-41.261878096846843</v>
      </c>
      <c r="P631" s="12">
        <f t="shared" ca="1" si="63"/>
        <v>0.18556857772855212</v>
      </c>
    </row>
    <row r="632" spans="1:16" x14ac:dyDescent="0.25">
      <c r="A632">
        <v>34</v>
      </c>
      <c r="B632">
        <v>14</v>
      </c>
      <c r="C632" s="2" t="s">
        <v>33</v>
      </c>
      <c r="D632" s="2" t="s">
        <v>13</v>
      </c>
      <c r="E632" s="11" cm="1">
        <f t="array" aca="1" ref="E632" ca="1">INDEX('OD flujo mercancia multimodal'!E$45:E$1645,MATCH(C632&amp;D632,'OD flujo mercancia multimodal'!C$45:C$1645&amp;'OD flujo mercancia multimodal'!D$45:D$1645,0))</f>
        <v>148592.15384615384</v>
      </c>
      <c r="F632" s="11" cm="1">
        <f t="array" aca="1" ref="F632" ca="1">INDEX('OD flujo mercancia carretera'!E$45:E$1646,MATCH(C632&amp;D632,'OD flujo mercancia carretera'!C$45:C$1646&amp;'OD flujo mercancia carretera'!D$45:D$1646,0))</f>
        <v>444771.99572649552</v>
      </c>
      <c r="G632" s="11" cm="1">
        <f t="array" aca="1" ref="G632" ca="1">INDEX('Coste Carretera'!E$46:E$1646,MATCH(C632&amp;D632,'Coste Carretera'!C$46:C$1646&amp;'Coste Carretera'!D$46:D$1646,0))</f>
        <v>3902258268.4799991</v>
      </c>
      <c r="H632" s="11" cm="1">
        <f t="array" aca="1" ref="H632" ca="1">INDEX('Coste multimodal'!E$46:E$1646,MATCH(C632&amp;D632,'Coste multimodal'!C$46:C$1646&amp;'Coste multimodal'!D$46:D$1646,0))</f>
        <v>2783669476.7950244</v>
      </c>
      <c r="I632" s="12" cm="1">
        <f t="array" aca="1" ref="I632" ca="1">INDEX('Tiempos intermodal (horas)'!E$45:E$1645,MATCH(C632&amp;D632,'Tiempos intermodal (horas)'!C$45:C$1645&amp;'Tiempos intermodal (horas)'!D$45:D$1645,0))</f>
        <v>55.091878096846841</v>
      </c>
      <c r="J632" s="2" cm="1">
        <f t="array" aca="1" ref="J632" ca="1">INDEX('Tiempos carretera (horas)'!E$45:E$1645,MATCH(C632&amp;D632,'Tiempos carretera (horas)'!C$45:C$1645&amp;'Tiempos carretera (horas)'!D$45:D$1645,0))</f>
        <v>13.83</v>
      </c>
      <c r="K632" s="12">
        <f t="shared" ca="1" si="60"/>
        <v>8.7736150341615087</v>
      </c>
      <c r="L632" s="12">
        <f t="shared" ca="1" si="61"/>
        <v>18.733623577979227</v>
      </c>
      <c r="M632" s="12">
        <f t="shared" ca="1" si="62"/>
        <v>0.25042320799659423</v>
      </c>
      <c r="N632" s="13">
        <f t="shared" ca="1" si="58"/>
        <v>-9.9600085438177182</v>
      </c>
      <c r="O632" s="13">
        <f t="shared" ca="1" si="59"/>
        <v>-41.261878096846843</v>
      </c>
      <c r="P632" s="12">
        <f t="shared" ca="1" si="63"/>
        <v>1.0963564513136519</v>
      </c>
    </row>
    <row r="633" spans="1:16" x14ac:dyDescent="0.25">
      <c r="A633">
        <v>25</v>
      </c>
      <c r="B633">
        <v>27</v>
      </c>
      <c r="C633" s="2" t="s">
        <v>24</v>
      </c>
      <c r="D633" s="2" t="s">
        <v>145</v>
      </c>
      <c r="E633" s="11" cm="1">
        <f t="array" aca="1" ref="E633" ca="1">INDEX('OD flujo mercancia multimodal'!E$45:E$1645,MATCH(C633&amp;D633,'OD flujo mercancia multimodal'!C$45:C$1645&amp;'OD flujo mercancia multimodal'!D$45:D$1645,0))</f>
        <v>63184.307692307695</v>
      </c>
      <c r="F633" s="11" cm="1">
        <f t="array" aca="1" ref="F633" ca="1">INDEX('OD flujo mercancia carretera'!E$45:E$1646,MATCH(C633&amp;D633,'OD flujo mercancia carretera'!C$45:C$1646&amp;'OD flujo mercancia carretera'!D$45:D$1646,0))</f>
        <v>481598.43333333329</v>
      </c>
      <c r="G633" s="11" cm="1">
        <f t="array" aca="1" ref="G633" ca="1">INDEX('Coste Carretera'!E$46:E$1646,MATCH(C633&amp;D633,'Coste Carretera'!C$46:C$1646&amp;'Coste Carretera'!D$46:D$1646,0))</f>
        <v>1562985164.6400001</v>
      </c>
      <c r="H633" s="11" cm="1">
        <f t="array" aca="1" ref="H633" ca="1">INDEX('Coste multimodal'!E$46:E$1646,MATCH(C633&amp;D633,'Coste multimodal'!C$46:C$1646&amp;'Coste multimodal'!D$46:D$1646,0))</f>
        <v>965839059.31342816</v>
      </c>
      <c r="I633" s="12" cm="1">
        <f t="array" aca="1" ref="I633" ca="1">INDEX('Tiempos intermodal (horas)'!E$45:E$1645,MATCH(C633&amp;D633,'Tiempos intermodal (horas)'!C$45:C$1645&amp;'Tiempos intermodal (horas)'!D$45:D$1645,0))</f>
        <v>46.180162669505442</v>
      </c>
      <c r="J633" s="2" cm="1">
        <f t="array" aca="1" ref="J633" ca="1">INDEX('Tiempos carretera (horas)'!E$45:E$1645,MATCH(C633&amp;D633,'Tiempos carretera (horas)'!C$45:C$1645&amp;'Tiempos carretera (horas)'!D$45:D$1645,0))</f>
        <v>4.9000000000000004</v>
      </c>
      <c r="K633" s="12">
        <f t="shared" ca="1" si="60"/>
        <v>3.2454116468402137</v>
      </c>
      <c r="L633" s="12">
        <f t="shared" ca="1" si="61"/>
        <v>15.286059064171928</v>
      </c>
      <c r="M633" s="12">
        <f t="shared" ca="1" si="62"/>
        <v>0.11598074412811443</v>
      </c>
      <c r="N633" s="13">
        <f t="shared" ca="1" si="58"/>
        <v>-12.040647417331714</v>
      </c>
      <c r="O633" s="13">
        <f t="shared" ca="1" si="59"/>
        <v>-41.280162669505444</v>
      </c>
      <c r="P633" s="12">
        <f t="shared" ca="1" si="63"/>
        <v>2.0310546666294509</v>
      </c>
    </row>
    <row r="634" spans="1:16" x14ac:dyDescent="0.25">
      <c r="A634">
        <v>27</v>
      </c>
      <c r="B634">
        <v>25</v>
      </c>
      <c r="C634" s="2" t="s">
        <v>145</v>
      </c>
      <c r="D634" s="2" t="s">
        <v>24</v>
      </c>
      <c r="E634" s="11" cm="1">
        <f t="array" aca="1" ref="E634" ca="1">INDEX('OD flujo mercancia multimodal'!E$45:E$1645,MATCH(C634&amp;D634,'OD flujo mercancia multimodal'!C$45:C$1645&amp;'OD flujo mercancia multimodal'!D$45:D$1645,0))</f>
        <v>38454.692307692312</v>
      </c>
      <c r="F634" s="11" cm="1">
        <f t="array" aca="1" ref="F634" ca="1">INDEX('OD flujo mercancia carretera'!E$45:E$1646,MATCH(C634&amp;D634,'OD flujo mercancia carretera'!C$45:C$1646&amp;'OD flujo mercancia carretera'!D$45:D$1646,0))</f>
        <v>480325.53333333327</v>
      </c>
      <c r="G634" s="11" cm="1">
        <f t="array" aca="1" ref="G634" ca="1">INDEX('Coste Carretera'!E$46:E$1646,MATCH(C634&amp;D634,'Coste Carretera'!C$46:C$1646&amp;'Coste Carretera'!D$46:D$1646,0))</f>
        <v>951250647.24000013</v>
      </c>
      <c r="H634" s="11" cm="1">
        <f t="array" aca="1" ref="H634" ca="1">INDEX('Coste multimodal'!E$46:E$1646,MATCH(C634&amp;D634,'Coste multimodal'!C$46:C$1646&amp;'Coste multimodal'!D$46:D$1646,0))</f>
        <v>965839059.31342816</v>
      </c>
      <c r="I634" s="12" cm="1">
        <f t="array" aca="1" ref="I634" ca="1">INDEX('Tiempos intermodal (horas)'!E$45:E$1645,MATCH(C634&amp;D634,'Tiempos intermodal (horas)'!C$45:C$1645&amp;'Tiempos intermodal (horas)'!D$45:D$1645,0))</f>
        <v>46.180162669505442</v>
      </c>
      <c r="J634" s="2" cm="1">
        <f t="array" aca="1" ref="J634" ca="1">INDEX('Tiempos carretera (horas)'!E$45:E$1645,MATCH(C634&amp;D634,'Tiempos carretera (horas)'!C$45:C$1645&amp;'Tiempos carretera (horas)'!D$45:D$1645,0))</f>
        <v>4.9000000000000004</v>
      </c>
      <c r="K634" s="12">
        <f t="shared" ca="1" si="60"/>
        <v>1.9804290657599859</v>
      </c>
      <c r="L634" s="12">
        <f t="shared" ca="1" si="61"/>
        <v>25.116286241100045</v>
      </c>
      <c r="M634" s="12">
        <f t="shared" ca="1" si="62"/>
        <v>7.4125208338803122E-2</v>
      </c>
      <c r="N634" s="13">
        <f t="shared" ca="1" si="58"/>
        <v>-23.13585717534006</v>
      </c>
      <c r="O634" s="13">
        <f t="shared" ca="1" si="59"/>
        <v>-41.280162669505444</v>
      </c>
      <c r="P634" s="12">
        <f t="shared" ca="1" si="63"/>
        <v>2.5249833433596787</v>
      </c>
    </row>
    <row r="635" spans="1:16" x14ac:dyDescent="0.25">
      <c r="A635">
        <v>3</v>
      </c>
      <c r="B635">
        <v>29</v>
      </c>
      <c r="C635" s="2" t="s">
        <v>2</v>
      </c>
      <c r="D635" s="2" t="s">
        <v>147</v>
      </c>
      <c r="E635" s="11" cm="1">
        <f t="array" aca="1" ref="E635" ca="1">INDEX('OD flujo mercancia multimodal'!E$45:E$1645,MATCH(C635&amp;D635,'OD flujo mercancia multimodal'!C$45:C$1645&amp;'OD flujo mercancia multimodal'!D$45:D$1645,0))</f>
        <v>51525.87142857143</v>
      </c>
      <c r="F635" s="11" cm="1">
        <f t="array" aca="1" ref="F635" ca="1">INDEX('OD flujo mercancia carretera'!E$45:E$1646,MATCH(C635&amp;D635,'OD flujo mercancia carretera'!C$45:C$1646&amp;'OD flujo mercancia carretera'!D$45:D$1646,0))</f>
        <v>398889.16923076927</v>
      </c>
      <c r="G635" s="11" cm="1">
        <f t="array" aca="1" ref="G635" ca="1">INDEX('Coste Carretera'!E$46:E$1646,MATCH(C635&amp;D635,'Coste Carretera'!C$46:C$1646&amp;'Coste Carretera'!D$46:D$1646,0))</f>
        <v>1296240469.5982859</v>
      </c>
      <c r="H635" s="11" cm="1">
        <f t="array" aca="1" ref="H635" ca="1">INDEX('Coste multimodal'!E$46:E$1646,MATCH(C635&amp;D635,'Coste multimodal'!C$46:C$1646&amp;'Coste multimodal'!D$46:D$1646,0))</f>
        <v>834567943.79361737</v>
      </c>
      <c r="I635" s="12" cm="1">
        <f t="array" aca="1" ref="I635" ca="1">INDEX('Tiempos intermodal (horas)'!E$45:E$1645,MATCH(C635&amp;D635,'Tiempos intermodal (horas)'!C$45:C$1645&amp;'Tiempos intermodal (horas)'!D$45:D$1645,0))</f>
        <v>25.326789087427269</v>
      </c>
      <c r="J635" s="2" cm="1">
        <f t="array" aca="1" ref="J635" ca="1">INDEX('Tiempos carretera (horas)'!E$45:E$1645,MATCH(C635&amp;D635,'Tiempos carretera (horas)'!C$45:C$1645&amp;'Tiempos carretera (horas)'!D$45:D$1645,0))</f>
        <v>5.15</v>
      </c>
      <c r="K635" s="12">
        <f t="shared" ca="1" si="60"/>
        <v>3.2496256343535168</v>
      </c>
      <c r="L635" s="12">
        <f t="shared" ca="1" si="61"/>
        <v>16.197066069043597</v>
      </c>
      <c r="M635" s="12">
        <f t="shared" ca="1" si="62"/>
        <v>0.11439642724440377</v>
      </c>
      <c r="N635" s="13">
        <f t="shared" ca="1" si="58"/>
        <v>-12.94744043469008</v>
      </c>
      <c r="O635" s="13">
        <f t="shared" ca="1" si="59"/>
        <v>-20.176789087427267</v>
      </c>
      <c r="P635" s="12">
        <f t="shared" ca="1" si="63"/>
        <v>2.0465995675862265</v>
      </c>
    </row>
    <row r="636" spans="1:16" x14ac:dyDescent="0.25">
      <c r="A636">
        <v>40</v>
      </c>
      <c r="B636">
        <v>14</v>
      </c>
      <c r="C636" s="2" t="s">
        <v>39</v>
      </c>
      <c r="D636" s="2" t="s">
        <v>13</v>
      </c>
      <c r="E636" s="11" cm="1">
        <f t="array" aca="1" ref="E636" ca="1">INDEX('OD flujo mercancia multimodal'!E$45:E$1645,MATCH(C636&amp;D636,'OD flujo mercancia multimodal'!C$45:C$1645&amp;'OD flujo mercancia multimodal'!D$45:D$1645,0))</f>
        <v>26622.307692307677</v>
      </c>
      <c r="F636" s="11" cm="1">
        <f t="array" aca="1" ref="F636" ca="1">INDEX('OD flujo mercancia carretera'!E$45:E$1646,MATCH(C636&amp;D636,'OD flujo mercancia carretera'!C$45:C$1646&amp;'OD flujo mercancia carretera'!D$45:D$1646,0))</f>
        <v>269817.28205128183</v>
      </c>
      <c r="G636" s="11" cm="1">
        <f t="array" aca="1" ref="G636" ca="1">INDEX('Coste Carretera'!E$46:E$1646,MATCH(C636&amp;D636,'Coste Carretera'!C$46:C$1646&amp;'Coste Carretera'!D$46:D$1646,0))</f>
        <v>788390753.03999937</v>
      </c>
      <c r="H636" s="11" cm="1">
        <f t="array" aca="1" ref="H636" ca="1">INDEX('Coste multimodal'!E$46:E$1646,MATCH(C636&amp;D636,'Coste multimodal'!C$46:C$1646&amp;'Coste multimodal'!D$46:D$1646,0))</f>
        <v>119315759.44726355</v>
      </c>
      <c r="I636" s="12" cm="1">
        <f t="array" aca="1" ref="I636" ca="1">INDEX('Tiempos intermodal (horas)'!E$45:E$1645,MATCH(C636&amp;D636,'Tiempos intermodal (horas)'!C$45:C$1645&amp;'Tiempos intermodal (horas)'!D$45:D$1645,0))</f>
        <v>40.025083963846654</v>
      </c>
      <c r="J636" s="2" cm="1">
        <f t="array" aca="1" ref="J636" ca="1">INDEX('Tiempos carretera (horas)'!E$45:E$1645,MATCH(C636&amp;D636,'Tiempos carretera (horas)'!C$45:C$1645&amp;'Tiempos carretera (horas)'!D$45:D$1645,0))</f>
        <v>6.2</v>
      </c>
      <c r="K636" s="12">
        <f t="shared" ca="1" si="60"/>
        <v>2.9219431277576833</v>
      </c>
      <c r="L636" s="12">
        <f t="shared" ca="1" si="61"/>
        <v>4.4817962749990672</v>
      </c>
      <c r="M636" s="12">
        <f t="shared" ca="1" si="62"/>
        <v>8.9806856484098821E-2</v>
      </c>
      <c r="N636" s="13">
        <f t="shared" ca="1" si="58"/>
        <v>-1.5598531472413839</v>
      </c>
      <c r="O636" s="13">
        <f t="shared" ca="1" si="59"/>
        <v>-33.825083963846652</v>
      </c>
      <c r="P636" s="12">
        <f t="shared" ca="1" si="63"/>
        <v>2.3159954973888164</v>
      </c>
    </row>
    <row r="637" spans="1:16" x14ac:dyDescent="0.25">
      <c r="A637">
        <v>14</v>
      </c>
      <c r="B637">
        <v>40</v>
      </c>
      <c r="C637" s="2" t="s">
        <v>13</v>
      </c>
      <c r="D637" s="2" t="s">
        <v>39</v>
      </c>
      <c r="E637" s="11" cm="1">
        <f t="array" aca="1" ref="E637" ca="1">INDEX('OD flujo mercancia multimodal'!E$45:E$1645,MATCH(C637&amp;D637,'OD flujo mercancia multimodal'!C$45:C$1645&amp;'OD flujo mercancia multimodal'!D$45:D$1645,0))</f>
        <v>21277.846153846156</v>
      </c>
      <c r="F637" s="11" cm="1">
        <f t="array" aca="1" ref="F637" ca="1">INDEX('OD flujo mercancia carretera'!E$45:E$1646,MATCH(C637&amp;D637,'OD flujo mercancia carretera'!C$45:C$1646&amp;'OD flujo mercancia carretera'!D$45:D$1646,0))</f>
        <v>176739.75824175827</v>
      </c>
      <c r="G637" s="11" cm="1">
        <f t="array" aca="1" ref="G637" ca="1">INDEX('Coste Carretera'!E$46:E$1646,MATCH(C637&amp;D637,'Coste Carretera'!C$46:C$1646&amp;'Coste Carretera'!D$46:D$1646,0))</f>
        <v>647583853.32000005</v>
      </c>
      <c r="H637" s="11" cm="1">
        <f t="array" aca="1" ref="H637" ca="1">INDEX('Coste multimodal'!E$46:E$1646,MATCH(C637&amp;D637,'Coste multimodal'!C$46:C$1646&amp;'Coste multimodal'!D$46:D$1646,0))</f>
        <v>119116303.3455506</v>
      </c>
      <c r="I637" s="12" cm="1">
        <f t="array" aca="1" ref="I637" ca="1">INDEX('Tiempos intermodal (horas)'!E$45:E$1645,MATCH(C637&amp;D637,'Tiempos intermodal (horas)'!C$45:C$1645&amp;'Tiempos intermodal (horas)'!D$45:D$1645,0))</f>
        <v>53.790579519754125</v>
      </c>
      <c r="J637" s="2" cm="1">
        <f t="array" aca="1" ref="J637" ca="1">INDEX('Tiempos carretera (horas)'!E$45:E$1645,MATCH(C637&amp;D637,'Tiempos carretera (horas)'!C$45:C$1645&amp;'Tiempos carretera (horas)'!D$45:D$1645,0))</f>
        <v>8.1300000000000008</v>
      </c>
      <c r="K637" s="12">
        <f t="shared" ca="1" si="60"/>
        <v>3.664053067415566</v>
      </c>
      <c r="L637" s="12">
        <f t="shared" ca="1" si="61"/>
        <v>5.5981372590204241</v>
      </c>
      <c r="M637" s="12">
        <f t="shared" ca="1" si="62"/>
        <v>0.10745431558366272</v>
      </c>
      <c r="N637" s="13">
        <f t="shared" ca="1" si="58"/>
        <v>-1.9340841916048581</v>
      </c>
      <c r="O637" s="13">
        <f t="shared" ca="1" si="59"/>
        <v>-45.660579519754123</v>
      </c>
      <c r="P637" s="12">
        <f t="shared" ca="1" si="63"/>
        <v>2.117011913437838</v>
      </c>
    </row>
    <row r="638" spans="1:16" x14ac:dyDescent="0.25">
      <c r="A638">
        <v>36</v>
      </c>
      <c r="B638">
        <v>29</v>
      </c>
      <c r="C638" s="2" t="s">
        <v>35</v>
      </c>
      <c r="D638" s="2" t="s">
        <v>147</v>
      </c>
      <c r="E638" s="11" cm="1">
        <f t="array" aca="1" ref="E638" ca="1">INDEX('OD flujo mercancia multimodal'!E$45:E$1645,MATCH(C638&amp;D638,'OD flujo mercancia multimodal'!C$45:C$1645&amp;'OD flujo mercancia multimodal'!D$45:D$1645,0))</f>
        <v>38656.530769230769</v>
      </c>
      <c r="F638" s="11" cm="1">
        <f t="array" aca="1" ref="F638" ca="1">INDEX('OD flujo mercancia carretera'!E$45:E$1646,MATCH(C638&amp;D638,'OD flujo mercancia carretera'!C$45:C$1646&amp;'OD flujo mercancia carretera'!D$45:D$1646,0))</f>
        <v>453967.32307692309</v>
      </c>
      <c r="G638" s="11" cm="1">
        <f t="array" aca="1" ref="G638" ca="1">INDEX('Coste Carretera'!E$46:E$1646,MATCH(C638&amp;D638,'Coste Carretera'!C$46:C$1646&amp;'Coste Carretera'!D$46:D$1646,0))</f>
        <v>1553592876.0839999</v>
      </c>
      <c r="H638" s="11" cm="1">
        <f t="array" aca="1" ref="H638" ca="1">INDEX('Coste multimodal'!E$46:E$1646,MATCH(C638&amp;D638,'Coste multimodal'!C$46:C$1646&amp;'Coste multimodal'!D$46:D$1646,0))</f>
        <v>4274125390.2860737</v>
      </c>
      <c r="I638" s="12" cm="1">
        <f t="array" aca="1" ref="I638" ca="1">INDEX('Tiempos intermodal (horas)'!E$45:E$1645,MATCH(C638&amp;D638,'Tiempos intermodal (horas)'!C$45:C$1645&amp;'Tiempos intermodal (horas)'!D$45:D$1645,0))</f>
        <v>68.848642773757419</v>
      </c>
      <c r="J638" s="2" cm="1">
        <f t="array" aca="1" ref="J638" ca="1">INDEX('Tiempos carretera (horas)'!E$45:E$1645,MATCH(C638&amp;D638,'Tiempos carretera (horas)'!C$45:C$1645&amp;'Tiempos carretera (horas)'!D$45:D$1645,0))</f>
        <v>6.92</v>
      </c>
      <c r="K638" s="12">
        <f t="shared" ca="1" si="60"/>
        <v>3.4222570592834263</v>
      </c>
      <c r="L638" s="12">
        <f t="shared" ca="1" si="61"/>
        <v>110.56670904591692</v>
      </c>
      <c r="M638" s="12">
        <f t="shared" ca="1" si="62"/>
        <v>7.8470684006510139E-2</v>
      </c>
      <c r="N638" s="13">
        <f t="shared" ca="1" si="58"/>
        <v>-107.1444519866335</v>
      </c>
      <c r="O638" s="13">
        <f t="shared" ca="1" si="59"/>
        <v>-61.928642773757417</v>
      </c>
      <c r="P638" s="12">
        <f t="shared" ca="1" si="63"/>
        <v>2.463309487053206</v>
      </c>
    </row>
    <row r="639" spans="1:16" x14ac:dyDescent="0.25">
      <c r="A639">
        <v>29</v>
      </c>
      <c r="B639">
        <v>36</v>
      </c>
      <c r="C639" s="2" t="s">
        <v>147</v>
      </c>
      <c r="D639" s="2" t="s">
        <v>35</v>
      </c>
      <c r="E639" s="11" cm="1">
        <f t="array" aca="1" ref="E639" ca="1">INDEX('OD flujo mercancia multimodal'!E$45:E$1645,MATCH(C639&amp;D639,'OD flujo mercancia multimodal'!C$45:C$1645&amp;'OD flujo mercancia multimodal'!D$45:D$1645,0))</f>
        <v>26997.646153846148</v>
      </c>
      <c r="F639" s="11" cm="1">
        <f t="array" aca="1" ref="F639" ca="1">INDEX('OD flujo mercancia carretera'!E$45:E$1646,MATCH(C639&amp;D639,'OD flujo mercancia carretera'!C$45:C$1646&amp;'OD flujo mercancia carretera'!D$45:D$1646,0))</f>
        <v>454022.0230769231</v>
      </c>
      <c r="G639" s="11" cm="1">
        <f t="array" aca="1" ref="G639" ca="1">INDEX('Coste Carretera'!E$46:E$1646,MATCH(C639&amp;D639,'Coste Carretera'!C$46:C$1646&amp;'Coste Carretera'!D$46:D$1646,0))</f>
        <v>1556304804.8640003</v>
      </c>
      <c r="H639" s="11" cm="1">
        <f t="array" aca="1" ref="H639" ca="1">INDEX('Coste multimodal'!E$46:E$1646,MATCH(C639&amp;D639,'Coste multimodal'!C$46:C$1646&amp;'Coste multimodal'!D$46:D$1646,0))</f>
        <v>4274125390.2860737</v>
      </c>
      <c r="I639" s="12" cm="1">
        <f t="array" aca="1" ref="I639" ca="1">INDEX('Tiempos intermodal (horas)'!E$45:E$1645,MATCH(C639&amp;D639,'Tiempos intermodal (horas)'!C$45:C$1645&amp;'Tiempos intermodal (horas)'!D$45:D$1645,0))</f>
        <v>68.848642773757419</v>
      </c>
      <c r="J639" s="2" cm="1">
        <f t="array" aca="1" ref="J639" ca="1">INDEX('Tiempos carretera (horas)'!E$45:E$1645,MATCH(C639&amp;D639,'Tiempos carretera (horas)'!C$45:C$1645&amp;'Tiempos carretera (horas)'!D$45:D$1645,0))</f>
        <v>6.92</v>
      </c>
      <c r="K639" s="12">
        <f t="shared" ca="1" si="60"/>
        <v>3.4278178717342134</v>
      </c>
      <c r="L639" s="12">
        <f t="shared" ca="1" si="61"/>
        <v>158.31474217900185</v>
      </c>
      <c r="M639" s="12">
        <f t="shared" ca="1" si="62"/>
        <v>5.6125867362180615E-2</v>
      </c>
      <c r="N639" s="13">
        <f t="shared" ca="1" si="58"/>
        <v>-154.88692430726763</v>
      </c>
      <c r="O639" s="13">
        <f t="shared" ca="1" si="59"/>
        <v>-61.928642773757417</v>
      </c>
      <c r="P639" s="12">
        <f t="shared" ca="1" si="63"/>
        <v>2.8223960231280354</v>
      </c>
    </row>
    <row r="640" spans="1:16" x14ac:dyDescent="0.25">
      <c r="A640">
        <v>30</v>
      </c>
      <c r="B640">
        <v>27</v>
      </c>
      <c r="C640" s="2" t="s">
        <v>146</v>
      </c>
      <c r="D640" s="2" t="s">
        <v>145</v>
      </c>
      <c r="E640" s="11" cm="1">
        <f t="array" aca="1" ref="E640" ca="1">INDEX('OD flujo mercancia multimodal'!E$45:E$1645,MATCH(C640&amp;D640,'OD flujo mercancia multimodal'!C$45:C$1645&amp;'OD flujo mercancia multimodal'!D$45:D$1645,0))</f>
        <v>61319.307692307695</v>
      </c>
      <c r="F640" s="11" cm="1">
        <f t="array" aca="1" ref="F640" ca="1">INDEX('OD flujo mercancia carretera'!E$45:E$1646,MATCH(C640&amp;D640,'OD flujo mercancia carretera'!C$45:C$1646&amp;'OD flujo mercancia carretera'!D$45:D$1646,0))</f>
        <v>641360.9</v>
      </c>
      <c r="G640" s="11" cm="1">
        <f t="array" aca="1" ref="G640" ca="1">INDEX('Coste Carretera'!E$46:E$1646,MATCH(C640&amp;D640,'Coste Carretera'!C$46:C$1646&amp;'Coste Carretera'!D$46:D$1646,0))</f>
        <v>2052024754.78</v>
      </c>
      <c r="H640" s="11" cm="1">
        <f t="array" aca="1" ref="H640" ca="1">INDEX('Coste multimodal'!E$46:E$1646,MATCH(C640&amp;D640,'Coste multimodal'!C$46:C$1646&amp;'Coste multimodal'!D$46:D$1646,0))</f>
        <v>378535879.54542828</v>
      </c>
      <c r="I640" s="12" cm="1">
        <f t="array" aca="1" ref="I640" ca="1">INDEX('Tiempos intermodal (horas)'!E$45:E$1645,MATCH(C640&amp;D640,'Tiempos intermodal (horas)'!C$45:C$1645&amp;'Tiempos intermodal (horas)'!D$45:D$1645,0))</f>
        <v>46.707940447283221</v>
      </c>
      <c r="J640" s="2" cm="1">
        <f t="array" aca="1" ref="J640" ca="1">INDEX('Tiempos carretera (horas)'!E$45:E$1645,MATCH(C640&amp;D640,'Tiempos carretera (horas)'!C$45:C$1645&amp;'Tiempos carretera (horas)'!D$45:D$1645,0))</f>
        <v>5.38</v>
      </c>
      <c r="K640" s="12">
        <f t="shared" ca="1" si="60"/>
        <v>3.1994852738606299</v>
      </c>
      <c r="L640" s="12">
        <f t="shared" ca="1" si="61"/>
        <v>6.1731923237762576</v>
      </c>
      <c r="M640" s="12">
        <f t="shared" ca="1" si="62"/>
        <v>8.7264885250842902E-2</v>
      </c>
      <c r="N640" s="13">
        <f t="shared" ref="N640:N703" ca="1" si="64">K640-L640</f>
        <v>-2.9737070499156277</v>
      </c>
      <c r="O640" s="13">
        <f t="shared" ref="O640:O703" ca="1" si="65">J640-I640</f>
        <v>-41.327940447283218</v>
      </c>
      <c r="P640" s="12">
        <f t="shared" ca="1" si="63"/>
        <v>2.3474975611416702</v>
      </c>
    </row>
    <row r="641" spans="1:16" x14ac:dyDescent="0.25">
      <c r="A641">
        <v>27</v>
      </c>
      <c r="B641">
        <v>30</v>
      </c>
      <c r="C641" s="2" t="s">
        <v>145</v>
      </c>
      <c r="D641" s="2" t="s">
        <v>146</v>
      </c>
      <c r="E641" s="11" cm="1">
        <f t="array" aca="1" ref="E641" ca="1">INDEX('OD flujo mercancia multimodal'!E$45:E$1645,MATCH(C641&amp;D641,'OD flujo mercancia multimodal'!C$45:C$1645&amp;'OD flujo mercancia multimodal'!D$45:D$1645,0))</f>
        <v>41020.300000000003</v>
      </c>
      <c r="F641" s="11" cm="1">
        <f t="array" aca="1" ref="F641" ca="1">INDEX('OD flujo mercancia carretera'!E$45:E$1646,MATCH(C641&amp;D641,'OD flujo mercancia carretera'!C$45:C$1646&amp;'OD flujo mercancia carretera'!D$45:D$1646,0))</f>
        <v>649260.29999999993</v>
      </c>
      <c r="G641" s="11" cm="1">
        <f t="array" aca="1" ref="G641" ca="1">INDEX('Coste Carretera'!E$46:E$1646,MATCH(C641&amp;D641,'Coste Carretera'!C$46:C$1646&amp;'Coste Carretera'!D$46:D$1646,0))</f>
        <v>1864397474.9400001</v>
      </c>
      <c r="H641" s="11" cm="1">
        <f t="array" aca="1" ref="H641" ca="1">INDEX('Coste multimodal'!E$46:E$1646,MATCH(C641&amp;D641,'Coste multimodal'!C$46:C$1646&amp;'Coste multimodal'!D$46:D$1646,0))</f>
        <v>378535879.54542828</v>
      </c>
      <c r="I641" s="12" cm="1">
        <f t="array" aca="1" ref="I641" ca="1">INDEX('Tiempos intermodal (horas)'!E$45:E$1645,MATCH(C641&amp;D641,'Tiempos intermodal (horas)'!C$45:C$1645&amp;'Tiempos intermodal (horas)'!D$45:D$1645,0))</f>
        <v>46.707940447283221</v>
      </c>
      <c r="J641" s="2" cm="1">
        <f t="array" aca="1" ref="J641" ca="1">INDEX('Tiempos carretera (horas)'!E$45:E$1645,MATCH(C641&amp;D641,'Tiempos carretera (horas)'!C$45:C$1645&amp;'Tiempos carretera (horas)'!D$45:D$1645,0))</f>
        <v>5.38</v>
      </c>
      <c r="K641" s="12">
        <f t="shared" ca="1" si="60"/>
        <v>2.8715716561446931</v>
      </c>
      <c r="L641" s="12">
        <f t="shared" ca="1" si="61"/>
        <v>9.2280134359190029</v>
      </c>
      <c r="M641" s="12">
        <f t="shared" ca="1" si="62"/>
        <v>5.9425543757132972E-2</v>
      </c>
      <c r="N641" s="13">
        <f t="shared" ca="1" si="64"/>
        <v>-6.3564417797743094</v>
      </c>
      <c r="O641" s="13">
        <f t="shared" ca="1" si="65"/>
        <v>-41.327940447283218</v>
      </c>
      <c r="P641" s="12">
        <f t="shared" ca="1" si="63"/>
        <v>2.761766648752912</v>
      </c>
    </row>
    <row r="642" spans="1:16" x14ac:dyDescent="0.25">
      <c r="A642">
        <v>9</v>
      </c>
      <c r="B642">
        <v>29</v>
      </c>
      <c r="C642" s="2" t="s">
        <v>148</v>
      </c>
      <c r="D642" s="2" t="s">
        <v>147</v>
      </c>
      <c r="E642" s="11" cm="1">
        <f t="array" aca="1" ref="E642" ca="1">INDEX('OD flujo mercancia multimodal'!E$45:E$1645,MATCH(C642&amp;D642,'OD flujo mercancia multimodal'!C$45:C$1645&amp;'OD flujo mercancia multimodal'!D$45:D$1645,0))</f>
        <v>37465.800000000003</v>
      </c>
      <c r="F642" s="11" cm="1">
        <f t="array" aca="1" ref="F642" ca="1">INDEX('OD flujo mercancia carretera'!E$45:E$1646,MATCH(C642&amp;D642,'OD flujo mercancia carretera'!C$45:C$1646&amp;'OD flujo mercancia carretera'!D$45:D$1646,0))</f>
        <v>936516.69700854714</v>
      </c>
      <c r="G642" s="11" cm="1">
        <f t="array" aca="1" ref="G642" ca="1">INDEX('Coste Carretera'!E$46:E$1646,MATCH(C642&amp;D642,'Coste Carretera'!C$46:C$1646&amp;'Coste Carretera'!D$46:D$1646,0))</f>
        <v>1536776680.296</v>
      </c>
      <c r="H642" s="11" cm="1">
        <f t="array" aca="1" ref="H642" ca="1">INDEX('Coste multimodal'!E$46:E$1646,MATCH(C642&amp;D642,'Coste multimodal'!C$46:C$1646&amp;'Coste multimodal'!D$46:D$1646,0))</f>
        <v>4661900207.7140741</v>
      </c>
      <c r="I642" s="12" cm="1">
        <f t="array" aca="1" ref="I642" ca="1">INDEX('Tiempos intermodal (horas)'!E$45:E$1645,MATCH(C642&amp;D642,'Tiempos intermodal (horas)'!C$45:C$1645&amp;'Tiempos intermodal (horas)'!D$45:D$1645,0))</f>
        <v>70.689753884868523</v>
      </c>
      <c r="J642" s="2" cm="1">
        <f t="array" aca="1" ref="J642" ca="1">INDEX('Tiempos carretera (horas)'!E$45:E$1645,MATCH(C642&amp;D642,'Tiempos carretera (horas)'!C$45:C$1645&amp;'Tiempos carretera (horas)'!D$45:D$1645,0))</f>
        <v>8.7200000000000006</v>
      </c>
      <c r="K642" s="12">
        <f t="shared" ca="1" si="60"/>
        <v>1.6409495796549312</v>
      </c>
      <c r="L642" s="12">
        <f t="shared" ca="1" si="61"/>
        <v>124.43081978001469</v>
      </c>
      <c r="M642" s="12">
        <f t="shared" ca="1" si="62"/>
        <v>3.8466605010943254E-2</v>
      </c>
      <c r="N642" s="13">
        <f t="shared" ca="1" si="64"/>
        <v>-122.78987020035976</v>
      </c>
      <c r="O642" s="13">
        <f t="shared" ca="1" si="65"/>
        <v>-61.969753884868524</v>
      </c>
      <c r="P642" s="12">
        <f t="shared" ca="1" si="63"/>
        <v>3.218738834034085</v>
      </c>
    </row>
    <row r="643" spans="1:16" x14ac:dyDescent="0.25">
      <c r="A643">
        <v>29</v>
      </c>
      <c r="B643">
        <v>9</v>
      </c>
      <c r="C643" s="2" t="s">
        <v>147</v>
      </c>
      <c r="D643" s="2" t="s">
        <v>148</v>
      </c>
      <c r="E643" s="11" cm="1">
        <f t="array" aca="1" ref="E643" ca="1">INDEX('OD flujo mercancia multimodal'!E$45:E$1645,MATCH(C643&amp;D643,'OD flujo mercancia multimodal'!C$45:C$1645&amp;'OD flujo mercancia multimodal'!D$45:D$1645,0))</f>
        <v>23875.254545454543</v>
      </c>
      <c r="F643" s="11" cm="1">
        <f t="array" aca="1" ref="F643" ca="1">INDEX('OD flujo mercancia carretera'!E$45:E$1646,MATCH(C643&amp;D643,'OD flujo mercancia carretera'!C$45:C$1646&amp;'OD flujo mercancia carretera'!D$45:D$1646,0))</f>
        <v>932828.72179487196</v>
      </c>
      <c r="G643" s="11" cm="1">
        <f t="array" aca="1" ref="G643" ca="1">INDEX('Coste Carretera'!E$46:E$1646,MATCH(C643&amp;D643,'Coste Carretera'!C$46:C$1646&amp;'Coste Carretera'!D$46:D$1646,0))</f>
        <v>1389352632.549818</v>
      </c>
      <c r="H643" s="11" cm="1">
        <f t="array" aca="1" ref="H643" ca="1">INDEX('Coste multimodal'!E$46:E$1646,MATCH(C643&amp;D643,'Coste multimodal'!C$46:C$1646&amp;'Coste multimodal'!D$46:D$1646,0))</f>
        <v>4661900207.7140741</v>
      </c>
      <c r="I643" s="12" cm="1">
        <f t="array" aca="1" ref="I643" ca="1">INDEX('Tiempos intermodal (horas)'!E$45:E$1645,MATCH(C643&amp;D643,'Tiempos intermodal (horas)'!C$45:C$1645&amp;'Tiempos intermodal (horas)'!D$45:D$1645,0))</f>
        <v>70.689753884868523</v>
      </c>
      <c r="J643" s="2" cm="1">
        <f t="array" aca="1" ref="J643" ca="1">INDEX('Tiempos carretera (horas)'!E$45:E$1645,MATCH(C643&amp;D643,'Tiempos carretera (horas)'!C$45:C$1645&amp;'Tiempos carretera (horas)'!D$45:D$1645,0))</f>
        <v>8.7200000000000006</v>
      </c>
      <c r="K643" s="12">
        <f t="shared" ca="1" si="60"/>
        <v>1.4893973567586347</v>
      </c>
      <c r="L643" s="12">
        <f t="shared" ca="1" si="61"/>
        <v>195.26075413514801</v>
      </c>
      <c r="M643" s="12">
        <f t="shared" ca="1" si="62"/>
        <v>2.4955738803119017E-2</v>
      </c>
      <c r="N643" s="13">
        <f t="shared" ca="1" si="64"/>
        <v>-193.77135677838936</v>
      </c>
      <c r="O643" s="13">
        <f t="shared" ca="1" si="65"/>
        <v>-61.969753884868524</v>
      </c>
      <c r="P643" s="12">
        <f t="shared" ca="1" si="63"/>
        <v>3.6653790581689929</v>
      </c>
    </row>
    <row r="644" spans="1:16" x14ac:dyDescent="0.25">
      <c r="A644">
        <v>37</v>
      </c>
      <c r="B644">
        <v>17</v>
      </c>
      <c r="C644" s="2" t="s">
        <v>36</v>
      </c>
      <c r="D644" s="2" t="s">
        <v>16</v>
      </c>
      <c r="E644" s="11" cm="1">
        <f t="array" aca="1" ref="E644" ca="1">INDEX('OD flujo mercancia multimodal'!E$45:E$1645,MATCH(C644&amp;D644,'OD flujo mercancia multimodal'!C$45:C$1645&amp;'OD flujo mercancia multimodal'!D$45:D$1645,0))</f>
        <v>70067.461538461546</v>
      </c>
      <c r="F644" s="11" cm="1">
        <f t="array" aca="1" ref="F644" ca="1">INDEX('OD flujo mercancia carretera'!E$45:E$1646,MATCH(C644&amp;D644,'OD flujo mercancia carretera'!C$45:C$1646&amp;'OD flujo mercancia carretera'!D$45:D$1646,0))</f>
        <v>257474.1135531131</v>
      </c>
      <c r="G644" s="11" cm="1">
        <f t="array" aca="1" ref="G644" ca="1">INDEX('Coste Carretera'!E$46:E$1646,MATCH(C644&amp;D644,'Coste Carretera'!C$46:C$1646&amp;'Coste Carretera'!D$46:D$1646,0))</f>
        <v>2608541810.6400003</v>
      </c>
      <c r="H644" s="11" cm="1">
        <f t="array" aca="1" ref="H644" ca="1">INDEX('Coste multimodal'!E$46:E$1646,MATCH(C644&amp;D644,'Coste multimodal'!C$46:C$1646&amp;'Coste multimodal'!D$46:D$1646,0))</f>
        <v>822338623.31363153</v>
      </c>
      <c r="I644" s="12" cm="1">
        <f t="array" aca="1" ref="I644" ca="1">INDEX('Tiempos intermodal (horas)'!E$45:E$1645,MATCH(C644&amp;D644,'Tiempos intermodal (horas)'!C$45:C$1645&amp;'Tiempos intermodal (horas)'!D$45:D$1645,0))</f>
        <v>49.462740559895828</v>
      </c>
      <c r="J644" s="2" cm="1">
        <f t="array" aca="1" ref="J644" ca="1">INDEX('Tiempos carretera (horas)'!E$45:E$1645,MATCH(C644&amp;D644,'Tiempos carretera (horas)'!C$45:C$1645&amp;'Tiempos carretera (horas)'!D$45:D$1645,0))</f>
        <v>8.0500000000000007</v>
      </c>
      <c r="K644" s="12">
        <f t="shared" ca="1" si="60"/>
        <v>10.131277955062837</v>
      </c>
      <c r="L644" s="12">
        <f t="shared" ca="1" si="61"/>
        <v>11.736383840054375</v>
      </c>
      <c r="M644" s="12">
        <f t="shared" ca="1" si="62"/>
        <v>0.21391929106670493</v>
      </c>
      <c r="N644" s="13">
        <f t="shared" ca="1" si="64"/>
        <v>-1.6051058849915378</v>
      </c>
      <c r="O644" s="13">
        <f t="shared" ca="1" si="65"/>
        <v>-41.412740559895823</v>
      </c>
      <c r="P644" s="12">
        <f t="shared" ca="1" si="63"/>
        <v>1.301460670942044</v>
      </c>
    </row>
    <row r="645" spans="1:16" x14ac:dyDescent="0.25">
      <c r="A645">
        <v>17</v>
      </c>
      <c r="B645">
        <v>37</v>
      </c>
      <c r="C645" s="2" t="s">
        <v>16</v>
      </c>
      <c r="D645" s="2" t="s">
        <v>36</v>
      </c>
      <c r="E645" s="11" cm="1">
        <f t="array" aca="1" ref="E645" ca="1">INDEX('OD flujo mercancia multimodal'!E$45:E$1645,MATCH(C645&amp;D645,'OD flujo mercancia multimodal'!C$45:C$1645&amp;'OD flujo mercancia multimodal'!D$45:D$1645,0))</f>
        <v>64351.692307692356</v>
      </c>
      <c r="F645" s="11" cm="1">
        <f t="array" aca="1" ref="F645" ca="1">INDEX('OD flujo mercancia carretera'!E$45:E$1646,MATCH(C645&amp;D645,'OD flujo mercancia carretera'!C$45:C$1646&amp;'OD flujo mercancia carretera'!D$45:D$1646,0))</f>
        <v>615089.19597069593</v>
      </c>
      <c r="G645" s="11" cm="1">
        <f t="array" aca="1" ref="G645" ca="1">INDEX('Coste Carretera'!E$46:E$1646,MATCH(C645&amp;D645,'Coste Carretera'!C$46:C$1646&amp;'Coste Carretera'!D$46:D$1646,0))</f>
        <v>2269798249.9999995</v>
      </c>
      <c r="H645" s="11" cm="1">
        <f t="array" aca="1" ref="H645" ca="1">INDEX('Coste multimodal'!E$46:E$1646,MATCH(C645&amp;D645,'Coste multimodal'!C$46:C$1646&amp;'Coste multimodal'!D$46:D$1646,0))</f>
        <v>822338623.31363153</v>
      </c>
      <c r="I645" s="12" cm="1">
        <f t="array" aca="1" ref="I645" ca="1">INDEX('Tiempos intermodal (horas)'!E$45:E$1645,MATCH(C645&amp;D645,'Tiempos intermodal (horas)'!C$45:C$1645&amp;'Tiempos intermodal (horas)'!D$45:D$1645,0))</f>
        <v>49.462740559895828</v>
      </c>
      <c r="J645" s="2" cm="1">
        <f t="array" aca="1" ref="J645" ca="1">INDEX('Tiempos carretera (horas)'!E$45:E$1645,MATCH(C645&amp;D645,'Tiempos carretera (horas)'!C$45:C$1645&amp;'Tiempos carretera (horas)'!D$45:D$1645,0))</f>
        <v>8.0500000000000007</v>
      </c>
      <c r="K645" s="12">
        <f t="shared" ca="1" si="60"/>
        <v>3.6901936578774457</v>
      </c>
      <c r="L645" s="12">
        <f t="shared" ca="1" si="61"/>
        <v>12.778818921834823</v>
      </c>
      <c r="M645" s="12">
        <f t="shared" ca="1" si="62"/>
        <v>9.4712716614319278E-2</v>
      </c>
      <c r="N645" s="13">
        <f t="shared" ca="1" si="64"/>
        <v>-9.0886252639573772</v>
      </c>
      <c r="O645" s="13">
        <f t="shared" ca="1" si="65"/>
        <v>-41.412740559895823</v>
      </c>
      <c r="P645" s="12">
        <f t="shared" ca="1" si="63"/>
        <v>2.2574040592046081</v>
      </c>
    </row>
    <row r="646" spans="1:16" x14ac:dyDescent="0.25">
      <c r="A646">
        <v>25</v>
      </c>
      <c r="B646">
        <v>40</v>
      </c>
      <c r="C646" s="2" t="s">
        <v>24</v>
      </c>
      <c r="D646" s="2" t="s">
        <v>39</v>
      </c>
      <c r="E646" s="11" cm="1">
        <f t="array" aca="1" ref="E646" ca="1">INDEX('OD flujo mercancia multimodal'!E$45:E$1645,MATCH(C646&amp;D646,'OD flujo mercancia multimodal'!C$45:C$1645&amp;'OD flujo mercancia multimodal'!D$45:D$1645,0))</f>
        <v>13424.076923076922</v>
      </c>
      <c r="F646" s="11" cm="1">
        <f t="array" aca="1" ref="F646" ca="1">INDEX('OD flujo mercancia carretera'!E$45:E$1646,MATCH(C646&amp;D646,'OD flujo mercancia carretera'!C$45:C$1646&amp;'OD flujo mercancia carretera'!D$45:D$1646,0))</f>
        <v>137635.47619047621</v>
      </c>
      <c r="G646" s="11" cm="1">
        <f t="array" aca="1" ref="G646" ca="1">INDEX('Coste Carretera'!E$46:E$1646,MATCH(C646&amp;D646,'Coste Carretera'!C$46:C$1646&amp;'Coste Carretera'!D$46:D$1646,0))</f>
        <v>476083215.20000029</v>
      </c>
      <c r="H646" s="11" cm="1">
        <f t="array" aca="1" ref="H646" ca="1">INDEX('Coste multimodal'!E$46:E$1646,MATCH(C646&amp;D646,'Coste multimodal'!C$46:C$1646&amp;'Coste multimodal'!D$46:D$1646,0))</f>
        <v>102453825.05412802</v>
      </c>
      <c r="I646" s="12" cm="1">
        <f t="array" aca="1" ref="I646" ca="1">INDEX('Tiempos intermodal (horas)'!E$45:E$1645,MATCH(C646&amp;D646,'Tiempos intermodal (horas)'!C$45:C$1645&amp;'Tiempos intermodal (horas)'!D$45:D$1645,0))</f>
        <v>55.745606757929792</v>
      </c>
      <c r="J646" s="2" cm="1">
        <f t="array" aca="1" ref="J646" ca="1">INDEX('Tiempos carretera (horas)'!E$45:E$1645,MATCH(C646&amp;D646,'Tiempos carretera (horas)'!C$45:C$1645&amp;'Tiempos carretera (horas)'!D$45:D$1645,0))</f>
        <v>12.95</v>
      </c>
      <c r="K646" s="12">
        <f t="shared" ca="1" si="60"/>
        <v>3.4590152799060334</v>
      </c>
      <c r="L646" s="12">
        <f t="shared" ca="1" si="61"/>
        <v>7.6320946044344229</v>
      </c>
      <c r="M646" s="12">
        <f t="shared" ca="1" si="62"/>
        <v>8.8866123633941196E-2</v>
      </c>
      <c r="N646" s="13">
        <f t="shared" ca="1" si="64"/>
        <v>-4.1730793245283895</v>
      </c>
      <c r="O646" s="13">
        <f t="shared" ca="1" si="65"/>
        <v>-42.795606757929789</v>
      </c>
      <c r="P646" s="12">
        <f t="shared" ca="1" si="63"/>
        <v>2.3275588334473989</v>
      </c>
    </row>
    <row r="647" spans="1:16" x14ac:dyDescent="0.25">
      <c r="A647">
        <v>40</v>
      </c>
      <c r="B647">
        <v>25</v>
      </c>
      <c r="C647" s="2" t="s">
        <v>39</v>
      </c>
      <c r="D647" s="2" t="s">
        <v>24</v>
      </c>
      <c r="E647" s="11" cm="1">
        <f t="array" aca="1" ref="E647" ca="1">INDEX('OD flujo mercancia multimodal'!E$45:E$1645,MATCH(C647&amp;D647,'OD flujo mercancia multimodal'!C$45:C$1645&amp;'OD flujo mercancia multimodal'!D$45:D$1645,0))</f>
        <v>7892.6153846153875</v>
      </c>
      <c r="F647" s="11" cm="1">
        <f t="array" aca="1" ref="F647" ca="1">INDEX('OD flujo mercancia carretera'!E$45:E$1646,MATCH(C647&amp;D647,'OD flujo mercancia carretera'!C$45:C$1646&amp;'OD flujo mercancia carretera'!D$45:D$1646,0))</f>
        <v>160229.84615384613</v>
      </c>
      <c r="G647" s="11" cm="1">
        <f t="array" aca="1" ref="G647" ca="1">INDEX('Coste Carretera'!E$46:E$1646,MATCH(C647&amp;D647,'Coste Carretera'!C$46:C$1646&amp;'Coste Carretera'!D$46:D$1646,0))</f>
        <v>303553350.72000015</v>
      </c>
      <c r="H647" s="11" cm="1">
        <f t="array" aca="1" ref="H647" ca="1">INDEX('Coste multimodal'!E$46:E$1646,MATCH(C647&amp;D647,'Coste multimodal'!C$46:C$1646&amp;'Coste multimodal'!D$46:D$1646,0))</f>
        <v>103811608.53890257</v>
      </c>
      <c r="I647" s="12" cm="1">
        <f t="array" aca="1" ref="I647" ca="1">INDEX('Tiempos intermodal (horas)'!E$45:E$1645,MATCH(C647&amp;D647,'Tiempos intermodal (horas)'!C$45:C$1645&amp;'Tiempos intermodal (horas)'!D$45:D$1645,0))</f>
        <v>52.656246249178864</v>
      </c>
      <c r="J647" s="2" cm="1">
        <f t="array" aca="1" ref="J647" ca="1">INDEX('Tiempos carretera (horas)'!E$45:E$1645,MATCH(C647&amp;D647,'Tiempos carretera (horas)'!C$45:C$1645&amp;'Tiempos carretera (horas)'!D$45:D$1645,0))</f>
        <v>11</v>
      </c>
      <c r="K647" s="12">
        <f t="shared" ca="1" si="60"/>
        <v>1.8944869386477516</v>
      </c>
      <c r="L647" s="12">
        <f t="shared" ca="1" si="61"/>
        <v>13.153004863414028</v>
      </c>
      <c r="M647" s="12">
        <f t="shared" ca="1" si="62"/>
        <v>4.6945633036724173E-2</v>
      </c>
      <c r="N647" s="13">
        <f t="shared" ca="1" si="64"/>
        <v>-11.258517924766275</v>
      </c>
      <c r="O647" s="13">
        <f t="shared" ca="1" si="65"/>
        <v>-41.656246249178864</v>
      </c>
      <c r="P647" s="12">
        <f t="shared" ca="1" si="63"/>
        <v>3.0106817619911328</v>
      </c>
    </row>
    <row r="648" spans="1:16" x14ac:dyDescent="0.25">
      <c r="A648">
        <v>19</v>
      </c>
      <c r="B648">
        <v>11</v>
      </c>
      <c r="C648" s="2" t="s">
        <v>18</v>
      </c>
      <c r="D648" s="2" t="s">
        <v>10</v>
      </c>
      <c r="E648" s="11" cm="1">
        <f t="array" aca="1" ref="E648" ca="1">INDEX('OD flujo mercancia multimodal'!E$45:E$1645,MATCH(C648&amp;D648,'OD flujo mercancia multimodal'!C$45:C$1645&amp;'OD flujo mercancia multimodal'!D$45:D$1645,0))</f>
        <v>23055.307692307677</v>
      </c>
      <c r="F648" s="11" cm="1">
        <f t="array" aca="1" ref="F648" ca="1">INDEX('OD flujo mercancia carretera'!E$45:E$1646,MATCH(C648&amp;D648,'OD flujo mercancia carretera'!C$45:C$1646&amp;'OD flujo mercancia carretera'!D$45:D$1646,0))</f>
        <v>137298</v>
      </c>
      <c r="G648" s="11" cm="1">
        <f t="array" aca="1" ref="G648" ca="1">INDEX('Coste Carretera'!E$46:E$1646,MATCH(C648&amp;D648,'Coste Carretera'!C$46:C$1646&amp;'Coste Carretera'!D$46:D$1646,0))</f>
        <v>1862310000.8799987</v>
      </c>
      <c r="H648" s="11" cm="1">
        <f t="array" aca="1" ref="H648" ca="1">INDEX('Coste multimodal'!E$46:E$1646,MATCH(C648&amp;D648,'Coste multimodal'!C$46:C$1646&amp;'Coste multimodal'!D$46:D$1646,0))</f>
        <v>203087647.56916228</v>
      </c>
      <c r="I648" s="12" cm="1">
        <f t="array" aca="1" ref="I648" ca="1">INDEX('Tiempos intermodal (horas)'!E$45:E$1645,MATCH(C648&amp;D648,'Tiempos intermodal (horas)'!C$45:C$1645&amp;'Tiempos intermodal (horas)'!D$45:D$1645,0))</f>
        <v>54.486137466568131</v>
      </c>
      <c r="J648" s="2" cm="1">
        <f t="array" aca="1" ref="J648" ca="1">INDEX('Tiempos carretera (horas)'!E$45:E$1645,MATCH(C648&amp;D648,'Tiempos carretera (horas)'!C$45:C$1645&amp;'Tiempos carretera (horas)'!D$45:D$1645,0))</f>
        <v>15.26</v>
      </c>
      <c r="K648" s="12">
        <f t="shared" ca="1" si="60"/>
        <v>13.563999482002641</v>
      </c>
      <c r="L648" s="12">
        <f t="shared" ca="1" si="61"/>
        <v>8.808715558236587</v>
      </c>
      <c r="M648" s="12">
        <f t="shared" ca="1" si="62"/>
        <v>0.14377818595764247</v>
      </c>
      <c r="N648" s="13">
        <f t="shared" ca="1" si="64"/>
        <v>4.7552839237660542</v>
      </c>
      <c r="O648" s="13">
        <f t="shared" ca="1" si="65"/>
        <v>-39.226137466568133</v>
      </c>
      <c r="P648" s="12">
        <f t="shared" ca="1" si="63"/>
        <v>1.7842577344437864</v>
      </c>
    </row>
    <row r="649" spans="1:16" x14ac:dyDescent="0.25">
      <c r="A649">
        <v>11</v>
      </c>
      <c r="B649">
        <v>19</v>
      </c>
      <c r="C649" s="2" t="s">
        <v>10</v>
      </c>
      <c r="D649" s="2" t="s">
        <v>18</v>
      </c>
      <c r="E649" s="11" cm="1">
        <f t="array" aca="1" ref="E649" ca="1">INDEX('OD flujo mercancia multimodal'!E$45:E$1645,MATCH(C649&amp;D649,'OD flujo mercancia multimodal'!C$45:C$1645&amp;'OD flujo mercancia multimodal'!D$45:D$1645,0))</f>
        <v>11981.69230769231</v>
      </c>
      <c r="F649" s="11" cm="1">
        <f t="array" aca="1" ref="F649" ca="1">INDEX('OD flujo mercancia carretera'!E$45:E$1646,MATCH(C649&amp;D649,'OD flujo mercancia carretera'!C$45:C$1646&amp;'OD flujo mercancia carretera'!D$45:D$1646,0))</f>
        <v>189032.61538461538</v>
      </c>
      <c r="G649" s="11" cm="1">
        <f t="array" aca="1" ref="G649" ca="1">INDEX('Coste Carretera'!E$46:E$1646,MATCH(C649&amp;D649,'Coste Carretera'!C$46:C$1646&amp;'Coste Carretera'!D$46:D$1646,0))</f>
        <v>967830302.24000013</v>
      </c>
      <c r="H649" s="11" cm="1">
        <f t="array" aca="1" ref="H649" ca="1">INDEX('Coste multimodal'!E$46:E$1646,MATCH(C649&amp;D649,'Coste multimodal'!C$46:C$1646&amp;'Coste multimodal'!D$46:D$1646,0))</f>
        <v>203087647.56916228</v>
      </c>
      <c r="I649" s="12" cm="1">
        <f t="array" aca="1" ref="I649" ca="1">INDEX('Tiempos intermodal (horas)'!E$45:E$1645,MATCH(C649&amp;D649,'Tiempos intermodal (horas)'!C$45:C$1645&amp;'Tiempos intermodal (horas)'!D$45:D$1645,0))</f>
        <v>54.486137466568131</v>
      </c>
      <c r="J649" s="2" cm="1">
        <f t="array" aca="1" ref="J649" ca="1">INDEX('Tiempos carretera (horas)'!E$45:E$1645,MATCH(C649&amp;D649,'Tiempos carretera (horas)'!C$45:C$1645&amp;'Tiempos carretera (horas)'!D$45:D$1645,0))</f>
        <v>15.26</v>
      </c>
      <c r="K649" s="12">
        <f t="shared" ca="1" si="60"/>
        <v>5.1199117161385272</v>
      </c>
      <c r="L649" s="12">
        <f t="shared" ca="1" si="61"/>
        <v>16.949829986768975</v>
      </c>
      <c r="M649" s="12">
        <f t="shared" ca="1" si="62"/>
        <v>5.9606166572146048E-2</v>
      </c>
      <c r="N649" s="13">
        <f t="shared" ca="1" si="64"/>
        <v>-11.829918270630447</v>
      </c>
      <c r="O649" s="13">
        <f t="shared" ca="1" si="65"/>
        <v>-39.226137466568133</v>
      </c>
      <c r="P649" s="12">
        <f t="shared" ca="1" si="63"/>
        <v>2.7585397245569863</v>
      </c>
    </row>
    <row r="650" spans="1:16" x14ac:dyDescent="0.25">
      <c r="A650">
        <v>39</v>
      </c>
      <c r="B650">
        <v>23</v>
      </c>
      <c r="C650" s="2" t="s">
        <v>38</v>
      </c>
      <c r="D650" s="2" t="s">
        <v>22</v>
      </c>
      <c r="E650" s="11" cm="1">
        <f t="array" aca="1" ref="E650" ca="1">INDEX('OD flujo mercancia multimodal'!E$45:E$1645,MATCH(C650&amp;D650,'OD flujo mercancia multimodal'!C$45:C$1645&amp;'OD flujo mercancia multimodal'!D$45:D$1645,0))</f>
        <v>6444.6923076923104</v>
      </c>
      <c r="F650" s="11" cm="1">
        <f t="array" aca="1" ref="F650" ca="1">INDEX('OD flujo mercancia carretera'!E$45:E$1646,MATCH(C650&amp;D650,'OD flujo mercancia carretera'!C$45:C$1646&amp;'OD flujo mercancia carretera'!D$45:D$1646,0))</f>
        <v>115527.35897435932</v>
      </c>
      <c r="G650" s="11" cm="1">
        <f t="array" aca="1" ref="G650" ca="1">INDEX('Coste Carretera'!E$46:E$1646,MATCH(C650&amp;D650,'Coste Carretera'!C$46:C$1646&amp;'Coste Carretera'!D$46:D$1646,0))</f>
        <v>1067498403.1200001</v>
      </c>
      <c r="H650" s="11" cm="1">
        <f t="array" aca="1" ref="H650" ca="1">INDEX('Coste multimodal'!E$46:E$1646,MATCH(C650&amp;D650,'Coste multimodal'!C$46:C$1646&amp;'Coste multimodal'!D$46:D$1646,0))</f>
        <v>19134844.385523349</v>
      </c>
      <c r="I650" s="12" cm="1">
        <f t="array" aca="1" ref="I650" ca="1">INDEX('Tiempos intermodal (horas)'!E$45:E$1645,MATCH(C650&amp;D650,'Tiempos intermodal (horas)'!C$45:C$1645&amp;'Tiempos intermodal (horas)'!D$45:D$1645,0))</f>
        <v>62.932947599943688</v>
      </c>
      <c r="J650" s="2" cm="1">
        <f t="array" aca="1" ref="J650" ca="1">INDEX('Tiempos carretera (horas)'!E$45:E$1645,MATCH(C650&amp;D650,'Tiempos carretera (horas)'!C$45:C$1645&amp;'Tiempos carretera (horas)'!D$45:D$1645,0))</f>
        <v>16.71</v>
      </c>
      <c r="K650" s="12">
        <f t="shared" ca="1" si="60"/>
        <v>9.2402216461723636</v>
      </c>
      <c r="L650" s="12">
        <f t="shared" ca="1" si="61"/>
        <v>2.9690857952495602</v>
      </c>
      <c r="M650" s="12">
        <f t="shared" ca="1" si="62"/>
        <v>5.2837451202566242E-2</v>
      </c>
      <c r="N650" s="13">
        <f t="shared" ca="1" si="64"/>
        <v>6.2711358509228035</v>
      </c>
      <c r="O650" s="13">
        <f t="shared" ca="1" si="65"/>
        <v>-46.222947599943687</v>
      </c>
      <c r="P650" s="12">
        <f t="shared" ca="1" si="63"/>
        <v>2.8862504821394168</v>
      </c>
    </row>
    <row r="651" spans="1:16" x14ac:dyDescent="0.25">
      <c r="A651">
        <v>23</v>
      </c>
      <c r="B651">
        <v>39</v>
      </c>
      <c r="C651" s="2" t="s">
        <v>22</v>
      </c>
      <c r="D651" s="2" t="s">
        <v>38</v>
      </c>
      <c r="E651" s="11" cm="1">
        <f t="array" aca="1" ref="E651" ca="1">INDEX('OD flujo mercancia multimodal'!E$45:E$1645,MATCH(C651&amp;D651,'OD flujo mercancia multimodal'!C$45:C$1645&amp;'OD flujo mercancia multimodal'!D$45:D$1645,0))</f>
        <v>3983.9230769230812</v>
      </c>
      <c r="F651" s="11" cm="1">
        <f t="array" aca="1" ref="F651" ca="1">INDEX('OD flujo mercancia carretera'!E$45:E$1646,MATCH(C651&amp;D651,'OD flujo mercancia carretera'!C$45:C$1646&amp;'OD flujo mercancia carretera'!D$45:D$1646,0))</f>
        <v>196341.50915750916</v>
      </c>
      <c r="G651" s="11" cm="1">
        <f t="array" aca="1" ref="G651" ca="1">INDEX('Coste Carretera'!E$46:E$1646,MATCH(C651&amp;D651,'Coste Carretera'!C$46:C$1646&amp;'Coste Carretera'!D$46:D$1646,0))</f>
        <v>61988919.68</v>
      </c>
      <c r="H651" s="11" cm="1">
        <f t="array" aca="1" ref="H651" ca="1">INDEX('Coste multimodal'!E$46:E$1646,MATCH(C651&amp;D651,'Coste multimodal'!C$46:C$1646&amp;'Coste multimodal'!D$46:D$1646,0))</f>
        <v>98909482.638902575</v>
      </c>
      <c r="I651" s="12" cm="1">
        <f t="array" aca="1" ref="I651" ca="1">INDEX('Tiempos intermodal (horas)'!E$45:E$1645,MATCH(C651&amp;D651,'Tiempos intermodal (horas)'!C$45:C$1645&amp;'Tiempos intermodal (horas)'!D$45:D$1645,0))</f>
        <v>54.706246249178861</v>
      </c>
      <c r="J651" s="2" cm="1">
        <f t="array" aca="1" ref="J651" ca="1">INDEX('Tiempos carretera (horas)'!E$45:E$1645,MATCH(C651&amp;D651,'Tiempos carretera (horas)'!C$45:C$1645&amp;'Tiempos carretera (horas)'!D$45:D$1645,0))</f>
        <v>13.1</v>
      </c>
      <c r="K651" s="12">
        <f t="shared" ca="1" si="60"/>
        <v>0.31571989003237833</v>
      </c>
      <c r="L651" s="12">
        <f t="shared" ca="1" si="61"/>
        <v>24.827156731975286</v>
      </c>
      <c r="M651" s="12">
        <f t="shared" ca="1" si="62"/>
        <v>1.9887255614458713E-2</v>
      </c>
      <c r="N651" s="13">
        <f t="shared" ca="1" si="64"/>
        <v>-24.511436841942906</v>
      </c>
      <c r="O651" s="13">
        <f t="shared" ca="1" si="65"/>
        <v>-41.606246249178859</v>
      </c>
      <c r="P651" s="12">
        <f t="shared" ca="1" si="63"/>
        <v>3.8975885051496926</v>
      </c>
    </row>
    <row r="652" spans="1:16" x14ac:dyDescent="0.25">
      <c r="A652">
        <v>39</v>
      </c>
      <c r="B652">
        <v>25</v>
      </c>
      <c r="C652" s="2" t="s">
        <v>38</v>
      </c>
      <c r="D652" s="2" t="s">
        <v>24</v>
      </c>
      <c r="E652" s="11" cm="1">
        <f t="array" aca="1" ref="E652" ca="1">INDEX('OD flujo mercancia multimodal'!E$45:E$1645,MATCH(C652&amp;D652,'OD flujo mercancia multimodal'!C$45:C$1645&amp;'OD flujo mercancia multimodal'!D$45:D$1645,0))</f>
        <v>5211.6923076923104</v>
      </c>
      <c r="F652" s="11" cm="1">
        <f t="array" aca="1" ref="F652" ca="1">INDEX('OD flujo mercancia carretera'!E$45:E$1646,MATCH(C652&amp;D652,'OD flujo mercancia carretera'!C$45:C$1646&amp;'OD flujo mercancia carretera'!D$45:D$1646,0))</f>
        <v>65947.025641025612</v>
      </c>
      <c r="G652" s="11" cm="1">
        <f t="array" aca="1" ref="G652" ca="1">INDEX('Coste Carretera'!E$46:E$1646,MATCH(C652&amp;D652,'Coste Carretera'!C$46:C$1646&amp;'Coste Carretera'!D$46:D$1646,0))</f>
        <v>854319941.28000009</v>
      </c>
      <c r="H652" s="11" cm="1">
        <f t="array" aca="1" ref="H652" ca="1">INDEX('Coste multimodal'!E$46:E$1646,MATCH(C652&amp;D652,'Coste multimodal'!C$46:C$1646&amp;'Coste multimodal'!D$46:D$1646,0))</f>
        <v>24036970.285523348</v>
      </c>
      <c r="I652" s="12" cm="1">
        <f t="array" aca="1" ref="I652" ca="1">INDEX('Tiempos intermodal (horas)'!E$45:E$1645,MATCH(C652&amp;D652,'Tiempos intermodal (horas)'!C$45:C$1645&amp;'Tiempos intermodal (horas)'!D$45:D$1645,0))</f>
        <v>60.882947599943691</v>
      </c>
      <c r="J652" s="2" cm="1">
        <f t="array" aca="1" ref="J652" ca="1">INDEX('Tiempos carretera (horas)'!E$45:E$1645,MATCH(C652&amp;D652,'Tiempos carretera (horas)'!C$45:C$1645&amp;'Tiempos carretera (horas)'!D$45:D$1645,0))</f>
        <v>14.56</v>
      </c>
      <c r="K652" s="12">
        <f t="shared" ca="1" si="60"/>
        <v>12.954639469722014</v>
      </c>
      <c r="L652" s="12">
        <f t="shared" ca="1" si="61"/>
        <v>4.612123829729061</v>
      </c>
      <c r="M652" s="12">
        <f t="shared" ca="1" si="62"/>
        <v>7.3240390748020925E-2</v>
      </c>
      <c r="N652" s="13">
        <f t="shared" ca="1" si="64"/>
        <v>8.3425156399929534</v>
      </c>
      <c r="O652" s="13">
        <f t="shared" ca="1" si="65"/>
        <v>-46.322947599943689</v>
      </c>
      <c r="P652" s="12">
        <f t="shared" ca="1" si="63"/>
        <v>2.5379471557766231</v>
      </c>
    </row>
    <row r="653" spans="1:16" x14ac:dyDescent="0.25">
      <c r="A653">
        <v>25</v>
      </c>
      <c r="B653">
        <v>39</v>
      </c>
      <c r="C653" s="2" t="s">
        <v>24</v>
      </c>
      <c r="D653" s="2" t="s">
        <v>38</v>
      </c>
      <c r="E653" s="11" cm="1">
        <f t="array" aca="1" ref="E653" ca="1">INDEX('OD flujo mercancia multimodal'!E$45:E$1645,MATCH(C653&amp;D653,'OD flujo mercancia multimodal'!C$45:C$1645&amp;'OD flujo mercancia multimodal'!D$45:D$1645,0))</f>
        <v>6877.6923076923122</v>
      </c>
      <c r="F653" s="11" cm="1">
        <f t="array" aca="1" ref="F653" ca="1">INDEX('OD flujo mercancia carretera'!E$45:E$1646,MATCH(C653&amp;D653,'OD flujo mercancia carretera'!C$45:C$1646&amp;'OD flujo mercancia carretera'!D$45:D$1646,0))</f>
        <v>156316.17582417582</v>
      </c>
      <c r="G653" s="11" cm="1">
        <f t="array" aca="1" ref="G653" ca="1">INDEX('Coste Carretera'!E$46:E$1646,MATCH(C653&amp;D653,'Coste Carretera'!C$46:C$1646&amp;'Coste Carretera'!D$46:D$1646,0))</f>
        <v>221755418.19999999</v>
      </c>
      <c r="H653" s="11" cm="1">
        <f t="array" aca="1" ref="H653" ca="1">INDEX('Coste multimodal'!E$46:E$1646,MATCH(C653&amp;D653,'Coste multimodal'!C$46:C$1646&amp;'Coste multimodal'!D$46:D$1646,0))</f>
        <v>103811608.53890257</v>
      </c>
      <c r="I653" s="12" cm="1">
        <f t="array" aca="1" ref="I653" ca="1">INDEX('Tiempos intermodal (horas)'!E$45:E$1645,MATCH(C653&amp;D653,'Tiempos intermodal (horas)'!C$45:C$1645&amp;'Tiempos intermodal (horas)'!D$45:D$1645,0))</f>
        <v>52.656246249178864</v>
      </c>
      <c r="J653" s="2" cm="1">
        <f t="array" aca="1" ref="J653" ca="1">INDEX('Tiempos carretera (horas)'!E$45:E$1645,MATCH(C653&amp;D653,'Tiempos carretera (horas)'!C$45:C$1645&amp;'Tiempos carretera (horas)'!D$45:D$1645,0))</f>
        <v>11</v>
      </c>
      <c r="K653" s="12">
        <f t="shared" ca="1" si="60"/>
        <v>1.4186338491892874</v>
      </c>
      <c r="L653" s="12">
        <f t="shared" ca="1" si="61"/>
        <v>15.093959411763031</v>
      </c>
      <c r="M653" s="12">
        <f t="shared" ca="1" si="62"/>
        <v>4.2144305949870745E-2</v>
      </c>
      <c r="N653" s="13">
        <f t="shared" ca="1" si="64"/>
        <v>-13.675325562573743</v>
      </c>
      <c r="O653" s="13">
        <f t="shared" ca="1" si="65"/>
        <v>-41.656246249178864</v>
      </c>
      <c r="P653" s="12">
        <f t="shared" ca="1" si="63"/>
        <v>3.1235975489440317</v>
      </c>
    </row>
    <row r="654" spans="1:16" x14ac:dyDescent="0.25">
      <c r="A654">
        <v>9</v>
      </c>
      <c r="B654">
        <v>12</v>
      </c>
      <c r="C654" s="2" t="s">
        <v>148</v>
      </c>
      <c r="D654" s="2" t="s">
        <v>11</v>
      </c>
      <c r="E654" s="11" cm="1">
        <f t="array" aca="1" ref="E654" ca="1">INDEX('OD flujo mercancia multimodal'!E$45:E$1645,MATCH(C654&amp;D654,'OD flujo mercancia multimodal'!C$45:C$1645&amp;'OD flujo mercancia multimodal'!D$45:D$1645,0))</f>
        <v>19133.5</v>
      </c>
      <c r="F654" s="11" cm="1">
        <f t="array" aca="1" ref="F654" ca="1">INDEX('OD flujo mercancia carretera'!E$45:E$1646,MATCH(C654&amp;D654,'OD flujo mercancia carretera'!C$45:C$1646&amp;'OD flujo mercancia carretera'!D$45:D$1646,0))</f>
        <v>617166.373931624</v>
      </c>
      <c r="G654" s="11" cm="1">
        <f t="array" aca="1" ref="G654" ca="1">INDEX('Coste Carretera'!E$46:E$1646,MATCH(C654&amp;D654,'Coste Carretera'!C$46:C$1646&amp;'Coste Carretera'!D$46:D$1646,0))</f>
        <v>1779662704.8199999</v>
      </c>
      <c r="H654" s="11" cm="1">
        <f t="array" aca="1" ref="H654" ca="1">INDEX('Coste multimodal'!E$46:E$1646,MATCH(C654&amp;D654,'Coste multimodal'!C$46:C$1646&amp;'Coste multimodal'!D$46:D$1646,0))</f>
        <v>784941137.52043486</v>
      </c>
      <c r="I654" s="12" cm="1">
        <f t="array" aca="1" ref="I654" ca="1">INDEX('Tiempos intermodal (horas)'!E$45:E$1645,MATCH(C654&amp;D654,'Tiempos intermodal (horas)'!C$45:C$1645&amp;'Tiempos intermodal (horas)'!D$45:D$1645,0))</f>
        <v>59.300733410167979</v>
      </c>
      <c r="J654" s="2" cm="1">
        <f t="array" aca="1" ref="J654" ca="1">INDEX('Tiempos carretera (horas)'!E$45:E$1645,MATCH(C654&amp;D654,'Tiempos carretera (horas)'!C$45:C$1645&amp;'Tiempos carretera (horas)'!D$45:D$1645,0))</f>
        <v>17.600000000000001</v>
      </c>
      <c r="K654" s="12">
        <f t="shared" ca="1" si="60"/>
        <v>2.8836028338400195</v>
      </c>
      <c r="L654" s="12">
        <f t="shared" ca="1" si="61"/>
        <v>41.024440772489868</v>
      </c>
      <c r="M654" s="12">
        <f t="shared" ca="1" si="62"/>
        <v>3.0069941522660213E-2</v>
      </c>
      <c r="N654" s="13">
        <f t="shared" ca="1" si="64"/>
        <v>-38.140837938649845</v>
      </c>
      <c r="O654" s="13">
        <f t="shared" ca="1" si="65"/>
        <v>-41.700733410167977</v>
      </c>
      <c r="P654" s="12">
        <f t="shared" ca="1" si="63"/>
        <v>3.473697911943689</v>
      </c>
    </row>
    <row r="655" spans="1:16" x14ac:dyDescent="0.25">
      <c r="A655">
        <v>12</v>
      </c>
      <c r="B655">
        <v>9</v>
      </c>
      <c r="C655" s="2" t="s">
        <v>11</v>
      </c>
      <c r="D655" s="2" t="s">
        <v>148</v>
      </c>
      <c r="E655" s="11" cm="1">
        <f t="array" aca="1" ref="E655" ca="1">INDEX('OD flujo mercancia multimodal'!E$45:E$1645,MATCH(C655&amp;D655,'OD flujo mercancia multimodal'!C$45:C$1645&amp;'OD flujo mercancia multimodal'!D$45:D$1645,0))</f>
        <v>5953.8391608391603</v>
      </c>
      <c r="F655" s="11" cm="1">
        <f t="array" aca="1" ref="F655" ca="1">INDEX('OD flujo mercancia carretera'!E$45:E$1646,MATCH(C655&amp;D655,'OD flujo mercancia carretera'!C$45:C$1646&amp;'OD flujo mercancia carretera'!D$45:D$1646,0))</f>
        <v>611605.85256410274</v>
      </c>
      <c r="G655" s="11" cm="1">
        <f t="array" aca="1" ref="G655" ca="1">INDEX('Coste Carretera'!E$46:E$1646,MATCH(C655&amp;D655,'Coste Carretera'!C$46:C$1646&amp;'Coste Carretera'!D$46:D$1646,0))</f>
        <v>553783965.55999982</v>
      </c>
      <c r="H655" s="11" cm="1">
        <f t="array" aca="1" ref="H655" ca="1">INDEX('Coste multimodal'!E$46:E$1646,MATCH(C655&amp;D655,'Coste multimodal'!C$46:C$1646&amp;'Coste multimodal'!D$46:D$1646,0))</f>
        <v>784941137.52043486</v>
      </c>
      <c r="I655" s="12" cm="1">
        <f t="array" aca="1" ref="I655" ca="1">INDEX('Tiempos intermodal (horas)'!E$45:E$1645,MATCH(C655&amp;D655,'Tiempos intermodal (horas)'!C$45:C$1645&amp;'Tiempos intermodal (horas)'!D$45:D$1645,0))</f>
        <v>59.300733410167979</v>
      </c>
      <c r="J655" s="2" cm="1">
        <f t="array" aca="1" ref="J655" ca="1">INDEX('Tiempos carretera (horas)'!E$45:E$1645,MATCH(C655&amp;D655,'Tiempos carretera (horas)'!C$45:C$1645&amp;'Tiempos carretera (horas)'!D$45:D$1645,0))</f>
        <v>17.600000000000001</v>
      </c>
      <c r="K655" s="12">
        <f t="shared" ca="1" si="60"/>
        <v>0.90545890500934567</v>
      </c>
      <c r="L655" s="12">
        <f t="shared" ca="1" si="61"/>
        <v>131.83781360492813</v>
      </c>
      <c r="M655" s="12">
        <f t="shared" ca="1" si="62"/>
        <v>9.6409128390636135E-3</v>
      </c>
      <c r="N655" s="13">
        <f t="shared" ca="1" si="64"/>
        <v>-130.93235469991879</v>
      </c>
      <c r="O655" s="13">
        <f t="shared" ca="1" si="65"/>
        <v>-41.700733410167977</v>
      </c>
      <c r="P655" s="12">
        <f t="shared" ca="1" si="63"/>
        <v>4.6320517946793887</v>
      </c>
    </row>
    <row r="656" spans="1:16" x14ac:dyDescent="0.25">
      <c r="A656">
        <v>39</v>
      </c>
      <c r="B656">
        <v>17</v>
      </c>
      <c r="C656" s="2" t="s">
        <v>38</v>
      </c>
      <c r="D656" s="2" t="s">
        <v>16</v>
      </c>
      <c r="E656" s="11" cm="1">
        <f t="array" aca="1" ref="E656" ca="1">INDEX('OD flujo mercancia multimodal'!E$45:E$1645,MATCH(C656&amp;D656,'OD flujo mercancia multimodal'!C$45:C$1645&amp;'OD flujo mercancia multimodal'!D$45:D$1645,0))</f>
        <v>64492.307692307702</v>
      </c>
      <c r="F656" s="11" cm="1">
        <f t="array" aca="1" ref="F656" ca="1">INDEX('OD flujo mercancia carretera'!E$45:E$1646,MATCH(C656&amp;D656,'OD flujo mercancia carretera'!C$45:C$1646&amp;'OD flujo mercancia carretera'!D$45:D$1646,0))</f>
        <v>180807.23076923031</v>
      </c>
      <c r="G656" s="11" cm="1">
        <f t="array" aca="1" ref="G656" ca="1">INDEX('Coste Carretera'!E$46:E$1646,MATCH(C656&amp;D656,'Coste Carretera'!C$46:C$1646&amp;'Coste Carretera'!D$46:D$1646,0))</f>
        <v>1207021330.2400002</v>
      </c>
      <c r="H656" s="11" cm="1">
        <f t="array" aca="1" ref="H656" ca="1">INDEX('Coste multimodal'!E$46:E$1646,MATCH(C656&amp;D656,'Coste multimodal'!C$46:C$1646&amp;'Coste multimodal'!D$46:D$1646,0))</f>
        <v>745099834.00380421</v>
      </c>
      <c r="I656" s="12" cm="1">
        <f t="array" aca="1" ref="I656" ca="1">INDEX('Tiempos intermodal (horas)'!E$45:E$1645,MATCH(C656&amp;D656,'Tiempos intermodal (horas)'!C$45:C$1645&amp;'Tiempos intermodal (horas)'!D$45:D$1645,0))</f>
        <v>34.762011107298704</v>
      </c>
      <c r="J656" s="2" cm="1">
        <f t="array" aca="1" ref="J656" ca="1">INDEX('Tiempos carretera (horas)'!E$45:E$1645,MATCH(C656&amp;D656,'Tiempos carretera (horas)'!C$45:C$1645&amp;'Tiempos carretera (horas)'!D$45:D$1645,0))</f>
        <v>3.53</v>
      </c>
      <c r="K656" s="12">
        <f t="shared" ca="1" si="60"/>
        <v>6.6757359487495158</v>
      </c>
      <c r="L656" s="12">
        <f t="shared" ca="1" si="61"/>
        <v>11.55331326580326</v>
      </c>
      <c r="M656" s="12">
        <f t="shared" ca="1" si="62"/>
        <v>0.26291247059325323</v>
      </c>
      <c r="N656" s="13">
        <f t="shared" ca="1" si="64"/>
        <v>-4.8775773170537438</v>
      </c>
      <c r="O656" s="13">
        <f t="shared" ca="1" si="65"/>
        <v>-31.232011107298703</v>
      </c>
      <c r="P656" s="12">
        <f t="shared" ca="1" si="63"/>
        <v>1.030885484245774</v>
      </c>
    </row>
    <row r="657" spans="1:16" x14ac:dyDescent="0.25">
      <c r="A657">
        <v>17</v>
      </c>
      <c r="B657">
        <v>39</v>
      </c>
      <c r="C657" s="2" t="s">
        <v>16</v>
      </c>
      <c r="D657" s="2" t="s">
        <v>38</v>
      </c>
      <c r="E657" s="11" cm="1">
        <f t="array" aca="1" ref="E657" ca="1">INDEX('OD flujo mercancia multimodal'!E$45:E$1645,MATCH(C657&amp;D657,'OD flujo mercancia multimodal'!C$45:C$1645&amp;'OD flujo mercancia multimodal'!D$45:D$1645,0))</f>
        <v>57390.230769230773</v>
      </c>
      <c r="F657" s="11" cm="1">
        <f t="array" aca="1" ref="F657" ca="1">INDEX('OD flujo mercancia carretera'!E$45:E$1646,MATCH(C657&amp;D657,'OD flujo mercancia carretera'!C$45:C$1646&amp;'OD flujo mercancia carretera'!D$45:D$1646,0))</f>
        <v>620236.6117216117</v>
      </c>
      <c r="G657" s="11" cm="1">
        <f t="array" aca="1" ref="G657" ca="1">INDEX('Coste Carretera'!E$46:E$1646,MATCH(C657&amp;D657,'Coste Carretera'!C$46:C$1646&amp;'Coste Carretera'!D$46:D$1646,0))</f>
        <v>1994161945.6800001</v>
      </c>
      <c r="H657" s="11" cm="1">
        <f t="array" aca="1" ref="H657" ca="1">INDEX('Coste multimodal'!E$46:E$1646,MATCH(C657&amp;D657,'Coste multimodal'!C$46:C$1646&amp;'Coste multimodal'!D$46:D$1646,0))</f>
        <v>769680285.63363147</v>
      </c>
      <c r="I657" s="12" cm="1">
        <f t="array" aca="1" ref="I657" ca="1">INDEX('Tiempos intermodal (horas)'!E$45:E$1645,MATCH(C657&amp;D657,'Tiempos intermodal (horas)'!C$45:C$1645&amp;'Tiempos intermodal (horas)'!D$45:D$1645,0))</f>
        <v>49.184962782118049</v>
      </c>
      <c r="J657" s="2" cm="1">
        <f t="array" aca="1" ref="J657" ca="1">INDEX('Tiempos carretera (horas)'!E$45:E$1645,MATCH(C657&amp;D657,'Tiempos carretera (horas)'!C$45:C$1645&amp;'Tiempos carretera (horas)'!D$45:D$1645,0))</f>
        <v>7.46</v>
      </c>
      <c r="K657" s="12">
        <f t="shared" ca="1" si="60"/>
        <v>3.2151632264092527</v>
      </c>
      <c r="L657" s="12">
        <f t="shared" ca="1" si="61"/>
        <v>13.411346762632085</v>
      </c>
      <c r="M657" s="12">
        <f t="shared" ca="1" si="62"/>
        <v>8.4692971367949246E-2</v>
      </c>
      <c r="N657" s="13">
        <f t="shared" ca="1" si="64"/>
        <v>-10.196183536222833</v>
      </c>
      <c r="O657" s="13">
        <f t="shared" ca="1" si="65"/>
        <v>-41.724962782118048</v>
      </c>
      <c r="P657" s="12">
        <f t="shared" ca="1" si="63"/>
        <v>2.380226943862696</v>
      </c>
    </row>
    <row r="658" spans="1:16" x14ac:dyDescent="0.25">
      <c r="A658">
        <v>22</v>
      </c>
      <c r="B658">
        <v>2</v>
      </c>
      <c r="C658" s="2" t="s">
        <v>21</v>
      </c>
      <c r="D658" s="2" t="s">
        <v>1</v>
      </c>
      <c r="E658" s="11" cm="1">
        <f t="array" aca="1" ref="E658" ca="1">INDEX('OD flujo mercancia multimodal'!E$45:E$1645,MATCH(C658&amp;D658,'OD flujo mercancia multimodal'!C$45:C$1645&amp;'OD flujo mercancia multimodal'!D$45:D$1645,0))</f>
        <v>29883.609890109859</v>
      </c>
      <c r="F658" s="11" cm="1">
        <f t="array" aca="1" ref="F658" ca="1">INDEX('OD flujo mercancia carretera'!E$45:E$1646,MATCH(C658&amp;D658,'OD flujo mercancia carretera'!C$45:C$1646&amp;'OD flujo mercancia carretera'!D$45:D$1646,0))</f>
        <v>166076.89743589747</v>
      </c>
      <c r="G658" s="11" cm="1">
        <f t="array" aca="1" ref="G658" ca="1">INDEX('Coste Carretera'!E$46:E$1646,MATCH(C658&amp;D658,'Coste Carretera'!C$46:C$1646&amp;'Coste Carretera'!D$46:D$1646,0))</f>
        <v>849092570.5628562</v>
      </c>
      <c r="H658" s="11" cm="1">
        <f t="array" aca="1" ref="H658" ca="1">INDEX('Coste multimodal'!E$46:E$1646,MATCH(C658&amp;D658,'Coste multimodal'!C$46:C$1646&amp;'Coste multimodal'!D$46:D$1646,0))</f>
        <v>4491074635.4140739</v>
      </c>
      <c r="I658" s="12" cm="1">
        <f t="array" aca="1" ref="I658" ca="1">INDEX('Tiempos intermodal (horas)'!E$45:E$1645,MATCH(C658&amp;D658,'Tiempos intermodal (horas)'!C$45:C$1645&amp;'Tiempos intermodal (horas)'!D$45:D$1645,0))</f>
        <v>68.161976107090751</v>
      </c>
      <c r="J658" s="2" cm="1">
        <f t="array" aca="1" ref="J658" ca="1">INDEX('Tiempos carretera (horas)'!E$45:E$1645,MATCH(C658&amp;D658,'Tiempos carretera (horas)'!C$45:C$1645&amp;'Tiempos carretera (horas)'!D$45:D$1645,0))</f>
        <v>5.71</v>
      </c>
      <c r="K658" s="12">
        <f t="shared" ca="1" si="60"/>
        <v>5.1126471151147905</v>
      </c>
      <c r="L658" s="12">
        <f t="shared" ca="1" si="61"/>
        <v>150.28554622179092</v>
      </c>
      <c r="M658" s="12">
        <f t="shared" ca="1" si="62"/>
        <v>0.15249812473895238</v>
      </c>
      <c r="N658" s="13">
        <f t="shared" ca="1" si="64"/>
        <v>-145.17289910667614</v>
      </c>
      <c r="O658" s="13">
        <f t="shared" ca="1" si="65"/>
        <v>-62.451976107090751</v>
      </c>
      <c r="P658" s="12">
        <f t="shared" ca="1" si="63"/>
        <v>1.7151407527714533</v>
      </c>
    </row>
    <row r="659" spans="1:16" x14ac:dyDescent="0.25">
      <c r="A659">
        <v>2</v>
      </c>
      <c r="B659">
        <v>22</v>
      </c>
      <c r="C659" s="2" t="s">
        <v>1</v>
      </c>
      <c r="D659" s="2" t="s">
        <v>21</v>
      </c>
      <c r="E659" s="11" cm="1">
        <f t="array" aca="1" ref="E659" ca="1">INDEX('OD flujo mercancia multimodal'!E$45:E$1645,MATCH(C659&amp;D659,'OD flujo mercancia multimodal'!C$45:C$1645&amp;'OD flujo mercancia multimodal'!D$45:D$1645,0))</f>
        <v>28164.1538461538</v>
      </c>
      <c r="F659" s="11" cm="1">
        <f t="array" aca="1" ref="F659" ca="1">INDEX('OD flujo mercancia carretera'!E$45:E$1646,MATCH(C659&amp;D659,'OD flujo mercancia carretera'!C$45:C$1646&amp;'OD flujo mercancia carretera'!D$45:D$1646,0))</f>
        <v>164997.33333333299</v>
      </c>
      <c r="G659" s="11" cm="1">
        <f t="array" aca="1" ref="G659" ca="1">INDEX('Coste Carretera'!E$46:E$1646,MATCH(C659&amp;D659,'Coste Carretera'!C$46:C$1646&amp;'Coste Carretera'!D$46:D$1646,0))</f>
        <v>800237115.75999856</v>
      </c>
      <c r="H659" s="11" cm="1">
        <f t="array" aca="1" ref="H659" ca="1">INDEX('Coste multimodal'!E$46:E$1646,MATCH(C659&amp;D659,'Coste multimodal'!C$46:C$1646&amp;'Coste multimodal'!D$46:D$1646,0))</f>
        <v>4491074635.4140739</v>
      </c>
      <c r="I659" s="12" cm="1">
        <f t="array" aca="1" ref="I659" ca="1">INDEX('Tiempos intermodal (horas)'!E$45:E$1645,MATCH(C659&amp;D659,'Tiempos intermodal (horas)'!C$45:C$1645&amp;'Tiempos intermodal (horas)'!D$45:D$1645,0))</f>
        <v>68.161976107090751</v>
      </c>
      <c r="J659" s="2" cm="1">
        <f t="array" aca="1" ref="J659" ca="1">INDEX('Tiempos carretera (horas)'!E$45:E$1645,MATCH(C659&amp;D659,'Tiempos carretera (horas)'!C$45:C$1645&amp;'Tiempos carretera (horas)'!D$45:D$1645,0))</f>
        <v>5.71</v>
      </c>
      <c r="K659" s="12">
        <f t="shared" ca="1" si="60"/>
        <v>4.8500002975401637</v>
      </c>
      <c r="L659" s="12">
        <f t="shared" ca="1" si="61"/>
        <v>159.46066265461022</v>
      </c>
      <c r="M659" s="12">
        <f t="shared" ca="1" si="62"/>
        <v>0.14580625909130376</v>
      </c>
      <c r="N659" s="13">
        <f t="shared" ca="1" si="64"/>
        <v>-154.61066235707005</v>
      </c>
      <c r="O659" s="13">
        <f t="shared" ca="1" si="65"/>
        <v>-62.451976107090751</v>
      </c>
      <c r="P659" s="12">
        <f t="shared" ca="1" si="63"/>
        <v>1.7678792830010623</v>
      </c>
    </row>
    <row r="660" spans="1:16" x14ac:dyDescent="0.25">
      <c r="A660">
        <v>3</v>
      </c>
      <c r="B660">
        <v>12</v>
      </c>
      <c r="C660" s="2" t="s">
        <v>2</v>
      </c>
      <c r="D660" s="2" t="s">
        <v>11</v>
      </c>
      <c r="E660" s="11" cm="1">
        <f t="array" aca="1" ref="E660" ca="1">INDEX('OD flujo mercancia multimodal'!E$45:E$1645,MATCH(C660&amp;D660,'OD flujo mercancia multimodal'!C$45:C$1645&amp;'OD flujo mercancia multimodal'!D$45:D$1645,0))</f>
        <v>33193.571428571428</v>
      </c>
      <c r="F660" s="11" cm="1">
        <f t="array" aca="1" ref="F660" ca="1">INDEX('OD flujo mercancia carretera'!E$45:E$1646,MATCH(C660&amp;D660,'OD flujo mercancia carretera'!C$45:C$1646&amp;'OD flujo mercancia carretera'!D$45:D$1646,0))</f>
        <v>79538.846153846127</v>
      </c>
      <c r="G660" s="11" cm="1">
        <f t="array" aca="1" ref="G660" ca="1">INDEX('Coste Carretera'!E$46:E$1646,MATCH(C660&amp;D660,'Coste Carretera'!C$46:C$1646&amp;'Coste Carretera'!D$46:D$1646,0))</f>
        <v>2560946439.6285715</v>
      </c>
      <c r="H660" s="11" cm="1">
        <f t="array" aca="1" ref="H660" ca="1">INDEX('Coste multimodal'!E$46:E$1646,MATCH(C660&amp;D660,'Coste multimodal'!C$46:C$1646&amp;'Coste multimodal'!D$46:D$1646,0))</f>
        <v>785819830.45220244</v>
      </c>
      <c r="I660" s="12" cm="1">
        <f t="array" aca="1" ref="I660" ca="1">INDEX('Tiempos intermodal (horas)'!E$45:E$1645,MATCH(C660&amp;D660,'Tiempos intermodal (horas)'!C$45:C$1645&amp;'Tiempos intermodal (horas)'!D$45:D$1645,0))</f>
        <v>56.635189060153905</v>
      </c>
      <c r="J660" s="2" cm="1">
        <f t="array" aca="1" ref="J660" ca="1">INDEX('Tiempos carretera (horas)'!E$45:E$1645,MATCH(C660&amp;D660,'Tiempos carretera (horas)'!C$45:C$1645&amp;'Tiempos carretera (horas)'!D$45:D$1645,0))</f>
        <v>14.75</v>
      </c>
      <c r="K660" s="12">
        <f t="shared" ca="1" si="60"/>
        <v>32.197430104468971</v>
      </c>
      <c r="L660" s="12">
        <f t="shared" ca="1" si="61"/>
        <v>23.673856009835884</v>
      </c>
      <c r="M660" s="12">
        <f t="shared" ca="1" si="62"/>
        <v>0.29444566292835811</v>
      </c>
      <c r="N660" s="13">
        <f t="shared" ca="1" si="64"/>
        <v>8.5235740946330871</v>
      </c>
      <c r="O660" s="13">
        <f t="shared" ca="1" si="65"/>
        <v>-41.885189060153905</v>
      </c>
      <c r="P660" s="12">
        <f t="shared" ca="1" si="63"/>
        <v>0.8738893076812122</v>
      </c>
    </row>
    <row r="661" spans="1:16" x14ac:dyDescent="0.25">
      <c r="A661">
        <v>21</v>
      </c>
      <c r="B661">
        <v>29</v>
      </c>
      <c r="C661" s="2" t="s">
        <v>20</v>
      </c>
      <c r="D661" s="2" t="s">
        <v>147</v>
      </c>
      <c r="E661" s="11" cm="1">
        <f t="array" aca="1" ref="E661" ca="1">INDEX('OD flujo mercancia multimodal'!E$45:E$1645,MATCH(C661&amp;D661,'OD flujo mercancia multimodal'!C$45:C$1645&amp;'OD flujo mercancia multimodal'!D$45:D$1645,0))</f>
        <v>59737.838461538464</v>
      </c>
      <c r="F661" s="11" cm="1">
        <f t="array" aca="1" ref="F661" ca="1">INDEX('OD flujo mercancia carretera'!E$45:E$1646,MATCH(C661&amp;D661,'OD flujo mercancia carretera'!C$45:C$1646&amp;'OD flujo mercancia carretera'!D$45:D$1646,0))</f>
        <v>471353.4</v>
      </c>
      <c r="G661" s="11" cm="1">
        <f t="array" aca="1" ref="G661" ca="1">INDEX('Coste Carretera'!E$46:E$1646,MATCH(C661&amp;D661,'Coste Carretera'!C$46:C$1646&amp;'Coste Carretera'!D$46:D$1646,0))</f>
        <v>1308308842.092</v>
      </c>
      <c r="H661" s="11" cm="1">
        <f t="array" aca="1" ref="H661" ca="1">INDEX('Coste multimodal'!E$46:E$1646,MATCH(C661&amp;D661,'Coste multimodal'!C$46:C$1646&amp;'Coste multimodal'!D$46:D$1646,0))</f>
        <v>977178284.1047883</v>
      </c>
      <c r="I661" s="12" cm="1">
        <f t="array" aca="1" ref="I661" ca="1">INDEX('Tiempos intermodal (horas)'!E$45:E$1645,MATCH(C661&amp;D661,'Tiempos intermodal (horas)'!C$45:C$1645&amp;'Tiempos intermodal (horas)'!D$45:D$1645,0))</f>
        <v>50.416611260674735</v>
      </c>
      <c r="J661" s="2" cm="1">
        <f t="array" aca="1" ref="J661" ca="1">INDEX('Tiempos carretera (horas)'!E$45:E$1645,MATCH(C661&amp;D661,'Tiempos carretera (horas)'!C$45:C$1645&amp;'Tiempos carretera (horas)'!D$45:D$1645,0))</f>
        <v>4.5199999999999996</v>
      </c>
      <c r="K661" s="12">
        <f t="shared" ca="1" si="60"/>
        <v>2.7756431630534544</v>
      </c>
      <c r="L661" s="12">
        <f t="shared" ca="1" si="61"/>
        <v>16.357777738040081</v>
      </c>
      <c r="M661" s="12">
        <f t="shared" ca="1" si="62"/>
        <v>0.11248131043281119</v>
      </c>
      <c r="N661" s="13">
        <f t="shared" ca="1" si="64"/>
        <v>-13.582134574986627</v>
      </c>
      <c r="O661" s="13">
        <f t="shared" ca="1" si="65"/>
        <v>-45.896611260674732</v>
      </c>
      <c r="P661" s="12">
        <f t="shared" ca="1" si="63"/>
        <v>2.0656425014377748</v>
      </c>
    </row>
    <row r="662" spans="1:16" x14ac:dyDescent="0.25">
      <c r="A662">
        <v>29</v>
      </c>
      <c r="B662">
        <v>21</v>
      </c>
      <c r="C662" s="2" t="s">
        <v>147</v>
      </c>
      <c r="D662" s="2" t="s">
        <v>20</v>
      </c>
      <c r="E662" s="11" cm="1">
        <f t="array" aca="1" ref="E662" ca="1">INDEX('OD flujo mercancia multimodal'!E$45:E$1645,MATCH(C662&amp;D662,'OD flujo mercancia multimodal'!C$45:C$1645&amp;'OD flujo mercancia multimodal'!D$45:D$1645,0))</f>
        <v>60582.107692307705</v>
      </c>
      <c r="F662" s="11" cm="1">
        <f t="array" aca="1" ref="F662" ca="1">INDEX('OD flujo mercancia carretera'!E$45:E$1646,MATCH(C662&amp;D662,'OD flujo mercancia carretera'!C$45:C$1646&amp;'OD flujo mercancia carretera'!D$45:D$1646,0))</f>
        <v>469977.433333333</v>
      </c>
      <c r="G662" s="11" cm="1">
        <f t="array" aca="1" ref="G662" ca="1">INDEX('Coste Carretera'!E$46:E$1646,MATCH(C662&amp;D662,'Coste Carretera'!C$46:C$1646&amp;'Coste Carretera'!D$46:D$1646,0))</f>
        <v>1326799047.4320002</v>
      </c>
      <c r="H662" s="11" cm="1">
        <f t="array" aca="1" ref="H662" ca="1">INDEX('Coste multimodal'!E$46:E$1646,MATCH(C662&amp;D662,'Coste multimodal'!C$46:C$1646&amp;'Coste multimodal'!D$46:D$1646,0))</f>
        <v>977178284.1047883</v>
      </c>
      <c r="I662" s="12" cm="1">
        <f t="array" aca="1" ref="I662" ca="1">INDEX('Tiempos intermodal (horas)'!E$45:E$1645,MATCH(C662&amp;D662,'Tiempos intermodal (horas)'!C$45:C$1645&amp;'Tiempos intermodal (horas)'!D$45:D$1645,0))</f>
        <v>50.416611260674735</v>
      </c>
      <c r="J662" s="2" cm="1">
        <f t="array" aca="1" ref="J662" ca="1">INDEX('Tiempos carretera (horas)'!E$45:E$1645,MATCH(C662&amp;D662,'Tiempos carretera (horas)'!C$45:C$1645&amp;'Tiempos carretera (horas)'!D$45:D$1645,0))</f>
        <v>4.5199999999999996</v>
      </c>
      <c r="K662" s="12">
        <f t="shared" ca="1" si="60"/>
        <v>2.82311224609579</v>
      </c>
      <c r="L662" s="12">
        <f t="shared" ca="1" si="61"/>
        <v>16.129816563461421</v>
      </c>
      <c r="M662" s="12">
        <f t="shared" ca="1" si="62"/>
        <v>0.11418531382018803</v>
      </c>
      <c r="N662" s="13">
        <f t="shared" ca="1" si="64"/>
        <v>-13.306704317365632</v>
      </c>
      <c r="O662" s="13">
        <f t="shared" ca="1" si="65"/>
        <v>-45.896611260674732</v>
      </c>
      <c r="P662" s="12">
        <f t="shared" ca="1" si="63"/>
        <v>2.0486850824895337</v>
      </c>
    </row>
    <row r="663" spans="1:16" x14ac:dyDescent="0.25">
      <c r="A663">
        <v>9</v>
      </c>
      <c r="B663">
        <v>11</v>
      </c>
      <c r="C663" s="2" t="s">
        <v>148</v>
      </c>
      <c r="D663" s="2" t="s">
        <v>10</v>
      </c>
      <c r="E663" s="11" cm="1">
        <f t="array" aca="1" ref="E663" ca="1">INDEX('OD flujo mercancia multimodal'!E$45:E$1645,MATCH(C663&amp;D663,'OD flujo mercancia multimodal'!C$45:C$1645&amp;'OD flujo mercancia multimodal'!D$45:D$1645,0))</f>
        <v>22164.884615384599</v>
      </c>
      <c r="F663" s="11" cm="1">
        <f t="array" aca="1" ref="F663" ca="1">INDEX('OD flujo mercancia carretera'!E$45:E$1646,MATCH(C663&amp;D663,'OD flujo mercancia carretera'!C$45:C$1646&amp;'OD flujo mercancia carretera'!D$45:D$1646,0))</f>
        <v>672440.29700854712</v>
      </c>
      <c r="G663" s="11" cm="1">
        <f t="array" aca="1" ref="G663" ca="1">INDEX('Coste Carretera'!E$46:E$1646,MATCH(C663&amp;D663,'Coste Carretera'!C$46:C$1646&amp;'Coste Carretera'!D$46:D$1646,0))</f>
        <v>2438788955.2999978</v>
      </c>
      <c r="H663" s="11" cm="1">
        <f t="array" aca="1" ref="H663" ca="1">INDEX('Coste multimodal'!E$46:E$1646,MATCH(C663&amp;D663,'Coste multimodal'!C$46:C$1646&amp;'Coste multimodal'!D$46:D$1646,0))</f>
        <v>716645617.64789629</v>
      </c>
      <c r="I663" s="12" cm="1">
        <f t="array" aca="1" ref="I663" ca="1">INDEX('Tiempos intermodal (horas)'!E$45:E$1645,MATCH(C663&amp;D663,'Tiempos intermodal (horas)'!C$45:C$1645&amp;'Tiempos intermodal (horas)'!D$45:D$1645,0))</f>
        <v>63.944191957582575</v>
      </c>
      <c r="J663" s="2" cm="1">
        <f t="array" aca="1" ref="J663" ca="1">INDEX('Tiempos carretera (horas)'!E$45:E$1645,MATCH(C663&amp;D663,'Tiempos carretera (horas)'!C$45:C$1645&amp;'Tiempos carretera (horas)'!D$45:D$1645,0))</f>
        <v>22.03</v>
      </c>
      <c r="K663" s="12">
        <f t="shared" ca="1" si="60"/>
        <v>3.62677395472776</v>
      </c>
      <c r="L663" s="12">
        <f t="shared" ca="1" si="61"/>
        <v>32.332476802088749</v>
      </c>
      <c r="M663" s="12">
        <f t="shared" ca="1" si="62"/>
        <v>3.1910047897375109E-2</v>
      </c>
      <c r="N663" s="13">
        <f t="shared" ca="1" si="64"/>
        <v>-28.705702847360989</v>
      </c>
      <c r="O663" s="13">
        <f t="shared" ca="1" si="65"/>
        <v>-41.914191957582574</v>
      </c>
      <c r="P663" s="12">
        <f t="shared" ca="1" si="63"/>
        <v>3.4124040673814999</v>
      </c>
    </row>
    <row r="664" spans="1:16" x14ac:dyDescent="0.25">
      <c r="A664">
        <v>11</v>
      </c>
      <c r="B664">
        <v>9</v>
      </c>
      <c r="C664" s="2" t="s">
        <v>10</v>
      </c>
      <c r="D664" s="2" t="s">
        <v>148</v>
      </c>
      <c r="E664" s="11" cm="1">
        <f t="array" aca="1" ref="E664" ca="1">INDEX('OD flujo mercancia multimodal'!E$45:E$1645,MATCH(C664&amp;D664,'OD flujo mercancia multimodal'!C$45:C$1645&amp;'OD flujo mercancia multimodal'!D$45:D$1645,0))</f>
        <v>11291.223776223775</v>
      </c>
      <c r="F664" s="11" cm="1">
        <f t="array" aca="1" ref="F664" ca="1">INDEX('OD flujo mercancia carretera'!E$45:E$1646,MATCH(C664&amp;D664,'OD flujo mercancia carretera'!C$45:C$1646&amp;'OD flujo mercancia carretera'!D$45:D$1646,0))</f>
        <v>667850.85256410274</v>
      </c>
      <c r="G664" s="11" cm="1">
        <f t="array" aca="1" ref="G664" ca="1">INDEX('Coste Carretera'!E$46:E$1646,MATCH(C664&amp;D664,'Coste Carretera'!C$46:C$1646&amp;'Coste Carretera'!D$46:D$1646,0))</f>
        <v>1242366577.363636</v>
      </c>
      <c r="H664" s="11" cm="1">
        <f t="array" aca="1" ref="H664" ca="1">INDEX('Coste multimodal'!E$46:E$1646,MATCH(C664&amp;D664,'Coste multimodal'!C$46:C$1646&amp;'Coste multimodal'!D$46:D$1646,0))</f>
        <v>716645617.64789629</v>
      </c>
      <c r="I664" s="12" cm="1">
        <f t="array" aca="1" ref="I664" ca="1">INDEX('Tiempos intermodal (horas)'!E$45:E$1645,MATCH(C664&amp;D664,'Tiempos intermodal (horas)'!C$45:C$1645&amp;'Tiempos intermodal (horas)'!D$45:D$1645,0))</f>
        <v>63.944191957582575</v>
      </c>
      <c r="J664" s="2" cm="1">
        <f t="array" aca="1" ref="J664" ca="1">INDEX('Tiempos carretera (horas)'!E$45:E$1645,MATCH(C664&amp;D664,'Tiempos carretera (horas)'!C$45:C$1645&amp;'Tiempos carretera (horas)'!D$45:D$1645,0))</f>
        <v>22.03</v>
      </c>
      <c r="K664" s="12">
        <f t="shared" ca="1" si="60"/>
        <v>1.8602455512241622</v>
      </c>
      <c r="L664" s="12">
        <f t="shared" ca="1" si="61"/>
        <v>63.46926000678117</v>
      </c>
      <c r="M664" s="12">
        <f t="shared" ca="1" si="62"/>
        <v>1.6625716723470397E-2</v>
      </c>
      <c r="N664" s="13">
        <f t="shared" ca="1" si="64"/>
        <v>-61.609014455557009</v>
      </c>
      <c r="O664" s="13">
        <f t="shared" ca="1" si="65"/>
        <v>-41.914191957582574</v>
      </c>
      <c r="P664" s="12">
        <f t="shared" ca="1" si="63"/>
        <v>4.0800391070098518</v>
      </c>
    </row>
    <row r="665" spans="1:16" x14ac:dyDescent="0.25">
      <c r="A665">
        <v>38</v>
      </c>
      <c r="B665">
        <v>13</v>
      </c>
      <c r="C665" s="2" t="s">
        <v>37</v>
      </c>
      <c r="D665" s="2" t="s">
        <v>12</v>
      </c>
      <c r="E665" s="11" cm="1">
        <f t="array" aca="1" ref="E665" ca="1">INDEX('OD flujo mercancia multimodal'!E$45:E$1645,MATCH(C665&amp;D665,'OD flujo mercancia multimodal'!C$45:C$1645&amp;'OD flujo mercancia multimodal'!D$45:D$1645,0))</f>
        <v>3316.3846153846198</v>
      </c>
      <c r="F665" s="11" cm="1">
        <f t="array" aca="1" ref="F665" ca="1">INDEX('OD flujo mercancia carretera'!E$45:E$1646,MATCH(C665&amp;D665,'OD flujo mercancia carretera'!C$45:C$1646&amp;'OD flujo mercancia carretera'!D$45:D$1646,0))</f>
        <v>29070.23076923081</v>
      </c>
      <c r="G665" s="11" cm="1">
        <f t="array" aca="1" ref="G665" ca="1">INDEX('Coste Carretera'!E$46:E$1646,MATCH(C665&amp;D665,'Coste Carretera'!C$46:C$1646&amp;'Coste Carretera'!D$46:D$1646,0))</f>
        <v>457176944.4000001</v>
      </c>
      <c r="H665" s="11" cm="1">
        <f t="array" aca="1" ref="H665" ca="1">INDEX('Coste multimodal'!E$46:E$1646,MATCH(C665&amp;D665,'Coste multimodal'!C$46:C$1646&amp;'Coste multimodal'!D$46:D$1646,0))</f>
        <v>25112733.203740384</v>
      </c>
      <c r="I665" s="12" cm="1">
        <f t="array" aca="1" ref="I665" ca="1">INDEX('Tiempos intermodal (horas)'!E$45:E$1645,MATCH(C665&amp;D665,'Tiempos intermodal (horas)'!C$45:C$1645&amp;'Tiempos intermodal (horas)'!D$45:D$1645,0))</f>
        <v>51.502977761941629</v>
      </c>
      <c r="J665" s="2" cm="1">
        <f t="array" aca="1" ref="J665" ca="1">INDEX('Tiempos carretera (horas)'!E$45:E$1645,MATCH(C665&amp;D665,'Tiempos carretera (horas)'!C$45:C$1645&amp;'Tiempos carretera (horas)'!D$45:D$1645,0))</f>
        <v>9.5</v>
      </c>
      <c r="K665" s="12">
        <f t="shared" ca="1" si="60"/>
        <v>15.726636228973318</v>
      </c>
      <c r="L665" s="12">
        <f t="shared" ca="1" si="61"/>
        <v>7.5723223076247201</v>
      </c>
      <c r="M665" s="12">
        <f t="shared" ca="1" si="62"/>
        <v>0.10239985179062575</v>
      </c>
      <c r="N665" s="13">
        <f t="shared" ca="1" si="64"/>
        <v>8.1543139213485976</v>
      </c>
      <c r="O665" s="13">
        <f t="shared" ca="1" si="65"/>
        <v>-42.002977761941629</v>
      </c>
      <c r="P665" s="12">
        <f t="shared" ca="1" si="63"/>
        <v>2.1708394346386242</v>
      </c>
    </row>
    <row r="666" spans="1:16" x14ac:dyDescent="0.25">
      <c r="A666">
        <v>13</v>
      </c>
      <c r="B666">
        <v>38</v>
      </c>
      <c r="C666" s="2" t="s">
        <v>12</v>
      </c>
      <c r="D666" s="2" t="s">
        <v>37</v>
      </c>
      <c r="E666" s="11" cm="1">
        <f t="array" aca="1" ref="E666" ca="1">INDEX('OD flujo mercancia multimodal'!E$45:E$1645,MATCH(C666&amp;D666,'OD flujo mercancia multimodal'!C$45:C$1645&amp;'OD flujo mercancia multimodal'!D$45:D$1645,0))</f>
        <v>1915.8461538461538</v>
      </c>
      <c r="F666" s="11" cm="1">
        <f t="array" aca="1" ref="F666" ca="1">INDEX('OD flujo mercancia carretera'!E$45:E$1646,MATCH(C666&amp;D666,'OD flujo mercancia carretera'!C$45:C$1646&amp;'OD flujo mercancia carretera'!D$45:D$1646,0))</f>
        <v>30202.692307692312</v>
      </c>
      <c r="G666" s="11" cm="1">
        <f t="array" aca="1" ref="G666" ca="1">INDEX('Coste Carretera'!E$46:E$1646,MATCH(C666&amp;D666,'Coste Carretera'!C$46:C$1646&amp;'Coste Carretera'!D$46:D$1646,0))</f>
        <v>614315451.20000231</v>
      </c>
      <c r="H666" s="11" cm="1">
        <f t="array" aca="1" ref="H666" ca="1">INDEX('Coste multimodal'!E$46:E$1646,MATCH(C666&amp;D666,'Coste multimodal'!C$46:C$1646&amp;'Coste multimodal'!D$46:D$1646,0))</f>
        <v>25112733.203740384</v>
      </c>
      <c r="I666" s="12" cm="1">
        <f t="array" aca="1" ref="I666" ca="1">INDEX('Tiempos intermodal (horas)'!E$45:E$1645,MATCH(C666&amp;D666,'Tiempos intermodal (horas)'!C$45:C$1645&amp;'Tiempos intermodal (horas)'!D$45:D$1645,0))</f>
        <v>51.502977761941629</v>
      </c>
      <c r="J666" s="2" cm="1">
        <f t="array" aca="1" ref="J666" ca="1">INDEX('Tiempos carretera (horas)'!E$45:E$1645,MATCH(C666&amp;D666,'Tiempos carretera (horas)'!C$45:C$1645&amp;'Tiempos carretera (horas)'!D$45:D$1645,0))</f>
        <v>9.5</v>
      </c>
      <c r="K666" s="12">
        <f t="shared" ref="K666:K729" ca="1" si="66">G666/(F666*1000)</f>
        <v>20.339757957390525</v>
      </c>
      <c r="L666" s="12">
        <f t="shared" ref="L666:L729" ca="1" si="67">H666/(E666*1000)</f>
        <v>13.107906996250904</v>
      </c>
      <c r="M666" s="12">
        <f t="shared" ref="M666:M729" ca="1" si="68">E666/(E666+F666)</f>
        <v>5.9649232051463205E-2</v>
      </c>
      <c r="N666" s="13">
        <f t="shared" ca="1" si="64"/>
        <v>7.2318509611396209</v>
      </c>
      <c r="O666" s="13">
        <f t="shared" ca="1" si="65"/>
        <v>-42.002977761941629</v>
      </c>
      <c r="P666" s="12">
        <f t="shared" ref="P666:P729" ca="1" si="69">LN(1/M666-1)</f>
        <v>2.7577716888311796</v>
      </c>
    </row>
    <row r="667" spans="1:16" x14ac:dyDescent="0.25">
      <c r="A667">
        <v>19</v>
      </c>
      <c r="B667">
        <v>39</v>
      </c>
      <c r="C667" s="2" t="s">
        <v>18</v>
      </c>
      <c r="D667" s="2" t="s">
        <v>38</v>
      </c>
      <c r="E667" s="11" cm="1">
        <f t="array" aca="1" ref="E667" ca="1">INDEX('OD flujo mercancia multimodal'!E$45:E$1645,MATCH(C667&amp;D667,'OD flujo mercancia multimodal'!C$45:C$1645&amp;'OD flujo mercancia multimodal'!D$45:D$1645,0))</f>
        <v>4985.3076923076969</v>
      </c>
      <c r="F667" s="11" cm="1">
        <f t="array" aca="1" ref="F667" ca="1">INDEX('OD flujo mercancia carretera'!E$45:E$1646,MATCH(C667&amp;D667,'OD flujo mercancia carretera'!C$45:C$1646&amp;'OD flujo mercancia carretera'!D$45:D$1646,0))</f>
        <v>131313.84249084251</v>
      </c>
      <c r="G667" s="11" cm="1">
        <f t="array" aca="1" ref="G667" ca="1">INDEX('Coste Carretera'!E$46:E$1646,MATCH(C667&amp;D667,'Coste Carretera'!C$46:C$1646&amp;'Coste Carretera'!D$46:D$1646,0))</f>
        <v>154176508.08000001</v>
      </c>
      <c r="H667" s="11" cm="1">
        <f t="array" aca="1" ref="H667" ca="1">INDEX('Coste multimodal'!E$46:E$1646,MATCH(C667&amp;D667,'Coste multimodal'!C$46:C$1646&amp;'Coste multimodal'!D$46:D$1646,0))</f>
        <v>138353681.87714833</v>
      </c>
      <c r="I667" s="12" cm="1">
        <f t="array" aca="1" ref="I667" ca="1">INDEX('Tiempos intermodal (horas)'!E$45:E$1645,MATCH(C667&amp;D667,'Tiempos intermodal (horas)'!C$45:C$1645&amp;'Tiempos intermodal (horas)'!D$45:D$1645,0))</f>
        <v>57.18370453265765</v>
      </c>
      <c r="J667" s="2" cm="1">
        <f t="array" aca="1" ref="J667" ca="1">INDEX('Tiempos carretera (horas)'!E$45:E$1645,MATCH(C667&amp;D667,'Tiempos carretera (horas)'!C$45:C$1645&amp;'Tiempos carretera (horas)'!D$45:D$1645,0))</f>
        <v>15.13</v>
      </c>
      <c r="K667" s="12">
        <f t="shared" ca="1" si="66"/>
        <v>1.174107048849415</v>
      </c>
      <c r="L667" s="12">
        <f t="shared" ca="1" si="67"/>
        <v>27.752285398678065</v>
      </c>
      <c r="M667" s="12">
        <f t="shared" ca="1" si="68"/>
        <v>3.6576219922198748E-2</v>
      </c>
      <c r="N667" s="13">
        <f t="shared" ca="1" si="64"/>
        <v>-26.578178349828651</v>
      </c>
      <c r="O667" s="13">
        <f t="shared" ca="1" si="65"/>
        <v>-42.053704532657648</v>
      </c>
      <c r="P667" s="12">
        <f t="shared" ca="1" si="69"/>
        <v>3.2710950770448051</v>
      </c>
    </row>
    <row r="668" spans="1:16" x14ac:dyDescent="0.25">
      <c r="A668">
        <v>39</v>
      </c>
      <c r="B668">
        <v>19</v>
      </c>
      <c r="C668" s="2" t="s">
        <v>38</v>
      </c>
      <c r="D668" s="2" t="s">
        <v>18</v>
      </c>
      <c r="E668" s="11" cm="1">
        <f t="array" aca="1" ref="E668" ca="1">INDEX('OD flujo mercancia multimodal'!E$45:E$1645,MATCH(C668&amp;D668,'OD flujo mercancia multimodal'!C$45:C$1645&amp;'OD flujo mercancia multimodal'!D$45:D$1645,0))</f>
        <v>1309.9230769230801</v>
      </c>
      <c r="F668" s="11" cm="1">
        <f t="array" aca="1" ref="F668" ca="1">INDEX('OD flujo mercancia carretera'!E$45:E$1646,MATCH(C668&amp;D668,'OD flujo mercancia carretera'!C$45:C$1646&amp;'OD flujo mercancia carretera'!D$45:D$1646,0))</f>
        <v>96697.076923076907</v>
      </c>
      <c r="G668" s="11" cm="1">
        <f t="array" aca="1" ref="G668" ca="1">INDEX('Coste Carretera'!E$46:E$1646,MATCH(C668&amp;D668,'Coste Carretera'!C$46:C$1646&amp;'Coste Carretera'!D$46:D$1646,0))</f>
        <v>698619391.68000031</v>
      </c>
      <c r="H668" s="11" cm="1">
        <f t="array" aca="1" ref="H668" ca="1">INDEX('Coste multimodal'!E$46:E$1646,MATCH(C668&amp;D668,'Coste multimodal'!C$46:C$1646&amp;'Coste multimodal'!D$46:D$1646,0))</f>
        <v>26096331.723872628</v>
      </c>
      <c r="I668" s="12" cm="1">
        <f t="array" aca="1" ref="I668" ca="1">INDEX('Tiempos intermodal (horas)'!E$45:E$1645,MATCH(C668&amp;D668,'Tiempos intermodal (horas)'!C$45:C$1645&amp;'Tiempos intermodal (horas)'!D$45:D$1645,0))</f>
        <v>69.345939561631937</v>
      </c>
      <c r="J668" s="2" cm="1">
        <f t="array" aca="1" ref="J668" ca="1">INDEX('Tiempos carretera (horas)'!E$45:E$1645,MATCH(C668&amp;D668,'Tiempos carretera (horas)'!C$45:C$1645&amp;'Tiempos carretera (horas)'!D$45:D$1645,0))</f>
        <v>19.16</v>
      </c>
      <c r="K668" s="12">
        <f t="shared" ca="1" si="66"/>
        <v>7.2248243060724171</v>
      </c>
      <c r="L668" s="12">
        <f t="shared" ca="1" si="67"/>
        <v>19.922033731302093</v>
      </c>
      <c r="M668" s="12">
        <f t="shared" ca="1" si="68"/>
        <v>1.3365607323181816E-2</v>
      </c>
      <c r="N668" s="13">
        <f t="shared" ca="1" si="64"/>
        <v>-12.697209425229676</v>
      </c>
      <c r="O668" s="13">
        <f t="shared" ca="1" si="65"/>
        <v>-50.18593956163194</v>
      </c>
      <c r="P668" s="12">
        <f t="shared" ca="1" si="69"/>
        <v>4.3016147581161928</v>
      </c>
    </row>
    <row r="669" spans="1:16" x14ac:dyDescent="0.25">
      <c r="A669">
        <v>41</v>
      </c>
      <c r="B669">
        <v>14</v>
      </c>
      <c r="C669" s="2" t="s">
        <v>40</v>
      </c>
      <c r="D669" s="2" t="s">
        <v>13</v>
      </c>
      <c r="E669" s="11" cm="1">
        <f t="array" aca="1" ref="E669" ca="1">INDEX('OD flujo mercancia multimodal'!E$45:E$1645,MATCH(C669&amp;D669,'OD flujo mercancia multimodal'!C$45:C$1645&amp;'OD flujo mercancia multimodal'!D$45:D$1645,0))</f>
        <v>31598.538461538446</v>
      </c>
      <c r="F669" s="11" cm="1">
        <f t="array" aca="1" ref="F669" ca="1">INDEX('OD flujo mercancia carretera'!E$45:E$1646,MATCH(C669&amp;D669,'OD flujo mercancia carretera'!C$45:C$1646&amp;'OD flujo mercancia carretera'!D$45:D$1646,0))</f>
        <v>236814.26923076899</v>
      </c>
      <c r="G669" s="11" cm="1">
        <f t="array" aca="1" ref="G669" ca="1">INDEX('Coste Carretera'!E$46:E$1646,MATCH(C669&amp;D669,'Coste Carretera'!C$46:C$1646&amp;'Coste Carretera'!D$46:D$1646,0))</f>
        <v>1170296413.1999993</v>
      </c>
      <c r="H669" s="11" cm="1">
        <f t="array" aca="1" ref="H669" ca="1">INDEX('Coste multimodal'!E$46:E$1646,MATCH(C669&amp;D669,'Coste multimodal'!C$46:C$1646&amp;'Coste multimodal'!D$46:D$1646,0))</f>
        <v>119116303.3455506</v>
      </c>
      <c r="I669" s="12" cm="1">
        <f t="array" aca="1" ref="I669" ca="1">INDEX('Tiempos intermodal (horas)'!E$45:E$1645,MATCH(C669&amp;D669,'Tiempos intermodal (horas)'!C$45:C$1645&amp;'Tiempos intermodal (horas)'!D$45:D$1645,0))</f>
        <v>53.790579519754125</v>
      </c>
      <c r="J669" s="2" cm="1">
        <f t="array" aca="1" ref="J669" ca="1">INDEX('Tiempos carretera (horas)'!E$45:E$1645,MATCH(C669&amp;D669,'Tiempos carretera (horas)'!C$45:C$1645&amp;'Tiempos carretera (horas)'!D$45:D$1645,0))</f>
        <v>8.1300000000000008</v>
      </c>
      <c r="K669" s="12">
        <f t="shared" ca="1" si="66"/>
        <v>4.9418323355320188</v>
      </c>
      <c r="L669" s="12">
        <f t="shared" ca="1" si="67"/>
        <v>3.7696776226070789</v>
      </c>
      <c r="M669" s="12">
        <f t="shared" ca="1" si="68"/>
        <v>0.11772366130069746</v>
      </c>
      <c r="N669" s="13">
        <f t="shared" ca="1" si="64"/>
        <v>1.1721547129249399</v>
      </c>
      <c r="O669" s="13">
        <f t="shared" ca="1" si="65"/>
        <v>-45.660579519754123</v>
      </c>
      <c r="P669" s="12">
        <f t="shared" ca="1" si="69"/>
        <v>2.0141652914641504</v>
      </c>
    </row>
    <row r="670" spans="1:16" x14ac:dyDescent="0.25">
      <c r="A670">
        <v>14</v>
      </c>
      <c r="B670">
        <v>41</v>
      </c>
      <c r="C670" s="2" t="s">
        <v>13</v>
      </c>
      <c r="D670" s="2" t="s">
        <v>40</v>
      </c>
      <c r="E670" s="11" cm="1">
        <f t="array" aca="1" ref="E670" ca="1">INDEX('OD flujo mercancia multimodal'!E$45:E$1645,MATCH(C670&amp;D670,'OD flujo mercancia multimodal'!C$45:C$1645&amp;'OD flujo mercancia multimodal'!D$45:D$1645,0))</f>
        <v>33636.769230769227</v>
      </c>
      <c r="F670" s="11" cm="1">
        <f t="array" aca="1" ref="F670" ca="1">INDEX('OD flujo mercancia carretera'!E$45:E$1646,MATCH(C670&amp;D670,'OD flujo mercancia carretera'!C$45:C$1646&amp;'OD flujo mercancia carretera'!D$45:D$1646,0))</f>
        <v>124918.10805860808</v>
      </c>
      <c r="G670" s="11" cm="1">
        <f t="array" aca="1" ref="G670" ca="1">INDEX('Coste Carretera'!E$46:E$1646,MATCH(C670&amp;D670,'Coste Carretera'!C$46:C$1646&amp;'Coste Carretera'!D$46:D$1646,0))</f>
        <v>915242721.12000012</v>
      </c>
      <c r="H670" s="11" cm="1">
        <f t="array" aca="1" ref="H670" ca="1">INDEX('Coste multimodal'!E$46:E$1646,MATCH(C670&amp;D670,'Coste multimodal'!C$46:C$1646&amp;'Coste multimodal'!D$46:D$1646,0))</f>
        <v>222201825.55574042</v>
      </c>
      <c r="I670" s="12" cm="1">
        <f t="array" aca="1" ref="I670" ca="1">INDEX('Tiempos intermodal (horas)'!E$45:E$1645,MATCH(C670&amp;D670,'Tiempos intermodal (horas)'!C$45:C$1645&amp;'Tiempos intermodal (horas)'!D$45:D$1645,0))</f>
        <v>50.405199984163851</v>
      </c>
      <c r="J670" s="2" cm="1">
        <f t="array" aca="1" ref="J670" ca="1">INDEX('Tiempos carretera (horas)'!E$45:E$1645,MATCH(C670&amp;D670,'Tiempos carretera (horas)'!C$45:C$1645&amp;'Tiempos carretera (horas)'!D$45:D$1645,0))</f>
        <v>8.3000000000000007</v>
      </c>
      <c r="K670" s="12">
        <f t="shared" ca="1" si="66"/>
        <v>7.3267417778261086</v>
      </c>
      <c r="L670" s="12">
        <f t="shared" ca="1" si="67"/>
        <v>6.6059205636337204</v>
      </c>
      <c r="M670" s="12">
        <f t="shared" ca="1" si="68"/>
        <v>0.21214591317414358</v>
      </c>
      <c r="N670" s="13">
        <f t="shared" ca="1" si="64"/>
        <v>0.7208212141923882</v>
      </c>
      <c r="O670" s="13">
        <f t="shared" ca="1" si="65"/>
        <v>-42.105199984163846</v>
      </c>
      <c r="P670" s="12">
        <f t="shared" ca="1" si="69"/>
        <v>1.312038596096851</v>
      </c>
    </row>
    <row r="671" spans="1:16" x14ac:dyDescent="0.25">
      <c r="A671">
        <v>1</v>
      </c>
      <c r="B671">
        <v>11</v>
      </c>
      <c r="C671" s="2" t="s">
        <v>0</v>
      </c>
      <c r="D671" s="2" t="s">
        <v>10</v>
      </c>
      <c r="E671" s="11" cm="1">
        <f t="array" aca="1" ref="E671" ca="1">INDEX('OD flujo mercancia multimodal'!E$45:E$1645,MATCH(C671&amp;D671,'OD flujo mercancia multimodal'!C$45:C$1645&amp;'OD flujo mercancia multimodal'!D$45:D$1645,0))</f>
        <v>106867.45604395603</v>
      </c>
      <c r="F671" s="11" cm="1">
        <f t="array" aca="1" ref="F671" ca="1">INDEX('OD flujo mercancia carretera'!E$45:E$1646,MATCH(C671&amp;D671,'OD flujo mercancia carretera'!C$45:C$1646&amp;'OD flujo mercancia carretera'!D$45:D$1646,0))</f>
        <v>145294</v>
      </c>
      <c r="G671" s="11" cm="1">
        <f t="array" aca="1" ref="G671" ca="1">INDEX('Coste Carretera'!E$46:E$1646,MATCH(C671&amp;D671,'Coste Carretera'!C$46:C$1646&amp;'Coste Carretera'!D$46:D$1646,0))</f>
        <v>10456420588.431427</v>
      </c>
      <c r="H671" s="11" cm="1">
        <f t="array" aca="1" ref="H671" ca="1">INDEX('Coste multimodal'!E$46:E$1646,MATCH(C671&amp;D671,'Coste multimodal'!C$46:C$1646&amp;'Coste multimodal'!D$46:D$1646,0))</f>
        <v>849306243.90932488</v>
      </c>
      <c r="I671" s="12" cm="1">
        <f t="array" aca="1" ref="I671" ca="1">INDEX('Tiempos intermodal (horas)'!E$45:E$1645,MATCH(C671&amp;D671,'Tiempos intermodal (horas)'!C$45:C$1645&amp;'Tiempos intermodal (horas)'!D$45:D$1645,0))</f>
        <v>61.483080846471466</v>
      </c>
      <c r="J671" s="2" cm="1">
        <f t="array" aca="1" ref="J671" ca="1">INDEX('Tiempos carretera (horas)'!E$45:E$1645,MATCH(C671&amp;D671,'Tiempos carretera (horas)'!C$45:C$1645&amp;'Tiempos carretera (horas)'!D$45:D$1645,0))</f>
        <v>19.36</v>
      </c>
      <c r="K671" s="12">
        <f t="shared" ca="1" si="66"/>
        <v>71.96732548096567</v>
      </c>
      <c r="L671" s="12">
        <f t="shared" ca="1" si="67"/>
        <v>7.9472860620916599</v>
      </c>
      <c r="M671" s="12">
        <f t="shared" ca="1" si="68"/>
        <v>0.42380567482655718</v>
      </c>
      <c r="N671" s="13">
        <f t="shared" ca="1" si="64"/>
        <v>64.020039418874006</v>
      </c>
      <c r="O671" s="13">
        <f t="shared" ca="1" si="65"/>
        <v>-42.123080846471467</v>
      </c>
      <c r="P671" s="12">
        <f t="shared" ca="1" si="69"/>
        <v>0.30716993780653412</v>
      </c>
    </row>
    <row r="672" spans="1:16" x14ac:dyDescent="0.25">
      <c r="A672">
        <v>11</v>
      </c>
      <c r="B672">
        <v>1</v>
      </c>
      <c r="C672" s="2" t="s">
        <v>10</v>
      </c>
      <c r="D672" s="2" t="s">
        <v>0</v>
      </c>
      <c r="E672" s="11" cm="1">
        <f t="array" aca="1" ref="E672" ca="1">INDEX('OD flujo mercancia multimodal'!E$45:E$1645,MATCH(C672&amp;D672,'OD flujo mercancia multimodal'!C$45:C$1645&amp;'OD flujo mercancia multimodal'!D$45:D$1645,0))</f>
        <v>103173.84065934064</v>
      </c>
      <c r="F672" s="11" cm="1">
        <f t="array" aca="1" ref="F672" ca="1">INDEX('OD flujo mercancia carretera'!E$45:E$1646,MATCH(C672&amp;D672,'OD flujo mercancia carretera'!C$45:C$1646&amp;'OD flujo mercancia carretera'!D$45:D$1646,0))</f>
        <v>146255.07692307699</v>
      </c>
      <c r="G672" s="11" cm="1">
        <f t="array" aca="1" ref="G672" ca="1">INDEX('Coste Carretera'!E$46:E$1646,MATCH(C672&amp;D672,'Coste Carretera'!C$46:C$1646&amp;'Coste Carretera'!D$46:D$1646,0))</f>
        <v>10095019677.591425</v>
      </c>
      <c r="H672" s="11" cm="1">
        <f t="array" aca="1" ref="H672" ca="1">INDEX('Coste multimodal'!E$46:E$1646,MATCH(C672&amp;D672,'Coste multimodal'!C$46:C$1646&amp;'Coste multimodal'!D$46:D$1646,0))</f>
        <v>849306243.90932488</v>
      </c>
      <c r="I672" s="12" cm="1">
        <f t="array" aca="1" ref="I672" ca="1">INDEX('Tiempos intermodal (horas)'!E$45:E$1645,MATCH(C672&amp;D672,'Tiempos intermodal (horas)'!C$45:C$1645&amp;'Tiempos intermodal (horas)'!D$45:D$1645,0))</f>
        <v>61.483080846471466</v>
      </c>
      <c r="J672" s="2" cm="1">
        <f t="array" aca="1" ref="J672" ca="1">INDEX('Tiempos carretera (horas)'!E$45:E$1645,MATCH(C672&amp;D672,'Tiempos carretera (horas)'!C$45:C$1645&amp;'Tiempos carretera (horas)'!D$45:D$1645,0))</f>
        <v>19.36</v>
      </c>
      <c r="K672" s="12">
        <f t="shared" ca="1" si="66"/>
        <v>69.023379495406587</v>
      </c>
      <c r="L672" s="12">
        <f t="shared" ca="1" si="67"/>
        <v>8.2317982783403796</v>
      </c>
      <c r="M672" s="12">
        <f t="shared" ca="1" si="68"/>
        <v>0.41364025334091181</v>
      </c>
      <c r="N672" s="13">
        <f t="shared" ca="1" si="64"/>
        <v>60.791581217066209</v>
      </c>
      <c r="O672" s="13">
        <f t="shared" ca="1" si="65"/>
        <v>-42.123080846471467</v>
      </c>
      <c r="P672" s="12">
        <f t="shared" ca="1" si="69"/>
        <v>0.34893686058105289</v>
      </c>
    </row>
    <row r="673" spans="1:16" x14ac:dyDescent="0.25">
      <c r="A673">
        <v>29</v>
      </c>
      <c r="B673">
        <v>27</v>
      </c>
      <c r="C673" s="2" t="s">
        <v>147</v>
      </c>
      <c r="D673" s="2" t="s">
        <v>145</v>
      </c>
      <c r="E673" s="11" cm="1">
        <f t="array" aca="1" ref="E673" ca="1">INDEX('OD flujo mercancia multimodal'!E$45:E$1645,MATCH(C673&amp;D673,'OD flujo mercancia multimodal'!C$45:C$1645&amp;'OD flujo mercancia multimodal'!D$45:D$1645,0))</f>
        <v>82761.8</v>
      </c>
      <c r="F673" s="11" cm="1">
        <f t="array" aca="1" ref="F673" ca="1">INDEX('OD flujo mercancia carretera'!E$45:E$1646,MATCH(C673&amp;D673,'OD flujo mercancia carretera'!C$45:C$1646&amp;'OD flujo mercancia carretera'!D$45:D$1646,0))</f>
        <v>779267.2</v>
      </c>
      <c r="G673" s="11" cm="1">
        <f t="array" aca="1" ref="G673" ca="1">INDEX('Coste Carretera'!E$46:E$1646,MATCH(C673&amp;D673,'Coste Carretera'!C$46:C$1646&amp;'Coste Carretera'!D$46:D$1646,0))</f>
        <v>925836393.76799989</v>
      </c>
      <c r="H673" s="11" cm="1">
        <f t="array" aca="1" ref="H673" ca="1">INDEX('Coste multimodal'!E$46:E$1646,MATCH(C673&amp;D673,'Coste multimodal'!C$46:C$1646&amp;'Coste multimodal'!D$46:D$1646,0))</f>
        <v>424436042.08065534</v>
      </c>
      <c r="I673" s="12" cm="1">
        <f t="array" aca="1" ref="I673" ca="1">INDEX('Tiempos intermodal (horas)'!E$45:E$1645,MATCH(C673&amp;D673,'Tiempos intermodal (horas)'!C$45:C$1645&amp;'Tiempos intermodal (horas)'!D$45:D$1645,0))</f>
        <v>48.569529465500658</v>
      </c>
      <c r="J673" s="2" cm="1">
        <f t="array" aca="1" ref="J673" ca="1">INDEX('Tiempos carretera (horas)'!E$45:E$1645,MATCH(C673&amp;D673,'Tiempos carretera (horas)'!C$45:C$1645&amp;'Tiempos carretera (horas)'!D$45:D$1645,0))</f>
        <v>2.4300000000000002</v>
      </c>
      <c r="K673" s="12">
        <f t="shared" ca="1" si="66"/>
        <v>1.1880859270966362</v>
      </c>
      <c r="L673" s="12">
        <f t="shared" ca="1" si="67"/>
        <v>5.1284051589097306</v>
      </c>
      <c r="M673" s="12">
        <f t="shared" ca="1" si="68"/>
        <v>9.6008138937321144E-2</v>
      </c>
      <c r="N673" s="13">
        <f t="shared" ca="1" si="64"/>
        <v>-3.9403192318130946</v>
      </c>
      <c r="O673" s="13">
        <f t="shared" ca="1" si="65"/>
        <v>-46.139529465500658</v>
      </c>
      <c r="P673" s="12">
        <f t="shared" ca="1" si="69"/>
        <v>2.2423873886311383</v>
      </c>
    </row>
    <row r="674" spans="1:16" x14ac:dyDescent="0.25">
      <c r="A674">
        <v>27</v>
      </c>
      <c r="B674">
        <v>29</v>
      </c>
      <c r="C674" s="2" t="s">
        <v>145</v>
      </c>
      <c r="D674" s="2" t="s">
        <v>147</v>
      </c>
      <c r="E674" s="11" cm="1">
        <f t="array" aca="1" ref="E674" ca="1">INDEX('OD flujo mercancia multimodal'!E$45:E$1645,MATCH(C674&amp;D674,'OD flujo mercancia multimodal'!C$45:C$1645&amp;'OD flujo mercancia multimodal'!D$45:D$1645,0))</f>
        <v>69813.3</v>
      </c>
      <c r="F674" s="11" cm="1">
        <f t="array" aca="1" ref="F674" ca="1">INDEX('OD flujo mercancia carretera'!E$45:E$1646,MATCH(C674&amp;D674,'OD flujo mercancia carretera'!C$45:C$1646&amp;'OD flujo mercancia carretera'!D$45:D$1646,0))</f>
        <v>781110.6</v>
      </c>
      <c r="G674" s="11" cm="1">
        <f t="array" aca="1" ref="G674" ca="1">INDEX('Coste Carretera'!E$46:E$1646,MATCH(C674&amp;D674,'Coste Carretera'!C$46:C$1646&amp;'Coste Carretera'!D$46:D$1646,0))</f>
        <v>780984631.90799999</v>
      </c>
      <c r="H674" s="11" cm="1">
        <f t="array" aca="1" ref="H674" ca="1">INDEX('Coste multimodal'!E$46:E$1646,MATCH(C674&amp;D674,'Coste multimodal'!C$46:C$1646&amp;'Coste multimodal'!D$46:D$1646,0))</f>
        <v>424436042.08065534</v>
      </c>
      <c r="I674" s="12" cm="1">
        <f t="array" aca="1" ref="I674" ca="1">INDEX('Tiempos intermodal (horas)'!E$45:E$1645,MATCH(C674&amp;D674,'Tiempos intermodal (horas)'!C$45:C$1645&amp;'Tiempos intermodal (horas)'!D$45:D$1645,0))</f>
        <v>48.569529465500658</v>
      </c>
      <c r="J674" s="2" cm="1">
        <f t="array" aca="1" ref="J674" ca="1">INDEX('Tiempos carretera (horas)'!E$45:E$1645,MATCH(C674&amp;D674,'Tiempos carretera (horas)'!C$45:C$1645&amp;'Tiempos carretera (horas)'!D$45:D$1645,0))</f>
        <v>2.4300000000000002</v>
      </c>
      <c r="K674" s="12">
        <f t="shared" ca="1" si="66"/>
        <v>0.99983873206688012</v>
      </c>
      <c r="L674" s="12">
        <f t="shared" ca="1" si="67"/>
        <v>6.0795871571843092</v>
      </c>
      <c r="M674" s="12">
        <f t="shared" ca="1" si="68"/>
        <v>8.2044116988604976E-2</v>
      </c>
      <c r="N674" s="13">
        <f t="shared" ca="1" si="64"/>
        <v>-5.0797484251174287</v>
      </c>
      <c r="O674" s="13">
        <f t="shared" ca="1" si="65"/>
        <v>-46.139529465500658</v>
      </c>
      <c r="P674" s="12">
        <f t="shared" ca="1" si="69"/>
        <v>2.4148922171000748</v>
      </c>
    </row>
    <row r="675" spans="1:16" x14ac:dyDescent="0.25">
      <c r="A675">
        <v>13</v>
      </c>
      <c r="B675">
        <v>40</v>
      </c>
      <c r="C675" s="2" t="s">
        <v>12</v>
      </c>
      <c r="D675" s="2" t="s">
        <v>39</v>
      </c>
      <c r="E675" s="11" cm="1">
        <f t="array" aca="1" ref="E675" ca="1">INDEX('OD flujo mercancia multimodal'!E$45:E$1645,MATCH(C675&amp;D675,'OD flujo mercancia multimodal'!C$45:C$1645&amp;'OD flujo mercancia multimodal'!D$45:D$1645,0))</f>
        <v>11532.615384615385</v>
      </c>
      <c r="F675" s="11" cm="1">
        <f t="array" aca="1" ref="F675" ca="1">INDEX('OD flujo mercancia carretera'!E$45:E$1646,MATCH(C675&amp;D675,'OD flujo mercancia carretera'!C$45:C$1646&amp;'OD flujo mercancia carretera'!D$45:D$1646,0))</f>
        <v>95692.450549450587</v>
      </c>
      <c r="G675" s="11" cm="1">
        <f t="array" aca="1" ref="G675" ca="1">INDEX('Coste Carretera'!E$46:E$1646,MATCH(C675&amp;D675,'Coste Carretera'!C$46:C$1646&amp;'Coste Carretera'!D$46:D$1646,0))</f>
        <v>206882703.60000014</v>
      </c>
      <c r="H675" s="11" cm="1">
        <f t="array" aca="1" ref="H675" ca="1">INDEX('Coste multimodal'!E$46:E$1646,MATCH(C675&amp;D675,'Coste multimodal'!C$46:C$1646&amp;'Coste multimodal'!D$46:D$1646,0))</f>
        <v>78993427.953550577</v>
      </c>
      <c r="I675" s="12" cm="1">
        <f t="array" aca="1" ref="I675" ca="1">INDEX('Tiempos intermodal (horas)'!E$45:E$1645,MATCH(C675&amp;D675,'Tiempos intermodal (horas)'!C$45:C$1645&amp;'Tiempos intermodal (horas)'!D$45:D$1645,0))</f>
        <v>54.288357297531903</v>
      </c>
      <c r="J675" s="2" cm="1">
        <f t="array" aca="1" ref="J675" ca="1">INDEX('Tiempos carretera (horas)'!E$45:E$1645,MATCH(C675&amp;D675,'Tiempos carretera (horas)'!C$45:C$1645&amp;'Tiempos carretera (horas)'!D$45:D$1645,0))</f>
        <v>7.75</v>
      </c>
      <c r="K675" s="12">
        <f t="shared" ca="1" si="66"/>
        <v>2.1619542859662708</v>
      </c>
      <c r="L675" s="12">
        <f t="shared" ca="1" si="67"/>
        <v>6.849567536859726</v>
      </c>
      <c r="M675" s="12">
        <f t="shared" ca="1" si="68"/>
        <v>0.10755521840114263</v>
      </c>
      <c r="N675" s="13">
        <f t="shared" ca="1" si="64"/>
        <v>-4.6876132508934552</v>
      </c>
      <c r="O675" s="13">
        <f t="shared" ca="1" si="65"/>
        <v>-46.538357297531903</v>
      </c>
      <c r="P675" s="12">
        <f t="shared" ca="1" si="69"/>
        <v>2.11596026714746</v>
      </c>
    </row>
    <row r="676" spans="1:16" x14ac:dyDescent="0.25">
      <c r="A676">
        <v>40</v>
      </c>
      <c r="B676">
        <v>13</v>
      </c>
      <c r="C676" s="2" t="s">
        <v>39</v>
      </c>
      <c r="D676" s="2" t="s">
        <v>12</v>
      </c>
      <c r="E676" s="11" cm="1">
        <f t="array" aca="1" ref="E676" ca="1">INDEX('OD flujo mercancia multimodal'!E$45:E$1645,MATCH(C676&amp;D676,'OD flujo mercancia multimodal'!C$45:C$1645&amp;'OD flujo mercancia multimodal'!D$45:D$1645,0))</f>
        <v>5997.3076923076969</v>
      </c>
      <c r="F676" s="11" cm="1">
        <f t="array" aca="1" ref="F676" ca="1">INDEX('OD flujo mercancia carretera'!E$45:E$1646,MATCH(C676&amp;D676,'OD flujo mercancia carretera'!C$45:C$1646&amp;'OD flujo mercancia carretera'!D$45:D$1646,0))</f>
        <v>123353.05128205132</v>
      </c>
      <c r="G676" s="11" cm="1">
        <f t="array" aca="1" ref="G676" ca="1">INDEX('Coste Carretera'!E$46:E$1646,MATCH(C676&amp;D676,'Coste Carretera'!C$46:C$1646&amp;'Coste Carretera'!D$46:D$1646,0))</f>
        <v>101022381.60000013</v>
      </c>
      <c r="H676" s="11" cm="1">
        <f t="array" aca="1" ref="H676" ca="1">INDEX('Coste multimodal'!E$46:E$1646,MATCH(C676&amp;D676,'Coste multimodal'!C$46:C$1646&amp;'Coste multimodal'!D$46:D$1646,0))</f>
        <v>79192884.055263549</v>
      </c>
      <c r="I676" s="12" cm="1">
        <f t="array" aca="1" ref="I676" ca="1">INDEX('Tiempos intermodal (horas)'!E$45:E$1645,MATCH(C676&amp;D676,'Tiempos intermodal (horas)'!C$45:C$1645&amp;'Tiempos intermodal (horas)'!D$45:D$1645,0))</f>
        <v>40.522861741624432</v>
      </c>
      <c r="J676" s="2" cm="1">
        <f t="array" aca="1" ref="J676" ca="1">INDEX('Tiempos carretera (horas)'!E$45:E$1645,MATCH(C676&amp;D676,'Tiempos carretera (horas)'!C$45:C$1645&amp;'Tiempos carretera (horas)'!D$45:D$1645,0))</f>
        <v>5.8</v>
      </c>
      <c r="K676" s="12">
        <f t="shared" ca="1" si="66"/>
        <v>0.81896945839636104</v>
      </c>
      <c r="L676" s="12">
        <f t="shared" ca="1" si="67"/>
        <v>13.204739212703462</v>
      </c>
      <c r="M676" s="12">
        <f t="shared" ca="1" si="68"/>
        <v>4.6364832226685478E-2</v>
      </c>
      <c r="N676" s="13">
        <f t="shared" ca="1" si="64"/>
        <v>-12.3857697543071</v>
      </c>
      <c r="O676" s="13">
        <f t="shared" ca="1" si="65"/>
        <v>-34.722861741624435</v>
      </c>
      <c r="P676" s="12">
        <f t="shared" ca="1" si="69"/>
        <v>3.023739928876036</v>
      </c>
    </row>
    <row r="677" spans="1:16" x14ac:dyDescent="0.25">
      <c r="A677">
        <v>14</v>
      </c>
      <c r="B677">
        <v>35</v>
      </c>
      <c r="C677" s="2" t="s">
        <v>13</v>
      </c>
      <c r="D677" s="2" t="s">
        <v>34</v>
      </c>
      <c r="E677" s="11" cm="1">
        <f t="array" aca="1" ref="E677" ca="1">INDEX('OD flujo mercancia multimodal'!E$45:E$1645,MATCH(C677&amp;D677,'OD flujo mercancia multimodal'!C$45:C$1645&amp;'OD flujo mercancia multimodal'!D$45:D$1645,0))</f>
        <v>34649.692307692327</v>
      </c>
      <c r="F677" s="11" cm="1">
        <f t="array" aca="1" ref="F677" ca="1">INDEX('OD flujo mercancia carretera'!E$45:E$1646,MATCH(C677&amp;D677,'OD flujo mercancia carretera'!C$45:C$1646&amp;'OD flujo mercancia carretera'!D$45:D$1646,0))</f>
        <v>119611.15384615387</v>
      </c>
      <c r="G677" s="11" cm="1">
        <f t="array" aca="1" ref="G677" ca="1">INDEX('Coste Carretera'!E$46:E$1646,MATCH(C677&amp;D677,'Coste Carretera'!C$46:C$1646&amp;'Coste Carretera'!D$46:D$1646,0))</f>
        <v>22379505890.240025</v>
      </c>
      <c r="H677" s="11" cm="1">
        <f t="array" aca="1" ref="H677" ca="1">INDEX('Coste multimodal'!E$46:E$1646,MATCH(C677&amp;D677,'Coste multimodal'!C$46:C$1646&amp;'Coste multimodal'!D$46:D$1646,0))</f>
        <v>2153934867.8670244</v>
      </c>
      <c r="I677" s="12" cm="1">
        <f t="array" aca="1" ref="I677" ca="1">INDEX('Tiempos intermodal (horas)'!E$45:E$1645,MATCH(C677&amp;D677,'Tiempos intermodal (horas)'!C$45:C$1645&amp;'Tiempos intermodal (horas)'!D$45:D$1645,0))</f>
        <v>56.016322541291288</v>
      </c>
      <c r="J677" s="2" cm="1">
        <f t="array" aca="1" ref="J677" ca="1">INDEX('Tiempos carretera (horas)'!E$45:E$1645,MATCH(C677&amp;D677,'Tiempos carretera (horas)'!C$45:C$1645&amp;'Tiempos carretera (horas)'!D$45:D$1645,0))</f>
        <v>13.85</v>
      </c>
      <c r="K677" s="12">
        <f t="shared" ca="1" si="66"/>
        <v>187.10216539692416</v>
      </c>
      <c r="L677" s="12">
        <f t="shared" ca="1" si="67"/>
        <v>62.163174458805941</v>
      </c>
      <c r="M677" s="12">
        <f t="shared" ca="1" si="68"/>
        <v>0.22461754341173376</v>
      </c>
      <c r="N677" s="13">
        <f t="shared" ca="1" si="64"/>
        <v>124.93899093811822</v>
      </c>
      <c r="O677" s="13">
        <f t="shared" ca="1" si="65"/>
        <v>-42.166322541291287</v>
      </c>
      <c r="P677" s="12">
        <f t="shared" ca="1" si="69"/>
        <v>1.2389572511637477</v>
      </c>
    </row>
    <row r="678" spans="1:16" x14ac:dyDescent="0.25">
      <c r="A678">
        <v>35</v>
      </c>
      <c r="B678">
        <v>14</v>
      </c>
      <c r="C678" s="2" t="s">
        <v>34</v>
      </c>
      <c r="D678" s="2" t="s">
        <v>13</v>
      </c>
      <c r="E678" s="11" cm="1">
        <f t="array" aca="1" ref="E678" ca="1">INDEX('OD flujo mercancia multimodal'!E$45:E$1645,MATCH(C678&amp;D678,'OD flujo mercancia multimodal'!C$45:C$1645&amp;'OD flujo mercancia multimodal'!D$45:D$1645,0))</f>
        <v>33663.69230769229</v>
      </c>
      <c r="F678" s="11" cm="1">
        <f t="array" aca="1" ref="F678" ca="1">INDEX('OD flujo mercancia carretera'!E$45:E$1646,MATCH(C678&amp;D678,'OD flujo mercancia carretera'!C$45:C$1646&amp;'OD flujo mercancia carretera'!D$45:D$1646,0))</f>
        <v>184270.15384615361</v>
      </c>
      <c r="G678" s="11" cm="1">
        <f t="array" aca="1" ref="G678" ca="1">INDEX('Coste Carretera'!E$46:E$1646,MATCH(C678&amp;D678,'Coste Carretera'!C$46:C$1646&amp;'Coste Carretera'!D$46:D$1646,0))</f>
        <v>10785210809.440001</v>
      </c>
      <c r="H678" s="11" cm="1">
        <f t="array" aca="1" ref="H678" ca="1">INDEX('Coste multimodal'!E$46:E$1646,MATCH(C678&amp;D678,'Coste multimodal'!C$46:C$1646&amp;'Coste multimodal'!D$46:D$1646,0))</f>
        <v>2153934867.8670244</v>
      </c>
      <c r="I678" s="12" cm="1">
        <f t="array" aca="1" ref="I678" ca="1">INDEX('Tiempos intermodal (horas)'!E$45:E$1645,MATCH(C678&amp;D678,'Tiempos intermodal (horas)'!C$45:C$1645&amp;'Tiempos intermodal (horas)'!D$45:D$1645,0))</f>
        <v>56.016322541291288</v>
      </c>
      <c r="J678" s="2" cm="1">
        <f t="array" aca="1" ref="J678" ca="1">INDEX('Tiempos carretera (horas)'!E$45:E$1645,MATCH(C678&amp;D678,'Tiempos carretera (horas)'!C$45:C$1645&amp;'Tiempos carretera (horas)'!D$45:D$1645,0))</f>
        <v>13.85</v>
      </c>
      <c r="K678" s="12">
        <f t="shared" ca="1" si="66"/>
        <v>58.529341753545872</v>
      </c>
      <c r="L678" s="12">
        <f t="shared" ca="1" si="67"/>
        <v>63.983916207992479</v>
      </c>
      <c r="M678" s="12">
        <f t="shared" ca="1" si="68"/>
        <v>0.15446748131048951</v>
      </c>
      <c r="N678" s="13">
        <f t="shared" ca="1" si="64"/>
        <v>-5.4545744544466075</v>
      </c>
      <c r="O678" s="13">
        <f t="shared" ca="1" si="65"/>
        <v>-42.166322541291287</v>
      </c>
      <c r="P678" s="12">
        <f t="shared" ca="1" si="69"/>
        <v>1.6999830312676742</v>
      </c>
    </row>
    <row r="679" spans="1:16" x14ac:dyDescent="0.25">
      <c r="A679">
        <v>24</v>
      </c>
      <c r="B679">
        <v>1</v>
      </c>
      <c r="C679" s="2" t="s">
        <v>23</v>
      </c>
      <c r="D679" s="2" t="s">
        <v>0</v>
      </c>
      <c r="E679" s="11" cm="1">
        <f t="array" aca="1" ref="E679" ca="1">INDEX('OD flujo mercancia multimodal'!E$45:E$1645,MATCH(C679&amp;D679,'OD flujo mercancia multimodal'!C$45:C$1645&amp;'OD flujo mercancia multimodal'!D$45:D$1645,0))</f>
        <v>96218.532967032937</v>
      </c>
      <c r="F679" s="11" cm="1">
        <f t="array" aca="1" ref="F679" ca="1">INDEX('OD flujo mercancia carretera'!E$45:E$1646,MATCH(C679&amp;D679,'OD flujo mercancia carretera'!C$45:C$1646&amp;'OD flujo mercancia carretera'!D$45:D$1646,0))</f>
        <v>130609.8461538462</v>
      </c>
      <c r="G679" s="11" cm="1">
        <f t="array" aca="1" ref="G679" ca="1">INDEX('Coste Carretera'!E$46:E$1646,MATCH(C679&amp;D679,'Coste Carretera'!C$46:C$1646&amp;'Coste Carretera'!D$46:D$1646,0))</f>
        <v>4780513894.4514265</v>
      </c>
      <c r="H679" s="11" cm="1">
        <f t="array" aca="1" ref="H679" ca="1">INDEX('Coste multimodal'!E$46:E$1646,MATCH(C679&amp;D679,'Coste multimodal'!C$46:C$1646&amp;'Coste multimodal'!D$46:D$1646,0))</f>
        <v>647352585.67954028</v>
      </c>
      <c r="I679" s="12" cm="1">
        <f t="array" aca="1" ref="I679" ca="1">INDEX('Tiempos intermodal (horas)'!E$45:E$1645,MATCH(C679&amp;D679,'Tiempos intermodal (horas)'!C$45:C$1645&amp;'Tiempos intermodal (horas)'!D$45:D$1645,0))</f>
        <v>52.690603310341587</v>
      </c>
      <c r="J679" s="2" cm="1">
        <f t="array" aca="1" ref="J679" ca="1">INDEX('Tiempos carretera (horas)'!E$45:E$1645,MATCH(C679&amp;D679,'Tiempos carretera (horas)'!C$45:C$1645&amp;'Tiempos carretera (horas)'!D$45:D$1645,0))</f>
        <v>10.51</v>
      </c>
      <c r="K679" s="12">
        <f t="shared" ca="1" si="66"/>
        <v>36.601481704682719</v>
      </c>
      <c r="L679" s="12">
        <f t="shared" ca="1" si="67"/>
        <v>6.7279407170065744</v>
      </c>
      <c r="M679" s="12">
        <f t="shared" ca="1" si="68"/>
        <v>0.42419089419034778</v>
      </c>
      <c r="N679" s="13">
        <f t="shared" ca="1" si="64"/>
        <v>29.873540987676144</v>
      </c>
      <c r="O679" s="13">
        <f t="shared" ca="1" si="65"/>
        <v>-42.180603310341588</v>
      </c>
      <c r="P679" s="12">
        <f t="shared" ca="1" si="69"/>
        <v>0.30559261618195988</v>
      </c>
    </row>
    <row r="680" spans="1:16" x14ac:dyDescent="0.25">
      <c r="A680">
        <v>1</v>
      </c>
      <c r="B680">
        <v>24</v>
      </c>
      <c r="C680" s="2" t="s">
        <v>0</v>
      </c>
      <c r="D680" s="2" t="s">
        <v>23</v>
      </c>
      <c r="E680" s="11" cm="1">
        <f t="array" aca="1" ref="E680" ca="1">INDEX('OD flujo mercancia multimodal'!E$45:E$1645,MATCH(C680&amp;D680,'OD flujo mercancia multimodal'!C$45:C$1645&amp;'OD flujo mercancia multimodal'!D$45:D$1645,0))</f>
        <v>93205.148351648357</v>
      </c>
      <c r="F680" s="11" cm="1">
        <f t="array" aca="1" ref="F680" ca="1">INDEX('OD flujo mercancia carretera'!E$45:E$1646,MATCH(C680&amp;D680,'OD flujo mercancia carretera'!C$45:C$1646&amp;'OD flujo mercancia carretera'!D$45:D$1646,0))</f>
        <v>115637.6666666667</v>
      </c>
      <c r="G680" s="11" cm="1">
        <f t="array" aca="1" ref="G680" ca="1">INDEX('Coste Carretera'!E$46:E$1646,MATCH(C680&amp;D680,'Coste Carretera'!C$46:C$1646&amp;'Coste Carretera'!D$46:D$1646,0))</f>
        <v>4630797134.2914286</v>
      </c>
      <c r="H680" s="11" cm="1">
        <f t="array" aca="1" ref="H680" ca="1">INDEX('Coste multimodal'!E$46:E$1646,MATCH(C680&amp;D680,'Coste multimodal'!C$46:C$1646&amp;'Coste multimodal'!D$46:D$1646,0))</f>
        <v>647352585.67954028</v>
      </c>
      <c r="I680" s="12" cm="1">
        <f t="array" aca="1" ref="I680" ca="1">INDEX('Tiempos intermodal (horas)'!E$45:E$1645,MATCH(C680&amp;D680,'Tiempos intermodal (horas)'!C$45:C$1645&amp;'Tiempos intermodal (horas)'!D$45:D$1645,0))</f>
        <v>52.690603310341587</v>
      </c>
      <c r="J680" s="2" cm="1">
        <f t="array" aca="1" ref="J680" ca="1">INDEX('Tiempos carretera (horas)'!E$45:E$1645,MATCH(C680&amp;D680,'Tiempos carretera (horas)'!C$45:C$1645&amp;'Tiempos carretera (horas)'!D$45:D$1645,0))</f>
        <v>10.51</v>
      </c>
      <c r="K680" s="12">
        <f t="shared" ca="1" si="66"/>
        <v>40.045750383739673</v>
      </c>
      <c r="L680" s="12">
        <f t="shared" ca="1" si="67"/>
        <v>6.9454595280207139</v>
      </c>
      <c r="M680" s="12">
        <f t="shared" ca="1" si="68"/>
        <v>0.44629329643672194</v>
      </c>
      <c r="N680" s="13">
        <f t="shared" ca="1" si="64"/>
        <v>33.10029085571896</v>
      </c>
      <c r="O680" s="13">
        <f t="shared" ca="1" si="65"/>
        <v>-42.180603310341588</v>
      </c>
      <c r="P680" s="12">
        <f t="shared" ca="1" si="69"/>
        <v>0.21565877939158948</v>
      </c>
    </row>
    <row r="681" spans="1:16" x14ac:dyDescent="0.25">
      <c r="A681">
        <v>36</v>
      </c>
      <c r="B681">
        <v>24</v>
      </c>
      <c r="C681" s="2" t="s">
        <v>35</v>
      </c>
      <c r="D681" s="2" t="s">
        <v>23</v>
      </c>
      <c r="E681" s="11" cm="1">
        <f t="array" aca="1" ref="E681" ca="1">INDEX('OD flujo mercancia multimodal'!E$45:E$1645,MATCH(C681&amp;D681,'OD flujo mercancia multimodal'!C$45:C$1645&amp;'OD flujo mercancia multimodal'!D$45:D$1645,0))</f>
        <v>9693.3076923076896</v>
      </c>
      <c r="F681" s="11" cm="1">
        <f t="array" aca="1" ref="F681" ca="1">INDEX('OD flujo mercancia carretera'!E$45:E$1646,MATCH(C681&amp;D681,'OD flujo mercancia carretera'!C$45:C$1646&amp;'OD flujo mercancia carretera'!D$45:D$1646,0))</f>
        <v>160234.58974358978</v>
      </c>
      <c r="G681" s="11" cm="1">
        <f t="array" aca="1" ref="G681" ca="1">INDEX('Coste Carretera'!E$46:E$1646,MATCH(C681&amp;D681,'Coste Carretera'!C$46:C$1646&amp;'Coste Carretera'!D$46:D$1646,0))</f>
        <v>940173876.23999965</v>
      </c>
      <c r="H681" s="11" cm="1">
        <f t="array" aca="1" ref="H681" ca="1">INDEX('Coste multimodal'!E$46:E$1646,MATCH(C681&amp;D681,'Coste multimodal'!C$46:C$1646&amp;'Coste multimodal'!D$46:D$1646,0))</f>
        <v>477524052.74211168</v>
      </c>
      <c r="I681" s="12" cm="1">
        <f t="array" aca="1" ref="I681" ca="1">INDEX('Tiempos intermodal (horas)'!E$45:E$1645,MATCH(C681&amp;D681,'Tiempos intermodal (horas)'!C$45:C$1645&amp;'Tiempos intermodal (horas)'!D$45:D$1645,0))</f>
        <v>53.310603310341584</v>
      </c>
      <c r="J681" s="2" cm="1">
        <f t="array" aca="1" ref="J681" ca="1">INDEX('Tiempos carretera (horas)'!E$45:E$1645,MATCH(C681&amp;D681,'Tiempos carretera (horas)'!C$45:C$1645&amp;'Tiempos carretera (horas)'!D$45:D$1645,0))</f>
        <v>11.1</v>
      </c>
      <c r="K681" s="12">
        <f t="shared" ca="1" si="66"/>
        <v>5.8674839043460123</v>
      </c>
      <c r="L681" s="12">
        <f t="shared" ca="1" si="67"/>
        <v>49.263271929463258</v>
      </c>
      <c r="M681" s="12">
        <f t="shared" ca="1" si="68"/>
        <v>5.7043651093042755E-2</v>
      </c>
      <c r="N681" s="13">
        <f t="shared" ca="1" si="64"/>
        <v>-43.395788025117248</v>
      </c>
      <c r="O681" s="13">
        <f t="shared" ca="1" si="65"/>
        <v>-42.210603310341583</v>
      </c>
      <c r="P681" s="12">
        <f t="shared" ca="1" si="69"/>
        <v>2.8052032085592042</v>
      </c>
    </row>
    <row r="682" spans="1:16" x14ac:dyDescent="0.25">
      <c r="A682">
        <v>24</v>
      </c>
      <c r="B682">
        <v>36</v>
      </c>
      <c r="C682" s="2" t="s">
        <v>23</v>
      </c>
      <c r="D682" s="2" t="s">
        <v>35</v>
      </c>
      <c r="E682" s="11" cm="1">
        <f t="array" aca="1" ref="E682" ca="1">INDEX('OD flujo mercancia multimodal'!E$45:E$1645,MATCH(C682&amp;D682,'OD flujo mercancia multimodal'!C$45:C$1645&amp;'OD flujo mercancia multimodal'!D$45:D$1645,0))</f>
        <v>7458.3076923076887</v>
      </c>
      <c r="F682" s="11" cm="1">
        <f t="array" aca="1" ref="F682" ca="1">INDEX('OD flujo mercancia carretera'!E$45:E$1646,MATCH(C682&amp;D682,'OD flujo mercancia carretera'!C$45:C$1646&amp;'OD flujo mercancia carretera'!D$45:D$1646,0))</f>
        <v>173398.92307692312</v>
      </c>
      <c r="G682" s="11" cm="1">
        <f t="array" aca="1" ref="G682" ca="1">INDEX('Coste Carretera'!E$46:E$1646,MATCH(C682&amp;D682,'Coste Carretera'!C$46:C$1646&amp;'Coste Carretera'!D$46:D$1646,0))</f>
        <v>1455833468.7600007</v>
      </c>
      <c r="H682" s="11" cm="1">
        <f t="array" aca="1" ref="H682" ca="1">INDEX('Coste multimodal'!E$46:E$1646,MATCH(C682&amp;D682,'Coste multimodal'!C$46:C$1646&amp;'Coste multimodal'!D$46:D$1646,0))</f>
        <v>477524052.74211168</v>
      </c>
      <c r="I682" s="12" cm="1">
        <f t="array" aca="1" ref="I682" ca="1">INDEX('Tiempos intermodal (horas)'!E$45:E$1645,MATCH(C682&amp;D682,'Tiempos intermodal (horas)'!C$45:C$1645&amp;'Tiempos intermodal (horas)'!D$45:D$1645,0))</f>
        <v>53.310603310341584</v>
      </c>
      <c r="J682" s="2" cm="1">
        <f t="array" aca="1" ref="J682" ca="1">INDEX('Tiempos carretera (horas)'!E$45:E$1645,MATCH(C682&amp;D682,'Tiempos carretera (horas)'!C$45:C$1645&amp;'Tiempos carretera (horas)'!D$45:D$1645,0))</f>
        <v>11.1</v>
      </c>
      <c r="K682" s="12">
        <f t="shared" ca="1" si="66"/>
        <v>8.3958622287069495</v>
      </c>
      <c r="L682" s="12">
        <f t="shared" ca="1" si="67"/>
        <v>64.025791431830839</v>
      </c>
      <c r="M682" s="12">
        <f t="shared" ca="1" si="68"/>
        <v>4.1238648079403022E-2</v>
      </c>
      <c r="N682" s="13">
        <f t="shared" ca="1" si="64"/>
        <v>-55.629929203123893</v>
      </c>
      <c r="O682" s="13">
        <f t="shared" ca="1" si="65"/>
        <v>-42.210603310341583</v>
      </c>
      <c r="P682" s="12">
        <f t="shared" ca="1" si="69"/>
        <v>3.1462663161140876</v>
      </c>
    </row>
    <row r="683" spans="1:16" x14ac:dyDescent="0.25">
      <c r="A683">
        <v>25</v>
      </c>
      <c r="B683">
        <v>1</v>
      </c>
      <c r="C683" s="2" t="s">
        <v>24</v>
      </c>
      <c r="D683" s="2" t="s">
        <v>0</v>
      </c>
      <c r="E683" s="11" cm="1">
        <f t="array" aca="1" ref="E683" ca="1">INDEX('OD flujo mercancia multimodal'!E$45:E$1645,MATCH(C683&amp;D683,'OD flujo mercancia multimodal'!C$45:C$1645&amp;'OD flujo mercancia multimodal'!D$45:D$1645,0))</f>
        <v>96180.379120879094</v>
      </c>
      <c r="F683" s="11" cm="1">
        <f t="array" aca="1" ref="F683" ca="1">INDEX('OD flujo mercancia carretera'!E$45:E$1646,MATCH(C683&amp;D683,'OD flujo mercancia carretera'!C$45:C$1646&amp;'OD flujo mercancia carretera'!D$45:D$1646,0))</f>
        <v>113564.17948717953</v>
      </c>
      <c r="G683" s="11" cm="1">
        <f t="array" aca="1" ref="G683" ca="1">INDEX('Coste Carretera'!E$46:E$1646,MATCH(C683&amp;D683,'Coste Carretera'!C$46:C$1646&amp;'Coste Carretera'!D$46:D$1646,0))</f>
        <v>4071423170.2114277</v>
      </c>
      <c r="H683" s="11" cm="1">
        <f t="array" aca="1" ref="H683" ca="1">INDEX('Coste multimodal'!E$46:E$1646,MATCH(C683&amp;D683,'Coste multimodal'!C$46:C$1646&amp;'Coste multimodal'!D$46:D$1646,0))</f>
        <v>588640972.57954025</v>
      </c>
      <c r="I683" s="12" cm="1">
        <f t="array" aca="1" ref="I683" ca="1">INDEX('Tiempos intermodal (horas)'!E$45:E$1645,MATCH(C683&amp;D683,'Tiempos intermodal (horas)'!C$45:C$1645&amp;'Tiempos intermodal (horas)'!D$45:D$1645,0))</f>
        <v>51.351714421452698</v>
      </c>
      <c r="J683" s="2" cm="1">
        <f t="array" aca="1" ref="J683" ca="1">INDEX('Tiempos carretera (horas)'!E$45:E$1645,MATCH(C683&amp;D683,'Tiempos carretera (horas)'!C$45:C$1645&amp;'Tiempos carretera (horas)'!D$45:D$1645,0))</f>
        <v>9.1300000000000008</v>
      </c>
      <c r="K683" s="12">
        <f t="shared" ca="1" si="66"/>
        <v>35.851297377365881</v>
      </c>
      <c r="L683" s="12">
        <f t="shared" ca="1" si="67"/>
        <v>6.1201772956180465</v>
      </c>
      <c r="M683" s="12">
        <f t="shared" ca="1" si="68"/>
        <v>0.45855959152965481</v>
      </c>
      <c r="N683" s="13">
        <f t="shared" ca="1" si="64"/>
        <v>29.731120081747836</v>
      </c>
      <c r="O683" s="13">
        <f t="shared" ca="1" si="65"/>
        <v>-42.221714421452695</v>
      </c>
      <c r="P683" s="12">
        <f t="shared" ca="1" si="69"/>
        <v>0.16614275752040225</v>
      </c>
    </row>
    <row r="684" spans="1:16" x14ac:dyDescent="0.25">
      <c r="A684">
        <v>1</v>
      </c>
      <c r="B684">
        <v>25</v>
      </c>
      <c r="C684" s="2" t="s">
        <v>0</v>
      </c>
      <c r="D684" s="2" t="s">
        <v>24</v>
      </c>
      <c r="E684" s="11" cm="1">
        <f t="array" aca="1" ref="E684" ca="1">INDEX('OD flujo mercancia multimodal'!E$45:E$1645,MATCH(C684&amp;D684,'OD flujo mercancia multimodal'!C$45:C$1645&amp;'OD flujo mercancia multimodal'!D$45:D$1645,0))</f>
        <v>90809.763736263747</v>
      </c>
      <c r="F684" s="11" cm="1">
        <f t="array" aca="1" ref="F684" ca="1">INDEX('OD flujo mercancia carretera'!E$45:E$1646,MATCH(C684&amp;D684,'OD flujo mercancia carretera'!C$45:C$1646&amp;'OD flujo mercancia carretera'!D$45:D$1646,0))</f>
        <v>108585.3333333333</v>
      </c>
      <c r="G684" s="11" cm="1">
        <f t="array" aca="1" ref="G684" ca="1">INDEX('Coste Carretera'!E$46:E$1646,MATCH(C684&amp;D684,'Coste Carretera'!C$46:C$1646&amp;'Coste Carretera'!D$46:D$1646,0))</f>
        <v>3844079005.8914294</v>
      </c>
      <c r="H684" s="11" cm="1">
        <f t="array" aca="1" ref="H684" ca="1">INDEX('Coste multimodal'!E$46:E$1646,MATCH(C684&amp;D684,'Coste multimodal'!C$46:C$1646&amp;'Coste multimodal'!D$46:D$1646,0))</f>
        <v>588640972.57954025</v>
      </c>
      <c r="I684" s="12" cm="1">
        <f t="array" aca="1" ref="I684" ca="1">INDEX('Tiempos intermodal (horas)'!E$45:E$1645,MATCH(C684&amp;D684,'Tiempos intermodal (horas)'!C$45:C$1645&amp;'Tiempos intermodal (horas)'!D$45:D$1645,0))</f>
        <v>51.351714421452698</v>
      </c>
      <c r="J684" s="2" cm="1">
        <f t="array" aca="1" ref="J684" ca="1">INDEX('Tiempos carretera (horas)'!E$45:E$1645,MATCH(C684&amp;D684,'Tiempos carretera (horas)'!C$45:C$1645&amp;'Tiempos carretera (horas)'!D$45:D$1645,0))</f>
        <v>9.1300000000000008</v>
      </c>
      <c r="K684" s="12">
        <f t="shared" ca="1" si="66"/>
        <v>35.401456972931555</v>
      </c>
      <c r="L684" s="12">
        <f t="shared" ca="1" si="67"/>
        <v>6.4821330698438295</v>
      </c>
      <c r="M684" s="12">
        <f t="shared" ca="1" si="68"/>
        <v>0.4554262620839038</v>
      </c>
      <c r="N684" s="13">
        <f t="shared" ca="1" si="64"/>
        <v>28.919323903087726</v>
      </c>
      <c r="O684" s="13">
        <f t="shared" ca="1" si="65"/>
        <v>-42.221714421452695</v>
      </c>
      <c r="P684" s="12">
        <f t="shared" ca="1" si="69"/>
        <v>0.17876953623885675</v>
      </c>
    </row>
    <row r="685" spans="1:16" x14ac:dyDescent="0.25">
      <c r="A685">
        <v>30</v>
      </c>
      <c r="B685">
        <v>1</v>
      </c>
      <c r="C685" s="2" t="s">
        <v>146</v>
      </c>
      <c r="D685" s="2" t="s">
        <v>0</v>
      </c>
      <c r="E685" s="11" cm="1">
        <f t="array" aca="1" ref="E685" ca="1">INDEX('OD flujo mercancia multimodal'!E$45:E$1645,MATCH(C685&amp;D685,'OD flujo mercancia multimodal'!C$45:C$1645&amp;'OD flujo mercancia multimodal'!D$45:D$1645,0))</f>
        <v>96498.4714285714</v>
      </c>
      <c r="F685" s="11" cm="1">
        <f t="array" aca="1" ref="F685" ca="1">INDEX('OD flujo mercancia carretera'!E$45:E$1646,MATCH(C685&amp;D685,'OD flujo mercancia carretera'!C$45:C$1646&amp;'OD flujo mercancia carretera'!D$45:D$1646,0))</f>
        <v>273326.64615384623</v>
      </c>
      <c r="G685" s="11" cm="1">
        <f t="array" aca="1" ref="G685" ca="1">INDEX('Coste Carretera'!E$46:E$1646,MATCH(C685&amp;D685,'Coste Carretera'!C$46:C$1646&amp;'Coste Carretera'!D$46:D$1646,0))</f>
        <v>675886062.3542856</v>
      </c>
      <c r="H685" s="11" cm="1">
        <f t="array" aca="1" ref="H685" ca="1">INDEX('Coste multimodal'!E$46:E$1646,MATCH(C685&amp;D685,'Coste multimodal'!C$46:C$1646&amp;'Coste multimodal'!D$46:D$1646,0))</f>
        <v>619915673.88754022</v>
      </c>
      <c r="I685" s="12" cm="1">
        <f t="array" aca="1" ref="I685" ca="1">INDEX('Tiempos intermodal (horas)'!E$45:E$1645,MATCH(C685&amp;D685,'Tiempos intermodal (horas)'!C$45:C$1645&amp;'Tiempos intermodal (horas)'!D$45:D$1645,0))</f>
        <v>51.879492199230477</v>
      </c>
      <c r="J685" s="2" cm="1">
        <f t="array" aca="1" ref="J685" ca="1">INDEX('Tiempos carretera (horas)'!E$45:E$1645,MATCH(C685&amp;D685,'Tiempos carretera (horas)'!C$45:C$1645&amp;'Tiempos carretera (horas)'!D$45:D$1645,0))</f>
        <v>9.6</v>
      </c>
      <c r="K685" s="12">
        <f t="shared" ca="1" si="66"/>
        <v>2.472814384785055</v>
      </c>
      <c r="L685" s="12">
        <f t="shared" ca="1" si="67"/>
        <v>6.4240983790754091</v>
      </c>
      <c r="M685" s="12">
        <f t="shared" ca="1" si="68"/>
        <v>0.26093000945796002</v>
      </c>
      <c r="N685" s="13">
        <f t="shared" ca="1" si="64"/>
        <v>-3.9512839942903542</v>
      </c>
      <c r="O685" s="13">
        <f t="shared" ca="1" si="65"/>
        <v>-42.279492199230475</v>
      </c>
      <c r="P685" s="12">
        <f t="shared" ca="1" si="69"/>
        <v>1.0411404178990493</v>
      </c>
    </row>
    <row r="686" spans="1:16" x14ac:dyDescent="0.25">
      <c r="A686">
        <v>1</v>
      </c>
      <c r="B686">
        <v>30</v>
      </c>
      <c r="C686" s="2" t="s">
        <v>0</v>
      </c>
      <c r="D686" s="2" t="s">
        <v>146</v>
      </c>
      <c r="E686" s="11" cm="1">
        <f t="array" aca="1" ref="E686" ca="1">INDEX('OD flujo mercancia multimodal'!E$45:E$1645,MATCH(C686&amp;D686,'OD flujo mercancia multimodal'!C$45:C$1645&amp;'OD flujo mercancia multimodal'!D$45:D$1645,0))</f>
        <v>93375.371428571438</v>
      </c>
      <c r="F686" s="11" cm="1">
        <f t="array" aca="1" ref="F686" ca="1">INDEX('OD flujo mercancia carretera'!E$45:E$1646,MATCH(C686&amp;D686,'OD flujo mercancia carretera'!C$45:C$1646&amp;'OD flujo mercancia carretera'!D$45:D$1646,0))</f>
        <v>277520.09999999998</v>
      </c>
      <c r="G686" s="11" cm="1">
        <f t="array" aca="1" ref="G686" ca="1">INDEX('Coste Carretera'!E$46:E$1646,MATCH(C686&amp;D686,'Coste Carretera'!C$46:C$1646&amp;'Coste Carretera'!D$46:D$1646,0))</f>
        <v>757459180.99428582</v>
      </c>
      <c r="H686" s="11" cm="1">
        <f t="array" aca="1" ref="H686" ca="1">INDEX('Coste multimodal'!E$46:E$1646,MATCH(C686&amp;D686,'Coste multimodal'!C$46:C$1646&amp;'Coste multimodal'!D$46:D$1646,0))</f>
        <v>619915673.88754022</v>
      </c>
      <c r="I686" s="12" cm="1">
        <f t="array" aca="1" ref="I686" ca="1">INDEX('Tiempos intermodal (horas)'!E$45:E$1645,MATCH(C686&amp;D686,'Tiempos intermodal (horas)'!C$45:C$1645&amp;'Tiempos intermodal (horas)'!D$45:D$1645,0))</f>
        <v>51.879492199230477</v>
      </c>
      <c r="J686" s="2" cm="1">
        <f t="array" aca="1" ref="J686" ca="1">INDEX('Tiempos carretera (horas)'!E$45:E$1645,MATCH(C686&amp;D686,'Tiempos carretera (horas)'!C$45:C$1645&amp;'Tiempos carretera (horas)'!D$45:D$1645,0))</f>
        <v>9.6</v>
      </c>
      <c r="K686" s="12">
        <f t="shared" ca="1" si="66"/>
        <v>2.7293849382235225</v>
      </c>
      <c r="L686" s="12">
        <f t="shared" ca="1" si="67"/>
        <v>6.6389634054816247</v>
      </c>
      <c r="M686" s="12">
        <f t="shared" ca="1" si="68"/>
        <v>0.25175656922668593</v>
      </c>
      <c r="N686" s="13">
        <f t="shared" ca="1" si="64"/>
        <v>-3.9095784672581022</v>
      </c>
      <c r="O686" s="13">
        <f t="shared" ca="1" si="65"/>
        <v>-42.279492199230475</v>
      </c>
      <c r="P686" s="12">
        <f t="shared" ca="1" si="69"/>
        <v>1.0892657417347233</v>
      </c>
    </row>
    <row r="687" spans="1:16" x14ac:dyDescent="0.25">
      <c r="A687">
        <v>12</v>
      </c>
      <c r="B687">
        <v>2</v>
      </c>
      <c r="C687" s="2" t="s">
        <v>11</v>
      </c>
      <c r="D687" s="2" t="s">
        <v>1</v>
      </c>
      <c r="E687" s="11" cm="1">
        <f t="array" aca="1" ref="E687" ca="1">INDEX('OD flujo mercancia multimodal'!E$45:E$1645,MATCH(C687&amp;D687,'OD flujo mercancia multimodal'!C$45:C$1645&amp;'OD flujo mercancia multimodal'!D$45:D$1645,0))</f>
        <v>26575.456043956015</v>
      </c>
      <c r="F687" s="11" cm="1">
        <f t="array" aca="1" ref="F687" ca="1">INDEX('OD flujo mercancia carretera'!E$45:E$1646,MATCH(C687&amp;D687,'OD flujo mercancia carretera'!C$45:C$1646&amp;'OD flujo mercancia carretera'!D$45:D$1646,0))</f>
        <v>80398.461538461561</v>
      </c>
      <c r="G687" s="11" cm="1">
        <f t="array" aca="1" ref="G687" ca="1">INDEX('Coste Carretera'!E$46:E$1646,MATCH(C687&amp;D687,'Coste Carretera'!C$46:C$1646&amp;'Coste Carretera'!D$46:D$1646,0))</f>
        <v>2071282539.9199977</v>
      </c>
      <c r="H687" s="11" cm="1">
        <f t="array" aca="1" ref="H687" ca="1">INDEX('Coste multimodal'!E$46:E$1646,MATCH(C687&amp;D687,'Coste multimodal'!C$46:C$1646&amp;'Coste multimodal'!D$46:D$1646,0))</f>
        <v>794070295.2204349</v>
      </c>
      <c r="I687" s="12" cm="1">
        <f t="array" aca="1" ref="I687" ca="1">INDEX('Tiempos intermodal (horas)'!E$45:E$1645,MATCH(C687&amp;D687,'Tiempos intermodal (horas)'!C$45:C$1645&amp;'Tiempos intermodal (horas)'!D$45:D$1645,0))</f>
        <v>57.217400076834643</v>
      </c>
      <c r="J687" s="2" cm="1">
        <f t="array" aca="1" ref="J687" ca="1">INDEX('Tiempos carretera (horas)'!E$45:E$1645,MATCH(C687&amp;D687,'Tiempos carretera (horas)'!C$45:C$1645&amp;'Tiempos carretera (horas)'!D$45:D$1645,0))</f>
        <v>14.86</v>
      </c>
      <c r="K687" s="12">
        <f t="shared" ca="1" si="66"/>
        <v>25.762713617711743</v>
      </c>
      <c r="L687" s="12">
        <f t="shared" ca="1" si="67"/>
        <v>29.879837016043538</v>
      </c>
      <c r="M687" s="12">
        <f t="shared" ca="1" si="68"/>
        <v>0.24842930542841038</v>
      </c>
      <c r="N687" s="13">
        <f t="shared" ca="1" si="64"/>
        <v>-4.1171233983317954</v>
      </c>
      <c r="O687" s="13">
        <f t="shared" ca="1" si="65"/>
        <v>-42.357400076834644</v>
      </c>
      <c r="P687" s="12">
        <f t="shared" ca="1" si="69"/>
        <v>1.1070069561892673</v>
      </c>
    </row>
    <row r="688" spans="1:16" x14ac:dyDescent="0.25">
      <c r="A688">
        <v>2</v>
      </c>
      <c r="B688">
        <v>12</v>
      </c>
      <c r="C688" s="2" t="s">
        <v>1</v>
      </c>
      <c r="D688" s="2" t="s">
        <v>11</v>
      </c>
      <c r="E688" s="11" cm="1">
        <f t="array" aca="1" ref="E688" ca="1">INDEX('OD flujo mercancia multimodal'!E$45:E$1645,MATCH(C688&amp;D688,'OD flujo mercancia multimodal'!C$45:C$1645&amp;'OD flujo mercancia multimodal'!D$45:D$1645,0))</f>
        <v>24636</v>
      </c>
      <c r="F688" s="11" cm="1">
        <f t="array" aca="1" ref="F688" ca="1">INDEX('OD flujo mercancia carretera'!E$45:E$1646,MATCH(C688&amp;D688,'OD flujo mercancia carretera'!C$45:C$1646&amp;'OD flujo mercancia carretera'!D$45:D$1646,0))</f>
        <v>80588.076923076907</v>
      </c>
      <c r="G688" s="11" cm="1">
        <f t="array" aca="1" ref="G688" ca="1">INDEX('Coste Carretera'!E$46:E$1646,MATCH(C688&amp;D688,'Coste Carretera'!C$46:C$1646&amp;'Coste Carretera'!D$46:D$1646,0))</f>
        <v>1920121956.48</v>
      </c>
      <c r="H688" s="11" cm="1">
        <f t="array" aca="1" ref="H688" ca="1">INDEX('Coste multimodal'!E$46:E$1646,MATCH(C688&amp;D688,'Coste multimodal'!C$46:C$1646&amp;'Coste multimodal'!D$46:D$1646,0))</f>
        <v>794070295.2204349</v>
      </c>
      <c r="I688" s="12" cm="1">
        <f t="array" aca="1" ref="I688" ca="1">INDEX('Tiempos intermodal (horas)'!E$45:E$1645,MATCH(C688&amp;D688,'Tiempos intermodal (horas)'!C$45:C$1645&amp;'Tiempos intermodal (horas)'!D$45:D$1645,0))</f>
        <v>57.217400076834643</v>
      </c>
      <c r="J688" s="2" cm="1">
        <f t="array" aca="1" ref="J688" ca="1">INDEX('Tiempos carretera (horas)'!E$45:E$1645,MATCH(C688&amp;D688,'Tiempos carretera (horas)'!C$45:C$1645&amp;'Tiempos carretera (horas)'!D$45:D$1645,0))</f>
        <v>14.86</v>
      </c>
      <c r="K688" s="12">
        <f t="shared" ca="1" si="66"/>
        <v>23.826377670145902</v>
      </c>
      <c r="L688" s="12">
        <f t="shared" ca="1" si="67"/>
        <v>32.232111350074483</v>
      </c>
      <c r="M688" s="12">
        <f t="shared" ca="1" si="68"/>
        <v>0.23412892486583581</v>
      </c>
      <c r="N688" s="13">
        <f t="shared" ca="1" si="64"/>
        <v>-8.4057336799285807</v>
      </c>
      <c r="O688" s="13">
        <f t="shared" ca="1" si="65"/>
        <v>-42.357400076834644</v>
      </c>
      <c r="P688" s="12">
        <f t="shared" ca="1" si="69"/>
        <v>1.1851419217511301</v>
      </c>
    </row>
    <row r="689" spans="1:16" x14ac:dyDescent="0.25">
      <c r="A689">
        <v>25</v>
      </c>
      <c r="B689">
        <v>36</v>
      </c>
      <c r="C689" s="2" t="s">
        <v>24</v>
      </c>
      <c r="D689" s="2" t="s">
        <v>35</v>
      </c>
      <c r="E689" s="11" cm="1">
        <f t="array" aca="1" ref="E689" ca="1">INDEX('OD flujo mercancia multimodal'!E$45:E$1645,MATCH(C689&amp;D689,'OD flujo mercancia multimodal'!C$45:C$1645&amp;'OD flujo mercancia multimodal'!D$45:D$1645,0))</f>
        <v>7420.1538461538421</v>
      </c>
      <c r="F689" s="11" cm="1">
        <f t="array" aca="1" ref="F689" ca="1">INDEX('OD flujo mercancia carretera'!E$45:E$1646,MATCH(C689&amp;D689,'OD flujo mercancia carretera'!C$45:C$1646&amp;'OD flujo mercancia carretera'!D$45:D$1646,0))</f>
        <v>156353.25641025644</v>
      </c>
      <c r="G689" s="11" cm="1">
        <f t="array" aca="1" ref="G689" ca="1">INDEX('Coste Carretera'!E$46:E$1646,MATCH(C689&amp;D689,'Coste Carretera'!C$46:C$1646&amp;'Coste Carretera'!D$46:D$1646,0))</f>
        <v>1260960404.4800005</v>
      </c>
      <c r="H689" s="11" cm="1">
        <f t="array" aca="1" ref="H689" ca="1">INDEX('Coste multimodal'!E$46:E$1646,MATCH(C689&amp;D689,'Coste multimodal'!C$46:C$1646&amp;'Coste multimodal'!D$46:D$1646,0))</f>
        <v>453006086.60211164</v>
      </c>
      <c r="I689" s="12" cm="1">
        <f t="array" aca="1" ref="I689" ca="1">INDEX('Tiempos intermodal (horas)'!E$45:E$1645,MATCH(C689&amp;D689,'Tiempos intermodal (horas)'!C$45:C$1645&amp;'Tiempos intermodal (horas)'!D$45:D$1645,0))</f>
        <v>51.971714421452695</v>
      </c>
      <c r="J689" s="2" cm="1">
        <f t="array" aca="1" ref="J689" ca="1">INDEX('Tiempos carretera (horas)'!E$45:E$1645,MATCH(C689&amp;D689,'Tiempos carretera (horas)'!C$45:C$1645&amp;'Tiempos carretera (horas)'!D$45:D$1645,0))</f>
        <v>9.5500000000000007</v>
      </c>
      <c r="K689" s="12">
        <f t="shared" ca="1" si="66"/>
        <v>8.0648170267164581</v>
      </c>
      <c r="L689" s="12">
        <f t="shared" ca="1" si="67"/>
        <v>61.050767409212483</v>
      </c>
      <c r="M689" s="12">
        <f t="shared" ca="1" si="68"/>
        <v>4.5307439312258009E-2</v>
      </c>
      <c r="N689" s="13">
        <f t="shared" ca="1" si="64"/>
        <v>-52.985950382496029</v>
      </c>
      <c r="O689" s="13">
        <f t="shared" ca="1" si="65"/>
        <v>-42.421714421452691</v>
      </c>
      <c r="P689" s="12">
        <f t="shared" ca="1" si="69"/>
        <v>3.0479181204355319</v>
      </c>
    </row>
    <row r="690" spans="1:16" x14ac:dyDescent="0.25">
      <c r="A690">
        <v>36</v>
      </c>
      <c r="B690">
        <v>25</v>
      </c>
      <c r="C690" s="2" t="s">
        <v>35</v>
      </c>
      <c r="D690" s="2" t="s">
        <v>24</v>
      </c>
      <c r="E690" s="11" cm="1">
        <f t="array" aca="1" ref="E690" ca="1">INDEX('OD flujo mercancia multimodal'!E$45:E$1645,MATCH(C690&amp;D690,'OD flujo mercancia multimodal'!C$45:C$1645&amp;'OD flujo mercancia multimodal'!D$45:D$1645,0))</f>
        <v>7297.9230769230799</v>
      </c>
      <c r="F690" s="11" cm="1">
        <f t="array" aca="1" ref="F690" ca="1">INDEX('OD flujo mercancia carretera'!E$45:E$1646,MATCH(C690&amp;D690,'OD flujo mercancia carretera'!C$45:C$1646&amp;'OD flujo mercancia carretera'!D$45:D$1646,0))</f>
        <v>153182.25641025638</v>
      </c>
      <c r="G690" s="11" cm="1">
        <f t="array" aca="1" ref="G690" ca="1">INDEX('Coste Carretera'!E$46:E$1646,MATCH(C690&amp;D690,'Coste Carretera'!C$46:C$1646&amp;'Coste Carretera'!D$46:D$1646,0))</f>
        <v>702762977.28000009</v>
      </c>
      <c r="H690" s="11" cm="1">
        <f t="array" aca="1" ref="H690" ca="1">INDEX('Coste multimodal'!E$46:E$1646,MATCH(C690&amp;D690,'Coste multimodal'!C$46:C$1646&amp;'Coste multimodal'!D$46:D$1646,0))</f>
        <v>453006086.60211164</v>
      </c>
      <c r="I690" s="12" cm="1">
        <f t="array" aca="1" ref="I690" ca="1">INDEX('Tiempos intermodal (horas)'!E$45:E$1645,MATCH(C690&amp;D690,'Tiempos intermodal (horas)'!C$45:C$1645&amp;'Tiempos intermodal (horas)'!D$45:D$1645,0))</f>
        <v>51.971714421452695</v>
      </c>
      <c r="J690" s="2" cm="1">
        <f t="array" aca="1" ref="J690" ca="1">INDEX('Tiempos carretera (horas)'!E$45:E$1645,MATCH(C690&amp;D690,'Tiempos carretera (horas)'!C$45:C$1645&amp;'Tiempos carretera (horas)'!D$45:D$1645,0))</f>
        <v>9.5500000000000007</v>
      </c>
      <c r="K690" s="12">
        <f t="shared" ca="1" si="66"/>
        <v>4.5877570532571568</v>
      </c>
      <c r="L690" s="12">
        <f t="shared" ca="1" si="67"/>
        <v>62.073288773702203</v>
      </c>
      <c r="M690" s="12">
        <f t="shared" ca="1" si="68"/>
        <v>4.5475541591764611E-2</v>
      </c>
      <c r="N690" s="13">
        <f t="shared" ca="1" si="64"/>
        <v>-57.485531720445046</v>
      </c>
      <c r="O690" s="13">
        <f t="shared" ca="1" si="65"/>
        <v>-42.421714421452691</v>
      </c>
      <c r="P690" s="12">
        <f t="shared" ca="1" si="69"/>
        <v>3.0440386331593112</v>
      </c>
    </row>
    <row r="691" spans="1:16" x14ac:dyDescent="0.25">
      <c r="A691">
        <v>37</v>
      </c>
      <c r="B691">
        <v>23</v>
      </c>
      <c r="C691" s="2" t="s">
        <v>36</v>
      </c>
      <c r="D691" s="2" t="s">
        <v>22</v>
      </c>
      <c r="E691" s="11" cm="1">
        <f t="array" aca="1" ref="E691" ca="1">INDEX('OD flujo mercancia multimodal'!E$45:E$1645,MATCH(C691&amp;D691,'OD flujo mercancia multimodal'!C$45:C$1645&amp;'OD flujo mercancia multimodal'!D$45:D$1645,0))</f>
        <v>12019.846153846156</v>
      </c>
      <c r="F691" s="11" cm="1">
        <f t="array" aca="1" ref="F691" ca="1">INDEX('OD flujo mercancia carretera'!E$45:E$1646,MATCH(C691&amp;D691,'OD flujo mercancia carretera'!C$45:C$1646&amp;'OD flujo mercancia carretera'!D$45:D$1646,0))</f>
        <v>192194.2417582421</v>
      </c>
      <c r="G691" s="11" cm="1">
        <f t="array" aca="1" ref="G691" ca="1">INDEX('Coste Carretera'!E$46:E$1646,MATCH(C691&amp;D691,'Coste Carretera'!C$46:C$1646&amp;'Coste Carretera'!D$46:D$1646,0))</f>
        <v>538997028.24000013</v>
      </c>
      <c r="H691" s="11" cm="1">
        <f t="array" aca="1" ref="H691" ca="1">INDEX('Coste multimodal'!E$46:E$1646,MATCH(C691&amp;D691,'Coste multimodal'!C$46:C$1646&amp;'Coste multimodal'!D$46:D$1646,0))</f>
        <v>151434828.86104873</v>
      </c>
      <c r="I691" s="12" cm="1">
        <f t="array" aca="1" ref="I691" ca="1">INDEX('Tiempos intermodal (horas)'!E$45:E$1645,MATCH(C691&amp;D691,'Tiempos intermodal (horas)'!C$45:C$1645&amp;'Tiempos intermodal (horas)'!D$45:D$1645,0))</f>
        <v>54.984024026956639</v>
      </c>
      <c r="J691" s="2" cm="1">
        <f t="array" aca="1" ref="J691" ca="1">INDEX('Tiempos carretera (horas)'!E$45:E$1645,MATCH(C691&amp;D691,'Tiempos carretera (horas)'!C$45:C$1645&amp;'Tiempos carretera (horas)'!D$45:D$1645,0))</f>
        <v>12.48</v>
      </c>
      <c r="K691" s="12">
        <f t="shared" ca="1" si="66"/>
        <v>2.8044390056076467</v>
      </c>
      <c r="L691" s="12">
        <f t="shared" ca="1" si="67"/>
        <v>12.598732706124698</v>
      </c>
      <c r="M691" s="12">
        <f t="shared" ca="1" si="68"/>
        <v>5.8859044822708595E-2</v>
      </c>
      <c r="N691" s="13">
        <f t="shared" ca="1" si="64"/>
        <v>-9.7942937005170521</v>
      </c>
      <c r="O691" s="13">
        <f t="shared" ca="1" si="65"/>
        <v>-42.504024026956643</v>
      </c>
      <c r="P691" s="12">
        <f t="shared" ca="1" si="69"/>
        <v>2.7719474066085579</v>
      </c>
    </row>
    <row r="692" spans="1:16" x14ac:dyDescent="0.25">
      <c r="A692">
        <v>23</v>
      </c>
      <c r="B692">
        <v>37</v>
      </c>
      <c r="C692" s="2" t="s">
        <v>22</v>
      </c>
      <c r="D692" s="2" t="s">
        <v>36</v>
      </c>
      <c r="E692" s="11" cm="1">
        <f t="array" aca="1" ref="E692" ca="1">INDEX('OD flujo mercancia multimodal'!E$45:E$1645,MATCH(C692&amp;D692,'OD flujo mercancia multimodal'!C$45:C$1645&amp;'OD flujo mercancia multimodal'!D$45:D$1645,0))</f>
        <v>10945.384615384661</v>
      </c>
      <c r="F692" s="11" cm="1">
        <f t="array" aca="1" ref="F692" ca="1">INDEX('OD flujo mercancia carretera'!E$45:E$1646,MATCH(C692&amp;D692,'OD flujo mercancia carretera'!C$45:C$1646&amp;'OD flujo mercancia carretera'!D$45:D$1646,0))</f>
        <v>191194.09340659337</v>
      </c>
      <c r="G692" s="11" cm="1">
        <f t="array" aca="1" ref="G692" ca="1">INDEX('Coste Carretera'!E$46:E$1646,MATCH(C692&amp;D692,'Coste Carretera'!C$46:C$1646&amp;'Coste Carretera'!D$46:D$1646,0))</f>
        <v>285984041.15999973</v>
      </c>
      <c r="H692" s="11" cm="1">
        <f t="array" aca="1" ref="H692" ca="1">INDEX('Coste multimodal'!E$46:E$1646,MATCH(C692&amp;D692,'Coste multimodal'!C$46:C$1646&amp;'Coste multimodal'!D$46:D$1646,0))</f>
        <v>151434828.86104873</v>
      </c>
      <c r="I692" s="12" cm="1">
        <f t="array" aca="1" ref="I692" ca="1">INDEX('Tiempos intermodal (horas)'!E$45:E$1645,MATCH(C692&amp;D692,'Tiempos intermodal (horas)'!C$45:C$1645&amp;'Tiempos intermodal (horas)'!D$45:D$1645,0))</f>
        <v>54.984024026956639</v>
      </c>
      <c r="J692" s="2" cm="1">
        <f t="array" aca="1" ref="J692" ca="1">INDEX('Tiempos carretera (horas)'!E$45:E$1645,MATCH(C692&amp;D692,'Tiempos carretera (horas)'!C$45:C$1645&amp;'Tiempos carretera (horas)'!D$45:D$1645,0))</f>
        <v>12.48</v>
      </c>
      <c r="K692" s="12">
        <f t="shared" ca="1" si="66"/>
        <v>1.4957786407754032</v>
      </c>
      <c r="L692" s="12">
        <f t="shared" ca="1" si="67"/>
        <v>13.835496346852381</v>
      </c>
      <c r="M692" s="12">
        <f t="shared" ca="1" si="68"/>
        <v>5.4147684175748202E-2</v>
      </c>
      <c r="N692" s="13">
        <f t="shared" ca="1" si="64"/>
        <v>-12.339717706076977</v>
      </c>
      <c r="O692" s="13">
        <f t="shared" ca="1" si="65"/>
        <v>-42.504024026956643</v>
      </c>
      <c r="P692" s="12">
        <f t="shared" ca="1" si="69"/>
        <v>2.860371236819129</v>
      </c>
    </row>
    <row r="693" spans="1:16" x14ac:dyDescent="0.25">
      <c r="A693">
        <v>25</v>
      </c>
      <c r="B693">
        <v>9</v>
      </c>
      <c r="C693" s="2" t="s">
        <v>24</v>
      </c>
      <c r="D693" s="2" t="s">
        <v>148</v>
      </c>
      <c r="E693" s="11" cm="1">
        <f t="array" aca="1" ref="E693" ca="1">INDEX('OD flujo mercancia multimodal'!E$45:E$1645,MATCH(C693&amp;D693,'OD flujo mercancia multimodal'!C$45:C$1645&amp;'OD flujo mercancia multimodal'!D$45:D$1645,0))</f>
        <v>4297.7622377622374</v>
      </c>
      <c r="F693" s="11" cm="1">
        <f t="array" aca="1" ref="F693" ca="1">INDEX('OD flujo mercancia carretera'!E$45:E$1646,MATCH(C693&amp;D693,'OD flujo mercancia carretera'!C$45:C$1646&amp;'OD flujo mercancia carretera'!D$45:D$1646,0))</f>
        <v>635159.95512820536</v>
      </c>
      <c r="G693" s="11" cm="1">
        <f t="array" aca="1" ref="G693" ca="1">INDEX('Coste Carretera'!E$46:E$1646,MATCH(C693&amp;D693,'Coste Carretera'!C$46:C$1646&amp;'Coste Carretera'!D$46:D$1646,0))</f>
        <v>271313604.21818173</v>
      </c>
      <c r="H693" s="11" cm="1">
        <f t="array" aca="1" ref="H693" ca="1">INDEX('Coste multimodal'!E$46:E$1646,MATCH(C693&amp;D693,'Coste multimodal'!C$46:C$1646&amp;'Coste multimodal'!D$46:D$1646,0))</f>
        <v>455980346.31811166</v>
      </c>
      <c r="I693" s="12" cm="1">
        <f t="array" aca="1" ref="I693" ca="1">INDEX('Tiempos intermodal (horas)'!E$45:E$1645,MATCH(C693&amp;D693,'Tiempos intermodal (horas)'!C$45:C$1645&amp;'Tiempos intermodal (horas)'!D$45:D$1645,0))</f>
        <v>53.812825532563807</v>
      </c>
      <c r="J693" s="2" cm="1">
        <f t="array" aca="1" ref="J693" ca="1">INDEX('Tiempos carretera (horas)'!E$45:E$1645,MATCH(C693&amp;D693,'Tiempos carretera (horas)'!C$45:C$1645&amp;'Tiempos carretera (horas)'!D$45:D$1645,0))</f>
        <v>11.28</v>
      </c>
      <c r="K693" s="12">
        <f t="shared" ca="1" si="66"/>
        <v>0.42715791829700256</v>
      </c>
      <c r="L693" s="12">
        <f t="shared" ca="1" si="67"/>
        <v>106.09715500584136</v>
      </c>
      <c r="M693" s="12">
        <f t="shared" ca="1" si="68"/>
        <v>6.7209482676437674E-3</v>
      </c>
      <c r="N693" s="13">
        <f t="shared" ca="1" si="64"/>
        <v>-105.66999708754436</v>
      </c>
      <c r="O693" s="13">
        <f t="shared" ca="1" si="65"/>
        <v>-42.532825532563805</v>
      </c>
      <c r="P693" s="12">
        <f t="shared" ca="1" si="69"/>
        <v>4.9957823875948604</v>
      </c>
    </row>
    <row r="694" spans="1:16" x14ac:dyDescent="0.25">
      <c r="A694">
        <v>9</v>
      </c>
      <c r="B694">
        <v>25</v>
      </c>
      <c r="C694" s="2" t="s">
        <v>148</v>
      </c>
      <c r="D694" s="2" t="s">
        <v>24</v>
      </c>
      <c r="E694" s="11" cm="1">
        <f t="array" aca="1" ref="E694" ca="1">INDEX('OD flujo mercancia multimodal'!E$45:E$1645,MATCH(C694&amp;D694,'OD flujo mercancia multimodal'!C$45:C$1645&amp;'OD flujo mercancia multimodal'!D$45:D$1645,0))</f>
        <v>6107.1923076923104</v>
      </c>
      <c r="F694" s="11" cm="1">
        <f t="array" aca="1" ref="F694" ca="1">INDEX('OD flujo mercancia carretera'!E$45:E$1646,MATCH(C694&amp;D694,'OD flujo mercancia carretera'!C$45:C$1646&amp;'OD flujo mercancia carretera'!D$45:D$1646,0))</f>
        <v>635731.63034188037</v>
      </c>
      <c r="G694" s="11" cm="1">
        <f t="array" aca="1" ref="G694" ca="1">INDEX('Coste Carretera'!E$46:E$1646,MATCH(C694&amp;D694,'Coste Carretera'!C$46:C$1646&amp;'Coste Carretera'!D$46:D$1646,0))</f>
        <v>333258979.86000013</v>
      </c>
      <c r="H694" s="11" cm="1">
        <f t="array" aca="1" ref="H694" ca="1">INDEX('Coste multimodal'!E$46:E$1646,MATCH(C694&amp;D694,'Coste multimodal'!C$46:C$1646&amp;'Coste multimodal'!D$46:D$1646,0))</f>
        <v>455980346.31811166</v>
      </c>
      <c r="I694" s="12" cm="1">
        <f t="array" aca="1" ref="I694" ca="1">INDEX('Tiempos intermodal (horas)'!E$45:E$1645,MATCH(C694&amp;D694,'Tiempos intermodal (horas)'!C$45:C$1645&amp;'Tiempos intermodal (horas)'!D$45:D$1645,0))</f>
        <v>53.812825532563807</v>
      </c>
      <c r="J694" s="2" cm="1">
        <f t="array" aca="1" ref="J694" ca="1">INDEX('Tiempos carretera (horas)'!E$45:E$1645,MATCH(C694&amp;D694,'Tiempos carretera (horas)'!C$45:C$1645&amp;'Tiempos carretera (horas)'!D$45:D$1645,0))</f>
        <v>11.28</v>
      </c>
      <c r="K694" s="12">
        <f t="shared" ca="1" si="66"/>
        <v>0.524213306298417</v>
      </c>
      <c r="L694" s="12">
        <f t="shared" ca="1" si="67"/>
        <v>74.662843962483691</v>
      </c>
      <c r="M694" s="12">
        <f t="shared" ca="1" si="68"/>
        <v>9.5151494303215116E-3</v>
      </c>
      <c r="N694" s="13">
        <f t="shared" ca="1" si="64"/>
        <v>-74.138630656185271</v>
      </c>
      <c r="O694" s="13">
        <f t="shared" ca="1" si="65"/>
        <v>-42.532825532563805</v>
      </c>
      <c r="P694" s="12">
        <f t="shared" ca="1" si="69"/>
        <v>4.6453093659559697</v>
      </c>
    </row>
    <row r="695" spans="1:16" x14ac:dyDescent="0.25">
      <c r="A695">
        <v>9</v>
      </c>
      <c r="B695">
        <v>24</v>
      </c>
      <c r="C695" s="2" t="s">
        <v>148</v>
      </c>
      <c r="D695" s="2" t="s">
        <v>23</v>
      </c>
      <c r="E695" s="11" cm="1">
        <f t="array" aca="1" ref="E695" ca="1">INDEX('OD flujo mercancia multimodal'!E$45:E$1645,MATCH(C695&amp;D695,'OD flujo mercancia multimodal'!C$45:C$1645&amp;'OD flujo mercancia multimodal'!D$45:D$1645,0))</f>
        <v>8502.5769230769201</v>
      </c>
      <c r="F695" s="11" cm="1">
        <f t="array" aca="1" ref="F695" ca="1">INDEX('OD flujo mercancia carretera'!E$45:E$1646,MATCH(C695&amp;D695,'OD flujo mercancia carretera'!C$45:C$1646&amp;'OD flujo mercancia carretera'!D$45:D$1646,0))</f>
        <v>642783.96367521386</v>
      </c>
      <c r="G695" s="11" cm="1">
        <f t="array" aca="1" ref="G695" ca="1">INDEX('Coste Carretera'!E$46:E$1646,MATCH(C695&amp;D695,'Coste Carretera'!C$46:C$1646&amp;'Coste Carretera'!D$46:D$1646,0))</f>
        <v>526488745.85999984</v>
      </c>
      <c r="H695" s="11" cm="1">
        <f t="array" aca="1" ref="H695" ca="1">INDEX('Coste multimodal'!E$46:E$1646,MATCH(C695&amp;D695,'Coste multimodal'!C$46:C$1646&amp;'Coste multimodal'!D$46:D$1646,0))</f>
        <v>514691959.41811168</v>
      </c>
      <c r="I695" s="12" cm="1">
        <f t="array" aca="1" ref="I695" ca="1">INDEX('Tiempos intermodal (horas)'!E$45:E$1645,MATCH(C695&amp;D695,'Tiempos intermodal (horas)'!C$45:C$1645&amp;'Tiempos intermodal (horas)'!D$45:D$1645,0))</f>
        <v>55.151714421452695</v>
      </c>
      <c r="J695" s="2" cm="1">
        <f t="array" aca="1" ref="J695" ca="1">INDEX('Tiempos carretera (horas)'!E$45:E$1645,MATCH(C695&amp;D695,'Tiempos carretera (horas)'!C$45:C$1645&amp;'Tiempos carretera (horas)'!D$45:D$1645,0))</f>
        <v>12.55</v>
      </c>
      <c r="K695" s="12">
        <f t="shared" ca="1" si="66"/>
        <v>0.81907573245872745</v>
      </c>
      <c r="L695" s="12">
        <f t="shared" ca="1" si="67"/>
        <v>60.533643397119008</v>
      </c>
      <c r="M695" s="12">
        <f t="shared" ca="1" si="68"/>
        <v>1.3055047806248546E-2</v>
      </c>
      <c r="N695" s="13">
        <f t="shared" ca="1" si="64"/>
        <v>-59.714567664660279</v>
      </c>
      <c r="O695" s="13">
        <f t="shared" ca="1" si="65"/>
        <v>-42.601714421452698</v>
      </c>
      <c r="P695" s="12">
        <f t="shared" ca="1" si="69"/>
        <v>4.3254394009693549</v>
      </c>
    </row>
    <row r="696" spans="1:16" x14ac:dyDescent="0.25">
      <c r="A696">
        <v>24</v>
      </c>
      <c r="B696">
        <v>9</v>
      </c>
      <c r="C696" s="2" t="s">
        <v>23</v>
      </c>
      <c r="D696" s="2" t="s">
        <v>148</v>
      </c>
      <c r="E696" s="11" cm="1">
        <f t="array" aca="1" ref="E696" ca="1">INDEX('OD flujo mercancia multimodal'!E$45:E$1645,MATCH(C696&amp;D696,'OD flujo mercancia multimodal'!C$45:C$1645&amp;'OD flujo mercancia multimodal'!D$45:D$1645,0))</f>
        <v>4335.9160839160832</v>
      </c>
      <c r="F696" s="11" cm="1">
        <f t="array" aca="1" ref="F696" ca="1">INDEX('OD flujo mercancia carretera'!E$45:E$1646,MATCH(C696&amp;D696,'OD flujo mercancia carretera'!C$45:C$1646&amp;'OD flujo mercancia carretera'!D$45:D$1646,0))</f>
        <v>652205.62179487199</v>
      </c>
      <c r="G696" s="11" cm="1">
        <f t="array" aca="1" ref="G696" ca="1">INDEX('Coste Carretera'!E$46:E$1646,MATCH(C696&amp;D696,'Coste Carretera'!C$46:C$1646&amp;'Coste Carretera'!D$46:D$1646,0))</f>
        <v>236603482.92363629</v>
      </c>
      <c r="H696" s="11" cm="1">
        <f t="array" aca="1" ref="H696" ca="1">INDEX('Coste multimodal'!E$46:E$1646,MATCH(C696&amp;D696,'Coste multimodal'!C$46:C$1646&amp;'Coste multimodal'!D$46:D$1646,0))</f>
        <v>514691959.41811168</v>
      </c>
      <c r="I696" s="12" cm="1">
        <f t="array" aca="1" ref="I696" ca="1">INDEX('Tiempos intermodal (horas)'!E$45:E$1645,MATCH(C696&amp;D696,'Tiempos intermodal (horas)'!C$45:C$1645&amp;'Tiempos intermodal (horas)'!D$45:D$1645,0))</f>
        <v>55.151714421452695</v>
      </c>
      <c r="J696" s="2" cm="1">
        <f t="array" aca="1" ref="J696" ca="1">INDEX('Tiempos carretera (horas)'!E$45:E$1645,MATCH(C696&amp;D696,'Tiempos carretera (horas)'!C$45:C$1645&amp;'Tiempos carretera (horas)'!D$45:D$1645,0))</f>
        <v>12.55</v>
      </c>
      <c r="K696" s="12">
        <f t="shared" ca="1" si="66"/>
        <v>0.36277436902874699</v>
      </c>
      <c r="L696" s="12">
        <f t="shared" ca="1" si="67"/>
        <v>118.70431748606531</v>
      </c>
      <c r="M696" s="12">
        <f t="shared" ca="1" si="68"/>
        <v>6.604176329688051E-3</v>
      </c>
      <c r="N696" s="13">
        <f t="shared" ca="1" si="64"/>
        <v>-118.34154311703657</v>
      </c>
      <c r="O696" s="13">
        <f t="shared" ca="1" si="65"/>
        <v>-42.601714421452698</v>
      </c>
      <c r="P696" s="12">
        <f t="shared" ca="1" si="69"/>
        <v>5.0134269724490697</v>
      </c>
    </row>
    <row r="697" spans="1:16" x14ac:dyDescent="0.25">
      <c r="A697">
        <v>9</v>
      </c>
      <c r="B697">
        <v>30</v>
      </c>
      <c r="C697" s="2" t="s">
        <v>148</v>
      </c>
      <c r="D697" s="2" t="s">
        <v>146</v>
      </c>
      <c r="E697" s="11" cm="1">
        <f t="array" aca="1" ref="E697" ca="1">INDEX('OD flujo mercancia multimodal'!E$45:E$1645,MATCH(C697&amp;D697,'OD flujo mercancia multimodal'!C$45:C$1645&amp;'OD flujo mercancia multimodal'!D$45:D$1645,0))</f>
        <v>8672.7999999999993</v>
      </c>
      <c r="F697" s="11" cm="1">
        <f t="array" aca="1" ref="F697" ca="1">INDEX('OD flujo mercancia carretera'!E$45:E$1646,MATCH(C697&amp;D697,'OD flujo mercancia carretera'!C$45:C$1646&amp;'OD flujo mercancia carretera'!D$45:D$1646,0))</f>
        <v>804666.39700854709</v>
      </c>
      <c r="G697" s="11" cm="1">
        <f t="array" aca="1" ref="G697" ca="1">INDEX('Coste Carretera'!E$46:E$1646,MATCH(C697&amp;D697,'Coste Carretera'!C$46:C$1646&amp;'Coste Carretera'!D$46:D$1646,0))</f>
        <v>1950193858.0799999</v>
      </c>
      <c r="H697" s="11" cm="1">
        <f t="array" aca="1" ref="H697" ca="1">INDEX('Coste multimodal'!E$46:E$1646,MATCH(C697&amp;D697,'Coste multimodal'!C$46:C$1646&amp;'Coste multimodal'!D$46:D$1646,0))</f>
        <v>487255047.62611163</v>
      </c>
      <c r="I697" s="12" cm="1">
        <f t="array" aca="1" ref="I697" ca="1">INDEX('Tiempos intermodal (horas)'!E$45:E$1645,MATCH(C697&amp;D697,'Tiempos intermodal (horas)'!C$45:C$1645&amp;'Tiempos intermodal (horas)'!D$45:D$1645,0))</f>
        <v>54.340603310341585</v>
      </c>
      <c r="J697" s="2" cm="1">
        <f t="array" aca="1" ref="J697" ca="1">INDEX('Tiempos carretera (horas)'!E$45:E$1645,MATCH(C697&amp;D697,'Tiempos carretera (horas)'!C$45:C$1645&amp;'Tiempos carretera (horas)'!D$45:D$1645,0))</f>
        <v>11.68</v>
      </c>
      <c r="K697" s="12">
        <f t="shared" ca="1" si="66"/>
        <v>2.4236054411245473</v>
      </c>
      <c r="L697" s="12">
        <f t="shared" ca="1" si="67"/>
        <v>56.181976711801454</v>
      </c>
      <c r="M697" s="12">
        <f t="shared" ca="1" si="68"/>
        <v>1.0663201812845692E-2</v>
      </c>
      <c r="N697" s="13">
        <f t="shared" ca="1" si="64"/>
        <v>-53.758371270676903</v>
      </c>
      <c r="O697" s="13">
        <f t="shared" ca="1" si="65"/>
        <v>-42.660603310341585</v>
      </c>
      <c r="P697" s="12">
        <f t="shared" ca="1" si="69"/>
        <v>4.5302360865065703</v>
      </c>
    </row>
    <row r="698" spans="1:16" x14ac:dyDescent="0.25">
      <c r="A698">
        <v>30</v>
      </c>
      <c r="B698">
        <v>9</v>
      </c>
      <c r="C698" s="2" t="s">
        <v>146</v>
      </c>
      <c r="D698" s="2" t="s">
        <v>148</v>
      </c>
      <c r="E698" s="11" cm="1">
        <f t="array" aca="1" ref="E698" ca="1">INDEX('OD flujo mercancia multimodal'!E$45:E$1645,MATCH(C698&amp;D698,'OD flujo mercancia multimodal'!C$45:C$1645&amp;'OD flujo mercancia multimodal'!D$45:D$1645,0))</f>
        <v>2432.7622377622374</v>
      </c>
      <c r="F698" s="11" cm="1">
        <f t="array" aca="1" ref="F698" ca="1">INDEX('OD flujo mercancia carretera'!E$45:E$1646,MATCH(C698&amp;D698,'OD flujo mercancia carretera'!C$45:C$1646&amp;'OD flujo mercancia carretera'!D$45:D$1646,0))</f>
        <v>794922.42179487203</v>
      </c>
      <c r="G698" s="11" cm="1">
        <f t="array" aca="1" ref="G698" ca="1">INDEX('Coste Carretera'!E$46:E$1646,MATCH(C698&amp;D698,'Coste Carretera'!C$46:C$1646&amp;'Coste Carretera'!D$46:D$1646,0))</f>
        <v>190738032.27818179</v>
      </c>
      <c r="H698" s="11" cm="1">
        <f t="array" aca="1" ref="H698" ca="1">INDEX('Coste multimodal'!E$46:E$1646,MATCH(C698&amp;D698,'Coste multimodal'!C$46:C$1646&amp;'Coste multimodal'!D$46:D$1646,0))</f>
        <v>487255047.62611163</v>
      </c>
      <c r="I698" s="12" cm="1">
        <f t="array" aca="1" ref="I698" ca="1">INDEX('Tiempos intermodal (horas)'!E$45:E$1645,MATCH(C698&amp;D698,'Tiempos intermodal (horas)'!C$45:C$1645&amp;'Tiempos intermodal (horas)'!D$45:D$1645,0))</f>
        <v>54.340603310341585</v>
      </c>
      <c r="J698" s="2" cm="1">
        <f t="array" aca="1" ref="J698" ca="1">INDEX('Tiempos carretera (horas)'!E$45:E$1645,MATCH(C698&amp;D698,'Tiempos carretera (horas)'!C$45:C$1645&amp;'Tiempos carretera (horas)'!D$45:D$1645,0))</f>
        <v>11.68</v>
      </c>
      <c r="K698" s="12">
        <f t="shared" ca="1" si="66"/>
        <v>0.23994546769420641</v>
      </c>
      <c r="L698" s="12">
        <f t="shared" ca="1" si="67"/>
        <v>200.28880753850834</v>
      </c>
      <c r="M698" s="12">
        <f t="shared" ca="1" si="68"/>
        <v>3.051039595000199E-3</v>
      </c>
      <c r="N698" s="13">
        <f t="shared" ca="1" si="64"/>
        <v>-200.04886207081412</v>
      </c>
      <c r="O698" s="13">
        <f t="shared" ca="1" si="65"/>
        <v>-42.660603310341585</v>
      </c>
      <c r="P698" s="12">
        <f t="shared" ca="1" si="69"/>
        <v>5.7892171921142861</v>
      </c>
    </row>
    <row r="699" spans="1:16" x14ac:dyDescent="0.25">
      <c r="A699">
        <v>2</v>
      </c>
      <c r="B699">
        <v>29</v>
      </c>
      <c r="C699" s="2" t="s">
        <v>1</v>
      </c>
      <c r="D699" s="2" t="s">
        <v>147</v>
      </c>
      <c r="E699" s="11" cm="1">
        <f t="array" aca="1" ref="E699" ca="1">INDEX('OD flujo mercancia multimodal'!E$45:E$1645,MATCH(C699&amp;D699,'OD flujo mercancia multimodal'!C$45:C$1645&amp;'OD flujo mercancia multimodal'!D$45:D$1645,0))</f>
        <v>42968.3</v>
      </c>
      <c r="F699" s="11" cm="1">
        <f t="array" aca="1" ref="F699" ca="1">INDEX('OD flujo mercancia carretera'!E$45:E$1646,MATCH(C699&amp;D699,'OD flujo mercancia carretera'!C$45:C$1646&amp;'OD flujo mercancia carretera'!D$45:D$1646,0))</f>
        <v>399938.4</v>
      </c>
      <c r="G699" s="11" cm="1">
        <f t="array" aca="1" ref="G699" ca="1">INDEX('Coste Carretera'!E$46:E$1646,MATCH(C699&amp;D699,'Coste Carretera'!C$46:C$1646&amp;'Coste Carretera'!D$46:D$1646,0))</f>
        <v>1117064082.4199998</v>
      </c>
      <c r="H699" s="11" cm="1">
        <f t="array" aca="1" ref="H699" ca="1">INDEX('Coste multimodal'!E$46:E$1646,MATCH(C699&amp;D699,'Coste multimodal'!C$46:C$1646&amp;'Coste multimodal'!D$46:D$1646,0))</f>
        <v>4671029365.4140739</v>
      </c>
      <c r="I699" s="12" cm="1">
        <f t="array" aca="1" ref="I699" ca="1">INDEX('Tiempos intermodal (horas)'!E$45:E$1645,MATCH(C699&amp;D699,'Tiempos intermodal (horas)'!C$45:C$1645&amp;'Tiempos intermodal (horas)'!D$45:D$1645,0))</f>
        <v>68.606420551535194</v>
      </c>
      <c r="J699" s="2" cm="1">
        <f t="array" aca="1" ref="J699" ca="1">INDEX('Tiempos carretera (horas)'!E$45:E$1645,MATCH(C699&amp;D699,'Tiempos carretera (horas)'!C$45:C$1645&amp;'Tiempos carretera (horas)'!D$45:D$1645,0))</f>
        <v>5.28</v>
      </c>
      <c r="K699" s="12">
        <f t="shared" ca="1" si="66"/>
        <v>2.793090341962662</v>
      </c>
      <c r="L699" s="12">
        <f t="shared" ca="1" si="67"/>
        <v>108.70873098107381</v>
      </c>
      <c r="M699" s="12">
        <f t="shared" ca="1" si="68"/>
        <v>9.7014337331090272E-2</v>
      </c>
      <c r="N699" s="13">
        <f t="shared" ca="1" si="64"/>
        <v>-105.91564063911115</v>
      </c>
      <c r="O699" s="13">
        <f t="shared" ca="1" si="65"/>
        <v>-63.326420551535193</v>
      </c>
      <c r="P699" s="12">
        <f t="shared" ca="1" si="69"/>
        <v>2.2308479007299313</v>
      </c>
    </row>
    <row r="700" spans="1:16" x14ac:dyDescent="0.25">
      <c r="A700">
        <v>29</v>
      </c>
      <c r="B700">
        <v>2</v>
      </c>
      <c r="C700" s="2" t="s">
        <v>147</v>
      </c>
      <c r="D700" s="2" t="s">
        <v>1</v>
      </c>
      <c r="E700" s="11" cm="1">
        <f t="array" aca="1" ref="E700" ca="1">INDEX('OD flujo mercancia multimodal'!E$45:E$1645,MATCH(C700&amp;D700,'OD flujo mercancia multimodal'!C$45:C$1645&amp;'OD flujo mercancia multimodal'!D$45:D$1645,0))</f>
        <v>44496.871428571394</v>
      </c>
      <c r="F700" s="11" cm="1">
        <f t="array" aca="1" ref="F700" ca="1">INDEX('OD flujo mercancia carretera'!E$45:E$1646,MATCH(C700&amp;D700,'OD flujo mercancia carretera'!C$45:C$1646&amp;'OD flujo mercancia carretera'!D$45:D$1646,0))</f>
        <v>401621.33076923079</v>
      </c>
      <c r="G700" s="11" cm="1">
        <f t="array" aca="1" ref="G700" ca="1">INDEX('Coste Carretera'!E$46:E$1646,MATCH(C700&amp;D700,'Coste Carretera'!C$46:C$1646&amp;'Coste Carretera'!D$46:D$1646,0))</f>
        <v>1156802965.277142</v>
      </c>
      <c r="H700" s="11" cm="1">
        <f t="array" aca="1" ref="H700" ca="1">INDEX('Coste multimodal'!E$46:E$1646,MATCH(C700&amp;D700,'Coste multimodal'!C$46:C$1646&amp;'Coste multimodal'!D$46:D$1646,0))</f>
        <v>4671029365.4140739</v>
      </c>
      <c r="I700" s="12" cm="1">
        <f t="array" aca="1" ref="I700" ca="1">INDEX('Tiempos intermodal (horas)'!E$45:E$1645,MATCH(C700&amp;D700,'Tiempos intermodal (horas)'!C$45:C$1645&amp;'Tiempos intermodal (horas)'!D$45:D$1645,0))</f>
        <v>68.606420551535194</v>
      </c>
      <c r="J700" s="2" cm="1">
        <f t="array" aca="1" ref="J700" ca="1">INDEX('Tiempos carretera (horas)'!E$45:E$1645,MATCH(C700&amp;D700,'Tiempos carretera (horas)'!C$45:C$1645&amp;'Tiempos carretera (horas)'!D$45:D$1645,0))</f>
        <v>5.28</v>
      </c>
      <c r="K700" s="12">
        <f t="shared" ca="1" si="66"/>
        <v>2.8803324839880933</v>
      </c>
      <c r="L700" s="12">
        <f t="shared" ca="1" si="67"/>
        <v>104.97433224967837</v>
      </c>
      <c r="M700" s="12">
        <f t="shared" ca="1" si="68"/>
        <v>9.9742335572405402E-2</v>
      </c>
      <c r="N700" s="13">
        <f t="shared" ca="1" si="64"/>
        <v>-102.09399976569027</v>
      </c>
      <c r="O700" s="13">
        <f t="shared" ca="1" si="65"/>
        <v>-63.326420551535193</v>
      </c>
      <c r="P700" s="12">
        <f t="shared" ca="1" si="69"/>
        <v>2.2000907997074521</v>
      </c>
    </row>
    <row r="701" spans="1:16" x14ac:dyDescent="0.25">
      <c r="A701">
        <v>23</v>
      </c>
      <c r="B701">
        <v>20</v>
      </c>
      <c r="C701" s="2" t="s">
        <v>22</v>
      </c>
      <c r="D701" s="2" t="s">
        <v>19</v>
      </c>
      <c r="E701" s="11" cm="1">
        <f t="array" aca="1" ref="E701" ca="1">INDEX('OD flujo mercancia multimodal'!E$45:E$1645,MATCH(C701&amp;D701,'OD flujo mercancia multimodal'!C$45:C$1645&amp;'OD flujo mercancia multimodal'!D$45:D$1645,0))</f>
        <v>59266.230769230759</v>
      </c>
      <c r="F701" s="11" cm="1">
        <f t="array" aca="1" ref="F701" ca="1">INDEX('OD flujo mercancia carretera'!E$45:E$1646,MATCH(C701&amp;D701,'OD flujo mercancia carretera'!C$45:C$1646&amp;'OD flujo mercancia carretera'!D$45:D$1646,0))</f>
        <v>168182.33333333337</v>
      </c>
      <c r="G701" s="11" cm="1">
        <f t="array" aca="1" ref="G701" ca="1">INDEX('Coste Carretera'!E$46:E$1646,MATCH(C701&amp;D701,'Coste Carretera'!C$46:C$1646&amp;'Coste Carretera'!D$46:D$1646,0))</f>
        <v>1176586402.3199997</v>
      </c>
      <c r="H701" s="11" cm="1">
        <f t="array" aca="1" ref="H701" ca="1">INDEX('Coste multimodal'!E$46:E$1646,MATCH(C701&amp;D701,'Coste multimodal'!C$46:C$1646&amp;'Coste multimodal'!D$46:D$1646,0))</f>
        <v>522821710.12542826</v>
      </c>
      <c r="I701" s="12" cm="1">
        <f t="array" aca="1" ref="I701" ca="1">INDEX('Tiempos intermodal (horas)'!E$45:E$1645,MATCH(C701&amp;D701,'Tiempos intermodal (horas)'!C$45:C$1645&amp;'Tiempos intermodal (horas)'!D$45:D$1645,0))</f>
        <v>46.783496002838774</v>
      </c>
      <c r="J701" s="2" cm="1">
        <f t="array" aca="1" ref="J701" ca="1">INDEX('Tiempos carretera (horas)'!E$45:E$1645,MATCH(C701&amp;D701,'Tiempos carretera (horas)'!C$45:C$1645&amp;'Tiempos carretera (horas)'!D$45:D$1645,0))</f>
        <v>4.05</v>
      </c>
      <c r="K701" s="12">
        <f t="shared" ca="1" si="66"/>
        <v>6.9958977200538266</v>
      </c>
      <c r="L701" s="12">
        <f t="shared" ca="1" si="67"/>
        <v>8.8215785505438546</v>
      </c>
      <c r="M701" s="12">
        <f t="shared" ca="1" si="68"/>
        <v>0.26056981719394651</v>
      </c>
      <c r="N701" s="13">
        <f t="shared" ca="1" si="64"/>
        <v>-1.8256808304900281</v>
      </c>
      <c r="O701" s="13">
        <f t="shared" ca="1" si="65"/>
        <v>-42.733496002838777</v>
      </c>
      <c r="P701" s="12">
        <f t="shared" ca="1" si="69"/>
        <v>1.0430090287975993</v>
      </c>
    </row>
    <row r="702" spans="1:16" x14ac:dyDescent="0.25">
      <c r="A702">
        <v>20</v>
      </c>
      <c r="B702">
        <v>23</v>
      </c>
      <c r="C702" s="2" t="s">
        <v>19</v>
      </c>
      <c r="D702" s="2" t="s">
        <v>22</v>
      </c>
      <c r="E702" s="11" cm="1">
        <f t="array" aca="1" ref="E702" ca="1">INDEX('OD flujo mercancia multimodal'!E$45:E$1645,MATCH(C702&amp;D702,'OD flujo mercancia multimodal'!C$45:C$1645&amp;'OD flujo mercancia multimodal'!D$45:D$1645,0))</f>
        <v>38393.461538461539</v>
      </c>
      <c r="F702" s="11" cm="1">
        <f t="array" aca="1" ref="F702" ca="1">INDEX('OD flujo mercancia carretera'!E$45:E$1646,MATCH(C702&amp;D702,'OD flujo mercancia carretera'!C$45:C$1646&amp;'OD flujo mercancia carretera'!D$45:D$1646,0))</f>
        <v>171736.00000000035</v>
      </c>
      <c r="G702" s="11" cm="1">
        <f t="array" aca="1" ref="G702" ca="1">INDEX('Coste Carretera'!E$46:E$1646,MATCH(C702&amp;D702,'Coste Carretera'!C$46:C$1646&amp;'Coste Carretera'!D$46:D$1646,0))</f>
        <v>762208498.79999995</v>
      </c>
      <c r="H702" s="11" cm="1">
        <f t="array" aca="1" ref="H702" ca="1">INDEX('Coste multimodal'!E$46:E$1646,MATCH(C702&amp;D702,'Coste multimodal'!C$46:C$1646&amp;'Coste multimodal'!D$46:D$1646,0))</f>
        <v>522821710.12542826</v>
      </c>
      <c r="I702" s="12" cm="1">
        <f t="array" aca="1" ref="I702" ca="1">INDEX('Tiempos intermodal (horas)'!E$45:E$1645,MATCH(C702&amp;D702,'Tiempos intermodal (horas)'!C$45:C$1645&amp;'Tiempos intermodal (horas)'!D$45:D$1645,0))</f>
        <v>46.783496002838774</v>
      </c>
      <c r="J702" s="2" cm="1">
        <f t="array" aca="1" ref="J702" ca="1">INDEX('Tiempos carretera (horas)'!E$45:E$1645,MATCH(C702&amp;D702,'Tiempos carretera (horas)'!C$45:C$1645&amp;'Tiempos carretera (horas)'!D$45:D$1645,0))</f>
        <v>4.05</v>
      </c>
      <c r="K702" s="12">
        <f t="shared" ca="1" si="66"/>
        <v>4.4382569688358782</v>
      </c>
      <c r="L702" s="12">
        <f t="shared" ca="1" si="67"/>
        <v>13.617467380524664</v>
      </c>
      <c r="M702" s="12">
        <f t="shared" ca="1" si="68"/>
        <v>0.18271336754667331</v>
      </c>
      <c r="N702" s="13">
        <f t="shared" ca="1" si="64"/>
        <v>-9.1792104116887856</v>
      </c>
      <c r="O702" s="13">
        <f t="shared" ca="1" si="65"/>
        <v>-42.733496002838777</v>
      </c>
      <c r="P702" s="12">
        <f t="shared" ca="1" si="69"/>
        <v>1.4980712412920028</v>
      </c>
    </row>
    <row r="703" spans="1:16" x14ac:dyDescent="0.25">
      <c r="A703">
        <v>3</v>
      </c>
      <c r="B703">
        <v>11</v>
      </c>
      <c r="C703" s="2" t="s">
        <v>2</v>
      </c>
      <c r="D703" s="2" t="s">
        <v>10</v>
      </c>
      <c r="E703" s="11" cm="1">
        <f t="array" aca="1" ref="E703" ca="1">INDEX('OD flujo mercancia multimodal'!E$45:E$1645,MATCH(C703&amp;D703,'OD flujo mercancia multimodal'!C$45:C$1645&amp;'OD flujo mercancia multimodal'!D$45:D$1645,0))</f>
        <v>36224.95604395603</v>
      </c>
      <c r="F703" s="11" cm="1">
        <f t="array" aca="1" ref="F703" ca="1">INDEX('OD flujo mercancia carretera'!E$45:E$1646,MATCH(C703&amp;D703,'OD flujo mercancia carretera'!C$45:C$1646&amp;'OD flujo mercancia carretera'!D$45:D$1646,0))</f>
        <v>134812.76923076925</v>
      </c>
      <c r="G703" s="11" cm="1">
        <f t="array" aca="1" ref="G703" ca="1">INDEX('Coste Carretera'!E$46:E$1646,MATCH(C703&amp;D703,'Coste Carretera'!C$46:C$1646&amp;'Coste Carretera'!D$46:D$1646,0))</f>
        <v>3411244701.7314267</v>
      </c>
      <c r="H703" s="11" cm="1">
        <f t="array" aca="1" ref="H703" ca="1">INDEX('Coste multimodal'!E$46:E$1646,MATCH(C703&amp;D703,'Coste multimodal'!C$46:C$1646&amp;'Coste multimodal'!D$46:D$1646,0))</f>
        <v>593255865.6074543</v>
      </c>
      <c r="I703" s="12" cm="1">
        <f t="array" aca="1" ref="I703" ca="1">INDEX('Tiempos intermodal (horas)'!E$45:E$1645,MATCH(C703&amp;D703,'Tiempos intermodal (horas)'!C$45:C$1645&amp;'Tiempos intermodal (horas)'!D$45:D$1645,0))</f>
        <v>60.697962201459269</v>
      </c>
      <c r="J703" s="2" cm="1">
        <f t="array" aca="1" ref="J703" ca="1">INDEX('Tiempos carretera (horas)'!E$45:E$1645,MATCH(C703&amp;D703,'Tiempos carretera (horas)'!C$45:C$1645&amp;'Tiempos carretera (horas)'!D$45:D$1645,0))</f>
        <v>17.86</v>
      </c>
      <c r="K703" s="12">
        <f t="shared" ca="1" si="66"/>
        <v>25.303572660035936</v>
      </c>
      <c r="L703" s="12">
        <f t="shared" ca="1" si="67"/>
        <v>16.376993387861859</v>
      </c>
      <c r="M703" s="12">
        <f t="shared" ca="1" si="68"/>
        <v>0.21179512289332983</v>
      </c>
      <c r="N703" s="13">
        <f t="shared" ca="1" si="64"/>
        <v>8.9265792721740773</v>
      </c>
      <c r="O703" s="13">
        <f t="shared" ca="1" si="65"/>
        <v>-42.83796220145927</v>
      </c>
      <c r="P703" s="12">
        <f t="shared" ca="1" si="69"/>
        <v>1.3141386464344447</v>
      </c>
    </row>
    <row r="704" spans="1:16" x14ac:dyDescent="0.25">
      <c r="A704">
        <v>30</v>
      </c>
      <c r="B704">
        <v>21</v>
      </c>
      <c r="C704" s="2" t="s">
        <v>146</v>
      </c>
      <c r="D704" s="2" t="s">
        <v>20</v>
      </c>
      <c r="E704" s="11" cm="1">
        <f t="array" aca="1" ref="E704" ca="1">INDEX('OD flujo mercancia multimodal'!E$45:E$1645,MATCH(C704&amp;D704,'OD flujo mercancia multimodal'!C$45:C$1645&amp;'OD flujo mercancia multimodal'!D$45:D$1645,0))</f>
        <v>39139.615384615397</v>
      </c>
      <c r="F704" s="11" cm="1">
        <f t="array" aca="1" ref="F704" ca="1">INDEX('OD flujo mercancia carretera'!E$45:E$1646,MATCH(C704&amp;D704,'OD flujo mercancia carretera'!C$45:C$1646&amp;'OD flujo mercancia carretera'!D$45:D$1646,0))</f>
        <v>332071.13333333307</v>
      </c>
      <c r="G704" s="11" cm="1">
        <f t="array" aca="1" ref="G704" ca="1">INDEX('Coste Carretera'!E$46:E$1646,MATCH(C704&amp;D704,'Coste Carretera'!C$46:C$1646&amp;'Coste Carretera'!D$46:D$1646,0))</f>
        <v>1963168404.9400005</v>
      </c>
      <c r="H704" s="11" cm="1">
        <f t="array" aca="1" ref="H704" ca="1">INDEX('Coste multimodal'!E$46:E$1646,MATCH(C704&amp;D704,'Coste multimodal'!C$46:C$1646&amp;'Coste multimodal'!D$46:D$1646,0))</f>
        <v>348013360.18501067</v>
      </c>
      <c r="I704" s="12" cm="1">
        <f t="array" aca="1" ref="I704" ca="1">INDEX('Tiempos intermodal (horas)'!E$45:E$1645,MATCH(C704&amp;D704,'Tiempos intermodal (horas)'!C$45:C$1645&amp;'Tiempos intermodal (horas)'!D$45:D$1645,0))</f>
        <v>50.535222107850032</v>
      </c>
      <c r="J704" s="2" cm="1">
        <f t="array" aca="1" ref="J704" ca="1">INDEX('Tiempos carretera (horas)'!E$45:E$1645,MATCH(C704&amp;D704,'Tiempos carretera (horas)'!C$45:C$1645&amp;'Tiempos carretera (horas)'!D$45:D$1645,0))</f>
        <v>7.55</v>
      </c>
      <c r="K704" s="12">
        <f t="shared" ca="1" si="66"/>
        <v>5.9118911819696525</v>
      </c>
      <c r="L704" s="12">
        <f t="shared" ca="1" si="67"/>
        <v>8.8915886567910487</v>
      </c>
      <c r="M704" s="12">
        <f t="shared" ca="1" si="68"/>
        <v>0.10543772107836853</v>
      </c>
      <c r="N704" s="13">
        <f t="shared" ref="N704:N767" ca="1" si="70">K704-L704</f>
        <v>-2.9796974748213962</v>
      </c>
      <c r="O704" s="13">
        <f t="shared" ref="O704:O767" ca="1" si="71">J704-I704</f>
        <v>-42.985222107850035</v>
      </c>
      <c r="P704" s="12">
        <f t="shared" ca="1" si="69"/>
        <v>2.1382140677329495</v>
      </c>
    </row>
    <row r="705" spans="1:16" x14ac:dyDescent="0.25">
      <c r="A705">
        <v>21</v>
      </c>
      <c r="B705">
        <v>30</v>
      </c>
      <c r="C705" s="2" t="s">
        <v>20</v>
      </c>
      <c r="D705" s="2" t="s">
        <v>146</v>
      </c>
      <c r="E705" s="11" cm="1">
        <f t="array" aca="1" ref="E705" ca="1">INDEX('OD flujo mercancia multimodal'!E$45:E$1645,MATCH(C705&amp;D705,'OD flujo mercancia multimodal'!C$45:C$1645&amp;'OD flujo mercancia multimodal'!D$45:D$1645,0))</f>
        <v>30944.83846153846</v>
      </c>
      <c r="F705" s="11" cm="1">
        <f t="array" aca="1" ref="F705" ca="1">INDEX('OD flujo mercancia carretera'!E$45:E$1646,MATCH(C705&amp;D705,'OD flujo mercancia carretera'!C$45:C$1646&amp;'OD flujo mercancia carretera'!D$45:D$1646,0))</f>
        <v>339503.1</v>
      </c>
      <c r="G705" s="11" cm="1">
        <f t="array" aca="1" ref="G705" ca="1">INDEX('Coste Carretera'!E$46:E$1646,MATCH(C705&amp;D705,'Coste Carretera'!C$46:C$1646&amp;'Coste Carretera'!D$46:D$1646,0))</f>
        <v>2176863853.46</v>
      </c>
      <c r="H705" s="11" cm="1">
        <f t="array" aca="1" ref="H705" ca="1">INDEX('Coste multimodal'!E$46:E$1646,MATCH(C705&amp;D705,'Coste multimodal'!C$46:C$1646&amp;'Coste multimodal'!D$46:D$1646,0))</f>
        <v>348013360.18501067</v>
      </c>
      <c r="I705" s="12" cm="1">
        <f t="array" aca="1" ref="I705" ca="1">INDEX('Tiempos intermodal (horas)'!E$45:E$1645,MATCH(C705&amp;D705,'Tiempos intermodal (horas)'!C$45:C$1645&amp;'Tiempos intermodal (horas)'!D$45:D$1645,0))</f>
        <v>50.535222107850032</v>
      </c>
      <c r="J705" s="2" cm="1">
        <f t="array" aca="1" ref="J705" ca="1">INDEX('Tiempos carretera (horas)'!E$45:E$1645,MATCH(C705&amp;D705,'Tiempos carretera (horas)'!C$45:C$1645&amp;'Tiempos carretera (horas)'!D$45:D$1645,0))</f>
        <v>7.55</v>
      </c>
      <c r="K705" s="12">
        <f t="shared" ca="1" si="66"/>
        <v>6.4119115656381345</v>
      </c>
      <c r="L705" s="12">
        <f t="shared" ca="1" si="67"/>
        <v>11.246249051115866</v>
      </c>
      <c r="M705" s="12">
        <f t="shared" ca="1" si="68"/>
        <v>8.3533569089496468E-2</v>
      </c>
      <c r="N705" s="13">
        <f t="shared" ca="1" si="70"/>
        <v>-4.8343374854777315</v>
      </c>
      <c r="O705" s="13">
        <f t="shared" ca="1" si="71"/>
        <v>-42.985222107850035</v>
      </c>
      <c r="P705" s="12">
        <f t="shared" ca="1" si="69"/>
        <v>2.395276863034197</v>
      </c>
    </row>
    <row r="706" spans="1:16" x14ac:dyDescent="0.25">
      <c r="A706">
        <v>13</v>
      </c>
      <c r="B706">
        <v>41</v>
      </c>
      <c r="C706" s="2" t="s">
        <v>12</v>
      </c>
      <c r="D706" s="2" t="s">
        <v>40</v>
      </c>
      <c r="E706" s="11" cm="1">
        <f t="array" aca="1" ref="E706" ca="1">INDEX('OD flujo mercancia multimodal'!E$45:E$1645,MATCH(C706&amp;D706,'OD flujo mercancia multimodal'!C$45:C$1645&amp;'OD flujo mercancia multimodal'!D$45:D$1645,0))</f>
        <v>23891.538461538454</v>
      </c>
      <c r="F706" s="11" cm="1">
        <f t="array" aca="1" ref="F706" ca="1">INDEX('OD flujo mercancia carretera'!E$45:E$1646,MATCH(C706&amp;D706,'OD flujo mercancia carretera'!C$45:C$1646&amp;'OD flujo mercancia carretera'!D$45:D$1646,0))</f>
        <v>43870.800366300391</v>
      </c>
      <c r="G706" s="11" cm="1">
        <f t="array" aca="1" ref="G706" ca="1">INDEX('Coste Carretera'!E$46:E$1646,MATCH(C706&amp;D706,'Coste Carretera'!C$46:C$1646&amp;'Coste Carretera'!D$46:D$1646,0))</f>
        <v>467594965.12</v>
      </c>
      <c r="H706" s="11" cm="1">
        <f t="array" aca="1" ref="H706" ca="1">INDEX('Coste multimodal'!E$46:E$1646,MATCH(C706&amp;D706,'Coste multimodal'!C$46:C$1646&amp;'Coste multimodal'!D$46:D$1646,0))</f>
        <v>182078950.1637404</v>
      </c>
      <c r="I706" s="12" cm="1">
        <f t="array" aca="1" ref="I706" ca="1">INDEX('Tiempos intermodal (horas)'!E$45:E$1645,MATCH(C706&amp;D706,'Tiempos intermodal (horas)'!C$45:C$1645&amp;'Tiempos intermodal (horas)'!D$45:D$1645,0))</f>
        <v>50.902977761941628</v>
      </c>
      <c r="J706" s="2" cm="1">
        <f t="array" aca="1" ref="J706" ca="1">INDEX('Tiempos carretera (horas)'!E$45:E$1645,MATCH(C706&amp;D706,'Tiempos carretera (horas)'!C$45:C$1645&amp;'Tiempos carretera (horas)'!D$45:D$1645,0))</f>
        <v>7.85</v>
      </c>
      <c r="K706" s="12">
        <f t="shared" ca="1" si="66"/>
        <v>10.658455310042299</v>
      </c>
      <c r="L706" s="12">
        <f t="shared" ca="1" si="67"/>
        <v>7.6210642716398658</v>
      </c>
      <c r="M706" s="12">
        <f t="shared" ca="1" si="68"/>
        <v>0.3525784215069489</v>
      </c>
      <c r="N706" s="13">
        <f t="shared" ca="1" si="70"/>
        <v>3.0373910384024336</v>
      </c>
      <c r="O706" s="13">
        <f t="shared" ca="1" si="71"/>
        <v>-43.052977761941627</v>
      </c>
      <c r="P706" s="12">
        <f t="shared" ca="1" si="69"/>
        <v>0.60772460207316159</v>
      </c>
    </row>
    <row r="707" spans="1:16" x14ac:dyDescent="0.25">
      <c r="A707">
        <v>41</v>
      </c>
      <c r="B707">
        <v>13</v>
      </c>
      <c r="C707" s="2" t="s">
        <v>40</v>
      </c>
      <c r="D707" s="2" t="s">
        <v>12</v>
      </c>
      <c r="E707" s="11" cm="1">
        <f t="array" aca="1" ref="E707" ca="1">INDEX('OD flujo mercancia multimodal'!E$45:E$1645,MATCH(C707&amp;D707,'OD flujo mercancia multimodal'!C$45:C$1645&amp;'OD flujo mercancia multimodal'!D$45:D$1645,0))</f>
        <v>10973.538461538465</v>
      </c>
      <c r="F707" s="11" cm="1">
        <f t="array" aca="1" ref="F707" ca="1">INDEX('OD flujo mercancia carretera'!E$45:E$1646,MATCH(C707&amp;D707,'OD flujo mercancia carretera'!C$45:C$1646&amp;'OD flujo mercancia carretera'!D$45:D$1646,0))</f>
        <v>90350.038461538497</v>
      </c>
      <c r="G707" s="11" cm="1">
        <f t="array" aca="1" ref="G707" ca="1">INDEX('Coste Carretera'!E$46:E$1646,MATCH(C707&amp;D707,'Coste Carretera'!C$46:C$1646&amp;'Coste Carretera'!D$46:D$1646,0))</f>
        <v>248833094.00000018</v>
      </c>
      <c r="H707" s="11" cm="1">
        <f t="array" aca="1" ref="H707" ca="1">INDEX('Coste multimodal'!E$46:E$1646,MATCH(C707&amp;D707,'Coste multimodal'!C$46:C$1646&amp;'Coste multimodal'!D$46:D$1646,0))</f>
        <v>78993427.953550577</v>
      </c>
      <c r="I707" s="12" cm="1">
        <f t="array" aca="1" ref="I707" ca="1">INDEX('Tiempos intermodal (horas)'!E$45:E$1645,MATCH(C707&amp;D707,'Tiempos intermodal (horas)'!C$45:C$1645&amp;'Tiempos intermodal (horas)'!D$45:D$1645,0))</f>
        <v>54.288357297531903</v>
      </c>
      <c r="J707" s="2" cm="1">
        <f t="array" aca="1" ref="J707" ca="1">INDEX('Tiempos carretera (horas)'!E$45:E$1645,MATCH(C707&amp;D707,'Tiempos carretera (horas)'!C$45:C$1645&amp;'Tiempos carretera (horas)'!D$45:D$1645,0))</f>
        <v>7.75</v>
      </c>
      <c r="K707" s="12">
        <f t="shared" ca="1" si="66"/>
        <v>2.7541005874162083</v>
      </c>
      <c r="L707" s="12">
        <f t="shared" ca="1" si="67"/>
        <v>7.1985374845513492</v>
      </c>
      <c r="M707" s="12">
        <f t="shared" ca="1" si="68"/>
        <v>0.10830192532454097</v>
      </c>
      <c r="N707" s="13">
        <f t="shared" ca="1" si="70"/>
        <v>-4.4444368971351409</v>
      </c>
      <c r="O707" s="13">
        <f t="shared" ca="1" si="71"/>
        <v>-46.538357297531903</v>
      </c>
      <c r="P707" s="12">
        <f t="shared" ca="1" si="69"/>
        <v>2.108204662431227</v>
      </c>
    </row>
    <row r="708" spans="1:16" x14ac:dyDescent="0.25">
      <c r="A708">
        <v>36</v>
      </c>
      <c r="B708">
        <v>11</v>
      </c>
      <c r="C708" s="2" t="s">
        <v>35</v>
      </c>
      <c r="D708" s="2" t="s">
        <v>10</v>
      </c>
      <c r="E708" s="11" cm="1">
        <f t="array" aca="1" ref="E708" ca="1">INDEX('OD flujo mercancia multimodal'!E$45:E$1645,MATCH(C708&amp;D708,'OD flujo mercancia multimodal'!C$45:C$1645&amp;'OD flujo mercancia multimodal'!D$45:D$1645,0))</f>
        <v>23355.615384615368</v>
      </c>
      <c r="F708" s="11" cm="1">
        <f t="array" aca="1" ref="F708" ca="1">INDEX('OD flujo mercancia carretera'!E$45:E$1646,MATCH(C708&amp;D708,'OD flujo mercancia carretera'!C$45:C$1646&amp;'OD flujo mercancia carretera'!D$45:D$1646,0))</f>
        <v>189890.92307692306</v>
      </c>
      <c r="G708" s="11" cm="1">
        <f t="array" aca="1" ref="G708" ca="1">INDEX('Coste Carretera'!E$46:E$1646,MATCH(C708&amp;D708,'Coste Carretera'!C$46:C$1646&amp;'Coste Carretera'!D$46:D$1646,0))</f>
        <v>3180493910.7199979</v>
      </c>
      <c r="H708" s="11" cm="1">
        <f t="array" aca="1" ref="H708" ca="1">INDEX('Coste multimodal'!E$46:E$1646,MATCH(C708&amp;D708,'Coste multimodal'!C$46:C$1646&amp;'Coste multimodal'!D$46:D$1646,0))</f>
        <v>651310725.93189621</v>
      </c>
      <c r="I708" s="12" cm="1">
        <f t="array" aca="1" ref="I708" ca="1">INDEX('Tiempos intermodal (horas)'!E$45:E$1645,MATCH(C708&amp;D708,'Tiempos intermodal (horas)'!C$45:C$1645&amp;'Tiempos intermodal (horas)'!D$45:D$1645,0))</f>
        <v>62.103080846471464</v>
      </c>
      <c r="J708" s="2" cm="1">
        <f t="array" aca="1" ref="J708" ca="1">INDEX('Tiempos carretera (horas)'!E$45:E$1645,MATCH(C708&amp;D708,'Tiempos carretera (horas)'!C$45:C$1645&amp;'Tiempos carretera (horas)'!D$45:D$1645,0))</f>
        <v>18.93</v>
      </c>
      <c r="K708" s="12">
        <f t="shared" ca="1" si="66"/>
        <v>16.749057085954597</v>
      </c>
      <c r="L708" s="12">
        <f t="shared" ca="1" si="67"/>
        <v>27.886686572211776</v>
      </c>
      <c r="M708" s="12">
        <f t="shared" ca="1" si="68"/>
        <v>0.10952400706296966</v>
      </c>
      <c r="N708" s="13">
        <f t="shared" ca="1" si="70"/>
        <v>-11.137629486257179</v>
      </c>
      <c r="O708" s="13">
        <f t="shared" ca="1" si="71"/>
        <v>-43.173080846471464</v>
      </c>
      <c r="P708" s="12">
        <f t="shared" ca="1" si="69"/>
        <v>2.0956123754731997</v>
      </c>
    </row>
    <row r="709" spans="1:16" x14ac:dyDescent="0.25">
      <c r="A709">
        <v>11</v>
      </c>
      <c r="B709">
        <v>36</v>
      </c>
      <c r="C709" s="2" t="s">
        <v>10</v>
      </c>
      <c r="D709" s="2" t="s">
        <v>35</v>
      </c>
      <c r="E709" s="11" cm="1">
        <f t="array" aca="1" ref="E709" ca="1">INDEX('OD flujo mercancia multimodal'!E$45:E$1645,MATCH(C709&amp;D709,'OD flujo mercancia multimodal'!C$45:C$1645&amp;'OD flujo mercancia multimodal'!D$45:D$1645,0))</f>
        <v>14413.615384615381</v>
      </c>
      <c r="F709" s="11" cm="1">
        <f t="array" aca="1" ref="F709" ca="1">INDEX('OD flujo mercancia carretera'!E$45:E$1646,MATCH(C709&amp;D709,'OD flujo mercancia carretera'!C$45:C$1646&amp;'OD flujo mercancia carretera'!D$45:D$1646,0))</f>
        <v>189044.15384615387</v>
      </c>
      <c r="G709" s="11" cm="1">
        <f t="array" aca="1" ref="G709" ca="1">INDEX('Coste Carretera'!E$46:E$1646,MATCH(C709&amp;D709,'Coste Carretera'!C$46:C$1646&amp;'Coste Carretera'!D$46:D$1646,0))</f>
        <v>3467604509.9200015</v>
      </c>
      <c r="H709" s="11" cm="1">
        <f t="array" aca="1" ref="H709" ca="1">INDEX('Coste multimodal'!E$46:E$1646,MATCH(C709&amp;D709,'Coste multimodal'!C$46:C$1646&amp;'Coste multimodal'!D$46:D$1646,0))</f>
        <v>651310725.93189621</v>
      </c>
      <c r="I709" s="12" cm="1">
        <f t="array" aca="1" ref="I709" ca="1">INDEX('Tiempos intermodal (horas)'!E$45:E$1645,MATCH(C709&amp;D709,'Tiempos intermodal (horas)'!C$45:C$1645&amp;'Tiempos intermodal (horas)'!D$45:D$1645,0))</f>
        <v>62.103080846471464</v>
      </c>
      <c r="J709" s="2" cm="1">
        <f t="array" aca="1" ref="J709" ca="1">INDEX('Tiempos carretera (horas)'!E$45:E$1645,MATCH(C709&amp;D709,'Tiempos carretera (horas)'!C$45:C$1645&amp;'Tiempos carretera (horas)'!D$45:D$1645,0))</f>
        <v>18.93</v>
      </c>
      <c r="K709" s="12">
        <f t="shared" ca="1" si="66"/>
        <v>18.342828589885801</v>
      </c>
      <c r="L709" s="12">
        <f t="shared" ca="1" si="67"/>
        <v>45.187186458928544</v>
      </c>
      <c r="M709" s="12">
        <f t="shared" ca="1" si="68"/>
        <v>7.0843278382094768E-2</v>
      </c>
      <c r="N709" s="13">
        <f t="shared" ca="1" si="70"/>
        <v>-26.844357869042742</v>
      </c>
      <c r="O709" s="13">
        <f t="shared" ca="1" si="71"/>
        <v>-43.173080846471464</v>
      </c>
      <c r="P709" s="12">
        <f t="shared" ca="1" si="69"/>
        <v>2.5738073333219886</v>
      </c>
    </row>
    <row r="710" spans="1:16" x14ac:dyDescent="0.25">
      <c r="A710">
        <v>19</v>
      </c>
      <c r="B710">
        <v>37</v>
      </c>
      <c r="C710" s="2" t="s">
        <v>18</v>
      </c>
      <c r="D710" s="2" t="s">
        <v>36</v>
      </c>
      <c r="E710" s="11" cm="1">
        <f t="array" aca="1" ref="E710" ca="1">INDEX('OD flujo mercancia multimodal'!E$45:E$1645,MATCH(C710&amp;D710,'OD flujo mercancia multimodal'!C$45:C$1645&amp;'OD flujo mercancia multimodal'!D$45:D$1645,0))</f>
        <v>11946.769230769276</v>
      </c>
      <c r="F710" s="11" cm="1">
        <f t="array" aca="1" ref="F710" ca="1">INDEX('OD flujo mercancia carretera'!E$45:E$1646,MATCH(C710&amp;D710,'OD flujo mercancia carretera'!C$45:C$1646&amp;'OD flujo mercancia carretera'!D$45:D$1646,0))</f>
        <v>126166.4267399267</v>
      </c>
      <c r="G710" s="11" cm="1">
        <f t="array" aca="1" ref="G710" ca="1">INDEX('Coste Carretera'!E$46:E$1646,MATCH(C710&amp;D710,'Coste Carretera'!C$46:C$1646&amp;'Coste Carretera'!D$46:D$1646,0))</f>
        <v>419219827.35999978</v>
      </c>
      <c r="H710" s="11" cm="1">
        <f t="array" aca="1" ref="H710" ca="1">INDEX('Coste multimodal'!E$46:E$1646,MATCH(C710&amp;D710,'Coste multimodal'!C$46:C$1646&amp;'Coste multimodal'!D$46:D$1646,0))</f>
        <v>191012019.55714834</v>
      </c>
      <c r="I710" s="12" cm="1">
        <f t="array" aca="1" ref="I710" ca="1">INDEX('Tiempos intermodal (horas)'!E$45:E$1645,MATCH(C710&amp;D710,'Tiempos intermodal (horas)'!C$45:C$1645&amp;'Tiempos intermodal (horas)'!D$45:D$1645,0))</f>
        <v>57.461482310435429</v>
      </c>
      <c r="J710" s="2" cm="1">
        <f t="array" aca="1" ref="J710" ca="1">INDEX('Tiempos carretera (horas)'!E$45:E$1645,MATCH(C710&amp;D710,'Tiempos carretera (horas)'!C$45:C$1645&amp;'Tiempos carretera (horas)'!D$45:D$1645,0))</f>
        <v>14.21</v>
      </c>
      <c r="K710" s="12">
        <f t="shared" ca="1" si="66"/>
        <v>3.3227526386568673</v>
      </c>
      <c r="L710" s="12">
        <f t="shared" ca="1" si="67"/>
        <v>15.988592050911214</v>
      </c>
      <c r="M710" s="12">
        <f t="shared" ca="1" si="68"/>
        <v>8.6499839112434057E-2</v>
      </c>
      <c r="N710" s="13">
        <f t="shared" ca="1" si="70"/>
        <v>-12.665839412254346</v>
      </c>
      <c r="O710" s="13">
        <f t="shared" ca="1" si="71"/>
        <v>-43.251482310435428</v>
      </c>
      <c r="P710" s="12">
        <f t="shared" ca="1" si="69"/>
        <v>2.3571409979759328</v>
      </c>
    </row>
    <row r="711" spans="1:16" x14ac:dyDescent="0.25">
      <c r="A711">
        <v>37</v>
      </c>
      <c r="B711">
        <v>19</v>
      </c>
      <c r="C711" s="2" t="s">
        <v>36</v>
      </c>
      <c r="D711" s="2" t="s">
        <v>18</v>
      </c>
      <c r="E711" s="11" cm="1">
        <f t="array" aca="1" ref="E711" ca="1">INDEX('OD flujo mercancia multimodal'!E$45:E$1645,MATCH(C711&amp;D711,'OD flujo mercancia multimodal'!C$45:C$1645&amp;'OD flujo mercancia multimodal'!D$45:D$1645,0))</f>
        <v>6885.0769230769256</v>
      </c>
      <c r="F711" s="11" cm="1">
        <f t="array" aca="1" ref="F711" ca="1">INDEX('OD flujo mercancia carretera'!E$45:E$1646,MATCH(C711&amp;D711,'OD flujo mercancia carretera'!C$45:C$1646&amp;'OD flujo mercancia carretera'!D$45:D$1646,0))</f>
        <v>173363.95970695969</v>
      </c>
      <c r="G711" s="11" cm="1">
        <f t="array" aca="1" ref="G711" ca="1">INDEX('Coste Carretera'!E$46:E$1646,MATCH(C711&amp;D711,'Coste Carretera'!C$46:C$1646&amp;'Coste Carretera'!D$46:D$1646,0))</f>
        <v>257560504.00000021</v>
      </c>
      <c r="H711" s="11" cm="1">
        <f t="array" aca="1" ref="H711" ca="1">INDEX('Coste multimodal'!E$46:E$1646,MATCH(C711&amp;D711,'Coste multimodal'!C$46:C$1646&amp;'Coste multimodal'!D$46:D$1646,0))</f>
        <v>191012019.55714834</v>
      </c>
      <c r="I711" s="12" cm="1">
        <f t="array" aca="1" ref="I711" ca="1">INDEX('Tiempos intermodal (horas)'!E$45:E$1645,MATCH(C711&amp;D711,'Tiempos intermodal (horas)'!C$45:C$1645&amp;'Tiempos intermodal (horas)'!D$45:D$1645,0))</f>
        <v>57.461482310435429</v>
      </c>
      <c r="J711" s="2" cm="1">
        <f t="array" aca="1" ref="J711" ca="1">INDEX('Tiempos carretera (horas)'!E$45:E$1645,MATCH(C711&amp;D711,'Tiempos carretera (horas)'!C$45:C$1645&amp;'Tiempos carretera (horas)'!D$45:D$1645,0))</f>
        <v>14.21</v>
      </c>
      <c r="K711" s="12">
        <f t="shared" ca="1" si="66"/>
        <v>1.4856634818180174</v>
      </c>
      <c r="L711" s="12">
        <f t="shared" ca="1" si="67"/>
        <v>27.742902757836653</v>
      </c>
      <c r="M711" s="12">
        <f t="shared" ca="1" si="68"/>
        <v>3.8197579592109725E-2</v>
      </c>
      <c r="N711" s="13">
        <f t="shared" ca="1" si="70"/>
        <v>-26.257239276018634</v>
      </c>
      <c r="O711" s="13">
        <f t="shared" ca="1" si="71"/>
        <v>-43.251482310435428</v>
      </c>
      <c r="P711" s="12">
        <f t="shared" ca="1" si="69"/>
        <v>3.2260368932380921</v>
      </c>
    </row>
    <row r="712" spans="1:16" x14ac:dyDescent="0.25">
      <c r="A712">
        <v>11</v>
      </c>
      <c r="B712">
        <v>20</v>
      </c>
      <c r="C712" s="2" t="s">
        <v>10</v>
      </c>
      <c r="D712" s="2" t="s">
        <v>19</v>
      </c>
      <c r="E712" s="11" cm="1">
        <f t="array" aca="1" ref="E712" ca="1">INDEX('OD flujo mercancia multimodal'!E$45:E$1645,MATCH(C712&amp;D712,'OD flujo mercancia multimodal'!C$45:C$1645&amp;'OD flujo mercancia multimodal'!D$45:D$1645,0))</f>
        <v>69153.461538461532</v>
      </c>
      <c r="F712" s="11" cm="1">
        <f t="array" aca="1" ref="F712" ca="1">INDEX('OD flujo mercancia carretera'!E$45:E$1646,MATCH(C712&amp;D712,'OD flujo mercancia carretera'!C$45:C$1646&amp;'OD flujo mercancia carretera'!D$45:D$1646,0))</f>
        <v>160847.8974358975</v>
      </c>
      <c r="G712" s="11" cm="1">
        <f t="array" aca="1" ref="G712" ca="1">INDEX('Coste Carretera'!E$46:E$1646,MATCH(C712&amp;D712,'Coste Carretera'!C$46:C$1646&amp;'Coste Carretera'!D$46:D$1646,0))</f>
        <v>5814735619.7999992</v>
      </c>
      <c r="H712" s="11" cm="1">
        <f t="array" aca="1" ref="H712" ca="1">INDEX('Coste multimodal'!E$46:E$1646,MATCH(C712&amp;D712,'Coste multimodal'!C$46:C$1646&amp;'Coste multimodal'!D$46:D$1646,0))</f>
        <v>730350690.22021306</v>
      </c>
      <c r="I712" s="12" cm="1">
        <f t="array" aca="1" ref="I712" ca="1">INDEX('Tiempos intermodal (horas)'!E$45:E$1645,MATCH(C712&amp;D712,'Tiempos intermodal (horas)'!C$45:C$1645&amp;'Tiempos intermodal (horas)'!D$45:D$1645,0))</f>
        <v>59.122341708896386</v>
      </c>
      <c r="J712" s="2" cm="1">
        <f t="array" aca="1" ref="J712" ca="1">INDEX('Tiempos carretera (horas)'!E$45:E$1645,MATCH(C712&amp;D712,'Tiempos carretera (horas)'!C$45:C$1645&amp;'Tiempos carretera (horas)'!D$45:D$1645,0))</f>
        <v>15.85</v>
      </c>
      <c r="K712" s="12">
        <f t="shared" ca="1" si="66"/>
        <v>36.15052302512899</v>
      </c>
      <c r="L712" s="12">
        <f t="shared" ca="1" si="67"/>
        <v>10.561303425339151</v>
      </c>
      <c r="M712" s="12">
        <f t="shared" ca="1" si="68"/>
        <v>0.3006654475731636</v>
      </c>
      <c r="N712" s="13">
        <f t="shared" ca="1" si="70"/>
        <v>25.589219599789839</v>
      </c>
      <c r="O712" s="13">
        <f t="shared" ca="1" si="71"/>
        <v>-43.272341708896384</v>
      </c>
      <c r="P712" s="12">
        <f t="shared" ca="1" si="69"/>
        <v>0.84413106675738925</v>
      </c>
    </row>
    <row r="713" spans="1:16" x14ac:dyDescent="0.25">
      <c r="A713">
        <v>20</v>
      </c>
      <c r="B713">
        <v>11</v>
      </c>
      <c r="C713" s="2" t="s">
        <v>19</v>
      </c>
      <c r="D713" s="2" t="s">
        <v>10</v>
      </c>
      <c r="E713" s="11" cm="1">
        <f t="array" aca="1" ref="E713" ca="1">INDEX('OD flujo mercancia multimodal'!E$45:E$1645,MATCH(C713&amp;D713,'OD flujo mercancia multimodal'!C$45:C$1645&amp;'OD flujo mercancia multimodal'!D$45:D$1645,0))</f>
        <v>53218.153846153829</v>
      </c>
      <c r="F713" s="11" cm="1">
        <f t="array" aca="1" ref="F713" ca="1">INDEX('OD flujo mercancia carretera'!E$45:E$1646,MATCH(C713&amp;D713,'OD flujo mercancia carretera'!C$45:C$1646&amp;'OD flujo mercancia carretera'!D$45:D$1646,0))</f>
        <v>158864.33333333334</v>
      </c>
      <c r="G713" s="11" cm="1">
        <f t="array" aca="1" ref="G713" ca="1">INDEX('Coste Carretera'!E$46:E$1646,MATCH(C713&amp;D713,'Coste Carretera'!C$46:C$1646&amp;'Coste Carretera'!D$46:D$1646,0))</f>
        <v>4474822921.4399986</v>
      </c>
      <c r="H713" s="11" cm="1">
        <f t="array" aca="1" ref="H713" ca="1">INDEX('Coste multimodal'!E$46:E$1646,MATCH(C713&amp;D713,'Coste multimodal'!C$46:C$1646&amp;'Coste multimodal'!D$46:D$1646,0))</f>
        <v>730350690.22021306</v>
      </c>
      <c r="I713" s="12" cm="1">
        <f t="array" aca="1" ref="I713" ca="1">INDEX('Tiempos intermodal (horas)'!E$45:E$1645,MATCH(C713&amp;D713,'Tiempos intermodal (horas)'!C$45:C$1645&amp;'Tiempos intermodal (horas)'!D$45:D$1645,0))</f>
        <v>59.122341708896386</v>
      </c>
      <c r="J713" s="2" cm="1">
        <f t="array" aca="1" ref="J713" ca="1">INDEX('Tiempos carretera (horas)'!E$45:E$1645,MATCH(C713&amp;D713,'Tiempos carretera (horas)'!C$45:C$1645&amp;'Tiempos carretera (horas)'!D$45:D$1645,0))</f>
        <v>15.85</v>
      </c>
      <c r="K713" s="12">
        <f t="shared" ca="1" si="66"/>
        <v>28.167574354470155</v>
      </c>
      <c r="L713" s="12">
        <f t="shared" ca="1" si="67"/>
        <v>13.723713384187542</v>
      </c>
      <c r="M713" s="12">
        <f t="shared" ca="1" si="68"/>
        <v>0.25093139256290814</v>
      </c>
      <c r="N713" s="13">
        <f t="shared" ca="1" si="70"/>
        <v>14.443860970282612</v>
      </c>
      <c r="O713" s="13">
        <f t="shared" ca="1" si="71"/>
        <v>-43.272341708896384</v>
      </c>
      <c r="P713" s="12">
        <f t="shared" ca="1" si="69"/>
        <v>1.0936510126708976</v>
      </c>
    </row>
    <row r="714" spans="1:16" x14ac:dyDescent="0.25">
      <c r="A714">
        <v>30</v>
      </c>
      <c r="B714">
        <v>34</v>
      </c>
      <c r="C714" s="2" t="s">
        <v>146</v>
      </c>
      <c r="D714" s="2" t="s">
        <v>33</v>
      </c>
      <c r="E714" s="11" cm="1">
        <f t="array" aca="1" ref="E714" ca="1">INDEX('OD flujo mercancia multimodal'!E$45:E$1645,MATCH(C714&amp;D714,'OD flujo mercancia multimodal'!C$45:C$1645&amp;'OD flujo mercancia multimodal'!D$45:D$1645,0))</f>
        <v>298612.61538461567</v>
      </c>
      <c r="F714" s="11" cm="1">
        <f t="array" aca="1" ref="F714" ca="1">INDEX('OD flujo mercancia carretera'!E$45:E$1646,MATCH(C714&amp;D714,'OD flujo mercancia carretera'!C$45:C$1646&amp;'OD flujo mercancia carretera'!D$45:D$1646,0))</f>
        <v>491859.18888888904</v>
      </c>
      <c r="G714" s="11" cm="1">
        <f t="array" aca="1" ref="G714" ca="1">INDEX('Coste Carretera'!E$46:E$1646,MATCH(C714&amp;D714,'Coste Carretera'!C$46:C$1646&amp;'Coste Carretera'!D$46:D$1646,0))</f>
        <v>4020610779.5199976</v>
      </c>
      <c r="H714" s="11" cm="1">
        <f t="array" aca="1" ref="H714" ca="1">INDEX('Coste multimodal'!E$46:E$1646,MATCH(C714&amp;D714,'Coste multimodal'!C$46:C$1646&amp;'Coste multimodal'!D$46:D$1646,0))</f>
        <v>2908879108.7257266</v>
      </c>
      <c r="I714" s="12" cm="1">
        <f t="array" aca="1" ref="I714" ca="1">INDEX('Tiempos intermodal (horas)'!E$45:E$1645,MATCH(C714&amp;D714,'Tiempos intermodal (horas)'!C$45:C$1645&amp;'Tiempos intermodal (horas)'!D$45:D$1645,0))</f>
        <v>59.474301725553673</v>
      </c>
      <c r="J714" s="2" cm="1">
        <f t="array" aca="1" ref="J714" ca="1">INDEX('Tiempos carretera (horas)'!E$45:E$1645,MATCH(C714&amp;D714,'Tiempos carretera (horas)'!C$45:C$1645&amp;'Tiempos carretera (horas)'!D$45:D$1645,0))</f>
        <v>10.119999999999999</v>
      </c>
      <c r="K714" s="12">
        <f t="shared" ca="1" si="66"/>
        <v>8.1743126291948851</v>
      </c>
      <c r="L714" s="12">
        <f t="shared" ca="1" si="67"/>
        <v>9.7413135241425248</v>
      </c>
      <c r="M714" s="12">
        <f t="shared" ca="1" si="68"/>
        <v>0.37776504331999566</v>
      </c>
      <c r="N714" s="13">
        <f t="shared" ca="1" si="70"/>
        <v>-1.5670008949476397</v>
      </c>
      <c r="O714" s="13">
        <f t="shared" ca="1" si="71"/>
        <v>-49.354301725553675</v>
      </c>
      <c r="P714" s="12">
        <f t="shared" ca="1" si="69"/>
        <v>0.49904534142941565</v>
      </c>
    </row>
    <row r="715" spans="1:16" x14ac:dyDescent="0.25">
      <c r="A715">
        <v>34</v>
      </c>
      <c r="B715">
        <v>30</v>
      </c>
      <c r="C715" s="2" t="s">
        <v>33</v>
      </c>
      <c r="D715" s="2" t="s">
        <v>146</v>
      </c>
      <c r="E715" s="11" cm="1">
        <f t="array" aca="1" ref="E715" ca="1">INDEX('OD flujo mercancia multimodal'!E$45:E$1645,MATCH(C715&amp;D715,'OD flujo mercancia multimodal'!C$45:C$1645&amp;'OD flujo mercancia multimodal'!D$45:D$1645,0))</f>
        <v>132428.06923076924</v>
      </c>
      <c r="F715" s="11" cm="1">
        <f t="array" aca="1" ref="F715" ca="1">INDEX('OD flujo mercancia carretera'!E$45:E$1646,MATCH(C715&amp;D715,'OD flujo mercancia carretera'!C$45:C$1646&amp;'OD flujo mercancia carretera'!D$45:D$1646,0))</f>
        <v>504119.32649572648</v>
      </c>
      <c r="G715" s="11" cm="1">
        <f t="array" aca="1" ref="G715" ca="1">INDEX('Coste Carretera'!E$46:E$1646,MATCH(C715&amp;D715,'Coste Carretera'!C$46:C$1646&amp;'Coste Carretera'!D$46:D$1646,0))</f>
        <v>3269375171.1999998</v>
      </c>
      <c r="H715" s="11" cm="1">
        <f t="array" aca="1" ref="H715" ca="1">INDEX('Coste multimodal'!E$46:E$1646,MATCH(C715&amp;D715,'Coste multimodal'!C$46:C$1646&amp;'Coste multimodal'!D$46:D$1646,0))</f>
        <v>2908879108.7257266</v>
      </c>
      <c r="I715" s="12" cm="1">
        <f t="array" aca="1" ref="I715" ca="1">INDEX('Tiempos intermodal (horas)'!E$45:E$1645,MATCH(C715&amp;D715,'Tiempos intermodal (horas)'!C$45:C$1645&amp;'Tiempos intermodal (horas)'!D$45:D$1645,0))</f>
        <v>59.474301725553673</v>
      </c>
      <c r="J715" s="2" cm="1">
        <f t="array" aca="1" ref="J715" ca="1">INDEX('Tiempos carretera (horas)'!E$45:E$1645,MATCH(C715&amp;D715,'Tiempos carretera (horas)'!C$45:C$1645&amp;'Tiempos carretera (horas)'!D$45:D$1645,0))</f>
        <v>10.119999999999999</v>
      </c>
      <c r="K715" s="12">
        <f t="shared" ca="1" si="66"/>
        <v>6.4853200410433285</v>
      </c>
      <c r="L715" s="12">
        <f t="shared" ca="1" si="67"/>
        <v>21.965729211506606</v>
      </c>
      <c r="M715" s="12">
        <f t="shared" ca="1" si="68"/>
        <v>0.20804117669765693</v>
      </c>
      <c r="N715" s="13">
        <f t="shared" ca="1" si="70"/>
        <v>-15.480409170463277</v>
      </c>
      <c r="O715" s="13">
        <f t="shared" ca="1" si="71"/>
        <v>-49.354301725553675</v>
      </c>
      <c r="P715" s="12">
        <f t="shared" ca="1" si="69"/>
        <v>1.3367733746815527</v>
      </c>
    </row>
    <row r="716" spans="1:16" x14ac:dyDescent="0.25">
      <c r="A716">
        <v>24</v>
      </c>
      <c r="B716">
        <v>2</v>
      </c>
      <c r="C716" s="2" t="s">
        <v>23</v>
      </c>
      <c r="D716" s="2" t="s">
        <v>1</v>
      </c>
      <c r="E716" s="11" cm="1">
        <f t="array" aca="1" ref="E716" ca="1">INDEX('OD flujo mercancia multimodal'!E$45:E$1645,MATCH(C716&amp;D716,'OD flujo mercancia multimodal'!C$45:C$1645&amp;'OD flujo mercancia multimodal'!D$45:D$1645,0))</f>
        <v>24957.532967032937</v>
      </c>
      <c r="F716" s="11" cm="1">
        <f t="array" aca="1" ref="F716" ca="1">INDEX('OD flujo mercancia carretera'!E$45:E$1646,MATCH(C716&amp;D716,'OD flujo mercancia carretera'!C$45:C$1646&amp;'OD flujo mercancia carretera'!D$45:D$1646,0))</f>
        <v>120998.23076923081</v>
      </c>
      <c r="G716" s="11" cm="1">
        <f t="array" aca="1" ref="G716" ca="1">INDEX('Coste Carretera'!E$46:E$1646,MATCH(C716&amp;D716,'Coste Carretera'!C$46:C$1646&amp;'Coste Carretera'!D$46:D$1646,0))</f>
        <v>1170517280.8657131</v>
      </c>
      <c r="H716" s="11" cm="1">
        <f t="array" aca="1" ref="H716" ca="1">INDEX('Coste multimodal'!E$46:E$1646,MATCH(C716&amp;D716,'Coste multimodal'!C$46:C$1646&amp;'Coste multimodal'!D$46:D$1646,0))</f>
        <v>523821117.11811173</v>
      </c>
      <c r="I716" s="12" cm="1">
        <f t="array" aca="1" ref="I716" ca="1">INDEX('Tiempos intermodal (horas)'!E$45:E$1645,MATCH(C716&amp;D716,'Tiempos intermodal (horas)'!C$45:C$1645&amp;'Tiempos intermodal (horas)'!D$45:D$1645,0))</f>
        <v>53.068381088119366</v>
      </c>
      <c r="J716" s="2" cm="1">
        <f t="array" aca="1" ref="J716" ca="1">INDEX('Tiempos carretera (horas)'!E$45:E$1645,MATCH(C716&amp;D716,'Tiempos carretera (horas)'!C$45:C$1645&amp;'Tiempos carretera (horas)'!D$45:D$1645,0))</f>
        <v>9.16</v>
      </c>
      <c r="K716" s="12">
        <f t="shared" ca="1" si="66"/>
        <v>9.6738379844424074</v>
      </c>
      <c r="L716" s="12">
        <f t="shared" ca="1" si="67"/>
        <v>20.98849745325553</v>
      </c>
      <c r="M716" s="12">
        <f t="shared" ca="1" si="68"/>
        <v>0.17099381571617966</v>
      </c>
      <c r="N716" s="13">
        <f t="shared" ca="1" si="70"/>
        <v>-11.314659468813122</v>
      </c>
      <c r="O716" s="13">
        <f t="shared" ca="1" si="71"/>
        <v>-43.90838108811937</v>
      </c>
      <c r="P716" s="12">
        <f t="shared" ca="1" si="69"/>
        <v>1.578600224593484</v>
      </c>
    </row>
    <row r="717" spans="1:16" x14ac:dyDescent="0.25">
      <c r="A717">
        <v>2</v>
      </c>
      <c r="B717">
        <v>24</v>
      </c>
      <c r="C717" s="2" t="s">
        <v>1</v>
      </c>
      <c r="D717" s="2" t="s">
        <v>23</v>
      </c>
      <c r="E717" s="11" cm="1">
        <f t="array" aca="1" ref="E717" ca="1">INDEX('OD flujo mercancia multimodal'!E$45:E$1645,MATCH(C717&amp;D717,'OD flujo mercancia multimodal'!C$45:C$1645&amp;'OD flujo mercancia multimodal'!D$45:D$1645,0))</f>
        <v>14005.07692307692</v>
      </c>
      <c r="F717" s="11" cm="1">
        <f t="array" aca="1" ref="F717" ca="1">INDEX('OD flujo mercancia carretera'!E$45:E$1646,MATCH(C717&amp;D717,'OD flujo mercancia carretera'!C$45:C$1646&amp;'OD flujo mercancia carretera'!D$45:D$1646,0))</f>
        <v>106205.6666666667</v>
      </c>
      <c r="G717" s="11" cm="1">
        <f t="array" aca="1" ref="G717" ca="1">INDEX('Coste Carretera'!E$46:E$1646,MATCH(C717&amp;D717,'Coste Carretera'!C$46:C$1646&amp;'Coste Carretera'!D$46:D$1646,0))</f>
        <v>656843149.51999986</v>
      </c>
      <c r="H717" s="11" cm="1">
        <f t="array" aca="1" ref="H717" ca="1">INDEX('Coste multimodal'!E$46:E$1646,MATCH(C717&amp;D717,'Coste multimodal'!C$46:C$1646&amp;'Coste multimodal'!D$46:D$1646,0))</f>
        <v>523821117.11811173</v>
      </c>
      <c r="I717" s="12" cm="1">
        <f t="array" aca="1" ref="I717" ca="1">INDEX('Tiempos intermodal (horas)'!E$45:E$1645,MATCH(C717&amp;D717,'Tiempos intermodal (horas)'!C$45:C$1645&amp;'Tiempos intermodal (horas)'!D$45:D$1645,0))</f>
        <v>53.068381088119366</v>
      </c>
      <c r="J717" s="2" cm="1">
        <f t="array" aca="1" ref="J717" ca="1">INDEX('Tiempos carretera (horas)'!E$45:E$1645,MATCH(C717&amp;D717,'Tiempos carretera (horas)'!C$45:C$1645&amp;'Tiempos carretera (horas)'!D$45:D$1645,0))</f>
        <v>9.16</v>
      </c>
      <c r="K717" s="12">
        <f t="shared" ca="1" si="66"/>
        <v>6.184633740698076</v>
      </c>
      <c r="L717" s="12">
        <f t="shared" ca="1" si="67"/>
        <v>37.402230633591408</v>
      </c>
      <c r="M717" s="12">
        <f t="shared" ca="1" si="68"/>
        <v>0.11650436978306682</v>
      </c>
      <c r="N717" s="13">
        <f t="shared" ca="1" si="70"/>
        <v>-31.217596892893333</v>
      </c>
      <c r="O717" s="13">
        <f t="shared" ca="1" si="71"/>
        <v>-43.90838108811937</v>
      </c>
      <c r="P717" s="12">
        <f t="shared" ca="1" si="69"/>
        <v>2.0259575645866574</v>
      </c>
    </row>
    <row r="718" spans="1:16" x14ac:dyDescent="0.25">
      <c r="A718">
        <v>11</v>
      </c>
      <c r="B718">
        <v>2</v>
      </c>
      <c r="C718" s="2" t="s">
        <v>10</v>
      </c>
      <c r="D718" s="2" t="s">
        <v>1</v>
      </c>
      <c r="E718" s="11" cm="1">
        <f t="array" aca="1" ref="E718" ca="1">INDEX('OD flujo mercancia multimodal'!E$45:E$1645,MATCH(C718&amp;D718,'OD flujo mercancia multimodal'!C$45:C$1645&amp;'OD flujo mercancia multimodal'!D$45:D$1645,0))</f>
        <v>31912.840659340629</v>
      </c>
      <c r="F718" s="11" cm="1">
        <f t="array" aca="1" ref="F718" ca="1">INDEX('OD flujo mercancia carretera'!E$45:E$1646,MATCH(C718&amp;D718,'OD flujo mercancia carretera'!C$45:C$1646&amp;'OD flujo mercancia carretera'!D$45:D$1646,0))</f>
        <v>136643.46153846159</v>
      </c>
      <c r="G718" s="11" cm="1">
        <f t="array" aca="1" ref="G718" ca="1">INDEX('Coste Carretera'!E$46:E$1646,MATCH(C718&amp;D718,'Coste Carretera'!C$46:C$1646&amp;'Coste Carretera'!D$46:D$1646,0))</f>
        <v>3031996866.0942831</v>
      </c>
      <c r="H718" s="11" cm="1">
        <f t="array" aca="1" ref="H718" ca="1">INDEX('Coste multimodal'!E$46:E$1646,MATCH(C718&amp;D718,'Coste multimodal'!C$46:C$1646&amp;'Coste multimodal'!D$46:D$1646,0))</f>
        <v>725774775.34789622</v>
      </c>
      <c r="I718" s="12" cm="1">
        <f t="array" aca="1" ref="I718" ca="1">INDEX('Tiempos intermodal (horas)'!E$45:E$1645,MATCH(C718&amp;D718,'Tiempos intermodal (horas)'!C$45:C$1645&amp;'Tiempos intermodal (horas)'!D$45:D$1645,0))</f>
        <v>61.860858624249239</v>
      </c>
      <c r="J718" s="2" cm="1">
        <f t="array" aca="1" ref="J718" ca="1">INDEX('Tiempos carretera (horas)'!E$45:E$1645,MATCH(C718&amp;D718,'Tiempos carretera (horas)'!C$45:C$1645&amp;'Tiempos carretera (horas)'!D$45:D$1645,0))</f>
        <v>17.93</v>
      </c>
      <c r="K718" s="12">
        <f t="shared" ca="1" si="66"/>
        <v>22.189110492058592</v>
      </c>
      <c r="L718" s="12">
        <f t="shared" ca="1" si="67"/>
        <v>22.742405889068603</v>
      </c>
      <c r="M718" s="12">
        <f t="shared" ca="1" si="68"/>
        <v>0.18933045067570742</v>
      </c>
      <c r="N718" s="13">
        <f t="shared" ca="1" si="70"/>
        <v>-0.55329539701001096</v>
      </c>
      <c r="O718" s="13">
        <f t="shared" ca="1" si="71"/>
        <v>-43.93085862424924</v>
      </c>
      <c r="P718" s="12">
        <f t="shared" ca="1" si="69"/>
        <v>1.4543666056887528</v>
      </c>
    </row>
    <row r="719" spans="1:16" x14ac:dyDescent="0.25">
      <c r="A719">
        <v>2</v>
      </c>
      <c r="B719">
        <v>11</v>
      </c>
      <c r="C719" s="2" t="s">
        <v>1</v>
      </c>
      <c r="D719" s="2" t="s">
        <v>10</v>
      </c>
      <c r="E719" s="11" cm="1">
        <f t="array" aca="1" ref="E719" ca="1">INDEX('OD flujo mercancia multimodal'!E$45:E$1645,MATCH(C719&amp;D719,'OD flujo mercancia multimodal'!C$45:C$1645&amp;'OD flujo mercancia multimodal'!D$45:D$1645,0))</f>
        <v>27667.384615384599</v>
      </c>
      <c r="F719" s="11" cm="1">
        <f t="array" aca="1" ref="F719" ca="1">INDEX('OD flujo mercancia carretera'!E$45:E$1646,MATCH(C719&amp;D719,'OD flujo mercancia carretera'!C$45:C$1646&amp;'OD flujo mercancia carretera'!D$45:D$1646,0))</f>
        <v>135862</v>
      </c>
      <c r="G719" s="11" cm="1">
        <f t="array" aca="1" ref="G719" ca="1">INDEX('Coste Carretera'!E$46:E$1646,MATCH(C719&amp;D719,'Coste Carretera'!C$46:C$1646&amp;'Coste Carretera'!D$46:D$1646,0))</f>
        <v>2628641691.3599982</v>
      </c>
      <c r="H719" s="11" cm="1">
        <f t="array" aca="1" ref="H719" ca="1">INDEX('Coste multimodal'!E$46:E$1646,MATCH(C719&amp;D719,'Coste multimodal'!C$46:C$1646&amp;'Coste multimodal'!D$46:D$1646,0))</f>
        <v>725774775.34789622</v>
      </c>
      <c r="I719" s="12" cm="1">
        <f t="array" aca="1" ref="I719" ca="1">INDEX('Tiempos intermodal (horas)'!E$45:E$1645,MATCH(C719&amp;D719,'Tiempos intermodal (horas)'!C$45:C$1645&amp;'Tiempos intermodal (horas)'!D$45:D$1645,0))</f>
        <v>61.860858624249239</v>
      </c>
      <c r="J719" s="2" cm="1">
        <f t="array" aca="1" ref="J719" ca="1">INDEX('Tiempos carretera (horas)'!E$45:E$1645,MATCH(C719&amp;D719,'Tiempos carretera (horas)'!C$45:C$1645&amp;'Tiempos carretera (horas)'!D$45:D$1645,0))</f>
        <v>17.93</v>
      </c>
      <c r="K719" s="12">
        <f t="shared" ca="1" si="66"/>
        <v>19.347880138375693</v>
      </c>
      <c r="L719" s="12">
        <f t="shared" ca="1" si="67"/>
        <v>26.232142482463821</v>
      </c>
      <c r="M719" s="12">
        <f t="shared" ca="1" si="68"/>
        <v>0.16918907070100778</v>
      </c>
      <c r="N719" s="13">
        <f t="shared" ca="1" si="70"/>
        <v>-6.8842623440881283</v>
      </c>
      <c r="O719" s="13">
        <f t="shared" ca="1" si="71"/>
        <v>-43.93085862424924</v>
      </c>
      <c r="P719" s="12">
        <f t="shared" ca="1" si="69"/>
        <v>1.5913853959457092</v>
      </c>
    </row>
    <row r="720" spans="1:16" x14ac:dyDescent="0.25">
      <c r="A720">
        <v>25</v>
      </c>
      <c r="B720">
        <v>2</v>
      </c>
      <c r="C720" s="2" t="s">
        <v>24</v>
      </c>
      <c r="D720" s="2" t="s">
        <v>1</v>
      </c>
      <c r="E720" s="11" cm="1">
        <f t="array" aca="1" ref="E720" ca="1">INDEX('OD flujo mercancia multimodal'!E$45:E$1645,MATCH(C720&amp;D720,'OD flujo mercancia multimodal'!C$45:C$1645&amp;'OD flujo mercancia multimodal'!D$45:D$1645,0))</f>
        <v>24919.37912087909</v>
      </c>
      <c r="F720" s="11" cm="1">
        <f t="array" aca="1" ref="F720" ca="1">INDEX('OD flujo mercancia carretera'!E$45:E$1646,MATCH(C720&amp;D720,'OD flujo mercancia carretera'!C$45:C$1646&amp;'OD flujo mercancia carretera'!D$45:D$1646,0))</f>
        <v>103952.56410256412</v>
      </c>
      <c r="G720" s="11" cm="1">
        <f t="array" aca="1" ref="G720" ca="1">INDEX('Coste Carretera'!E$46:E$1646,MATCH(C720&amp;D720,'Coste Carretera'!C$46:C$1646&amp;'Coste Carretera'!D$46:D$1646,0))</f>
        <v>985500640.94571304</v>
      </c>
      <c r="H720" s="11" cm="1">
        <f t="array" aca="1" ref="H720" ca="1">INDEX('Coste multimodal'!E$46:E$1646,MATCH(C720&amp;D720,'Coste multimodal'!C$46:C$1646&amp;'Coste multimodal'!D$46:D$1646,0))</f>
        <v>465109504.01811171</v>
      </c>
      <c r="I720" s="12" cm="1">
        <f t="array" aca="1" ref="I720" ca="1">INDEX('Tiempos intermodal (horas)'!E$45:E$1645,MATCH(C720&amp;D720,'Tiempos intermodal (horas)'!C$45:C$1645&amp;'Tiempos intermodal (horas)'!D$45:D$1645,0))</f>
        <v>51.729492199230478</v>
      </c>
      <c r="J720" s="2" cm="1">
        <f t="array" aca="1" ref="J720" ca="1">INDEX('Tiempos carretera (horas)'!E$45:E$1645,MATCH(C720&amp;D720,'Tiempos carretera (horas)'!C$45:C$1645&amp;'Tiempos carretera (horas)'!D$45:D$1645,0))</f>
        <v>7.78</v>
      </c>
      <c r="K720" s="12">
        <f t="shared" ca="1" si="66"/>
        <v>9.480291798991848</v>
      </c>
      <c r="L720" s="12">
        <f t="shared" ca="1" si="67"/>
        <v>18.66457032344006</v>
      </c>
      <c r="M720" s="12">
        <f t="shared" ca="1" si="68"/>
        <v>0.19336543313910379</v>
      </c>
      <c r="N720" s="13">
        <f t="shared" ca="1" si="70"/>
        <v>-9.1842785244482119</v>
      </c>
      <c r="O720" s="13">
        <f t="shared" ca="1" si="71"/>
        <v>-43.949492199230477</v>
      </c>
      <c r="P720" s="12">
        <f t="shared" ca="1" si="69"/>
        <v>1.4282889019747587</v>
      </c>
    </row>
    <row r="721" spans="1:16" x14ac:dyDescent="0.25">
      <c r="A721">
        <v>2</v>
      </c>
      <c r="B721">
        <v>25</v>
      </c>
      <c r="C721" s="2" t="s">
        <v>1</v>
      </c>
      <c r="D721" s="2" t="s">
        <v>24</v>
      </c>
      <c r="E721" s="11" cm="1">
        <f t="array" aca="1" ref="E721" ca="1">INDEX('OD flujo mercancia multimodal'!E$45:E$1645,MATCH(C721&amp;D721,'OD flujo mercancia multimodal'!C$45:C$1645&amp;'OD flujo mercancia multimodal'!D$45:D$1645,0))</f>
        <v>11609.69230769231</v>
      </c>
      <c r="F721" s="11" cm="1">
        <f t="array" aca="1" ref="F721" ca="1">INDEX('OD flujo mercancia carretera'!E$45:E$1646,MATCH(C721&amp;D721,'OD flujo mercancia carretera'!C$45:C$1646&amp;'OD flujo mercancia carretera'!D$45:D$1646,0))</f>
        <v>99153.333333333299</v>
      </c>
      <c r="G721" s="11" cm="1">
        <f t="array" aca="1" ref="G721" ca="1">INDEX('Coste Carretera'!E$46:E$1646,MATCH(C721&amp;D721,'Coste Carretera'!C$46:C$1646&amp;'Coste Carretera'!D$46:D$1646,0))</f>
        <v>459135003.12000006</v>
      </c>
      <c r="H721" s="11" cm="1">
        <f t="array" aca="1" ref="H721" ca="1">INDEX('Coste multimodal'!E$46:E$1646,MATCH(C721&amp;D721,'Coste multimodal'!C$46:C$1646&amp;'Coste multimodal'!D$46:D$1646,0))</f>
        <v>465109504.01811171</v>
      </c>
      <c r="I721" s="12" cm="1">
        <f t="array" aca="1" ref="I721" ca="1">INDEX('Tiempos intermodal (horas)'!E$45:E$1645,MATCH(C721&amp;D721,'Tiempos intermodal (horas)'!C$45:C$1645&amp;'Tiempos intermodal (horas)'!D$45:D$1645,0))</f>
        <v>51.729492199230478</v>
      </c>
      <c r="J721" s="2" cm="1">
        <f t="array" aca="1" ref="J721" ca="1">INDEX('Tiempos carretera (horas)'!E$45:E$1645,MATCH(C721&amp;D721,'Tiempos carretera (horas)'!C$45:C$1645&amp;'Tiempos carretera (horas)'!D$45:D$1645,0))</f>
        <v>7.78</v>
      </c>
      <c r="K721" s="12">
        <f t="shared" ca="1" si="66"/>
        <v>4.6305554002554992</v>
      </c>
      <c r="L721" s="12">
        <f t="shared" ca="1" si="67"/>
        <v>40.062173199021053</v>
      </c>
      <c r="M721" s="12">
        <f t="shared" ca="1" si="68"/>
        <v>0.10481559383650664</v>
      </c>
      <c r="N721" s="13">
        <f t="shared" ca="1" si="70"/>
        <v>-35.431617798765558</v>
      </c>
      <c r="O721" s="13">
        <f t="shared" ca="1" si="71"/>
        <v>-43.949492199230477</v>
      </c>
      <c r="P721" s="12">
        <f t="shared" ca="1" si="69"/>
        <v>2.1448271804898185</v>
      </c>
    </row>
    <row r="722" spans="1:16" x14ac:dyDescent="0.25">
      <c r="A722">
        <v>23</v>
      </c>
      <c r="B722">
        <v>33</v>
      </c>
      <c r="C722" s="2" t="s">
        <v>22</v>
      </c>
      <c r="D722" s="2" t="s">
        <v>32</v>
      </c>
      <c r="E722" s="11" cm="1">
        <f t="array" aca="1" ref="E722" ca="1">INDEX('OD flujo mercancia multimodal'!E$45:E$1645,MATCH(C722&amp;D722,'OD flujo mercancia multimodal'!C$45:C$1645&amp;'OD flujo mercancia multimodal'!D$45:D$1645,0))</f>
        <v>64973.307692307659</v>
      </c>
      <c r="F722" s="11" cm="1">
        <f t="array" aca="1" ref="F722" ca="1">INDEX('OD flujo mercancia carretera'!E$45:E$1646,MATCH(C722&amp;D722,'OD flujo mercancia carretera'!C$45:C$1646&amp;'OD flujo mercancia carretera'!D$45:D$1646,0))</f>
        <v>204560.38974358977</v>
      </c>
      <c r="G722" s="11" cm="1">
        <f t="array" aca="1" ref="G722" ca="1">INDEX('Coste Carretera'!E$46:E$1646,MATCH(C722&amp;D722,'Coste Carretera'!C$46:C$1646&amp;'Coste Carretera'!D$46:D$1646,0))</f>
        <v>52816018.879999988</v>
      </c>
      <c r="H722" s="11" cm="1">
        <f t="array" aca="1" ref="H722" ca="1">INDEX('Coste multimodal'!E$46:E$1646,MATCH(C722&amp;D722,'Coste multimodal'!C$46:C$1646&amp;'Coste multimodal'!D$46:D$1646,0))</f>
        <v>95126161.190557331</v>
      </c>
      <c r="I722" s="12" cm="1">
        <f t="array" aca="1" ref="I722" ca="1">INDEX('Tiempos intermodal (horas)'!E$45:E$1645,MATCH(C722&amp;D722,'Tiempos intermodal (horas)'!C$45:C$1645&amp;'Tiempos intermodal (horas)'!D$45:D$1645,0))</f>
        <v>60.702079503331447</v>
      </c>
      <c r="J722" s="2" cm="1">
        <f t="array" aca="1" ref="J722" ca="1">INDEX('Tiempos carretera (horas)'!E$45:E$1645,MATCH(C722&amp;D722,'Tiempos carretera (horas)'!C$45:C$1645&amp;'Tiempos carretera (horas)'!D$45:D$1645,0))</f>
        <v>8.4499999999999993</v>
      </c>
      <c r="K722" s="12">
        <f t="shared" ca="1" si="66"/>
        <v>0.25819279551727126</v>
      </c>
      <c r="L722" s="12">
        <f t="shared" ca="1" si="67"/>
        <v>1.4640806289414066</v>
      </c>
      <c r="M722" s="12">
        <f t="shared" ca="1" si="68"/>
        <v>0.2410581990690055</v>
      </c>
      <c r="N722" s="13">
        <f t="shared" ca="1" si="70"/>
        <v>-1.2058878334241352</v>
      </c>
      <c r="O722" s="13">
        <f t="shared" ca="1" si="71"/>
        <v>-52.252079503331444</v>
      </c>
      <c r="P722" s="12">
        <f t="shared" ca="1" si="69"/>
        <v>1.1468867015908386</v>
      </c>
    </row>
    <row r="723" spans="1:16" x14ac:dyDescent="0.25">
      <c r="A723">
        <v>33</v>
      </c>
      <c r="B723">
        <v>23</v>
      </c>
      <c r="C723" s="2" t="s">
        <v>32</v>
      </c>
      <c r="D723" s="2" t="s">
        <v>22</v>
      </c>
      <c r="E723" s="11" cm="1">
        <f t="array" aca="1" ref="E723" ca="1">INDEX('OD flujo mercancia multimodal'!E$45:E$1645,MATCH(C723&amp;D723,'OD flujo mercancia multimodal'!C$45:C$1645&amp;'OD flujo mercancia multimodal'!D$45:D$1645,0))</f>
        <v>36579.307692307695</v>
      </c>
      <c r="F723" s="11" cm="1">
        <f t="array" aca="1" ref="F723" ca="1">INDEX('OD flujo mercancia carretera'!E$45:E$1646,MATCH(C723&amp;D723,'OD flujo mercancia carretera'!C$45:C$1646&amp;'OD flujo mercancia carretera'!D$45:D$1646,0))</f>
        <v>202855.68717948752</v>
      </c>
      <c r="G723" s="11" cm="1">
        <f t="array" aca="1" ref="G723" ca="1">INDEX('Coste Carretera'!E$46:E$1646,MATCH(C723&amp;D723,'Coste Carretera'!C$46:C$1646&amp;'Coste Carretera'!D$46:D$1646,0))</f>
        <v>266124140.48000005</v>
      </c>
      <c r="H723" s="11" cm="1">
        <f t="array" aca="1" ref="H723" ca="1">INDEX('Coste multimodal'!E$46:E$1646,MATCH(C723&amp;D723,'Coste multimodal'!C$46:C$1646&amp;'Coste multimodal'!D$46:D$1646,0))</f>
        <v>95126161.190557331</v>
      </c>
      <c r="I723" s="12" cm="1">
        <f t="array" aca="1" ref="I723" ca="1">INDEX('Tiempos intermodal (horas)'!E$45:E$1645,MATCH(C723&amp;D723,'Tiempos intermodal (horas)'!C$45:C$1645&amp;'Tiempos intermodal (horas)'!D$45:D$1645,0))</f>
        <v>60.702079503331447</v>
      </c>
      <c r="J723" s="2" cm="1">
        <f t="array" aca="1" ref="J723" ca="1">INDEX('Tiempos carretera (horas)'!E$45:E$1645,MATCH(C723&amp;D723,'Tiempos carretera (horas)'!C$45:C$1645&amp;'Tiempos carretera (horas)'!D$45:D$1645,0))</f>
        <v>8.4499999999999993</v>
      </c>
      <c r="K723" s="12">
        <f t="shared" ca="1" si="66"/>
        <v>1.3118889796988158</v>
      </c>
      <c r="L723" s="12">
        <f t="shared" ca="1" si="67"/>
        <v>2.6005456962369333</v>
      </c>
      <c r="M723" s="12">
        <f t="shared" ca="1" si="68"/>
        <v>0.15277343945438712</v>
      </c>
      <c r="N723" s="13">
        <f t="shared" ca="1" si="70"/>
        <v>-1.2886567165381175</v>
      </c>
      <c r="O723" s="13">
        <f t="shared" ca="1" si="71"/>
        <v>-52.252079503331444</v>
      </c>
      <c r="P723" s="12">
        <f t="shared" ca="1" si="69"/>
        <v>1.7130121087075718</v>
      </c>
    </row>
    <row r="724" spans="1:16" x14ac:dyDescent="0.25">
      <c r="A724">
        <v>30</v>
      </c>
      <c r="B724">
        <v>2</v>
      </c>
      <c r="C724" s="2" t="s">
        <v>146</v>
      </c>
      <c r="D724" s="2" t="s">
        <v>1</v>
      </c>
      <c r="E724" s="11" cm="1">
        <f t="array" aca="1" ref="E724" ca="1">INDEX('OD flujo mercancia multimodal'!E$45:E$1645,MATCH(C724&amp;D724,'OD flujo mercancia multimodal'!C$45:C$1645&amp;'OD flujo mercancia multimodal'!D$45:D$1645,0))</f>
        <v>23054.37912087909</v>
      </c>
      <c r="F724" s="11" cm="1">
        <f t="array" aca="1" ref="F724" ca="1">INDEX('OD flujo mercancia carretera'!E$45:E$1646,MATCH(C724&amp;D724,'OD flujo mercancia carretera'!C$45:C$1646&amp;'OD flujo mercancia carretera'!D$45:D$1646,0))</f>
        <v>263715.03076923086</v>
      </c>
      <c r="G724" s="11" cm="1">
        <f t="array" aca="1" ref="G724" ca="1">INDEX('Coste Carretera'!E$46:E$1646,MATCH(C724&amp;D724,'Coste Carretera'!C$46:C$1646&amp;'Coste Carretera'!D$46:D$1646,0))</f>
        <v>952633644.85714197</v>
      </c>
      <c r="H724" s="11" cm="1">
        <f t="array" aca="1" ref="H724" ca="1">INDEX('Coste multimodal'!E$46:E$1646,MATCH(C724&amp;D724,'Coste multimodal'!C$46:C$1646&amp;'Coste multimodal'!D$46:D$1646,0))</f>
        <v>496384205.32611167</v>
      </c>
      <c r="I724" s="12" cm="1">
        <f t="array" aca="1" ref="I724" ca="1">INDEX('Tiempos intermodal (horas)'!E$45:E$1645,MATCH(C724&amp;D724,'Tiempos intermodal (horas)'!C$45:C$1645&amp;'Tiempos intermodal (horas)'!D$45:D$1645,0))</f>
        <v>52.257269977008249</v>
      </c>
      <c r="J724" s="2" cm="1">
        <f t="array" aca="1" ref="J724" ca="1">INDEX('Tiempos carretera (horas)'!E$45:E$1645,MATCH(C724&amp;D724,'Tiempos carretera (horas)'!C$45:C$1645&amp;'Tiempos carretera (horas)'!D$45:D$1645,0))</f>
        <v>8.26</v>
      </c>
      <c r="K724" s="12">
        <f t="shared" ca="1" si="66"/>
        <v>3.6123600618379741</v>
      </c>
      <c r="L724" s="12">
        <f t="shared" ca="1" si="67"/>
        <v>21.531015982840483</v>
      </c>
      <c r="M724" s="12">
        <f t="shared" ca="1" si="68"/>
        <v>8.0393439208573628E-2</v>
      </c>
      <c r="N724" s="13">
        <f t="shared" ca="1" si="70"/>
        <v>-17.918655921002507</v>
      </c>
      <c r="O724" s="13">
        <f t="shared" ca="1" si="71"/>
        <v>-43.997269977008251</v>
      </c>
      <c r="P724" s="12">
        <f t="shared" ca="1" si="69"/>
        <v>2.4370133562886238</v>
      </c>
    </row>
    <row r="725" spans="1:16" x14ac:dyDescent="0.25">
      <c r="A725">
        <v>2</v>
      </c>
      <c r="B725">
        <v>30</v>
      </c>
      <c r="C725" s="2" t="s">
        <v>1</v>
      </c>
      <c r="D725" s="2" t="s">
        <v>146</v>
      </c>
      <c r="E725" s="11" cm="1">
        <f t="array" aca="1" ref="E725" ca="1">INDEX('OD flujo mercancia multimodal'!E$45:E$1645,MATCH(C725&amp;D725,'OD flujo mercancia multimodal'!C$45:C$1645&amp;'OD flujo mercancia multimodal'!D$45:D$1645,0))</f>
        <v>14175.3</v>
      </c>
      <c r="F725" s="11" cm="1">
        <f t="array" aca="1" ref="F725" ca="1">INDEX('OD flujo mercancia carretera'!E$45:E$1646,MATCH(C725&amp;D725,'OD flujo mercancia carretera'!C$45:C$1646&amp;'OD flujo mercancia carretera'!D$45:D$1646,0))</f>
        <v>268088.09999999998</v>
      </c>
      <c r="G725" s="11" cm="1">
        <f t="array" aca="1" ref="G725" ca="1">INDEX('Coste Carretera'!E$46:E$1646,MATCH(C725&amp;D725,'Coste Carretera'!C$46:C$1646&amp;'Coste Carretera'!D$46:D$1646,0))</f>
        <v>1086019851.8</v>
      </c>
      <c r="H725" s="11" cm="1">
        <f t="array" aca="1" ref="H725" ca="1">INDEX('Coste multimodal'!E$46:E$1646,MATCH(C725&amp;D725,'Coste multimodal'!C$46:C$1646&amp;'Coste multimodal'!D$46:D$1646,0))</f>
        <v>496384205.32611167</v>
      </c>
      <c r="I725" s="12" cm="1">
        <f t="array" aca="1" ref="I725" ca="1">INDEX('Tiempos intermodal (horas)'!E$45:E$1645,MATCH(C725&amp;D725,'Tiempos intermodal (horas)'!C$45:C$1645&amp;'Tiempos intermodal (horas)'!D$45:D$1645,0))</f>
        <v>52.257269977008249</v>
      </c>
      <c r="J725" s="2" cm="1">
        <f t="array" aca="1" ref="J725" ca="1">INDEX('Tiempos carretera (horas)'!E$45:E$1645,MATCH(C725&amp;D725,'Tiempos carretera (horas)'!C$45:C$1645&amp;'Tiempos carretera (horas)'!D$45:D$1645,0))</f>
        <v>8.26</v>
      </c>
      <c r="K725" s="12">
        <f t="shared" ca="1" si="66"/>
        <v>4.0509811953607793</v>
      </c>
      <c r="L725" s="12">
        <f t="shared" ca="1" si="67"/>
        <v>35.017544977962487</v>
      </c>
      <c r="M725" s="12">
        <f t="shared" ca="1" si="68"/>
        <v>5.0220113553510658E-2</v>
      </c>
      <c r="N725" s="13">
        <f t="shared" ca="1" si="70"/>
        <v>-30.966563782601707</v>
      </c>
      <c r="O725" s="13">
        <f t="shared" ca="1" si="71"/>
        <v>-43.997269977008251</v>
      </c>
      <c r="P725" s="12">
        <f t="shared" ca="1" si="69"/>
        <v>2.9398146444228055</v>
      </c>
    </row>
    <row r="726" spans="1:16" x14ac:dyDescent="0.25">
      <c r="A726">
        <v>40</v>
      </c>
      <c r="B726">
        <v>24</v>
      </c>
      <c r="C726" s="2" t="s">
        <v>39</v>
      </c>
      <c r="D726" s="2" t="s">
        <v>23</v>
      </c>
      <c r="E726" s="11" cm="1">
        <f t="array" aca="1" ref="E726" ca="1">INDEX('OD flujo mercancia multimodal'!E$45:E$1645,MATCH(C726&amp;D726,'OD flujo mercancia multimodal'!C$45:C$1645&amp;'OD flujo mercancia multimodal'!D$45:D$1645,0))</f>
        <v>10287.999999999996</v>
      </c>
      <c r="F726" s="11" cm="1">
        <f t="array" aca="1" ref="F726" ca="1">INDEX('OD flujo mercancia carretera'!E$45:E$1646,MATCH(C726&amp;D726,'OD flujo mercancia carretera'!C$45:C$1646&amp;'OD flujo mercancia carretera'!D$45:D$1646,0))</f>
        <v>167282.17948717953</v>
      </c>
      <c r="G726" s="11" cm="1">
        <f t="array" aca="1" ref="G726" ca="1">INDEX('Coste Carretera'!E$46:E$1646,MATCH(C726&amp;D726,'Coste Carretera'!C$46:C$1646&amp;'Coste Carretera'!D$46:D$1646,0))</f>
        <v>378348924.95999992</v>
      </c>
      <c r="H726" s="11" cm="1">
        <f t="array" aca="1" ref="H726" ca="1">INDEX('Coste multimodal'!E$46:E$1646,MATCH(C726&amp;D726,'Coste multimodal'!C$46:C$1646&amp;'Coste multimodal'!D$46:D$1646,0))</f>
        <v>128329574.67890258</v>
      </c>
      <c r="I726" s="12" cm="1">
        <f t="array" aca="1" ref="I726" ca="1">INDEX('Tiempos intermodal (horas)'!E$45:E$1645,MATCH(C726&amp;D726,'Tiempos intermodal (horas)'!C$45:C$1645&amp;'Tiempos intermodal (horas)'!D$45:D$1645,0))</f>
        <v>53.995135138067752</v>
      </c>
      <c r="J726" s="2" cm="1">
        <f t="array" aca="1" ref="J726" ca="1">INDEX('Tiempos carretera (horas)'!E$45:E$1645,MATCH(C726&amp;D726,'Tiempos carretera (horas)'!C$45:C$1645&amp;'Tiempos carretera (horas)'!D$45:D$1645,0))</f>
        <v>9.66</v>
      </c>
      <c r="K726" s="12">
        <f t="shared" ca="1" si="66"/>
        <v>2.2617407671269403</v>
      </c>
      <c r="L726" s="12">
        <f t="shared" ca="1" si="67"/>
        <v>12.473714490562076</v>
      </c>
      <c r="M726" s="12">
        <f t="shared" ca="1" si="68"/>
        <v>5.7937656140865615E-2</v>
      </c>
      <c r="N726" s="13">
        <f t="shared" ca="1" si="70"/>
        <v>-10.211973723435136</v>
      </c>
      <c r="O726" s="13">
        <f t="shared" ca="1" si="71"/>
        <v>-44.335135138067756</v>
      </c>
      <c r="P726" s="12">
        <f t="shared" ca="1" si="69"/>
        <v>2.7887039165166825</v>
      </c>
    </row>
    <row r="727" spans="1:16" x14ac:dyDescent="0.25">
      <c r="A727">
        <v>24</v>
      </c>
      <c r="B727">
        <v>40</v>
      </c>
      <c r="C727" s="2" t="s">
        <v>23</v>
      </c>
      <c r="D727" s="2" t="s">
        <v>39</v>
      </c>
      <c r="E727" s="11" cm="1">
        <f t="array" aca="1" ref="E727" ca="1">INDEX('OD flujo mercancia multimodal'!E$45:E$1645,MATCH(C727&amp;D727,'OD flujo mercancia multimodal'!C$45:C$1645&amp;'OD flujo mercancia multimodal'!D$45:D$1645,0))</f>
        <v>13462.23076923077</v>
      </c>
      <c r="F727" s="11" cm="1">
        <f t="array" aca="1" ref="F727" ca="1">INDEX('OD flujo mercancia carretera'!E$45:E$1646,MATCH(C727&amp;D727,'OD flujo mercancia carretera'!C$45:C$1646&amp;'OD flujo mercancia carretera'!D$45:D$1646,0))</f>
        <v>154681.1428571429</v>
      </c>
      <c r="G727" s="11" cm="1">
        <f t="array" aca="1" ref="G727" ca="1">INDEX('Coste Carretera'!E$46:E$1646,MATCH(C727&amp;D727,'Coste Carretera'!C$46:C$1646&amp;'Coste Carretera'!D$46:D$1646,0))</f>
        <v>420245817.68000019</v>
      </c>
      <c r="H727" s="11" cm="1">
        <f t="array" aca="1" ref="H727" ca="1">INDEX('Coste multimodal'!E$46:E$1646,MATCH(C727&amp;D727,'Coste multimodal'!C$46:C$1646&amp;'Coste multimodal'!D$46:D$1646,0))</f>
        <v>126971791.19412801</v>
      </c>
      <c r="I727" s="12" cm="1">
        <f t="array" aca="1" ref="I727" ca="1">INDEX('Tiempos intermodal (horas)'!E$45:E$1645,MATCH(C727&amp;D727,'Tiempos intermodal (horas)'!C$45:C$1645&amp;'Tiempos intermodal (horas)'!D$45:D$1645,0))</f>
        <v>57.084495646818681</v>
      </c>
      <c r="J727" s="2" cm="1">
        <f t="array" aca="1" ref="J727" ca="1">INDEX('Tiempos carretera (horas)'!E$45:E$1645,MATCH(C727&amp;D727,'Tiempos carretera (horas)'!C$45:C$1645&amp;'Tiempos carretera (horas)'!D$45:D$1645,0))</f>
        <v>11.63</v>
      </c>
      <c r="K727" s="12">
        <f t="shared" ca="1" si="66"/>
        <v>2.7168522931597541</v>
      </c>
      <c r="L727" s="12">
        <f t="shared" ca="1" si="67"/>
        <v>9.4317051438706816</v>
      </c>
      <c r="M727" s="12">
        <f t="shared" ca="1" si="68"/>
        <v>8.0063998234892006E-2</v>
      </c>
      <c r="N727" s="13">
        <f t="shared" ca="1" si="70"/>
        <v>-6.714852850710928</v>
      </c>
      <c r="O727" s="13">
        <f t="shared" ca="1" si="71"/>
        <v>-45.454495646818678</v>
      </c>
      <c r="P727" s="12">
        <f t="shared" ca="1" si="69"/>
        <v>2.4414778115264193</v>
      </c>
    </row>
    <row r="728" spans="1:16" x14ac:dyDescent="0.25">
      <c r="A728">
        <v>11</v>
      </c>
      <c r="B728">
        <v>21</v>
      </c>
      <c r="C728" s="2" t="s">
        <v>10</v>
      </c>
      <c r="D728" s="2" t="s">
        <v>20</v>
      </c>
      <c r="E728" s="11" cm="1">
        <f t="array" aca="1" ref="E728" ca="1">INDEX('OD flujo mercancia multimodal'!E$45:E$1645,MATCH(C728&amp;D728,'OD flujo mercancia multimodal'!C$45:C$1645&amp;'OD flujo mercancia multimodal'!D$45:D$1645,0))</f>
        <v>47998.076923076937</v>
      </c>
      <c r="F728" s="11" cm="1">
        <f t="array" aca="1" ref="F728" ca="1">INDEX('OD flujo mercancia carretera'!E$45:E$1646,MATCH(C728&amp;D728,'OD flujo mercancia carretera'!C$45:C$1646&amp;'OD flujo mercancia carretera'!D$45:D$1646,0))</f>
        <v>204999.56410256377</v>
      </c>
      <c r="G728" s="11" cm="1">
        <f t="array" aca="1" ref="G728" ca="1">INDEX('Coste Carretera'!E$46:E$1646,MATCH(C728&amp;D728,'Coste Carretera'!C$46:C$1646&amp;'Coste Carretera'!D$46:D$1646,0))</f>
        <v>4366127788.000001</v>
      </c>
      <c r="H728" s="11" cm="1">
        <f t="array" aca="1" ref="H728" ca="1">INDEX('Coste multimodal'!E$46:E$1646,MATCH(C728&amp;D728,'Coste multimodal'!C$46:C$1646&amp;'Coste multimodal'!D$46:D$1646,0))</f>
        <v>380517805.52891582</v>
      </c>
      <c r="I728" s="12" cm="1">
        <f t="array" aca="1" ref="I728" ca="1">INDEX('Tiempos intermodal (horas)'!E$45:E$1645,MATCH(C728&amp;D728,'Tiempos intermodal (horas)'!C$45:C$1645&amp;'Tiempos intermodal (horas)'!D$45:D$1645,0))</f>
        <v>61.36723400255724</v>
      </c>
      <c r="J728" s="2" cm="1">
        <f t="array" aca="1" ref="J728" ca="1">INDEX('Tiempos carretera (horas)'!E$45:E$1645,MATCH(C728&amp;D728,'Tiempos carretera (horas)'!C$45:C$1645&amp;'Tiempos carretera (horas)'!D$45:D$1645,0))</f>
        <v>17.23</v>
      </c>
      <c r="K728" s="12">
        <f t="shared" ca="1" si="66"/>
        <v>21.298229618749698</v>
      </c>
      <c r="L728" s="12">
        <f t="shared" ca="1" si="67"/>
        <v>7.9277719009189545</v>
      </c>
      <c r="M728" s="12">
        <f t="shared" ca="1" si="68"/>
        <v>0.18971748799117238</v>
      </c>
      <c r="N728" s="13">
        <f t="shared" ca="1" si="70"/>
        <v>13.370457717830742</v>
      </c>
      <c r="O728" s="13">
        <f t="shared" ca="1" si="71"/>
        <v>-44.137234002557236</v>
      </c>
      <c r="P728" s="12">
        <f t="shared" ca="1" si="69"/>
        <v>1.4518469068044511</v>
      </c>
    </row>
    <row r="729" spans="1:16" x14ac:dyDescent="0.25">
      <c r="A729">
        <v>21</v>
      </c>
      <c r="B729">
        <v>11</v>
      </c>
      <c r="C729" s="2" t="s">
        <v>20</v>
      </c>
      <c r="D729" s="2" t="s">
        <v>10</v>
      </c>
      <c r="E729" s="11" cm="1">
        <f t="array" aca="1" ref="E729" ca="1">INDEX('OD flujo mercancia multimodal'!E$45:E$1645,MATCH(C729&amp;D729,'OD flujo mercancia multimodal'!C$45:C$1645&amp;'OD flujo mercancia multimodal'!D$45:D$1645,0))</f>
        <v>44436.923076923063</v>
      </c>
      <c r="F729" s="11" cm="1">
        <f t="array" aca="1" ref="F729" ca="1">INDEX('OD flujo mercancia carretera'!E$45:E$1646,MATCH(C729&amp;D729,'OD flujo mercancia carretera'!C$45:C$1646&amp;'OD flujo mercancia carretera'!D$45:D$1646,0))</f>
        <v>207277</v>
      </c>
      <c r="G729" s="11" cm="1">
        <f t="array" aca="1" ref="G729" ca="1">INDEX('Coste Carretera'!E$46:E$1646,MATCH(C729&amp;D729,'Coste Carretera'!C$46:C$1646&amp;'Coste Carretera'!D$46:D$1646,0))</f>
        <v>4042188710.3999987</v>
      </c>
      <c r="H729" s="11" cm="1">
        <f t="array" aca="1" ref="H729" ca="1">INDEX('Coste multimodal'!E$46:E$1646,MATCH(C729&amp;D729,'Coste multimodal'!C$46:C$1646&amp;'Coste multimodal'!D$46:D$1646,0))</f>
        <v>380517805.52891582</v>
      </c>
      <c r="I729" s="12" cm="1">
        <f t="array" aca="1" ref="I729" ca="1">INDEX('Tiempos intermodal (horas)'!E$45:E$1645,MATCH(C729&amp;D729,'Tiempos intermodal (horas)'!C$45:C$1645&amp;'Tiempos intermodal (horas)'!D$45:D$1645,0))</f>
        <v>61.36723400255724</v>
      </c>
      <c r="J729" s="2" cm="1">
        <f t="array" aca="1" ref="J729" ca="1">INDEX('Tiempos carretera (horas)'!E$45:E$1645,MATCH(C729&amp;D729,'Tiempos carretera (horas)'!C$45:C$1645&amp;'Tiempos carretera (horas)'!D$45:D$1645,0))</f>
        <v>17.23</v>
      </c>
      <c r="K729" s="12">
        <f t="shared" ca="1" si="66"/>
        <v>19.501385635646979</v>
      </c>
      <c r="L729" s="12">
        <f t="shared" ca="1" si="67"/>
        <v>8.5630997643607305</v>
      </c>
      <c r="M729" s="12">
        <f t="shared" ca="1" si="68"/>
        <v>0.17653740617019134</v>
      </c>
      <c r="N729" s="13">
        <f t="shared" ca="1" si="70"/>
        <v>10.938285871286249</v>
      </c>
      <c r="O729" s="13">
        <f t="shared" ca="1" si="71"/>
        <v>-44.137234002557236</v>
      </c>
      <c r="P729" s="12">
        <f t="shared" ca="1" si="69"/>
        <v>1.5399853382913482</v>
      </c>
    </row>
    <row r="730" spans="1:16" x14ac:dyDescent="0.25">
      <c r="A730">
        <v>3</v>
      </c>
      <c r="B730">
        <v>34</v>
      </c>
      <c r="C730" s="2" t="s">
        <v>2</v>
      </c>
      <c r="D730" s="2" t="s">
        <v>33</v>
      </c>
      <c r="E730" s="11" cm="1">
        <f t="array" aca="1" ref="E730" ca="1">INDEX('OD flujo mercancia multimodal'!E$45:E$1645,MATCH(C730&amp;D730,'OD flujo mercancia multimodal'!C$45:C$1645&amp;'OD flujo mercancia multimodal'!D$45:D$1645,0))</f>
        <v>311754.8791208794</v>
      </c>
      <c r="F730" s="11" cm="1">
        <f t="array" aca="1" ref="F730" ca="1">INDEX('OD flujo mercancia carretera'!E$45:E$1646,MATCH(C730&amp;D730,'OD flujo mercancia carretera'!C$45:C$1646&amp;'OD flujo mercancia carretera'!D$45:D$1646,0))</f>
        <v>304609.15811965824</v>
      </c>
      <c r="G730" s="11" cm="1">
        <f t="array" aca="1" ref="G730" ca="1">INDEX('Coste Carretera'!E$46:E$1646,MATCH(C730&amp;D730,'Coste Carretera'!C$46:C$1646&amp;'Coste Carretera'!D$46:D$1646,0))</f>
        <v>931092012.79999948</v>
      </c>
      <c r="H730" s="11" cm="1">
        <f t="array" aca="1" ref="H730" ca="1">INDEX('Coste multimodal'!E$46:E$1646,MATCH(C730&amp;D730,'Coste multimodal'!C$46:C$1646&amp;'Coste multimodal'!D$46:D$1646,0))</f>
        <v>4187174249.4731255</v>
      </c>
      <c r="I730" s="12" cm="1">
        <f t="array" aca="1" ref="I730" ca="1">INDEX('Tiempos intermodal (horas)'!E$45:E$1645,MATCH(C730&amp;D730,'Tiempos intermodal (horas)'!C$45:C$1645&amp;'Tiempos intermodal (horas)'!D$45:D$1645,0))</f>
        <v>44.827244351773651</v>
      </c>
      <c r="J730" s="2" cm="1">
        <f t="array" aca="1" ref="J730" ca="1">INDEX('Tiempos carretera (horas)'!E$45:E$1645,MATCH(C730&amp;D730,'Tiempos carretera (horas)'!C$45:C$1645&amp;'Tiempos carretera (horas)'!D$45:D$1645,0))</f>
        <v>2.61</v>
      </c>
      <c r="K730" s="12">
        <f t="shared" ref="K730:K793" ca="1" si="72">G730/(F730*1000)</f>
        <v>3.056677673605082</v>
      </c>
      <c r="L730" s="12">
        <f t="shared" ref="L730:L793" ca="1" si="73">H730/(E730*1000)</f>
        <v>13.430982255291653</v>
      </c>
      <c r="M730" s="12">
        <f t="shared" ref="M730:M793" ca="1" si="74">E730/(E730+F730)</f>
        <v>0.50579667255832494</v>
      </c>
      <c r="N730" s="13">
        <f t="shared" ca="1" si="70"/>
        <v>-10.374304581686571</v>
      </c>
      <c r="O730" s="13">
        <f t="shared" ca="1" si="71"/>
        <v>-42.217244351773651</v>
      </c>
      <c r="P730" s="12">
        <f t="shared" ref="P730:P793" ca="1" si="75">LN(1/M730-1)</f>
        <v>-2.3187729124479077E-2</v>
      </c>
    </row>
    <row r="731" spans="1:16" x14ac:dyDescent="0.25">
      <c r="A731">
        <v>39</v>
      </c>
      <c r="B731">
        <v>24</v>
      </c>
      <c r="C731" s="2" t="s">
        <v>38</v>
      </c>
      <c r="D731" s="2" t="s">
        <v>23</v>
      </c>
      <c r="E731" s="11" cm="1">
        <f t="array" aca="1" ref="E731" ca="1">INDEX('OD flujo mercancia multimodal'!E$45:E$1645,MATCH(C731&amp;D731,'OD flujo mercancia multimodal'!C$45:C$1645&amp;'OD flujo mercancia multimodal'!D$45:D$1645,0))</f>
        <v>7607.0769230769201</v>
      </c>
      <c r="F731" s="11" cm="1">
        <f t="array" aca="1" ref="F731" ca="1">INDEX('OD flujo mercancia carretera'!E$45:E$1646,MATCH(C731&amp;D731,'OD flujo mercancia carretera'!C$45:C$1646&amp;'OD flujo mercancia carretera'!D$45:D$1646,0))</f>
        <v>72999.358974359013</v>
      </c>
      <c r="G731" s="11" cm="1">
        <f t="array" aca="1" ref="G731" ca="1">INDEX('Coste Carretera'!E$46:E$1646,MATCH(C731&amp;D731,'Coste Carretera'!C$46:C$1646&amp;'Coste Carretera'!D$46:D$1646,0))</f>
        <v>932569533.71999967</v>
      </c>
      <c r="H731" s="11" cm="1">
        <f t="array" aca="1" ref="H731" ca="1">INDEX('Coste multimodal'!E$46:E$1646,MATCH(C731&amp;D731,'Coste multimodal'!C$46:C$1646&amp;'Coste multimodal'!D$46:D$1646,0))</f>
        <v>48554936.425523348</v>
      </c>
      <c r="I731" s="12" cm="1">
        <f t="array" aca="1" ref="I731" ca="1">INDEX('Tiempos intermodal (horas)'!E$45:E$1645,MATCH(C731&amp;D731,'Tiempos intermodal (horas)'!C$45:C$1645&amp;'Tiempos intermodal (horas)'!D$45:D$1645,0))</f>
        <v>62.221836488832579</v>
      </c>
      <c r="J731" s="2" cm="1">
        <f t="array" aca="1" ref="J731" ca="1">INDEX('Tiempos carretera (horas)'!E$45:E$1645,MATCH(C731&amp;D731,'Tiempos carretera (horas)'!C$45:C$1645&amp;'Tiempos carretera (horas)'!D$45:D$1645,0))</f>
        <v>13.25</v>
      </c>
      <c r="K731" s="12">
        <f t="shared" ca="1" si="72"/>
        <v>12.775037299266756</v>
      </c>
      <c r="L731" s="12">
        <f t="shared" ca="1" si="73"/>
        <v>6.3828638669639988</v>
      </c>
      <c r="M731" s="12">
        <f t="shared" ca="1" si="74"/>
        <v>9.4373071311032855E-2</v>
      </c>
      <c r="N731" s="13">
        <f t="shared" ca="1" si="70"/>
        <v>6.3921734323027577</v>
      </c>
      <c r="O731" s="13">
        <f t="shared" ca="1" si="71"/>
        <v>-48.971836488832579</v>
      </c>
      <c r="P731" s="12">
        <f t="shared" ca="1" si="75"/>
        <v>2.2613716718289627</v>
      </c>
    </row>
    <row r="732" spans="1:16" x14ac:dyDescent="0.25">
      <c r="A732">
        <v>24</v>
      </c>
      <c r="B732">
        <v>39</v>
      </c>
      <c r="C732" s="2" t="s">
        <v>23</v>
      </c>
      <c r="D732" s="2" t="s">
        <v>38</v>
      </c>
      <c r="E732" s="11" cm="1">
        <f t="array" aca="1" ref="E732" ca="1">INDEX('OD flujo mercancia multimodal'!E$45:E$1645,MATCH(C732&amp;D732,'OD flujo mercancia multimodal'!C$45:C$1645&amp;'OD flujo mercancia multimodal'!D$45:D$1645,0))</f>
        <v>6915.8461538461579</v>
      </c>
      <c r="F732" s="11" cm="1">
        <f t="array" aca="1" ref="F732" ca="1">INDEX('OD flujo mercancia carretera'!E$45:E$1646,MATCH(C732&amp;D732,'OD flujo mercancia carretera'!C$45:C$1646&amp;'OD flujo mercancia carretera'!D$45:D$1646,0))</f>
        <v>173361.84249084251</v>
      </c>
      <c r="G732" s="11" cm="1">
        <f t="array" aca="1" ref="G732" ca="1">INDEX('Coste Carretera'!E$46:E$1646,MATCH(C732&amp;D732,'Coste Carretera'!C$46:C$1646&amp;'Coste Carretera'!D$46:D$1646,0))</f>
        <v>191259567.08000001</v>
      </c>
      <c r="H732" s="11" cm="1">
        <f t="array" aca="1" ref="H732" ca="1">INDEX('Coste multimodal'!E$46:E$1646,MATCH(C732&amp;D732,'Coste multimodal'!C$46:C$1646&amp;'Coste multimodal'!D$46:D$1646,0))</f>
        <v>128329574.67890258</v>
      </c>
      <c r="I732" s="12" cm="1">
        <f t="array" aca="1" ref="I732" ca="1">INDEX('Tiempos intermodal (horas)'!E$45:E$1645,MATCH(C732&amp;D732,'Tiempos intermodal (horas)'!C$45:C$1645&amp;'Tiempos intermodal (horas)'!D$45:D$1645,0))</f>
        <v>53.995135138067752</v>
      </c>
      <c r="J732" s="2" cm="1">
        <f t="array" aca="1" ref="J732" ca="1">INDEX('Tiempos carretera (horas)'!E$45:E$1645,MATCH(C732&amp;D732,'Tiempos carretera (horas)'!C$45:C$1645&amp;'Tiempos carretera (horas)'!D$45:D$1645,0))</f>
        <v>9.66</v>
      </c>
      <c r="K732" s="12">
        <f t="shared" ca="1" si="72"/>
        <v>1.1032391230504077</v>
      </c>
      <c r="L732" s="12">
        <f t="shared" ca="1" si="73"/>
        <v>18.555874700528694</v>
      </c>
      <c r="M732" s="12">
        <f t="shared" ca="1" si="74"/>
        <v>3.836218561397621E-2</v>
      </c>
      <c r="N732" s="13">
        <f t="shared" ca="1" si="70"/>
        <v>-17.452635577478286</v>
      </c>
      <c r="O732" s="13">
        <f t="shared" ca="1" si="71"/>
        <v>-44.335135138067756</v>
      </c>
      <c r="P732" s="12">
        <f t="shared" ca="1" si="75"/>
        <v>3.2215656626792852</v>
      </c>
    </row>
    <row r="733" spans="1:16" x14ac:dyDescent="0.25">
      <c r="A733">
        <v>30</v>
      </c>
      <c r="B733">
        <v>35</v>
      </c>
      <c r="C733" s="2" t="s">
        <v>146</v>
      </c>
      <c r="D733" s="2" t="s">
        <v>34</v>
      </c>
      <c r="E733" s="11" cm="1">
        <f t="array" aca="1" ref="E733" ca="1">INDEX('OD flujo mercancia multimodal'!E$45:E$1645,MATCH(C733&amp;D733,'OD flujo mercancia multimodal'!C$45:C$1645&amp;'OD flujo mercancia multimodal'!D$45:D$1645,0))</f>
        <v>24930.923076923093</v>
      </c>
      <c r="F733" s="11" cm="1">
        <f t="array" aca="1" ref="F733" ca="1">INDEX('OD flujo mercancia carretera'!E$45:E$1646,MATCH(C733&amp;D733,'OD flujo mercancia carretera'!C$45:C$1646&amp;'OD flujo mercancia carretera'!D$45:D$1646,0))</f>
        <v>240269.33846153854</v>
      </c>
      <c r="G733" s="11" cm="1">
        <f t="array" aca="1" ref="G733" ca="1">INDEX('Coste Carretera'!E$46:E$1646,MATCH(C733&amp;D733,'Coste Carretera'!C$46:C$1646&amp;'Coste Carretera'!D$46:D$1646,0))</f>
        <v>16269740540.000013</v>
      </c>
      <c r="H733" s="11" cm="1">
        <f t="array" aca="1" ref="H733" ca="1">INDEX('Coste multimodal'!E$46:E$1646,MATCH(C733&amp;D733,'Coste multimodal'!C$46:C$1646&amp;'Coste multimodal'!D$46:D$1646,0))</f>
        <v>2279144499.7977266</v>
      </c>
      <c r="I733" s="12" cm="1">
        <f t="array" aca="1" ref="I733" ca="1">INDEX('Tiempos intermodal (horas)'!E$45:E$1645,MATCH(C733&amp;D733,'Tiempos intermodal (horas)'!C$45:C$1645&amp;'Tiempos intermodal (horas)'!D$45:D$1645,0))</f>
        <v>60.39874616999812</v>
      </c>
      <c r="J733" s="2" cm="1">
        <f t="array" aca="1" ref="J733" ca="1">INDEX('Tiempos carretera (horas)'!E$45:E$1645,MATCH(C733&amp;D733,'Tiempos carretera (horas)'!C$45:C$1645&amp;'Tiempos carretera (horas)'!D$45:D$1645,0))</f>
        <v>10.1</v>
      </c>
      <c r="K733" s="12">
        <f t="shared" ca="1" si="72"/>
        <v>67.714593315053449</v>
      </c>
      <c r="L733" s="12">
        <f t="shared" ca="1" si="73"/>
        <v>91.41837599697142</v>
      </c>
      <c r="M733" s="12">
        <f t="shared" ca="1" si="74"/>
        <v>9.4007912859118317E-2</v>
      </c>
      <c r="N733" s="13">
        <f t="shared" ca="1" si="70"/>
        <v>-23.703782681917971</v>
      </c>
      <c r="O733" s="13">
        <f t="shared" ca="1" si="71"/>
        <v>-50.298746169998118</v>
      </c>
      <c r="P733" s="12">
        <f t="shared" ca="1" si="75"/>
        <v>2.2656516140853094</v>
      </c>
    </row>
    <row r="734" spans="1:16" x14ac:dyDescent="0.25">
      <c r="A734">
        <v>35</v>
      </c>
      <c r="B734">
        <v>30</v>
      </c>
      <c r="C734" s="2" t="s">
        <v>34</v>
      </c>
      <c r="D734" s="2" t="s">
        <v>146</v>
      </c>
      <c r="E734" s="11" cm="1">
        <f t="array" aca="1" ref="E734" ca="1">INDEX('OD flujo mercancia multimodal'!E$45:E$1645,MATCH(C734&amp;D734,'OD flujo mercancia multimodal'!C$45:C$1645&amp;'OD flujo mercancia multimodal'!D$45:D$1645,0))</f>
        <v>17499.607692307691</v>
      </c>
      <c r="F734" s="11" cm="1">
        <f t="array" aca="1" ref="F734" ca="1">INDEX('OD flujo mercancia carretera'!E$45:E$1646,MATCH(C734&amp;D734,'OD flujo mercancia carretera'!C$45:C$1646&amp;'OD flujo mercancia carretera'!D$45:D$1646,0))</f>
        <v>243617.48461538463</v>
      </c>
      <c r="G734" s="11" cm="1">
        <f t="array" aca="1" ref="G734" ca="1">INDEX('Coste Carretera'!E$46:E$1646,MATCH(C734&amp;D734,'Coste Carretera'!C$46:C$1646&amp;'Coste Carretera'!D$46:D$1646,0))</f>
        <v>8259729500.000001</v>
      </c>
      <c r="H734" s="11" cm="1">
        <f t="array" aca="1" ref="H734" ca="1">INDEX('Coste multimodal'!E$46:E$1646,MATCH(C734&amp;D734,'Coste multimodal'!C$46:C$1646&amp;'Coste multimodal'!D$46:D$1646,0))</f>
        <v>2279144499.7977266</v>
      </c>
      <c r="I734" s="12" cm="1">
        <f t="array" aca="1" ref="I734" ca="1">INDEX('Tiempos intermodal (horas)'!E$45:E$1645,MATCH(C734&amp;D734,'Tiempos intermodal (horas)'!C$45:C$1645&amp;'Tiempos intermodal (horas)'!D$45:D$1645,0))</f>
        <v>60.39874616999812</v>
      </c>
      <c r="J734" s="2" cm="1">
        <f t="array" aca="1" ref="J734" ca="1">INDEX('Tiempos carretera (horas)'!E$45:E$1645,MATCH(C734&amp;D734,'Tiempos carretera (horas)'!C$45:C$1645&amp;'Tiempos carretera (horas)'!D$45:D$1645,0))</f>
        <v>10.1</v>
      </c>
      <c r="K734" s="12">
        <f t="shared" ca="1" si="72"/>
        <v>33.904502023080127</v>
      </c>
      <c r="L734" s="12">
        <f t="shared" ca="1" si="73"/>
        <v>130.23974822015987</v>
      </c>
      <c r="M734" s="12">
        <f t="shared" ca="1" si="74"/>
        <v>6.7018238973367131E-2</v>
      </c>
      <c r="N734" s="13">
        <f t="shared" ca="1" si="70"/>
        <v>-96.335246197079741</v>
      </c>
      <c r="O734" s="13">
        <f t="shared" ca="1" si="71"/>
        <v>-50.298746169998118</v>
      </c>
      <c r="P734" s="12">
        <f t="shared" ca="1" si="75"/>
        <v>2.6334208460894248</v>
      </c>
    </row>
    <row r="735" spans="1:16" x14ac:dyDescent="0.25">
      <c r="A735">
        <v>32</v>
      </c>
      <c r="B735">
        <v>23</v>
      </c>
      <c r="C735" s="2" t="s">
        <v>31</v>
      </c>
      <c r="D735" s="2" t="s">
        <v>22</v>
      </c>
      <c r="E735" s="11" cm="1">
        <f t="array" aca="1" ref="E735" ca="1">INDEX('OD flujo mercancia multimodal'!E$45:E$1645,MATCH(C735&amp;D735,'OD flujo mercancia multimodal'!C$45:C$1645&amp;'OD flujo mercancia multimodal'!D$45:D$1645,0))</f>
        <v>6529.7692307692332</v>
      </c>
      <c r="F735" s="11" cm="1">
        <f t="array" aca="1" ref="F735" ca="1">INDEX('OD flujo mercancia carretera'!E$45:E$1646,MATCH(C735&amp;D735,'OD flujo mercancia carretera'!C$45:C$1646&amp;'OD flujo mercancia carretera'!D$45:D$1646,0))</f>
        <v>156745.26666666701</v>
      </c>
      <c r="G735" s="11" cm="1">
        <f t="array" aca="1" ref="G735" ca="1">INDEX('Coste Carretera'!E$46:E$1646,MATCH(C735&amp;D735,'Coste Carretera'!C$46:C$1646&amp;'Coste Carretera'!D$46:D$1646,0))</f>
        <v>376460418.88000017</v>
      </c>
      <c r="H735" s="11" cm="1">
        <f t="array" aca="1" ref="H735" ca="1">INDEX('Coste multimodal'!E$46:E$1646,MATCH(C735&amp;D735,'Coste multimodal'!C$46:C$1646&amp;'Coste multimodal'!D$46:D$1646,0))</f>
        <v>16222540.826557327</v>
      </c>
      <c r="I735" s="12" cm="1">
        <f t="array" aca="1" ref="I735" ca="1">INDEX('Tiempos intermodal (horas)'!E$45:E$1645,MATCH(C735&amp;D735,'Tiempos intermodal (horas)'!C$45:C$1645&amp;'Tiempos intermodal (horas)'!D$45:D$1645,0))</f>
        <v>62.009857281109227</v>
      </c>
      <c r="J735" s="2" cm="1">
        <f t="array" aca="1" ref="J735" ca="1">INDEX('Tiempos carretera (horas)'!E$45:E$1645,MATCH(C735&amp;D735,'Tiempos carretera (horas)'!C$45:C$1645&amp;'Tiempos carretera (horas)'!D$45:D$1645,0))</f>
        <v>9.23</v>
      </c>
      <c r="K735" s="12">
        <f t="shared" ca="1" si="72"/>
        <v>2.4017338889127497</v>
      </c>
      <c r="L735" s="12">
        <f t="shared" ca="1" si="73"/>
        <v>2.4843972663098612</v>
      </c>
      <c r="M735" s="12">
        <f t="shared" ca="1" si="74"/>
        <v>3.9992453193340653E-2</v>
      </c>
      <c r="N735" s="13">
        <f t="shared" ca="1" si="70"/>
        <v>-8.2663377397111493E-2</v>
      </c>
      <c r="O735" s="13">
        <f t="shared" ca="1" si="71"/>
        <v>-52.77985728110923</v>
      </c>
      <c r="P735" s="12">
        <f t="shared" ca="1" si="75"/>
        <v>3.1782503795409216</v>
      </c>
    </row>
    <row r="736" spans="1:16" x14ac:dyDescent="0.25">
      <c r="A736">
        <v>23</v>
      </c>
      <c r="B736">
        <v>32</v>
      </c>
      <c r="C736" s="2" t="s">
        <v>22</v>
      </c>
      <c r="D736" s="2" t="s">
        <v>31</v>
      </c>
      <c r="E736" s="11" cm="1">
        <f t="array" aca="1" ref="E736" ca="1">INDEX('OD flujo mercancia multimodal'!E$45:E$1645,MATCH(C736&amp;D736,'OD flujo mercancia multimodal'!C$45:C$1645&amp;'OD flujo mercancia multimodal'!D$45:D$1645,0))</f>
        <v>1295.9230769230767</v>
      </c>
      <c r="F736" s="11" cm="1">
        <f t="array" aca="1" ref="F736" ca="1">INDEX('OD flujo mercancia carretera'!E$45:E$1646,MATCH(C736&amp;D736,'OD flujo mercancia carretera'!C$45:C$1646&amp;'OD flujo mercancia carretera'!D$45:D$1646,0))</f>
        <v>154850.16666666669</v>
      </c>
      <c r="G736" s="11" cm="1">
        <f t="array" aca="1" ref="G736" ca="1">INDEX('Coste Carretera'!E$46:E$1646,MATCH(C736&amp;D736,'Coste Carretera'!C$46:C$1646&amp;'Coste Carretera'!D$46:D$1646,0))</f>
        <v>157321979.36000007</v>
      </c>
      <c r="H736" s="11" cm="1">
        <f t="array" aca="1" ref="H736" ca="1">INDEX('Coste multimodal'!E$46:E$1646,MATCH(C736&amp;D736,'Coste multimodal'!C$46:C$1646&amp;'Coste multimodal'!D$46:D$1646,0))</f>
        <v>16222540.826557327</v>
      </c>
      <c r="I736" s="12" cm="1">
        <f t="array" aca="1" ref="I736" ca="1">INDEX('Tiempos intermodal (horas)'!E$45:E$1645,MATCH(C736&amp;D736,'Tiempos intermodal (horas)'!C$45:C$1645&amp;'Tiempos intermodal (horas)'!D$45:D$1645,0))</f>
        <v>62.009857281109227</v>
      </c>
      <c r="J736" s="2" cm="1">
        <f t="array" aca="1" ref="J736" ca="1">INDEX('Tiempos carretera (horas)'!E$45:E$1645,MATCH(C736&amp;D736,'Tiempos carretera (horas)'!C$45:C$1645&amp;'Tiempos carretera (horas)'!D$45:D$1645,0))</f>
        <v>9.23</v>
      </c>
      <c r="K736" s="12">
        <f t="shared" ca="1" si="72"/>
        <v>1.0159626091888829</v>
      </c>
      <c r="L736" s="12">
        <f t="shared" ca="1" si="73"/>
        <v>12.518135617335151</v>
      </c>
      <c r="M736" s="12">
        <f t="shared" ca="1" si="74"/>
        <v>8.2994270240845276E-3</v>
      </c>
      <c r="N736" s="13">
        <f t="shared" ca="1" si="70"/>
        <v>-11.502173008146269</v>
      </c>
      <c r="O736" s="13">
        <f t="shared" ca="1" si="71"/>
        <v>-52.77985728110923</v>
      </c>
      <c r="P736" s="12">
        <f t="shared" ca="1" si="75"/>
        <v>4.7832347407865106</v>
      </c>
    </row>
    <row r="737" spans="1:16" x14ac:dyDescent="0.25">
      <c r="A737">
        <v>11</v>
      </c>
      <c r="B737">
        <v>34</v>
      </c>
      <c r="C737" s="2" t="s">
        <v>10</v>
      </c>
      <c r="D737" s="2" t="s">
        <v>33</v>
      </c>
      <c r="E737" s="11" cm="1">
        <f t="array" aca="1" ref="E737" ca="1">INDEX('OD flujo mercancia multimodal'!E$45:E$1645,MATCH(C737&amp;D737,'OD flujo mercancia multimodal'!C$45:C$1645&amp;'OD flujo mercancia multimodal'!D$45:D$1645,0))</f>
        <v>307471.07692307723</v>
      </c>
      <c r="F737" s="11" cm="1">
        <f t="array" aca="1" ref="F737" ca="1">INDEX('OD flujo mercancia carretera'!E$45:E$1646,MATCH(C737&amp;D737,'OD flujo mercancia carretera'!C$45:C$1646&amp;'OD flujo mercancia carretera'!D$45:D$1646,0))</f>
        <v>364787.61965811974</v>
      </c>
      <c r="G737" s="11" cm="1">
        <f t="array" aca="1" ref="G737" ca="1">INDEX('Coste Carretera'!E$46:E$1646,MATCH(C737&amp;D737,'Coste Carretera'!C$46:C$1646&amp;'Coste Carretera'!D$46:D$1646,0))</f>
        <v>7788649125.8799953</v>
      </c>
      <c r="H737" s="11" cm="1">
        <f t="array" aca="1" ref="H737" ca="1">INDEX('Coste multimodal'!E$46:E$1646,MATCH(C737&amp;D737,'Coste multimodal'!C$46:C$1646&amp;'Coste multimodal'!D$46:D$1646,0))</f>
        <v>3149739412.1962776</v>
      </c>
      <c r="I737" s="12" cm="1">
        <f t="array" aca="1" ref="I737" ca="1">INDEX('Tiempos intermodal (horas)'!E$45:E$1645,MATCH(C737&amp;D737,'Tiempos intermodal (horas)'!C$45:C$1645&amp;'Tiempos intermodal (horas)'!D$45:D$1645,0))</f>
        <v>61.741943758211335</v>
      </c>
      <c r="J737" s="2" cm="1">
        <f t="array" aca="1" ref="J737" ca="1">INDEX('Tiempos carretera (horas)'!E$45:E$1645,MATCH(C737&amp;D737,'Tiempos carretera (horas)'!C$45:C$1645&amp;'Tiempos carretera (horas)'!D$45:D$1645,0))</f>
        <v>19.25</v>
      </c>
      <c r="K737" s="12">
        <f t="shared" ca="1" si="72"/>
        <v>21.351188215158029</v>
      </c>
      <c r="L737" s="12">
        <f t="shared" ca="1" si="73"/>
        <v>10.24401853896741</v>
      </c>
      <c r="M737" s="12">
        <f t="shared" ca="1" si="74"/>
        <v>0.45737017384339657</v>
      </c>
      <c r="N737" s="13">
        <f t="shared" ca="1" si="70"/>
        <v>11.107169676190619</v>
      </c>
      <c r="O737" s="13">
        <f t="shared" ca="1" si="71"/>
        <v>-42.491943758211335</v>
      </c>
      <c r="P737" s="12">
        <f t="shared" ca="1" si="75"/>
        <v>0.17093429624758438</v>
      </c>
    </row>
    <row r="738" spans="1:16" x14ac:dyDescent="0.25">
      <c r="A738">
        <v>34</v>
      </c>
      <c r="B738">
        <v>11</v>
      </c>
      <c r="C738" s="2" t="s">
        <v>33</v>
      </c>
      <c r="D738" s="2" t="s">
        <v>10</v>
      </c>
      <c r="E738" s="11" cm="1">
        <f t="array" aca="1" ref="E738" ca="1">INDEX('OD flujo mercancia multimodal'!E$45:E$1645,MATCH(C738&amp;D738,'OD flujo mercancia multimodal'!C$45:C$1645&amp;'OD flujo mercancia multimodal'!D$45:D$1645,0))</f>
        <v>145920.15384615384</v>
      </c>
      <c r="F738" s="11" cm="1">
        <f t="array" aca="1" ref="F738" ca="1">INDEX('OD flujo mercancia carretera'!E$45:E$1646,MATCH(C738&amp;D738,'OD flujo mercancia carretera'!C$45:C$1646&amp;'OD flujo mercancia carretera'!D$45:D$1646,0))</f>
        <v>371893.2264957265</v>
      </c>
      <c r="G738" s="11" cm="1">
        <f t="array" aca="1" ref="G738" ca="1">INDEX('Coste Carretera'!E$46:E$1646,MATCH(C738&amp;D738,'Coste Carretera'!C$46:C$1646&amp;'Coste Carretera'!D$46:D$1646,0))</f>
        <v>5348181136.4799976</v>
      </c>
      <c r="H738" s="11" cm="1">
        <f t="array" aca="1" ref="H738" ca="1">INDEX('Coste multimodal'!E$46:E$1646,MATCH(C738&amp;D738,'Coste multimodal'!C$46:C$1646&amp;'Coste multimodal'!D$46:D$1646,0))</f>
        <v>3149739412.1962776</v>
      </c>
      <c r="I738" s="12" cm="1">
        <f t="array" aca="1" ref="I738" ca="1">INDEX('Tiempos intermodal (horas)'!E$45:E$1645,MATCH(C738&amp;D738,'Tiempos intermodal (horas)'!C$45:C$1645&amp;'Tiempos intermodal (horas)'!D$45:D$1645,0))</f>
        <v>61.741943758211335</v>
      </c>
      <c r="J738" s="2" cm="1">
        <f t="array" aca="1" ref="J738" ca="1">INDEX('Tiempos carretera (horas)'!E$45:E$1645,MATCH(C738&amp;D738,'Tiempos carretera (horas)'!C$45:C$1645&amp;'Tiempos carretera (horas)'!D$45:D$1645,0))</f>
        <v>19.25</v>
      </c>
      <c r="K738" s="12">
        <f t="shared" ca="1" si="72"/>
        <v>14.380958714614971</v>
      </c>
      <c r="L738" s="12">
        <f t="shared" ca="1" si="73"/>
        <v>21.585362468279072</v>
      </c>
      <c r="M738" s="12">
        <f t="shared" ca="1" si="74"/>
        <v>0.28180066291414047</v>
      </c>
      <c r="N738" s="13">
        <f t="shared" ca="1" si="70"/>
        <v>-7.204403753664101</v>
      </c>
      <c r="O738" s="13">
        <f t="shared" ca="1" si="71"/>
        <v>-42.491943758211335</v>
      </c>
      <c r="P738" s="12">
        <f t="shared" ca="1" si="75"/>
        <v>0.93554720688035364</v>
      </c>
    </row>
    <row r="739" spans="1:16" x14ac:dyDescent="0.25">
      <c r="A739">
        <v>11</v>
      </c>
      <c r="B739">
        <v>35</v>
      </c>
      <c r="C739" s="2" t="s">
        <v>10</v>
      </c>
      <c r="D739" s="2" t="s">
        <v>34</v>
      </c>
      <c r="E739" s="11" cm="1">
        <f t="array" aca="1" ref="E739" ca="1">INDEX('OD flujo mercancia multimodal'!E$45:E$1645,MATCH(C739&amp;D739,'OD flujo mercancia multimodal'!C$45:C$1645&amp;'OD flujo mercancia multimodal'!D$45:D$1645,0))</f>
        <v>33789.384615384632</v>
      </c>
      <c r="F739" s="11" cm="1">
        <f t="array" aca="1" ref="F739" ca="1">INDEX('OD flujo mercancia carretera'!E$45:E$1646,MATCH(C739&amp;D739,'OD flujo mercancia carretera'!C$45:C$1646&amp;'OD flujo mercancia carretera'!D$45:D$1646,0))</f>
        <v>113197.76923076928</v>
      </c>
      <c r="G739" s="11" cm="1">
        <f t="array" aca="1" ref="G739" ca="1">INDEX('Coste Carretera'!E$46:E$1646,MATCH(C739&amp;D739,'Coste Carretera'!C$46:C$1646&amp;'Coste Carretera'!D$46:D$1646,0))</f>
        <v>32119129729.440029</v>
      </c>
      <c r="H739" s="11" cm="1">
        <f t="array" aca="1" ref="H739" ca="1">INDEX('Coste multimodal'!E$46:E$1646,MATCH(C739&amp;D739,'Coste multimodal'!C$46:C$1646&amp;'Coste multimodal'!D$46:D$1646,0))</f>
        <v>2520004803.2682776</v>
      </c>
      <c r="I739" s="12" cm="1">
        <f t="array" aca="1" ref="I739" ca="1">INDEX('Tiempos intermodal (horas)'!E$45:E$1645,MATCH(C739&amp;D739,'Tiempos intermodal (horas)'!C$45:C$1645&amp;'Tiempos intermodal (horas)'!D$45:D$1645,0))</f>
        <v>62.666388202655774</v>
      </c>
      <c r="J739" s="2" cm="1">
        <f t="array" aca="1" ref="J739" ca="1">INDEX('Tiempos carretera (horas)'!E$45:E$1645,MATCH(C739&amp;D739,'Tiempos carretera (horas)'!C$45:C$1645&amp;'Tiempos carretera (horas)'!D$45:D$1645,0))</f>
        <v>19.95</v>
      </c>
      <c r="K739" s="12">
        <f t="shared" ca="1" si="72"/>
        <v>283.74348671095055</v>
      </c>
      <c r="L739" s="12">
        <f t="shared" ca="1" si="73"/>
        <v>74.579777996930289</v>
      </c>
      <c r="M739" s="12">
        <f t="shared" ca="1" si="74"/>
        <v>0.22987984821279517</v>
      </c>
      <c r="N739" s="13">
        <f t="shared" ca="1" si="70"/>
        <v>209.16370871402026</v>
      </c>
      <c r="O739" s="13">
        <f t="shared" ca="1" si="71"/>
        <v>-42.716388202655779</v>
      </c>
      <c r="P739" s="12">
        <f t="shared" ca="1" si="75"/>
        <v>1.2089897706061836</v>
      </c>
    </row>
    <row r="740" spans="1:16" x14ac:dyDescent="0.25">
      <c r="A740">
        <v>35</v>
      </c>
      <c r="B740">
        <v>11</v>
      </c>
      <c r="C740" s="2" t="s">
        <v>34</v>
      </c>
      <c r="D740" s="2" t="s">
        <v>10</v>
      </c>
      <c r="E740" s="11" cm="1">
        <f t="array" aca="1" ref="E740" ca="1">INDEX('OD flujo mercancia multimodal'!E$45:E$1645,MATCH(C740&amp;D740,'OD flujo mercancia multimodal'!C$45:C$1645&amp;'OD flujo mercancia multimodal'!D$45:D$1645,0))</f>
        <v>30991.69230769229</v>
      </c>
      <c r="F740" s="11" cm="1">
        <f t="array" aca="1" ref="F740" ca="1">INDEX('OD flujo mercancia carretera'!E$45:E$1646,MATCH(C740&amp;D740,'OD flujo mercancia carretera'!C$45:C$1646&amp;'OD flujo mercancia carretera'!D$45:D$1646,0))</f>
        <v>111391.38461538461</v>
      </c>
      <c r="G740" s="11" cm="1">
        <f t="array" aca="1" ref="G740" ca="1">INDEX('Coste Carretera'!E$46:E$1646,MATCH(C740&amp;D740,'Coste Carretera'!C$46:C$1646&amp;'Coste Carretera'!D$46:D$1646,0))</f>
        <v>15243151968.719999</v>
      </c>
      <c r="H740" s="11" cm="1">
        <f t="array" aca="1" ref="H740" ca="1">INDEX('Coste multimodal'!E$46:E$1646,MATCH(C740&amp;D740,'Coste multimodal'!C$46:C$1646&amp;'Coste multimodal'!D$46:D$1646,0))</f>
        <v>2520004803.2682776</v>
      </c>
      <c r="I740" s="12" cm="1">
        <f t="array" aca="1" ref="I740" ca="1">INDEX('Tiempos intermodal (horas)'!E$45:E$1645,MATCH(C740&amp;D740,'Tiempos intermodal (horas)'!C$45:C$1645&amp;'Tiempos intermodal (horas)'!D$45:D$1645,0))</f>
        <v>62.666388202655774</v>
      </c>
      <c r="J740" s="2" cm="1">
        <f t="array" aca="1" ref="J740" ca="1">INDEX('Tiempos carretera (horas)'!E$45:E$1645,MATCH(C740&amp;D740,'Tiempos carretera (horas)'!C$45:C$1645&amp;'Tiempos carretera (horas)'!D$45:D$1645,0))</f>
        <v>19.95</v>
      </c>
      <c r="K740" s="12">
        <f t="shared" ca="1" si="72"/>
        <v>136.84318604488126</v>
      </c>
      <c r="L740" s="12">
        <f t="shared" ca="1" si="73"/>
        <v>81.31226840564625</v>
      </c>
      <c r="M740" s="12">
        <f t="shared" ca="1" si="74"/>
        <v>0.21766415628477878</v>
      </c>
      <c r="N740" s="13">
        <f t="shared" ca="1" si="70"/>
        <v>55.530917639235014</v>
      </c>
      <c r="O740" s="13">
        <f t="shared" ca="1" si="71"/>
        <v>-42.716388202655779</v>
      </c>
      <c r="P740" s="12">
        <f t="shared" ca="1" si="75"/>
        <v>1.2793308086232076</v>
      </c>
    </row>
    <row r="741" spans="1:16" x14ac:dyDescent="0.25">
      <c r="A741">
        <v>40</v>
      </c>
      <c r="B741">
        <v>16</v>
      </c>
      <c r="C741" s="2" t="s">
        <v>39</v>
      </c>
      <c r="D741" s="2" t="s">
        <v>15</v>
      </c>
      <c r="E741" s="11" cm="1">
        <f t="array" aca="1" ref="E741" ca="1">INDEX('OD flujo mercancia multimodal'!E$45:E$1645,MATCH(C741&amp;D741,'OD flujo mercancia multimodal'!C$45:C$1645&amp;'OD flujo mercancia multimodal'!D$45:D$1645,0))</f>
        <v>40114.15384615388</v>
      </c>
      <c r="F741" s="11" cm="1">
        <f t="array" aca="1" ref="F741" ca="1">INDEX('OD flujo mercancia carretera'!E$45:E$1646,MATCH(C741&amp;D741,'OD flujo mercancia carretera'!C$45:C$1646&amp;'OD flujo mercancia carretera'!D$45:D$1646,0))</f>
        <v>630206.20512820489</v>
      </c>
      <c r="G741" s="11" cm="1">
        <f t="array" aca="1" ref="G741" ca="1">INDEX('Coste Carretera'!E$46:E$1646,MATCH(C741&amp;D741,'Coste Carretera'!C$46:C$1646&amp;'Coste Carretera'!D$46:D$1646,0))</f>
        <v>1627842435.8400016</v>
      </c>
      <c r="H741" s="11" cm="1">
        <f t="array" aca="1" ref="H741" ca="1">INDEX('Coste multimodal'!E$46:E$1646,MATCH(C741&amp;D741,'Coste multimodal'!C$46:C$1646&amp;'Coste multimodal'!D$46:D$1646,0))</f>
        <v>316226970.82296628</v>
      </c>
      <c r="I741" s="12" cm="1">
        <f t="array" aca="1" ref="I741" ca="1">INDEX('Tiempos intermodal (horas)'!E$45:E$1645,MATCH(C741&amp;D741,'Tiempos intermodal (horas)'!C$45:C$1645&amp;'Tiempos intermodal (horas)'!D$45:D$1645,0))</f>
        <v>68.152830799549562</v>
      </c>
      <c r="J741" s="2" cm="1">
        <f t="array" aca="1" ref="J741" ca="1">INDEX('Tiempos carretera (horas)'!E$45:E$1645,MATCH(C741&amp;D741,'Tiempos carretera (horas)'!C$45:C$1645&amp;'Tiempos carretera (horas)'!D$45:D$1645,0))</f>
        <v>8.18</v>
      </c>
      <c r="K741" s="12">
        <f t="shared" ca="1" si="72"/>
        <v>2.5830314309724134</v>
      </c>
      <c r="L741" s="12">
        <f t="shared" ca="1" si="73"/>
        <v>7.8831768965079627</v>
      </c>
      <c r="M741" s="12">
        <f t="shared" ca="1" si="74"/>
        <v>5.9843257494866471E-2</v>
      </c>
      <c r="N741" s="13">
        <f t="shared" ca="1" si="70"/>
        <v>-5.3001454655355493</v>
      </c>
      <c r="O741" s="13">
        <f t="shared" ca="1" si="71"/>
        <v>-59.972830799549563</v>
      </c>
      <c r="P741" s="12">
        <f t="shared" ca="1" si="75"/>
        <v>2.7543178397787837</v>
      </c>
    </row>
    <row r="742" spans="1:16" x14ac:dyDescent="0.25">
      <c r="A742">
        <v>16</v>
      </c>
      <c r="B742">
        <v>40</v>
      </c>
      <c r="C742" s="2" t="s">
        <v>15</v>
      </c>
      <c r="D742" s="2" t="s">
        <v>39</v>
      </c>
      <c r="E742" s="11" cm="1">
        <f t="array" aca="1" ref="E742" ca="1">INDEX('OD flujo mercancia multimodal'!E$45:E$1645,MATCH(C742&amp;D742,'OD flujo mercancia multimodal'!C$45:C$1645&amp;'OD flujo mercancia multimodal'!D$45:D$1645,0))</f>
        <v>45042.230769230766</v>
      </c>
      <c r="F742" s="11" cm="1">
        <f t="array" aca="1" ref="F742" ca="1">INDEX('OD flujo mercancia carretera'!E$45:E$1646,MATCH(C742&amp;D742,'OD flujo mercancia carretera'!C$45:C$1646&amp;'OD flujo mercancia carretera'!D$45:D$1646,0))</f>
        <v>242063.68131868137</v>
      </c>
      <c r="G742" s="11" cm="1">
        <f t="array" aca="1" ref="G742" ca="1">INDEX('Coste Carretera'!E$46:E$1646,MATCH(C742&amp;D742,'Coste Carretera'!C$46:C$1646&amp;'Coste Carretera'!D$46:D$1646,0))</f>
        <v>1781207421.0400002</v>
      </c>
      <c r="H742" s="11" cm="1">
        <f t="array" aca="1" ref="H742" ca="1">INDEX('Coste multimodal'!E$46:E$1646,MATCH(C742&amp;D742,'Coste multimodal'!C$46:C$1646&amp;'Coste multimodal'!D$46:D$1646,0))</f>
        <v>385033659.15949833</v>
      </c>
      <c r="I742" s="12" cm="1">
        <f t="array" aca="1" ref="I742" ca="1">INDEX('Tiempos intermodal (horas)'!E$45:E$1645,MATCH(C742&amp;D742,'Tiempos intermodal (horas)'!C$45:C$1645&amp;'Tiempos intermodal (horas)'!D$45:D$1645,0))</f>
        <v>55.451053612987998</v>
      </c>
      <c r="J742" s="2" cm="1">
        <f t="array" aca="1" ref="J742" ca="1">INDEX('Tiempos carretera (horas)'!E$45:E$1645,MATCH(C742&amp;D742,'Tiempos carretera (horas)'!C$45:C$1645&amp;'Tiempos carretera (horas)'!D$45:D$1645,0))</f>
        <v>9.1199999999999992</v>
      </c>
      <c r="K742" s="12">
        <f t="shared" ca="1" si="72"/>
        <v>7.358424904292054</v>
      </c>
      <c r="L742" s="12">
        <f t="shared" ca="1" si="73"/>
        <v>8.5482813036543117</v>
      </c>
      <c r="M742" s="12">
        <f t="shared" ca="1" si="74"/>
        <v>0.15688367558045543</v>
      </c>
      <c r="N742" s="13">
        <f t="shared" ca="1" si="70"/>
        <v>-1.1898563993622577</v>
      </c>
      <c r="O742" s="13">
        <f t="shared" ca="1" si="71"/>
        <v>-46.331053612988001</v>
      </c>
      <c r="P742" s="12">
        <f t="shared" ca="1" si="75"/>
        <v>1.6816003262557673</v>
      </c>
    </row>
    <row r="743" spans="1:16" x14ac:dyDescent="0.25">
      <c r="A743">
        <v>3</v>
      </c>
      <c r="B743">
        <v>35</v>
      </c>
      <c r="C743" s="2" t="s">
        <v>2</v>
      </c>
      <c r="D743" s="2" t="s">
        <v>34</v>
      </c>
      <c r="E743" s="11" cm="1">
        <f t="array" aca="1" ref="E743" ca="1">INDEX('OD flujo mercancia multimodal'!E$45:E$1645,MATCH(C743&amp;D743,'OD flujo mercancia multimodal'!C$45:C$1645&amp;'OD flujo mercancia multimodal'!D$45:D$1645,0))</f>
        <v>38073.186813186832</v>
      </c>
      <c r="F743" s="11" cm="1">
        <f t="array" aca="1" ref="F743" ca="1">INDEX('OD flujo mercancia carretera'!E$45:E$1646,MATCH(C743&amp;D743,'OD flujo mercancia carretera'!C$45:C$1646&amp;'OD flujo mercancia carretera'!D$45:D$1646,0))</f>
        <v>53019.307692307731</v>
      </c>
      <c r="G743" s="11" cm="1">
        <f t="array" aca="1" ref="G743" ca="1">INDEX('Coste Carretera'!E$46:E$1646,MATCH(C743&amp;D743,'Coste Carretera'!C$46:C$1646&amp;'Coste Carretera'!D$46:D$1646,0))</f>
        <v>3864114435.3371468</v>
      </c>
      <c r="H743" s="11" cm="1">
        <f t="array" aca="1" ref="H743" ca="1">INDEX('Coste multimodal'!E$46:E$1646,MATCH(C743&amp;D743,'Coste multimodal'!C$46:C$1646&amp;'Coste multimodal'!D$46:D$1646,0))</f>
        <v>3557439640.5451255</v>
      </c>
      <c r="I743" s="12" cm="1">
        <f t="array" aca="1" ref="I743" ca="1">INDEX('Tiempos intermodal (horas)'!E$45:E$1645,MATCH(C743&amp;D743,'Tiempos intermodal (horas)'!C$45:C$1645&amp;'Tiempos intermodal (horas)'!D$45:D$1645,0))</f>
        <v>45.751688796218097</v>
      </c>
      <c r="J743" s="2" cm="1">
        <f t="array" aca="1" ref="J743" ca="1">INDEX('Tiempos carretera (horas)'!E$45:E$1645,MATCH(C743&amp;D743,'Tiempos carretera (horas)'!C$45:C$1645&amp;'Tiempos carretera (horas)'!D$45:D$1645,0))</f>
        <v>2.6</v>
      </c>
      <c r="K743" s="12">
        <f t="shared" ca="1" si="72"/>
        <v>72.881269173904528</v>
      </c>
      <c r="L743" s="12">
        <f t="shared" ca="1" si="73"/>
        <v>93.436876140690941</v>
      </c>
      <c r="M743" s="12">
        <f t="shared" ca="1" si="74"/>
        <v>0.41796184218986682</v>
      </c>
      <c r="N743" s="13">
        <f t="shared" ca="1" si="70"/>
        <v>-20.555606966786414</v>
      </c>
      <c r="O743" s="13">
        <f t="shared" ca="1" si="71"/>
        <v>-43.151688796218096</v>
      </c>
      <c r="P743" s="12">
        <f t="shared" ca="1" si="75"/>
        <v>0.33114586709914789</v>
      </c>
    </row>
    <row r="744" spans="1:16" x14ac:dyDescent="0.25">
      <c r="A744">
        <v>40</v>
      </c>
      <c r="B744">
        <v>22</v>
      </c>
      <c r="C744" s="2" t="s">
        <v>39</v>
      </c>
      <c r="D744" s="2" t="s">
        <v>21</v>
      </c>
      <c r="E744" s="11" cm="1">
        <f t="array" aca="1" ref="E744" ca="1">INDEX('OD flujo mercancia multimodal'!E$45:E$1645,MATCH(C744&amp;D744,'OD flujo mercancia multimodal'!C$45:C$1645&amp;'OD flujo mercancia multimodal'!D$45:D$1645,0))</f>
        <v>24447.076923076878</v>
      </c>
      <c r="F744" s="11" cm="1">
        <f t="array" aca="1" ref="F744" ca="1">INDEX('OD flujo mercancia carretera'!E$45:E$1646,MATCH(C744&amp;D744,'OD flujo mercancia carretera'!C$45:C$1646&amp;'OD flujo mercancia carretera'!D$45:D$1646,0))</f>
        <v>226073.84615384584</v>
      </c>
      <c r="G744" s="11" cm="1">
        <f t="array" aca="1" ref="G744" ca="1">INDEX('Coste Carretera'!E$46:E$1646,MATCH(C744&amp;D744,'Coste Carretera'!C$46:C$1646&amp;'Coste Carretera'!D$46:D$1646,0))</f>
        <v>1511255404.7999966</v>
      </c>
      <c r="H744" s="11" cm="1">
        <f t="array" aca="1" ref="H744" ca="1">INDEX('Coste multimodal'!E$46:E$1646,MATCH(C744&amp;D744,'Coste multimodal'!C$46:C$1646&amp;'Coste multimodal'!D$46:D$1646,0))</f>
        <v>691817736.73087347</v>
      </c>
      <c r="I744" s="12" cm="1">
        <f t="array" aca="1" ref="I744" ca="1">INDEX('Tiempos intermodal (horas)'!E$45:E$1645,MATCH(C744&amp;D744,'Tiempos intermodal (horas)'!C$45:C$1645&amp;'Tiempos intermodal (horas)'!D$45:D$1645,0))</f>
        <v>71.817496668191623</v>
      </c>
      <c r="J744" s="2" cm="1">
        <f t="array" aca="1" ref="J744" ca="1">INDEX('Tiempos carretera (horas)'!E$45:E$1645,MATCH(C744&amp;D744,'Tiempos carretera (horas)'!C$45:C$1645&amp;'Tiempos carretera (horas)'!D$45:D$1645,0))</f>
        <v>13.72</v>
      </c>
      <c r="K744" s="12">
        <f t="shared" ca="1" si="72"/>
        <v>6.6847865443558208</v>
      </c>
      <c r="L744" s="12">
        <f t="shared" ca="1" si="73"/>
        <v>28.298587144290874</v>
      </c>
      <c r="M744" s="12">
        <f t="shared" ca="1" si="74"/>
        <v>9.7584970639639459E-2</v>
      </c>
      <c r="N744" s="13">
        <f t="shared" ca="1" si="70"/>
        <v>-21.613800599935054</v>
      </c>
      <c r="O744" s="13">
        <f t="shared" ca="1" si="71"/>
        <v>-58.097496668191624</v>
      </c>
      <c r="P744" s="12">
        <f t="shared" ca="1" si="75"/>
        <v>2.2243510432678759</v>
      </c>
    </row>
    <row r="745" spans="1:16" x14ac:dyDescent="0.25">
      <c r="A745">
        <v>22</v>
      </c>
      <c r="B745">
        <v>40</v>
      </c>
      <c r="C745" s="2" t="s">
        <v>21</v>
      </c>
      <c r="D745" s="2" t="s">
        <v>39</v>
      </c>
      <c r="E745" s="11" cm="1">
        <f t="array" aca="1" ref="E745" ca="1">INDEX('OD flujo mercancia multimodal'!E$45:E$1645,MATCH(C745&amp;D745,'OD flujo mercancia multimodal'!C$45:C$1645&amp;'OD flujo mercancia multimodal'!D$45:D$1645,0))</f>
        <v>18388.307692307691</v>
      </c>
      <c r="F745" s="11" cm="1">
        <f t="array" aca="1" ref="F745" ca="1">INDEX('OD flujo mercancia carretera'!E$45:E$1646,MATCH(C745&amp;D745,'OD flujo mercancia carretera'!C$45:C$1646&amp;'OD flujo mercancia carretera'!D$45:D$1646,0))</f>
        <v>199759.80952380956</v>
      </c>
      <c r="G745" s="11" cm="1">
        <f t="array" aca="1" ref="G745" ca="1">INDEX('Coste Carretera'!E$46:E$1646,MATCH(C745&amp;D745,'Coste Carretera'!C$46:C$1646&amp;'Coste Carretera'!D$46:D$1646,0))</f>
        <v>952186771.80000031</v>
      </c>
      <c r="H745" s="11" cm="1">
        <f t="array" aca="1" ref="H745" ca="1">INDEX('Coste multimodal'!E$46:E$1646,MATCH(C745&amp;D745,'Coste multimodal'!C$46:C$1646&amp;'Coste multimodal'!D$46:D$1646,0))</f>
        <v>695426567.29357946</v>
      </c>
      <c r="I745" s="12" cm="1">
        <f t="array" aca="1" ref="I745" ca="1">INDEX('Tiempos intermodal (horas)'!E$45:E$1645,MATCH(C745&amp;D745,'Tiempos intermodal (horas)'!C$45:C$1645&amp;'Tiempos intermodal (horas)'!D$45:D$1645,0))</f>
        <v>88.492025848817562</v>
      </c>
      <c r="J745" s="2" cm="1">
        <f t="array" aca="1" ref="J745" ca="1">INDEX('Tiempos carretera (horas)'!E$45:E$1645,MATCH(C745&amp;D745,'Tiempos carretera (horas)'!C$45:C$1645&amp;'Tiempos carretera (horas)'!D$45:D$1645,0))</f>
        <v>15.81</v>
      </c>
      <c r="K745" s="12">
        <f t="shared" ca="1" si="72"/>
        <v>4.7666583887411464</v>
      </c>
      <c r="L745" s="12">
        <f t="shared" ca="1" si="73"/>
        <v>37.818954246914984</v>
      </c>
      <c r="M745" s="12">
        <f t="shared" ca="1" si="74"/>
        <v>8.4292763682624741E-2</v>
      </c>
      <c r="N745" s="13">
        <f t="shared" ca="1" si="70"/>
        <v>-33.052295858173835</v>
      </c>
      <c r="O745" s="13">
        <f t="shared" ca="1" si="71"/>
        <v>-72.68202584881756</v>
      </c>
      <c r="P745" s="12">
        <f t="shared" ca="1" si="75"/>
        <v>2.3854006813208373</v>
      </c>
    </row>
    <row r="746" spans="1:16" x14ac:dyDescent="0.25">
      <c r="A746">
        <v>23</v>
      </c>
      <c r="B746">
        <v>27</v>
      </c>
      <c r="C746" s="2" t="s">
        <v>22</v>
      </c>
      <c r="D746" s="2" t="s">
        <v>145</v>
      </c>
      <c r="E746" s="11" cm="1">
        <f t="array" aca="1" ref="E746" ca="1">INDEX('OD flujo mercancia multimodal'!E$45:E$1645,MATCH(C746&amp;D746,'OD flujo mercancia multimodal'!C$45:C$1645&amp;'OD flujo mercancia multimodal'!D$45:D$1645,0))</f>
        <v>60290.538461538461</v>
      </c>
      <c r="F746" s="11" cm="1">
        <f t="array" aca="1" ref="F746" ca="1">INDEX('OD flujo mercancia carretera'!E$45:E$1646,MATCH(C746&amp;D746,'OD flujo mercancia carretera'!C$45:C$1646&amp;'OD flujo mercancia carretera'!D$45:D$1646,0))</f>
        <v>521623.76666666666</v>
      </c>
      <c r="G746" s="11" cm="1">
        <f t="array" aca="1" ref="G746" ca="1">INDEX('Coste Carretera'!E$46:E$1646,MATCH(C746&amp;D746,'Coste Carretera'!C$46:C$1646&amp;'Coste Carretera'!D$46:D$1646,0))</f>
        <v>807447065.39999998</v>
      </c>
      <c r="H746" s="11" cm="1">
        <f t="array" aca="1" ref="H746" ca="1">INDEX('Coste multimodal'!E$46:E$1646,MATCH(C746&amp;D746,'Coste multimodal'!C$46:C$1646&amp;'Coste multimodal'!D$46:D$1646,0))</f>
        <v>960936933.41342831</v>
      </c>
      <c r="I746" s="12" cm="1">
        <f t="array" aca="1" ref="I746" ca="1">INDEX('Tiempos intermodal (horas)'!E$45:E$1645,MATCH(C746&amp;D746,'Tiempos intermodal (horas)'!C$45:C$1645&amp;'Tiempos intermodal (horas)'!D$45:D$1645,0))</f>
        <v>48.23016266950544</v>
      </c>
      <c r="J746" s="2" cm="1">
        <f t="array" aca="1" ref="J746" ca="1">INDEX('Tiempos carretera (horas)'!E$45:E$1645,MATCH(C746&amp;D746,'Tiempos carretera (horas)'!C$45:C$1645&amp;'Tiempos carretera (horas)'!D$45:D$1645,0))</f>
        <v>2.93</v>
      </c>
      <c r="K746" s="12">
        <f t="shared" ca="1" si="72"/>
        <v>1.5479491484060062</v>
      </c>
      <c r="L746" s="12">
        <f t="shared" ca="1" si="73"/>
        <v>15.938436742051078</v>
      </c>
      <c r="M746" s="12">
        <f t="shared" ca="1" si="74"/>
        <v>0.10360724582678112</v>
      </c>
      <c r="N746" s="13">
        <f t="shared" ca="1" si="70"/>
        <v>-14.390487593645071</v>
      </c>
      <c r="O746" s="13">
        <f t="shared" ca="1" si="71"/>
        <v>-45.30016266950544</v>
      </c>
      <c r="P746" s="12">
        <f t="shared" ca="1" si="75"/>
        <v>2.1577713908498386</v>
      </c>
    </row>
    <row r="747" spans="1:16" x14ac:dyDescent="0.25">
      <c r="A747">
        <v>27</v>
      </c>
      <c r="B747">
        <v>23</v>
      </c>
      <c r="C747" s="2" t="s">
        <v>145</v>
      </c>
      <c r="D747" s="2" t="s">
        <v>22</v>
      </c>
      <c r="E747" s="11" cm="1">
        <f t="array" aca="1" ref="E747" ca="1">INDEX('OD flujo mercancia multimodal'!E$45:E$1645,MATCH(C747&amp;D747,'OD flujo mercancia multimodal'!C$45:C$1645&amp;'OD flujo mercancia multimodal'!D$45:D$1645,0))</f>
        <v>39687.692307692312</v>
      </c>
      <c r="F747" s="11" cm="1">
        <f t="array" aca="1" ref="F747" ca="1">INDEX('OD flujo mercancia carretera'!E$45:E$1646,MATCH(C747&amp;D747,'OD flujo mercancia carretera'!C$45:C$1646&amp;'OD flujo mercancia carretera'!D$45:D$1646,0))</f>
        <v>529905.86666666693</v>
      </c>
      <c r="G747" s="11" cm="1">
        <f t="array" aca="1" ref="G747" ca="1">INDEX('Coste Carretera'!E$46:E$1646,MATCH(C747&amp;D747,'Coste Carretera'!C$46:C$1646&amp;'Coste Carretera'!D$46:D$1646,0))</f>
        <v>531521388.00000006</v>
      </c>
      <c r="H747" s="11" cm="1">
        <f t="array" aca="1" ref="H747" ca="1">INDEX('Coste multimodal'!E$46:E$1646,MATCH(C747&amp;D747,'Coste multimodal'!C$46:C$1646&amp;'Coste multimodal'!D$46:D$1646,0))</f>
        <v>960936933.41342831</v>
      </c>
      <c r="I747" s="12" cm="1">
        <f t="array" aca="1" ref="I747" ca="1">INDEX('Tiempos intermodal (horas)'!E$45:E$1645,MATCH(C747&amp;D747,'Tiempos intermodal (horas)'!C$45:C$1645&amp;'Tiempos intermodal (horas)'!D$45:D$1645,0))</f>
        <v>48.23016266950544</v>
      </c>
      <c r="J747" s="2" cm="1">
        <f t="array" aca="1" ref="J747" ca="1">INDEX('Tiempos carretera (horas)'!E$45:E$1645,MATCH(C747&amp;D747,'Tiempos carretera (horas)'!C$45:C$1645&amp;'Tiempos carretera (horas)'!D$45:D$1645,0))</f>
        <v>2.93</v>
      </c>
      <c r="K747" s="12">
        <f t="shared" ca="1" si="72"/>
        <v>1.0030486949380188</v>
      </c>
      <c r="L747" s="12">
        <f t="shared" ca="1" si="73"/>
        <v>24.212466826325866</v>
      </c>
      <c r="M747" s="12">
        <f t="shared" ca="1" si="74"/>
        <v>6.9677214010558874E-2</v>
      </c>
      <c r="N747" s="13">
        <f t="shared" ca="1" si="70"/>
        <v>-23.209418131387846</v>
      </c>
      <c r="O747" s="13">
        <f t="shared" ca="1" si="71"/>
        <v>-45.30016266950544</v>
      </c>
      <c r="P747" s="12">
        <f t="shared" ca="1" si="75"/>
        <v>2.5916582585194163</v>
      </c>
    </row>
    <row r="748" spans="1:16" x14ac:dyDescent="0.25">
      <c r="A748">
        <v>11</v>
      </c>
      <c r="B748">
        <v>27</v>
      </c>
      <c r="C748" s="2" t="s">
        <v>10</v>
      </c>
      <c r="D748" s="2" t="s">
        <v>145</v>
      </c>
      <c r="E748" s="11" cm="1">
        <f t="array" aca="1" ref="E748" ca="1">INDEX('OD flujo mercancia multimodal'!E$45:E$1645,MATCH(C748&amp;D748,'OD flujo mercancia multimodal'!C$45:C$1645&amp;'OD flujo mercancia multimodal'!D$45:D$1645,0))</f>
        <v>70177.769230769234</v>
      </c>
      <c r="F748" s="11" cm="1">
        <f t="array" aca="1" ref="F748" ca="1">INDEX('OD flujo mercancia carretera'!E$45:E$1646,MATCH(C748&amp;D748,'OD flujo mercancia carretera'!C$45:C$1646&amp;'OD flujo mercancia carretera'!D$45:D$1646,0))</f>
        <v>514289.33076923073</v>
      </c>
      <c r="G748" s="11" cm="1">
        <f t="array" aca="1" ref="G748" ca="1">INDEX('Coste Carretera'!E$46:E$1646,MATCH(C748&amp;D748,'Coste Carretera'!C$46:C$1646&amp;'Coste Carretera'!D$46:D$1646,0))</f>
        <v>5635491016.7600002</v>
      </c>
      <c r="H748" s="11" cm="1">
        <f t="array" aca="1" ref="H748" ca="1">INDEX('Coste multimodal'!E$46:E$1646,MATCH(C748&amp;D748,'Coste multimodal'!C$46:C$1646&amp;'Coste multimodal'!D$46:D$1646,0))</f>
        <v>1140508373.380213</v>
      </c>
      <c r="I748" s="12" cm="1">
        <f t="array" aca="1" ref="I748" ca="1">INDEX('Tiempos intermodal (horas)'!E$45:E$1645,MATCH(C748&amp;D748,'Tiempos intermodal (horas)'!C$45:C$1645&amp;'Tiempos intermodal (horas)'!D$45:D$1645,0))</f>
        <v>60.569008375563058</v>
      </c>
      <c r="J748" s="2" cm="1">
        <f t="array" aca="1" ref="J748" ca="1">INDEX('Tiempos carretera (horas)'!E$45:E$1645,MATCH(C748&amp;D748,'Tiempos carretera (horas)'!C$45:C$1645&amp;'Tiempos carretera (horas)'!D$45:D$1645,0))</f>
        <v>15.08</v>
      </c>
      <c r="K748" s="12">
        <f t="shared" ca="1" si="72"/>
        <v>10.957822143288306</v>
      </c>
      <c r="L748" s="12">
        <f t="shared" ca="1" si="73"/>
        <v>16.251704576556424</v>
      </c>
      <c r="M748" s="12">
        <f t="shared" ca="1" si="74"/>
        <v>0.12007137652533263</v>
      </c>
      <c r="N748" s="13">
        <f t="shared" ca="1" si="70"/>
        <v>-5.2938824332681182</v>
      </c>
      <c r="O748" s="13">
        <f t="shared" ca="1" si="71"/>
        <v>-45.48900837556306</v>
      </c>
      <c r="P748" s="12">
        <f t="shared" ca="1" si="75"/>
        <v>1.9917544241609972</v>
      </c>
    </row>
    <row r="749" spans="1:16" x14ac:dyDescent="0.25">
      <c r="A749">
        <v>27</v>
      </c>
      <c r="B749">
        <v>11</v>
      </c>
      <c r="C749" s="2" t="s">
        <v>145</v>
      </c>
      <c r="D749" s="2" t="s">
        <v>10</v>
      </c>
      <c r="E749" s="11" cm="1">
        <f t="array" aca="1" ref="E749" ca="1">INDEX('OD flujo mercancia multimodal'!E$45:E$1645,MATCH(C749&amp;D749,'OD flujo mercancia multimodal'!C$45:C$1645&amp;'OD flujo mercancia multimodal'!D$45:D$1645,0))</f>
        <v>54512.384615384595</v>
      </c>
      <c r="F749" s="11" cm="1">
        <f t="array" aca="1" ref="F749" ca="1">INDEX('OD flujo mercancia carretera'!E$45:E$1646,MATCH(C749&amp;D749,'OD flujo mercancia carretera'!C$45:C$1646&amp;'OD flujo mercancia carretera'!D$45:D$1646,0))</f>
        <v>517034.19999999995</v>
      </c>
      <c r="G749" s="11" cm="1">
        <f t="array" aca="1" ref="G749" ca="1">INDEX('Coste Carretera'!E$46:E$1646,MATCH(C749&amp;D749,'Coste Carretera'!C$46:C$1646&amp;'Coste Carretera'!D$46:D$1646,0))</f>
        <v>4377512382.7599983</v>
      </c>
      <c r="H749" s="11" cm="1">
        <f t="array" aca="1" ref="H749" ca="1">INDEX('Coste multimodal'!E$46:E$1646,MATCH(C749&amp;D749,'Coste multimodal'!C$46:C$1646&amp;'Coste multimodal'!D$46:D$1646,0))</f>
        <v>1140508373.380213</v>
      </c>
      <c r="I749" s="12" cm="1">
        <f t="array" aca="1" ref="I749" ca="1">INDEX('Tiempos intermodal (horas)'!E$45:E$1645,MATCH(C749&amp;D749,'Tiempos intermodal (horas)'!C$45:C$1645&amp;'Tiempos intermodal (horas)'!D$45:D$1645,0))</f>
        <v>60.569008375563058</v>
      </c>
      <c r="J749" s="2" cm="1">
        <f t="array" aca="1" ref="J749" ca="1">INDEX('Tiempos carretera (horas)'!E$45:E$1645,MATCH(C749&amp;D749,'Tiempos carretera (horas)'!C$45:C$1645&amp;'Tiempos carretera (horas)'!D$45:D$1645,0))</f>
        <v>15.08</v>
      </c>
      <c r="K749" s="12">
        <f t="shared" ca="1" si="72"/>
        <v>8.4665818678145452</v>
      </c>
      <c r="L749" s="12">
        <f t="shared" ca="1" si="73"/>
        <v>20.922004814633198</v>
      </c>
      <c r="M749" s="12">
        <f t="shared" ca="1" si="74"/>
        <v>9.537697553046888E-2</v>
      </c>
      <c r="N749" s="13">
        <f t="shared" ca="1" si="70"/>
        <v>-12.455422946818652</v>
      </c>
      <c r="O749" s="13">
        <f t="shared" ca="1" si="71"/>
        <v>-45.48900837556306</v>
      </c>
      <c r="P749" s="12">
        <f t="shared" ca="1" si="75"/>
        <v>2.2496811066877513</v>
      </c>
    </row>
    <row r="750" spans="1:16" x14ac:dyDescent="0.25">
      <c r="A750">
        <v>30</v>
      </c>
      <c r="B750">
        <v>33</v>
      </c>
      <c r="C750" s="2" t="s">
        <v>146</v>
      </c>
      <c r="D750" s="2" t="s">
        <v>32</v>
      </c>
      <c r="E750" s="11" cm="1">
        <f t="array" aca="1" ref="E750" ca="1">INDEX('OD flujo mercancia multimodal'!E$45:E$1645,MATCH(C750&amp;D750,'OD flujo mercancia multimodal'!C$45:C$1645&amp;'OD flujo mercancia multimodal'!D$45:D$1645,0))</f>
        <v>66002.076923076893</v>
      </c>
      <c r="F750" s="11" cm="1">
        <f t="array" aca="1" ref="F750" ca="1">INDEX('OD flujo mercancia carretera'!E$45:E$1646,MATCH(C750&amp;D750,'OD flujo mercancia carretera'!C$45:C$1646&amp;'OD flujo mercancia carretera'!D$45:D$1646,0))</f>
        <v>324297.52307692316</v>
      </c>
      <c r="G750" s="11" cm="1">
        <f t="array" aca="1" ref="G750" ca="1">INDEX('Coste Carretera'!E$46:E$1646,MATCH(C750&amp;D750,'Coste Carretera'!C$46:C$1646&amp;'Coste Carretera'!D$46:D$1646,0))</f>
        <v>751929448.01999998</v>
      </c>
      <c r="H750" s="11" cm="1">
        <f t="array" aca="1" ref="H750" ca="1">INDEX('Coste multimodal'!E$46:E$1646,MATCH(C750&amp;D750,'Coste multimodal'!C$46:C$1646&amp;'Coste multimodal'!D$46:D$1646,0))</f>
        <v>97560325.830557346</v>
      </c>
      <c r="I750" s="12" cm="1">
        <f t="array" aca="1" ref="I750" ca="1">INDEX('Tiempos intermodal (horas)'!E$45:E$1645,MATCH(C750&amp;D750,'Tiempos intermodal (horas)'!C$45:C$1645&amp;'Tiempos intermodal (horas)'!D$45:D$1645,0))</f>
        <v>59.179857281109228</v>
      </c>
      <c r="J750" s="2" cm="1">
        <f t="array" aca="1" ref="J750" ca="1">INDEX('Tiempos carretera (horas)'!E$45:E$1645,MATCH(C750&amp;D750,'Tiempos carretera (horas)'!C$45:C$1645&amp;'Tiempos carretera (horas)'!D$45:D$1645,0))</f>
        <v>10.68</v>
      </c>
      <c r="K750" s="12">
        <f t="shared" ca="1" si="72"/>
        <v>2.3186407373257762</v>
      </c>
      <c r="L750" s="12">
        <f t="shared" ca="1" si="73"/>
        <v>1.4781402401057846</v>
      </c>
      <c r="M750" s="12">
        <f t="shared" ca="1" si="74"/>
        <v>0.16910618643492559</v>
      </c>
      <c r="N750" s="13">
        <f t="shared" ca="1" si="70"/>
        <v>0.84050049721999165</v>
      </c>
      <c r="O750" s="13">
        <f t="shared" ca="1" si="71"/>
        <v>-48.499857281109229</v>
      </c>
      <c r="P750" s="12">
        <f t="shared" ca="1" si="75"/>
        <v>1.5919751654690164</v>
      </c>
    </row>
    <row r="751" spans="1:16" x14ac:dyDescent="0.25">
      <c r="A751">
        <v>33</v>
      </c>
      <c r="B751">
        <v>30</v>
      </c>
      <c r="C751" s="2" t="s">
        <v>32</v>
      </c>
      <c r="D751" s="2" t="s">
        <v>146</v>
      </c>
      <c r="E751" s="11" cm="1">
        <f t="array" aca="1" ref="E751" ca="1">INDEX('OD flujo mercancia multimodal'!E$45:E$1645,MATCH(C751&amp;D751,'OD flujo mercancia multimodal'!C$45:C$1645&amp;'OD flujo mercancia multimodal'!D$45:D$1645,0))</f>
        <v>37911.915384615386</v>
      </c>
      <c r="F751" s="11" cm="1">
        <f t="array" aca="1" ref="F751" ca="1">INDEX('OD flujo mercancia carretera'!E$45:E$1646,MATCH(C751&amp;D751,'OD flujo mercancia carretera'!C$45:C$1646&amp;'OD flujo mercancia carretera'!D$45:D$1646,0))</f>
        <v>322210.12051282055</v>
      </c>
      <c r="G751" s="11" cm="1">
        <f t="array" aca="1" ref="G751" ca="1">INDEX('Coste Carretera'!E$46:E$1646,MATCH(C751&amp;D751,'Coste Carretera'!C$46:C$1646&amp;'Coste Carretera'!D$46:D$1646,0))</f>
        <v>1822309239.7399995</v>
      </c>
      <c r="H751" s="11" cm="1">
        <f t="array" aca="1" ref="H751" ca="1">INDEX('Coste multimodal'!E$46:E$1646,MATCH(C751&amp;D751,'Coste multimodal'!C$46:C$1646&amp;'Coste multimodal'!D$46:D$1646,0))</f>
        <v>97560325.830557346</v>
      </c>
      <c r="I751" s="12" cm="1">
        <f t="array" aca="1" ref="I751" ca="1">INDEX('Tiempos intermodal (horas)'!E$45:E$1645,MATCH(C751&amp;D751,'Tiempos intermodal (horas)'!C$45:C$1645&amp;'Tiempos intermodal (horas)'!D$45:D$1645,0))</f>
        <v>59.179857281109228</v>
      </c>
      <c r="J751" s="2" cm="1">
        <f t="array" aca="1" ref="J751" ca="1">INDEX('Tiempos carretera (horas)'!E$45:E$1645,MATCH(C751&amp;D751,'Tiempos carretera (horas)'!C$45:C$1645&amp;'Tiempos carretera (horas)'!D$45:D$1645,0))</f>
        <v>10.68</v>
      </c>
      <c r="K751" s="12">
        <f t="shared" ca="1" si="72"/>
        <v>5.6556548777538813</v>
      </c>
      <c r="L751" s="12">
        <f t="shared" ca="1" si="73"/>
        <v>2.5733420440726986</v>
      </c>
      <c r="M751" s="12">
        <f t="shared" ca="1" si="74"/>
        <v>0.10527518897902943</v>
      </c>
      <c r="N751" s="13">
        <f t="shared" ca="1" si="70"/>
        <v>3.0823128336811827</v>
      </c>
      <c r="O751" s="13">
        <f t="shared" ca="1" si="71"/>
        <v>-48.499857281109229</v>
      </c>
      <c r="P751" s="12">
        <f t="shared" ca="1" si="75"/>
        <v>2.1399384281303222</v>
      </c>
    </row>
    <row r="752" spans="1:16" x14ac:dyDescent="0.25">
      <c r="A752">
        <v>16</v>
      </c>
      <c r="B752">
        <v>41</v>
      </c>
      <c r="C752" s="2" t="s">
        <v>15</v>
      </c>
      <c r="D752" s="2" t="s">
        <v>40</v>
      </c>
      <c r="E752" s="11" cm="1">
        <f t="array" aca="1" ref="E752" ca="1">INDEX('OD flujo mercancia multimodal'!E$45:E$1645,MATCH(C752&amp;D752,'OD flujo mercancia multimodal'!C$45:C$1645&amp;'OD flujo mercancia multimodal'!D$45:D$1645,0))</f>
        <v>57401.153846153844</v>
      </c>
      <c r="F752" s="11" cm="1">
        <f t="array" aca="1" ref="F752" ca="1">INDEX('OD flujo mercancia carretera'!E$45:E$1646,MATCH(C752&amp;D752,'OD flujo mercancia carretera'!C$45:C$1646&amp;'OD flujo mercancia carretera'!D$45:D$1646,0))</f>
        <v>190242.03113553117</v>
      </c>
      <c r="G752" s="11" cm="1">
        <f t="array" aca="1" ref="G752" ca="1">INDEX('Coste Carretera'!E$46:E$1646,MATCH(C752&amp;D752,'Coste Carretera'!C$46:C$1646&amp;'Coste Carretera'!D$46:D$1646,0))</f>
        <v>1923247401.48</v>
      </c>
      <c r="H752" s="11" cm="1">
        <f t="array" aca="1" ref="H752" ca="1">INDEX('Coste multimodal'!E$46:E$1646,MATCH(C752&amp;D752,'Coste multimodal'!C$46:C$1646&amp;'Coste multimodal'!D$46:D$1646,0))</f>
        <v>438510949.33646679</v>
      </c>
      <c r="I752" s="12" cm="1">
        <f t="array" aca="1" ref="I752" ca="1">INDEX('Tiempos intermodal (horas)'!E$45:E$1645,MATCH(C752&amp;D752,'Tiempos intermodal (horas)'!C$45:C$1645&amp;'Tiempos intermodal (horas)'!D$45:D$1645,0))</f>
        <v>54.422446793473156</v>
      </c>
      <c r="J752" s="2" cm="1">
        <f t="array" aca="1" ref="J752" ca="1">INDEX('Tiempos carretera (horas)'!E$45:E$1645,MATCH(C752&amp;D752,'Tiempos carretera (horas)'!C$45:C$1645&amp;'Tiempos carretera (horas)'!D$45:D$1645,0))</f>
        <v>8.6300000000000008</v>
      </c>
      <c r="K752" s="12">
        <f t="shared" ca="1" si="72"/>
        <v>10.109476806993566</v>
      </c>
      <c r="L752" s="12">
        <f t="shared" ca="1" si="73"/>
        <v>7.6394100110210443</v>
      </c>
      <c r="M752" s="12">
        <f t="shared" ca="1" si="74"/>
        <v>0.23178975771289273</v>
      </c>
      <c r="N752" s="13">
        <f t="shared" ca="1" si="70"/>
        <v>2.4700667959725218</v>
      </c>
      <c r="O752" s="13">
        <f t="shared" ca="1" si="71"/>
        <v>-45.792446793473154</v>
      </c>
      <c r="P752" s="12">
        <f t="shared" ca="1" si="75"/>
        <v>1.1982327046132724</v>
      </c>
    </row>
    <row r="753" spans="1:16" x14ac:dyDescent="0.25">
      <c r="A753">
        <v>41</v>
      </c>
      <c r="B753">
        <v>16</v>
      </c>
      <c r="C753" s="2" t="s">
        <v>40</v>
      </c>
      <c r="D753" s="2" t="s">
        <v>15</v>
      </c>
      <c r="E753" s="11" cm="1">
        <f t="array" aca="1" ref="E753" ca="1">INDEX('OD flujo mercancia multimodal'!E$45:E$1645,MATCH(C753&amp;D753,'OD flujo mercancia multimodal'!C$45:C$1645&amp;'OD flujo mercancia multimodal'!D$45:D$1645,0))</f>
        <v>45090.384615384646</v>
      </c>
      <c r="F753" s="11" cm="1">
        <f t="array" aca="1" ref="F753" ca="1">INDEX('OD flujo mercancia carretera'!E$45:E$1646,MATCH(C753&amp;D753,'OD flujo mercancia carretera'!C$45:C$1646&amp;'OD flujo mercancia carretera'!D$45:D$1646,0))</f>
        <v>597203.19230769202</v>
      </c>
      <c r="G753" s="11" cm="1">
        <f t="array" aca="1" ref="G753" ca="1">INDEX('Coste Carretera'!E$46:E$1646,MATCH(C753&amp;D753,'Coste Carretera'!C$46:C$1646&amp;'Coste Carretera'!D$46:D$1646,0))</f>
        <v>1856086712.1600015</v>
      </c>
      <c r="H753" s="11" cm="1">
        <f t="array" aca="1" ref="H753" ca="1">INDEX('Coste multimodal'!E$46:E$1646,MATCH(C753&amp;D753,'Coste multimodal'!C$46:C$1646&amp;'Coste multimodal'!D$46:D$1646,0))</f>
        <v>385033659.15949833</v>
      </c>
      <c r="I753" s="12" cm="1">
        <f t="array" aca="1" ref="I753" ca="1">INDEX('Tiempos intermodal (horas)'!E$45:E$1645,MATCH(C753&amp;D753,'Tiempos intermodal (horas)'!C$45:C$1645&amp;'Tiempos intermodal (horas)'!D$45:D$1645,0))</f>
        <v>55.451053612987998</v>
      </c>
      <c r="J753" s="2" cm="1">
        <f t="array" aca="1" ref="J753" ca="1">INDEX('Tiempos carretera (horas)'!E$45:E$1645,MATCH(C753&amp;D753,'Tiempos carretera (horas)'!C$45:C$1645&amp;'Tiempos carretera (horas)'!D$45:D$1645,0))</f>
        <v>9.1199999999999992</v>
      </c>
      <c r="K753" s="12">
        <f t="shared" ca="1" si="72"/>
        <v>3.107965155021652</v>
      </c>
      <c r="L753" s="12">
        <f t="shared" ca="1" si="73"/>
        <v>8.5391522481741369</v>
      </c>
      <c r="M753" s="12">
        <f t="shared" ca="1" si="74"/>
        <v>7.0202141568021362E-2</v>
      </c>
      <c r="N753" s="13">
        <f t="shared" ca="1" si="70"/>
        <v>-5.4311870931524844</v>
      </c>
      <c r="O753" s="13">
        <f t="shared" ca="1" si="71"/>
        <v>-46.331053612988001</v>
      </c>
      <c r="P753" s="12">
        <f t="shared" ca="1" si="75"/>
        <v>2.5835883887637769</v>
      </c>
    </row>
    <row r="754" spans="1:16" x14ac:dyDescent="0.25">
      <c r="A754">
        <v>17</v>
      </c>
      <c r="B754">
        <v>11</v>
      </c>
      <c r="C754" s="2" t="s">
        <v>16</v>
      </c>
      <c r="D754" s="2" t="s">
        <v>10</v>
      </c>
      <c r="E754" s="11" cm="1">
        <f t="array" aca="1" ref="E754" ca="1">INDEX('OD flujo mercancia multimodal'!E$45:E$1645,MATCH(C754&amp;D754,'OD flujo mercancia multimodal'!C$45:C$1645&amp;'OD flujo mercancia multimodal'!D$45:D$1645,0))</f>
        <v>75460.230769230751</v>
      </c>
      <c r="F754" s="11" cm="1">
        <f t="array" aca="1" ref="F754" ca="1">INDEX('OD flujo mercancia carretera'!E$45:E$1646,MATCH(C754&amp;D754,'OD flujo mercancia carretera'!C$45:C$1646&amp;'OD flujo mercancia carretera'!D$45:D$1646,0))</f>
        <v>626220.76923076925</v>
      </c>
      <c r="G754" s="11" cm="1">
        <f t="array" aca="1" ref="G754" ca="1">INDEX('Coste Carretera'!E$46:E$1646,MATCH(C754&amp;D754,'Coste Carretera'!C$46:C$1646&amp;'Coste Carretera'!D$46:D$1646,0))</f>
        <v>3883907893.599999</v>
      </c>
      <c r="H754" s="11" cm="1">
        <f t="array" aca="1" ref="H754" ca="1">INDEX('Coste multimodal'!E$46:E$1646,MATCH(C754&amp;D754,'Coste multimodal'!C$46:C$1646&amp;'Coste multimodal'!D$46:D$1646,0))</f>
        <v>831747668.62437344</v>
      </c>
      <c r="I754" s="12" cm="1">
        <f t="array" aca="1" ref="I754" ca="1">INDEX('Tiempos intermodal (horas)'!E$45:E$1645,MATCH(C754&amp;D754,'Tiempos intermodal (horas)'!C$45:C$1645&amp;'Tiempos intermodal (horas)'!D$45:D$1645,0))</f>
        <v>53.205553966075449</v>
      </c>
      <c r="J754" s="2" cm="1">
        <f t="array" aca="1" ref="J754" ca="1">INDEX('Tiempos carretera (horas)'!E$45:E$1645,MATCH(C754&amp;D754,'Tiempos carretera (horas)'!C$45:C$1645&amp;'Tiempos carretera (horas)'!D$45:D$1645,0))</f>
        <v>9.33</v>
      </c>
      <c r="K754" s="12">
        <f t="shared" ca="1" si="72"/>
        <v>6.202138422158809</v>
      </c>
      <c r="L754" s="12">
        <f t="shared" ca="1" si="73"/>
        <v>11.022331367737113</v>
      </c>
      <c r="M754" s="12">
        <f t="shared" ca="1" si="74"/>
        <v>0.10754207505865308</v>
      </c>
      <c r="N754" s="13">
        <f t="shared" ca="1" si="70"/>
        <v>-4.8201929455783041</v>
      </c>
      <c r="O754" s="13">
        <f t="shared" ca="1" si="71"/>
        <v>-43.875553966075451</v>
      </c>
      <c r="P754" s="12">
        <f t="shared" ca="1" si="75"/>
        <v>2.1160972027328993</v>
      </c>
    </row>
    <row r="755" spans="1:16" x14ac:dyDescent="0.25">
      <c r="A755">
        <v>11</v>
      </c>
      <c r="B755">
        <v>17</v>
      </c>
      <c r="C755" s="2" t="s">
        <v>10</v>
      </c>
      <c r="D755" s="2" t="s">
        <v>16</v>
      </c>
      <c r="E755" s="11" cm="1">
        <f t="array" aca="1" ref="E755" ca="1">INDEX('OD flujo mercancia multimodal'!E$45:E$1645,MATCH(C755&amp;D755,'OD flujo mercancia multimodal'!C$45:C$1645&amp;'OD flujo mercancia multimodal'!D$45:D$1645,0))</f>
        <v>75164.076923076937</v>
      </c>
      <c r="F755" s="11" cm="1">
        <f t="array" aca="1" ref="F755" ca="1">INDEX('OD flujo mercancia carretera'!E$45:E$1646,MATCH(C755&amp;D755,'OD flujo mercancia carretera'!C$45:C$1646&amp;'OD flujo mercancia carretera'!D$45:D$1646,0))</f>
        <v>273142.76923076878</v>
      </c>
      <c r="G755" s="11" cm="1">
        <f t="array" aca="1" ref="G755" ca="1">INDEX('Coste Carretera'!E$46:E$1646,MATCH(C755&amp;D755,'Coste Carretera'!C$46:C$1646&amp;'Coste Carretera'!D$46:D$1646,0))</f>
        <v>3868664973.6000013</v>
      </c>
      <c r="H755" s="11" cm="1">
        <f t="array" aca="1" ref="H755" ca="1">INDEX('Coste multimodal'!E$46:E$1646,MATCH(C755&amp;D755,'Coste multimodal'!C$46:C$1646&amp;'Coste multimodal'!D$46:D$1646,0))</f>
        <v>831747668.62437344</v>
      </c>
      <c r="I755" s="12" cm="1">
        <f t="array" aca="1" ref="I755" ca="1">INDEX('Tiempos intermodal (horas)'!E$45:E$1645,MATCH(C755&amp;D755,'Tiempos intermodal (horas)'!C$45:C$1645&amp;'Tiempos intermodal (horas)'!D$45:D$1645,0))</f>
        <v>53.205553966075449</v>
      </c>
      <c r="J755" s="2" cm="1">
        <f t="array" aca="1" ref="J755" ca="1">INDEX('Tiempos carretera (horas)'!E$45:E$1645,MATCH(C755&amp;D755,'Tiempos carretera (horas)'!C$45:C$1645&amp;'Tiempos carretera (horas)'!D$45:D$1645,0))</f>
        <v>9.33</v>
      </c>
      <c r="K755" s="12">
        <f t="shared" ca="1" si="72"/>
        <v>14.163526951473138</v>
      </c>
      <c r="L755" s="12">
        <f t="shared" ca="1" si="73"/>
        <v>11.065760436007025</v>
      </c>
      <c r="M755" s="12">
        <f t="shared" ca="1" si="74"/>
        <v>0.2157984482736158</v>
      </c>
      <c r="N755" s="13">
        <f t="shared" ca="1" si="70"/>
        <v>3.0977665154661125</v>
      </c>
      <c r="O755" s="13">
        <f t="shared" ca="1" si="71"/>
        <v>-43.875553966075451</v>
      </c>
      <c r="P755" s="12">
        <f t="shared" ca="1" si="75"/>
        <v>1.2903212063725351</v>
      </c>
    </row>
    <row r="756" spans="1:16" x14ac:dyDescent="0.25">
      <c r="A756">
        <v>40</v>
      </c>
      <c r="B756">
        <v>26</v>
      </c>
      <c r="C756" s="2" t="s">
        <v>39</v>
      </c>
      <c r="D756" s="2" t="s">
        <v>25</v>
      </c>
      <c r="E756" s="11" cm="1">
        <f t="array" aca="1" ref="E756" ca="1">INDEX('OD flujo mercancia multimodal'!E$45:E$1645,MATCH(C756&amp;D756,'OD flujo mercancia multimodal'!C$45:C$1645&amp;'OD flujo mercancia multimodal'!D$45:D$1645,0))</f>
        <v>6971.6923076923067</v>
      </c>
      <c r="F756" s="11" cm="1">
        <f t="array" aca="1" ref="F756" ca="1">INDEX('OD flujo mercancia carretera'!E$45:E$1646,MATCH(C756&amp;D756,'OD flujo mercancia carretera'!C$45:C$1646&amp;'OD flujo mercancia carretera'!D$45:D$1646,0))</f>
        <v>146303.51282051281</v>
      </c>
      <c r="G756" s="11" cm="1">
        <f t="array" aca="1" ref="G756" ca="1">INDEX('Coste Carretera'!E$46:E$1646,MATCH(C756&amp;D756,'Coste Carretera'!C$46:C$1646&amp;'Coste Carretera'!D$46:D$1646,0))</f>
        <v>285069267.99999988</v>
      </c>
      <c r="H756" s="11" cm="1">
        <f t="array" aca="1" ref="H756" ca="1">INDEX('Coste multimodal'!E$46:E$1646,MATCH(C756&amp;D756,'Coste multimodal'!C$46:C$1646&amp;'Coste multimodal'!D$46:D$1646,0))</f>
        <v>242919560.29198879</v>
      </c>
      <c r="I756" s="12" cm="1">
        <f t="array" aca="1" ref="I756" ca="1">INDEX('Tiempos intermodal (horas)'!E$45:E$1645,MATCH(C756&amp;D756,'Tiempos intermodal (horas)'!C$45:C$1645&amp;'Tiempos intermodal (horas)'!D$45:D$1645,0))</f>
        <v>73.913942511847779</v>
      </c>
      <c r="J756" s="2" cm="1">
        <f t="array" aca="1" ref="J756" ca="1">INDEX('Tiempos carretera (horas)'!E$45:E$1645,MATCH(C756&amp;D756,'Tiempos carretera (horas)'!C$45:C$1645&amp;'Tiempos carretera (horas)'!D$45:D$1645,0))</f>
        <v>12.35</v>
      </c>
      <c r="K756" s="12">
        <f t="shared" ca="1" si="72"/>
        <v>1.9484786284641493</v>
      </c>
      <c r="L756" s="12">
        <f t="shared" ca="1" si="73"/>
        <v>34.843700721553695</v>
      </c>
      <c r="M756" s="12">
        <f t="shared" ca="1" si="74"/>
        <v>4.5484801679834139E-2</v>
      </c>
      <c r="N756" s="13">
        <f t="shared" ca="1" si="70"/>
        <v>-32.895222093089544</v>
      </c>
      <c r="O756" s="13">
        <f t="shared" ca="1" si="71"/>
        <v>-61.563942511847777</v>
      </c>
      <c r="P756" s="12">
        <f t="shared" ca="1" si="75"/>
        <v>3.0438253247048093</v>
      </c>
    </row>
    <row r="757" spans="1:16" x14ac:dyDescent="0.25">
      <c r="A757">
        <v>26</v>
      </c>
      <c r="B757">
        <v>40</v>
      </c>
      <c r="C757" s="2" t="s">
        <v>25</v>
      </c>
      <c r="D757" s="2" t="s">
        <v>39</v>
      </c>
      <c r="E757" s="11" cm="1">
        <f t="array" aca="1" ref="E757" ca="1">INDEX('OD flujo mercancia multimodal'!E$45:E$1645,MATCH(C757&amp;D757,'OD flujo mercancia multimodal'!C$45:C$1645&amp;'OD flujo mercancia multimodal'!D$45:D$1645,0))</f>
        <v>10893.076923076922</v>
      </c>
      <c r="F757" s="11" cm="1">
        <f t="array" aca="1" ref="F757" ca="1">INDEX('OD flujo mercancia carretera'!E$45:E$1646,MATCH(C757&amp;D757,'OD flujo mercancia carretera'!C$45:C$1646&amp;'OD flujo mercancia carretera'!D$45:D$1646,0))</f>
        <v>119917.1428571429</v>
      </c>
      <c r="G757" s="11" cm="1">
        <f t="array" aca="1" ref="G757" ca="1">INDEX('Coste Carretera'!E$46:E$1646,MATCH(C757&amp;D757,'Coste Carretera'!C$46:C$1646&amp;'Coste Carretera'!D$46:D$1646,0))</f>
        <v>336725213.0000003</v>
      </c>
      <c r="H757" s="11" cm="1">
        <f t="array" aca="1" ref="H757" ca="1">INDEX('Coste multimodal'!E$46:E$1646,MATCH(C757&amp;D757,'Coste multimodal'!C$46:C$1646&amp;'Coste multimodal'!D$46:D$1646,0))</f>
        <v>292417745.58063108</v>
      </c>
      <c r="I757" s="12" cm="1">
        <f t="array" aca="1" ref="I757" ca="1">INDEX('Tiempos intermodal (horas)'!E$45:E$1645,MATCH(C757&amp;D757,'Tiempos intermodal (horas)'!C$45:C$1645&amp;'Tiempos intermodal (horas)'!D$45:D$1645,0))</f>
        <v>61.659477139053116</v>
      </c>
      <c r="J757" s="2" cm="1">
        <f t="array" aca="1" ref="J757" ca="1">INDEX('Tiempos carretera (horas)'!E$45:E$1645,MATCH(C757&amp;D757,'Tiempos carretera (horas)'!C$45:C$1645&amp;'Tiempos carretera (horas)'!D$45:D$1645,0))</f>
        <v>14.35</v>
      </c>
      <c r="K757" s="12">
        <f t="shared" ca="1" si="72"/>
        <v>2.80798228657883</v>
      </c>
      <c r="L757" s="12">
        <f t="shared" ca="1" si="73"/>
        <v>26.844366164453106</v>
      </c>
      <c r="M757" s="12">
        <f t="shared" ca="1" si="74"/>
        <v>8.3273898181494332E-2</v>
      </c>
      <c r="N757" s="13">
        <f t="shared" ca="1" si="70"/>
        <v>-24.036383877874275</v>
      </c>
      <c r="O757" s="13">
        <f t="shared" ca="1" si="71"/>
        <v>-47.309477139053115</v>
      </c>
      <c r="P757" s="12">
        <f t="shared" ca="1" si="75"/>
        <v>2.3986735853296679</v>
      </c>
    </row>
    <row r="758" spans="1:16" x14ac:dyDescent="0.25">
      <c r="A758">
        <v>22</v>
      </c>
      <c r="B758">
        <v>3</v>
      </c>
      <c r="C758" s="2" t="s">
        <v>21</v>
      </c>
      <c r="D758" s="2" t="s">
        <v>2</v>
      </c>
      <c r="E758" s="11" cm="1">
        <f t="array" aca="1" ref="E758" ca="1">INDEX('OD flujo mercancia multimodal'!E$45:E$1645,MATCH(C758&amp;D758,'OD flujo mercancia multimodal'!C$45:C$1645&amp;'OD flujo mercancia multimodal'!D$45:D$1645,0))</f>
        <v>25148.252747252762</v>
      </c>
      <c r="F758" s="11" cm="1">
        <f t="array" aca="1" ref="F758" ca="1">INDEX('OD flujo mercancia carretera'!E$45:E$1646,MATCH(C758&amp;D758,'OD flujo mercancia carretera'!C$45:C$1646&amp;'OD flujo mercancia carretera'!D$45:D$1646,0))</f>
        <v>169111.12820512816</v>
      </c>
      <c r="G758" s="11" cm="1">
        <f t="array" aca="1" ref="G758" ca="1">INDEX('Coste Carretera'!E$46:E$1646,MATCH(C758&amp;D758,'Coste Carretera'!C$46:C$1646&amp;'Coste Carretera'!D$46:D$1646,0))</f>
        <v>694733559.23428607</v>
      </c>
      <c r="H758" s="11" cm="1">
        <f t="array" aca="1" ref="H758" ca="1">INDEX('Coste multimodal'!E$46:E$1646,MATCH(C758&amp;D758,'Coste multimodal'!C$46:C$1646&amp;'Coste multimodal'!D$46:D$1646,0))</f>
        <v>654613213.79361737</v>
      </c>
      <c r="I758" s="12" cm="1">
        <f t="array" aca="1" ref="I758" ca="1">INDEX('Tiempos intermodal (horas)'!E$45:E$1645,MATCH(C758&amp;D758,'Tiempos intermodal (horas)'!C$45:C$1645&amp;'Tiempos intermodal (horas)'!D$45:D$1645,0))</f>
        <v>24.882344642982826</v>
      </c>
      <c r="J758" s="2" cm="1">
        <f t="array" aca="1" ref="J758" ca="1">INDEX('Tiempos carretera (horas)'!E$45:E$1645,MATCH(C758&amp;D758,'Tiempos carretera (horas)'!C$45:C$1645&amp;'Tiempos carretera (horas)'!D$45:D$1645,0))</f>
        <v>5.6</v>
      </c>
      <c r="K758" s="12">
        <f t="shared" ca="1" si="72"/>
        <v>4.1081480953257508</v>
      </c>
      <c r="L758" s="12">
        <f t="shared" ca="1" si="73"/>
        <v>26.030166802150038</v>
      </c>
      <c r="M758" s="12">
        <f t="shared" ca="1" si="74"/>
        <v>0.12945708271055073</v>
      </c>
      <c r="N758" s="13">
        <f t="shared" ca="1" si="70"/>
        <v>-21.922018706824289</v>
      </c>
      <c r="O758" s="13">
        <f t="shared" ca="1" si="71"/>
        <v>-19.282344642982828</v>
      </c>
      <c r="P758" s="12">
        <f t="shared" ca="1" si="75"/>
        <v>1.9057676413048785</v>
      </c>
    </row>
    <row r="759" spans="1:16" x14ac:dyDescent="0.25">
      <c r="A759">
        <v>40</v>
      </c>
      <c r="B759">
        <v>15</v>
      </c>
      <c r="C759" s="2" t="s">
        <v>39</v>
      </c>
      <c r="D759" s="2" t="s">
        <v>14</v>
      </c>
      <c r="E759" s="11" cm="1">
        <f t="array" aca="1" ref="E759" ca="1">INDEX('OD flujo mercancia multimodal'!E$45:E$1645,MATCH(C759&amp;D759,'OD flujo mercancia multimodal'!C$45:C$1645&amp;'OD flujo mercancia multimodal'!D$45:D$1645,0))</f>
        <v>50421.692307692276</v>
      </c>
      <c r="F759" s="11" cm="1">
        <f t="array" aca="1" ref="F759" ca="1">INDEX('OD flujo mercancia carretera'!E$45:E$1646,MATCH(C759&amp;D759,'OD flujo mercancia carretera'!C$45:C$1646&amp;'OD flujo mercancia carretera'!D$45:D$1646,0))</f>
        <v>391992.97435897484</v>
      </c>
      <c r="G759" s="11" cm="1">
        <f t="array" aca="1" ref="G759" ca="1">INDEX('Coste Carretera'!E$46:E$1646,MATCH(C759&amp;D759,'Coste Carretera'!C$46:C$1646&amp;'Coste Carretera'!D$46:D$1646,0))</f>
        <v>2567521484.7999978</v>
      </c>
      <c r="H759" s="11" cm="1">
        <f t="array" aca="1" ref="H759" ca="1">INDEX('Coste multimodal'!E$46:E$1646,MATCH(C759&amp;D759,'Coste multimodal'!C$46:C$1646&amp;'Coste multimodal'!D$46:D$1646,0))</f>
        <v>338328625.46406752</v>
      </c>
      <c r="I759" s="12" cm="1">
        <f t="array" aca="1" ref="I759" ca="1">INDEX('Tiempos intermodal (horas)'!E$45:E$1645,MATCH(C759&amp;D759,'Tiempos intermodal (horas)'!C$45:C$1645&amp;'Tiempos intermodal (horas)'!D$45:D$1645,0))</f>
        <v>71.215053622958891</v>
      </c>
      <c r="J759" s="2" cm="1">
        <f t="array" aca="1" ref="J759" ca="1">INDEX('Tiempos carretera (horas)'!E$45:E$1645,MATCH(C759&amp;D759,'Tiempos carretera (horas)'!C$45:C$1645&amp;'Tiempos carretera (horas)'!D$45:D$1645,0))</f>
        <v>10.15</v>
      </c>
      <c r="K759" s="12">
        <f t="shared" ca="1" si="72"/>
        <v>6.5499170973629299</v>
      </c>
      <c r="L759" s="12">
        <f t="shared" ca="1" si="73"/>
        <v>6.7099815571333474</v>
      </c>
      <c r="M759" s="12">
        <f t="shared" ca="1" si="74"/>
        <v>0.1139693055105743</v>
      </c>
      <c r="N759" s="13">
        <f t="shared" ca="1" si="70"/>
        <v>-0.1600644597704175</v>
      </c>
      <c r="O759" s="13">
        <f t="shared" ca="1" si="71"/>
        <v>-61.065053622958892</v>
      </c>
      <c r="P759" s="12">
        <f t="shared" ca="1" si="75"/>
        <v>2.0508224316652637</v>
      </c>
    </row>
    <row r="760" spans="1:16" x14ac:dyDescent="0.25">
      <c r="A760">
        <v>15</v>
      </c>
      <c r="B760">
        <v>40</v>
      </c>
      <c r="C760" s="2" t="s">
        <v>14</v>
      </c>
      <c r="D760" s="2" t="s">
        <v>39</v>
      </c>
      <c r="E760" s="11" cm="1">
        <f t="array" aca="1" ref="E760" ca="1">INDEX('OD flujo mercancia multimodal'!E$45:E$1645,MATCH(C760&amp;D760,'OD flujo mercancia multimodal'!C$45:C$1645&amp;'OD flujo mercancia multimodal'!D$45:D$1645,0))</f>
        <v>35987.538461538461</v>
      </c>
      <c r="F760" s="11" cm="1">
        <f t="array" aca="1" ref="F760" ca="1">INDEX('OD flujo mercancia carretera'!E$45:E$1646,MATCH(C760&amp;D760,'OD flujo mercancia carretera'!C$45:C$1646&amp;'OD flujo mercancia carretera'!D$45:D$1646,0))</f>
        <v>368029.06593406602</v>
      </c>
      <c r="G760" s="11" cm="1">
        <f t="array" aca="1" ref="G760" ca="1">INDEX('Coste Carretera'!E$46:E$1646,MATCH(C760&amp;D760,'Coste Carretera'!C$46:C$1646&amp;'Coste Carretera'!D$46:D$1646,0))</f>
        <v>1821481793.2</v>
      </c>
      <c r="H760" s="11" cm="1">
        <f t="array" aca="1" ref="H760" ca="1">INDEX('Coste multimodal'!E$46:E$1646,MATCH(C760&amp;D760,'Coste multimodal'!C$46:C$1646&amp;'Coste multimodal'!D$46:D$1646,0))</f>
        <v>389612202.94063109</v>
      </c>
      <c r="I760" s="12" cm="1">
        <f t="array" aca="1" ref="I760" ca="1">INDEX('Tiempos intermodal (horas)'!E$45:E$1645,MATCH(C760&amp;D760,'Tiempos intermodal (horas)'!C$45:C$1645&amp;'Tiempos intermodal (horas)'!D$45:D$1645,0))</f>
        <v>58.960588250164228</v>
      </c>
      <c r="J760" s="2" cm="1">
        <f t="array" aca="1" ref="J760" ca="1">INDEX('Tiempos carretera (horas)'!E$45:E$1645,MATCH(C760&amp;D760,'Tiempos carretera (horas)'!C$45:C$1645&amp;'Tiempos carretera (horas)'!D$45:D$1645,0))</f>
        <v>11.5</v>
      </c>
      <c r="K760" s="12">
        <f t="shared" ca="1" si="72"/>
        <v>4.9492878737092099</v>
      </c>
      <c r="L760" s="12">
        <f t="shared" ca="1" si="73"/>
        <v>10.826308761212649</v>
      </c>
      <c r="M760" s="12">
        <f t="shared" ca="1" si="74"/>
        <v>8.9074404541800045E-2</v>
      </c>
      <c r="N760" s="13">
        <f t="shared" ca="1" si="70"/>
        <v>-5.8770208875034395</v>
      </c>
      <c r="O760" s="13">
        <f t="shared" ca="1" si="71"/>
        <v>-47.460588250164228</v>
      </c>
      <c r="P760" s="12">
        <f t="shared" ca="1" si="75"/>
        <v>2.3249891938814966</v>
      </c>
    </row>
    <row r="761" spans="1:16" x14ac:dyDescent="0.25">
      <c r="A761">
        <v>32</v>
      </c>
      <c r="B761">
        <v>30</v>
      </c>
      <c r="C761" s="2" t="s">
        <v>31</v>
      </c>
      <c r="D761" s="2" t="s">
        <v>146</v>
      </c>
      <c r="E761" s="11" cm="1">
        <f t="array" aca="1" ref="E761" ca="1">INDEX('OD flujo mercancia multimodal'!E$45:E$1645,MATCH(C761&amp;D761,'OD flujo mercancia multimodal'!C$45:C$1645&amp;'OD flujo mercancia multimodal'!D$45:D$1645,0))</f>
        <v>7862.376923076923</v>
      </c>
      <c r="F761" s="11" cm="1">
        <f t="array" aca="1" ref="F761" ca="1">INDEX('OD flujo mercancia carretera'!E$45:E$1646,MATCH(C761&amp;D761,'OD flujo mercancia carretera'!C$45:C$1646&amp;'OD flujo mercancia carretera'!D$45:D$1646,0))</f>
        <v>276099.7</v>
      </c>
      <c r="G761" s="11" cm="1">
        <f t="array" aca="1" ref="G761" ca="1">INDEX('Coste Carretera'!E$46:E$1646,MATCH(C761&amp;D761,'Coste Carretera'!C$46:C$1646&amp;'Coste Carretera'!D$46:D$1646,0))</f>
        <v>2084976841.0599999</v>
      </c>
      <c r="H761" s="11" cm="1">
        <f t="array" aca="1" ref="H761" ca="1">INDEX('Coste multimodal'!E$46:E$1646,MATCH(C761&amp;D761,'Coste multimodal'!C$46:C$1646&amp;'Coste multimodal'!D$46:D$1646,0))</f>
        <v>18656705.466557331</v>
      </c>
      <c r="I761" s="12" cm="1">
        <f t="array" aca="1" ref="I761" ca="1">INDEX('Tiempos intermodal (horas)'!E$45:E$1645,MATCH(C761&amp;D761,'Tiempos intermodal (horas)'!C$45:C$1645&amp;'Tiempos intermodal (horas)'!D$45:D$1645,0))</f>
        <v>60.487635058887008</v>
      </c>
      <c r="J761" s="2" cm="1">
        <f t="array" aca="1" ref="J761" ca="1">INDEX('Tiempos carretera (horas)'!E$45:E$1645,MATCH(C761&amp;D761,'Tiempos carretera (horas)'!C$45:C$1645&amp;'Tiempos carretera (horas)'!D$45:D$1645,0))</f>
        <v>11.43</v>
      </c>
      <c r="K761" s="12">
        <f t="shared" ca="1" si="72"/>
        <v>7.5515360612851081</v>
      </c>
      <c r="L761" s="12">
        <f t="shared" ca="1" si="73"/>
        <v>2.3729090641530926</v>
      </c>
      <c r="M761" s="12">
        <f t="shared" ca="1" si="74"/>
        <v>2.7688123034847283E-2</v>
      </c>
      <c r="N761" s="13">
        <f t="shared" ca="1" si="70"/>
        <v>5.1786269971320156</v>
      </c>
      <c r="O761" s="13">
        <f t="shared" ca="1" si="71"/>
        <v>-49.057635058887008</v>
      </c>
      <c r="P761" s="12">
        <f t="shared" ca="1" si="75"/>
        <v>3.5586730641313524</v>
      </c>
    </row>
    <row r="762" spans="1:16" x14ac:dyDescent="0.25">
      <c r="A762">
        <v>30</v>
      </c>
      <c r="B762">
        <v>32</v>
      </c>
      <c r="C762" s="2" t="s">
        <v>146</v>
      </c>
      <c r="D762" s="2" t="s">
        <v>31</v>
      </c>
      <c r="E762" s="11" cm="1">
        <f t="array" aca="1" ref="E762" ca="1">INDEX('OD flujo mercancia multimodal'!E$45:E$1645,MATCH(C762&amp;D762,'OD flujo mercancia multimodal'!C$45:C$1645&amp;'OD flujo mercancia multimodal'!D$45:D$1645,0))</f>
        <v>2324.6923076923076</v>
      </c>
      <c r="F762" s="11" cm="1">
        <f t="array" aca="1" ref="F762" ca="1">INDEX('OD flujo mercancia carretera'!E$45:E$1646,MATCH(C762&amp;D762,'OD flujo mercancia carretera'!C$45:C$1646&amp;'OD flujo mercancia carretera'!D$45:D$1646,0))</f>
        <v>274587.30000000005</v>
      </c>
      <c r="G762" s="11" cm="1">
        <f t="array" aca="1" ref="G762" ca="1">INDEX('Coste Carretera'!E$46:E$1646,MATCH(C762&amp;D762,'Coste Carretera'!C$46:C$1646&amp;'Coste Carretera'!D$46:D$1646,0))</f>
        <v>947631629.38000011</v>
      </c>
      <c r="H762" s="11" cm="1">
        <f t="array" aca="1" ref="H762" ca="1">INDEX('Coste multimodal'!E$46:E$1646,MATCH(C762&amp;D762,'Coste multimodal'!C$46:C$1646&amp;'Coste multimodal'!D$46:D$1646,0))</f>
        <v>18656705.466557331</v>
      </c>
      <c r="I762" s="12" cm="1">
        <f t="array" aca="1" ref="I762" ca="1">INDEX('Tiempos intermodal (horas)'!E$45:E$1645,MATCH(C762&amp;D762,'Tiempos intermodal (horas)'!C$45:C$1645&amp;'Tiempos intermodal (horas)'!D$45:D$1645,0))</f>
        <v>60.487635058887008</v>
      </c>
      <c r="J762" s="2" cm="1">
        <f t="array" aca="1" ref="J762" ca="1">INDEX('Tiempos carretera (horas)'!E$45:E$1645,MATCH(C762&amp;D762,'Tiempos carretera (horas)'!C$45:C$1645&amp;'Tiempos carretera (horas)'!D$45:D$1645,0))</f>
        <v>11.43</v>
      </c>
      <c r="K762" s="12">
        <f t="shared" ca="1" si="72"/>
        <v>3.4511123762096787</v>
      </c>
      <c r="L762" s="12">
        <f t="shared" ca="1" si="73"/>
        <v>8.0254515424785851</v>
      </c>
      <c r="M762" s="12">
        <f t="shared" ca="1" si="74"/>
        <v>8.3950582577485937E-3</v>
      </c>
      <c r="N762" s="13">
        <f t="shared" ca="1" si="70"/>
        <v>-4.5743391662689064</v>
      </c>
      <c r="O762" s="13">
        <f t="shared" ca="1" si="71"/>
        <v>-49.057635058887008</v>
      </c>
      <c r="P762" s="12">
        <f t="shared" ca="1" si="75"/>
        <v>4.77168155367076</v>
      </c>
    </row>
    <row r="763" spans="1:16" x14ac:dyDescent="0.25">
      <c r="A763">
        <v>40</v>
      </c>
      <c r="B763">
        <v>29</v>
      </c>
      <c r="C763" s="2" t="s">
        <v>39</v>
      </c>
      <c r="D763" s="2" t="s">
        <v>147</v>
      </c>
      <c r="E763" s="11" cm="1">
        <f t="array" aca="1" ref="E763" ca="1">INDEX('OD flujo mercancia multimodal'!E$45:E$1645,MATCH(C763&amp;D763,'OD flujo mercancia multimodal'!C$45:C$1645&amp;'OD flujo mercancia multimodal'!D$45:D$1645,0))</f>
        <v>39251.223076923081</v>
      </c>
      <c r="F763" s="11" cm="1">
        <f t="array" aca="1" ref="F763" ca="1">INDEX('OD flujo mercancia carretera'!E$45:E$1646,MATCH(C763&amp;D763,'OD flujo mercancia carretera'!C$45:C$1646&amp;'OD flujo mercancia carretera'!D$45:D$1646,0))</f>
        <v>461014.91282051284</v>
      </c>
      <c r="G763" s="11" cm="1">
        <f t="array" aca="1" ref="G763" ca="1">INDEX('Coste Carretera'!E$46:E$1646,MATCH(C763&amp;D763,'Coste Carretera'!C$46:C$1646&amp;'Coste Carretera'!D$46:D$1646,0))</f>
        <v>2677416985.4639997</v>
      </c>
      <c r="H763" s="11" cm="1">
        <f t="array" aca="1" ref="H763" ca="1">INDEX('Coste multimodal'!E$46:E$1646,MATCH(C763&amp;D763,'Coste multimodal'!C$46:C$1646&amp;'Coste multimodal'!D$46:D$1646,0))</f>
        <v>613347544.93887353</v>
      </c>
      <c r="I763" s="12" cm="1">
        <f t="array" aca="1" ref="I763" ca="1">INDEX('Tiempos intermodal (horas)'!E$45:E$1645,MATCH(C763&amp;D763,'Tiempos intermodal (horas)'!C$45:C$1645&amp;'Tiempos intermodal (horas)'!D$45:D$1645,0))</f>
        <v>72.261941112636066</v>
      </c>
      <c r="J763" s="2" cm="1">
        <f t="array" aca="1" ref="J763" ca="1">INDEX('Tiempos carretera (horas)'!E$45:E$1645,MATCH(C763&amp;D763,'Tiempos carretera (horas)'!C$45:C$1645&amp;'Tiempos carretera (horas)'!D$45:D$1645,0))</f>
        <v>13.41</v>
      </c>
      <c r="K763" s="12">
        <f t="shared" ca="1" si="72"/>
        <v>5.807658084384788</v>
      </c>
      <c r="L763" s="12">
        <f t="shared" ca="1" si="73"/>
        <v>15.626202111889812</v>
      </c>
      <c r="M763" s="12">
        <f t="shared" ca="1" si="74"/>
        <v>7.8460683744882395E-2</v>
      </c>
      <c r="N763" s="13">
        <f t="shared" ca="1" si="70"/>
        <v>-9.8185440275050233</v>
      </c>
      <c r="O763" s="13">
        <f t="shared" ca="1" si="71"/>
        <v>-58.851941112636069</v>
      </c>
      <c r="P763" s="12">
        <f t="shared" ca="1" si="75"/>
        <v>2.4634477863864634</v>
      </c>
    </row>
    <row r="764" spans="1:16" x14ac:dyDescent="0.25">
      <c r="A764">
        <v>29</v>
      </c>
      <c r="B764">
        <v>40</v>
      </c>
      <c r="C764" s="2" t="s">
        <v>147</v>
      </c>
      <c r="D764" s="2" t="s">
        <v>39</v>
      </c>
      <c r="E764" s="11" cm="1">
        <f t="array" aca="1" ref="E764" ca="1">INDEX('OD flujo mercancia multimodal'!E$45:E$1645,MATCH(C764&amp;D764,'OD flujo mercancia multimodal'!C$45:C$1645&amp;'OD flujo mercancia multimodal'!D$45:D$1645,0))</f>
        <v>33001.56923076923</v>
      </c>
      <c r="F764" s="11" cm="1">
        <f t="array" aca="1" ref="F764" ca="1">INDEX('OD flujo mercancia carretera'!E$45:E$1646,MATCH(C764&amp;D764,'OD flujo mercancia carretera'!C$45:C$1646&amp;'OD flujo mercancia carretera'!D$45:D$1646,0))</f>
        <v>435304.24285714288</v>
      </c>
      <c r="G764" s="11" cm="1">
        <f t="array" aca="1" ref="G764" ca="1">INDEX('Coste Carretera'!E$46:E$1646,MATCH(C764&amp;D764,'Coste Carretera'!C$46:C$1646&amp;'Coste Carretera'!D$46:D$1646,0))</f>
        <v>2228639778.7840004</v>
      </c>
      <c r="H764" s="11" cm="1">
        <f t="array" aca="1" ref="H764" ca="1">INDEX('Coste multimodal'!E$46:E$1646,MATCH(C764&amp;D764,'Coste multimodal'!C$46:C$1646&amp;'Coste multimodal'!D$46:D$1646,0))</f>
        <v>616956375.50157952</v>
      </c>
      <c r="I764" s="12" cm="1">
        <f t="array" aca="1" ref="I764" ca="1">INDEX('Tiempos intermodal (horas)'!E$45:E$1645,MATCH(C764&amp;D764,'Tiempos intermodal (horas)'!C$45:C$1645&amp;'Tiempos intermodal (horas)'!D$45:D$1645,0))</f>
        <v>88.936470293262005</v>
      </c>
      <c r="J764" s="2" cm="1">
        <f t="array" aca="1" ref="J764" ca="1">INDEX('Tiempos carretera (horas)'!E$45:E$1645,MATCH(C764&amp;D764,'Tiempos carretera (horas)'!C$45:C$1645&amp;'Tiempos carretera (horas)'!D$45:D$1645,0))</f>
        <v>15.33</v>
      </c>
      <c r="K764" s="12">
        <f t="shared" ca="1" si="72"/>
        <v>5.1197290523892054</v>
      </c>
      <c r="L764" s="12">
        <f t="shared" ca="1" si="73"/>
        <v>18.694758760936622</v>
      </c>
      <c r="M764" s="12">
        <f t="shared" ca="1" si="74"/>
        <v>7.0470125244941548E-2</v>
      </c>
      <c r="N764" s="13">
        <f t="shared" ca="1" si="70"/>
        <v>-13.575029708547417</v>
      </c>
      <c r="O764" s="13">
        <f t="shared" ca="1" si="71"/>
        <v>-73.606470293262007</v>
      </c>
      <c r="P764" s="12">
        <f t="shared" ca="1" si="75"/>
        <v>2.5794900826998308</v>
      </c>
    </row>
    <row r="765" spans="1:16" x14ac:dyDescent="0.25">
      <c r="A765">
        <v>38</v>
      </c>
      <c r="B765">
        <v>23</v>
      </c>
      <c r="C765" s="2" t="s">
        <v>37</v>
      </c>
      <c r="D765" s="2" t="s">
        <v>22</v>
      </c>
      <c r="E765" s="11" cm="1">
        <f t="array" aca="1" ref="E765" ca="1">INDEX('OD flujo mercancia multimodal'!E$45:E$1645,MATCH(C765&amp;D765,'OD flujo mercancia multimodal'!C$45:C$1645&amp;'OD flujo mercancia multimodal'!D$45:D$1645,0))</f>
        <v>6444.6923076923104</v>
      </c>
      <c r="F765" s="11" cm="1">
        <f t="array" aca="1" ref="F765" ca="1">INDEX('OD flujo mercancia carretera'!E$45:E$1646,MATCH(C765&amp;D765,'OD flujo mercancia carretera'!C$45:C$1646&amp;'OD flujo mercancia carretera'!D$45:D$1646,0))</f>
        <v>115527.35897435932</v>
      </c>
      <c r="G765" s="11" cm="1">
        <f t="array" aca="1" ref="G765" ca="1">INDEX('Coste Carretera'!E$46:E$1646,MATCH(C765&amp;D765,'Coste Carretera'!C$46:C$1646&amp;'Coste Carretera'!D$46:D$1646,0))</f>
        <v>1067498403.1200001</v>
      </c>
      <c r="H765" s="11" cm="1">
        <f t="array" aca="1" ref="H765" ca="1">INDEX('Coste multimodal'!E$46:E$1646,MATCH(C765&amp;D765,'Coste multimodal'!C$46:C$1646&amp;'Coste multimodal'!D$46:D$1646,0))</f>
        <v>19134844.385523349</v>
      </c>
      <c r="I765" s="12" cm="1">
        <f t="array" aca="1" ref="I765" ca="1">INDEX('Tiempos intermodal (horas)'!E$45:E$1645,MATCH(C765&amp;D765,'Tiempos intermodal (horas)'!C$45:C$1645&amp;'Tiempos intermodal (horas)'!D$45:D$1645,0))</f>
        <v>62.932947599943688</v>
      </c>
      <c r="J765" s="2" cm="1">
        <f t="array" aca="1" ref="J765" ca="1">INDEX('Tiempos carretera (horas)'!E$45:E$1645,MATCH(C765&amp;D765,'Tiempos carretera (horas)'!C$45:C$1645&amp;'Tiempos carretera (horas)'!D$45:D$1645,0))</f>
        <v>16.71</v>
      </c>
      <c r="K765" s="12">
        <f t="shared" ca="1" si="72"/>
        <v>9.2402216461723636</v>
      </c>
      <c r="L765" s="12">
        <f t="shared" ca="1" si="73"/>
        <v>2.9690857952495602</v>
      </c>
      <c r="M765" s="12">
        <f t="shared" ca="1" si="74"/>
        <v>5.2837451202566242E-2</v>
      </c>
      <c r="N765" s="13">
        <f t="shared" ca="1" si="70"/>
        <v>6.2711358509228035</v>
      </c>
      <c r="O765" s="13">
        <f t="shared" ca="1" si="71"/>
        <v>-46.222947599943687</v>
      </c>
      <c r="P765" s="12">
        <f t="shared" ca="1" si="75"/>
        <v>2.8862504821394168</v>
      </c>
    </row>
    <row r="766" spans="1:16" x14ac:dyDescent="0.25">
      <c r="A766">
        <v>23</v>
      </c>
      <c r="B766">
        <v>38</v>
      </c>
      <c r="C766" s="2" t="s">
        <v>22</v>
      </c>
      <c r="D766" s="2" t="s">
        <v>37</v>
      </c>
      <c r="E766" s="11" cm="1">
        <f t="array" aca="1" ref="E766" ca="1">INDEX('OD flujo mercancia multimodal'!E$45:E$1645,MATCH(C766&amp;D766,'OD flujo mercancia multimodal'!C$45:C$1645&amp;'OD flujo mercancia multimodal'!D$45:D$1645,0))</f>
        <v>913.53846153846155</v>
      </c>
      <c r="F766" s="11" cm="1">
        <f t="array" aca="1" ref="F766" ca="1">INDEX('OD flujo mercancia carretera'!E$45:E$1646,MATCH(C766&amp;D766,'OD flujo mercancia carretera'!C$45:C$1646&amp;'OD flujo mercancia carretera'!D$45:D$1646,0))</f>
        <v>112171.0512820513</v>
      </c>
      <c r="G766" s="11" cm="1">
        <f t="array" aca="1" ref="G766" ca="1">INDEX('Coste Carretera'!E$46:E$1646,MATCH(C766&amp;D766,'Coste Carretera'!C$46:C$1646&amp;'Coste Carretera'!D$46:D$1646,0))</f>
        <v>972074055.60000396</v>
      </c>
      <c r="H766" s="11" cm="1">
        <f t="array" aca="1" ref="H766" ca="1">INDEX('Coste multimodal'!E$46:E$1646,MATCH(C766&amp;D766,'Coste multimodal'!C$46:C$1646&amp;'Coste multimodal'!D$46:D$1646,0))</f>
        <v>19134844.385523349</v>
      </c>
      <c r="I766" s="12" cm="1">
        <f t="array" aca="1" ref="I766" ca="1">INDEX('Tiempos intermodal (horas)'!E$45:E$1645,MATCH(C766&amp;D766,'Tiempos intermodal (horas)'!C$45:C$1645&amp;'Tiempos intermodal (horas)'!D$45:D$1645,0))</f>
        <v>62.932947599943688</v>
      </c>
      <c r="J766" s="2" cm="1">
        <f t="array" aca="1" ref="J766" ca="1">INDEX('Tiempos carretera (horas)'!E$45:E$1645,MATCH(C766&amp;D766,'Tiempos carretera (horas)'!C$45:C$1645&amp;'Tiempos carretera (horas)'!D$45:D$1645,0))</f>
        <v>16.71</v>
      </c>
      <c r="K766" s="12">
        <f t="shared" ca="1" si="72"/>
        <v>8.6659975500786572</v>
      </c>
      <c r="L766" s="12">
        <f t="shared" ca="1" si="73"/>
        <v>20.945855255288276</v>
      </c>
      <c r="M766" s="12">
        <f t="shared" ca="1" si="74"/>
        <v>8.078363847893304E-3</v>
      </c>
      <c r="N766" s="13">
        <f t="shared" ca="1" si="70"/>
        <v>-12.279857705209619</v>
      </c>
      <c r="O766" s="13">
        <f t="shared" ca="1" si="71"/>
        <v>-46.222947599943687</v>
      </c>
      <c r="P766" s="12">
        <f t="shared" ca="1" si="75"/>
        <v>4.8104547503944302</v>
      </c>
    </row>
    <row r="767" spans="1:16" x14ac:dyDescent="0.25">
      <c r="A767">
        <v>23</v>
      </c>
      <c r="B767">
        <v>1</v>
      </c>
      <c r="C767" s="2" t="s">
        <v>22</v>
      </c>
      <c r="D767" s="2" t="s">
        <v>0</v>
      </c>
      <c r="E767" s="11" cm="1">
        <f t="array" aca="1" ref="E767" ca="1">INDEX('OD flujo mercancia multimodal'!E$45:E$1645,MATCH(C767&amp;D767,'OD flujo mercancia multimodal'!C$45:C$1645&amp;'OD flujo mercancia multimodal'!D$45:D$1645,0))</f>
        <v>93286.609890109874</v>
      </c>
      <c r="F767" s="11" cm="1">
        <f t="array" aca="1" ref="F767" ca="1">INDEX('OD flujo mercancia carretera'!E$45:E$1646,MATCH(C767&amp;D767,'OD flujo mercancia carretera'!C$45:C$1646&amp;'OD flujo mercancia carretera'!D$45:D$1646,0))</f>
        <v>153589.51282051287</v>
      </c>
      <c r="G767" s="11" cm="1">
        <f t="array" aca="1" ref="G767" ca="1">INDEX('Coste Carretera'!E$46:E$1646,MATCH(C767&amp;D767,'Coste Carretera'!C$46:C$1646&amp;'Coste Carretera'!D$46:D$1646,0))</f>
        <v>2885754110.5914278</v>
      </c>
      <c r="H767" s="11" cm="1">
        <f t="array" aca="1" ref="H767" ca="1">INDEX('Coste multimodal'!E$46:E$1646,MATCH(C767&amp;D767,'Coste multimodal'!C$46:C$1646&amp;'Coste multimodal'!D$46:D$1646,0))</f>
        <v>655700175.07954025</v>
      </c>
      <c r="I767" s="12" cm="1">
        <f t="array" aca="1" ref="I767" ca="1">INDEX('Tiempos intermodal (horas)'!E$45:E$1645,MATCH(C767&amp;D767,'Tiempos intermodal (horas)'!C$45:C$1645&amp;'Tiempos intermodal (horas)'!D$45:D$1645,0))</f>
        <v>53.401714421452695</v>
      </c>
      <c r="J767" s="2" cm="1">
        <f t="array" aca="1" ref="J767" ca="1">INDEX('Tiempos carretera (horas)'!E$45:E$1645,MATCH(C767&amp;D767,'Tiempos carretera (horas)'!C$45:C$1645&amp;'Tiempos carretera (horas)'!D$45:D$1645,0))</f>
        <v>7.13</v>
      </c>
      <c r="K767" s="12">
        <f t="shared" ca="1" si="72"/>
        <v>18.788744476087803</v>
      </c>
      <c r="L767" s="12">
        <f t="shared" ca="1" si="73"/>
        <v>7.0288777333847223</v>
      </c>
      <c r="M767" s="12">
        <f t="shared" ca="1" si="74"/>
        <v>0.37786809378668146</v>
      </c>
      <c r="N767" s="13">
        <f t="shared" ca="1" si="70"/>
        <v>11.759866742703082</v>
      </c>
      <c r="O767" s="13">
        <f t="shared" ca="1" si="71"/>
        <v>-46.271714421452693</v>
      </c>
      <c r="P767" s="12">
        <f t="shared" ca="1" si="75"/>
        <v>0.49860696163983781</v>
      </c>
    </row>
    <row r="768" spans="1:16" x14ac:dyDescent="0.25">
      <c r="A768">
        <v>1</v>
      </c>
      <c r="B768">
        <v>23</v>
      </c>
      <c r="C768" s="2" t="s">
        <v>0</v>
      </c>
      <c r="D768" s="2" t="s">
        <v>22</v>
      </c>
      <c r="E768" s="11" cm="1">
        <f t="array" aca="1" ref="E768" ca="1">INDEX('OD flujo mercancia multimodal'!E$45:E$1645,MATCH(C768&amp;D768,'OD flujo mercancia multimodal'!C$45:C$1645&amp;'OD flujo mercancia multimodal'!D$45:D$1645,0))</f>
        <v>92042.763736263747</v>
      </c>
      <c r="F768" s="11" cm="1">
        <f t="array" aca="1" ref="F768" ca="1">INDEX('OD flujo mercancia carretera'!E$45:E$1646,MATCH(C768&amp;D768,'OD flujo mercancia carretera'!C$45:C$1646&amp;'OD flujo mercancia carretera'!D$45:D$1646,0))</f>
        <v>158165.66666666701</v>
      </c>
      <c r="G768" s="11" cm="1">
        <f t="array" aca="1" ref="G768" ca="1">INDEX('Coste Carretera'!E$46:E$1646,MATCH(C768&amp;D768,'Coste Carretera'!C$46:C$1646&amp;'Coste Carretera'!D$46:D$1646,0))</f>
        <v>2847276625.3914289</v>
      </c>
      <c r="H768" s="11" cm="1">
        <f t="array" aca="1" ref="H768" ca="1">INDEX('Coste multimodal'!E$46:E$1646,MATCH(C768&amp;D768,'Coste multimodal'!C$46:C$1646&amp;'Coste multimodal'!D$46:D$1646,0))</f>
        <v>655700175.07954025</v>
      </c>
      <c r="I768" s="12" cm="1">
        <f t="array" aca="1" ref="I768" ca="1">INDEX('Tiempos intermodal (horas)'!E$45:E$1645,MATCH(C768&amp;D768,'Tiempos intermodal (horas)'!C$45:C$1645&amp;'Tiempos intermodal (horas)'!D$45:D$1645,0))</f>
        <v>53.401714421452695</v>
      </c>
      <c r="J768" s="2" cm="1">
        <f t="array" aca="1" ref="J768" ca="1">INDEX('Tiempos carretera (horas)'!E$45:E$1645,MATCH(C768&amp;D768,'Tiempos carretera (horas)'!C$45:C$1645&amp;'Tiempos carretera (horas)'!D$45:D$1645,0))</f>
        <v>7.13</v>
      </c>
      <c r="K768" s="12">
        <f t="shared" ca="1" si="72"/>
        <v>18.001862764515408</v>
      </c>
      <c r="L768" s="12">
        <f t="shared" ca="1" si="73"/>
        <v>7.1238644784544016</v>
      </c>
      <c r="M768" s="12">
        <f t="shared" ca="1" si="74"/>
        <v>0.36786435847920823</v>
      </c>
      <c r="N768" s="13">
        <f t="shared" ref="N768:N831" ca="1" si="76">K768-L768</f>
        <v>10.877998286061008</v>
      </c>
      <c r="O768" s="13">
        <f t="shared" ref="O768:O831" ca="1" si="77">J768-I768</f>
        <v>-46.271714421452693</v>
      </c>
      <c r="P768" s="12">
        <f t="shared" ca="1" si="75"/>
        <v>0.54138971464475927</v>
      </c>
    </row>
    <row r="769" spans="1:16" x14ac:dyDescent="0.25">
      <c r="A769">
        <v>38</v>
      </c>
      <c r="B769">
        <v>25</v>
      </c>
      <c r="C769" s="2" t="s">
        <v>37</v>
      </c>
      <c r="D769" s="2" t="s">
        <v>24</v>
      </c>
      <c r="E769" s="11" cm="1">
        <f t="array" aca="1" ref="E769" ca="1">INDEX('OD flujo mercancia multimodal'!E$45:E$1645,MATCH(C769&amp;D769,'OD flujo mercancia multimodal'!C$45:C$1645&amp;'OD flujo mercancia multimodal'!D$45:D$1645,0))</f>
        <v>5211.6923076923104</v>
      </c>
      <c r="F769" s="11" cm="1">
        <f t="array" aca="1" ref="F769" ca="1">INDEX('OD flujo mercancia carretera'!E$45:E$1646,MATCH(C769&amp;D769,'OD flujo mercancia carretera'!C$45:C$1646&amp;'OD flujo mercancia carretera'!D$45:D$1646,0))</f>
        <v>65947.025641025612</v>
      </c>
      <c r="G769" s="11" cm="1">
        <f t="array" aca="1" ref="G769" ca="1">INDEX('Coste Carretera'!E$46:E$1646,MATCH(C769&amp;D769,'Coste Carretera'!C$46:C$1646&amp;'Coste Carretera'!D$46:D$1646,0))</f>
        <v>854319941.28000009</v>
      </c>
      <c r="H769" s="11" cm="1">
        <f t="array" aca="1" ref="H769" ca="1">INDEX('Coste multimodal'!E$46:E$1646,MATCH(C769&amp;D769,'Coste multimodal'!C$46:C$1646&amp;'Coste multimodal'!D$46:D$1646,0))</f>
        <v>24036970.285523348</v>
      </c>
      <c r="I769" s="12" cm="1">
        <f t="array" aca="1" ref="I769" ca="1">INDEX('Tiempos intermodal (horas)'!E$45:E$1645,MATCH(C769&amp;D769,'Tiempos intermodal (horas)'!C$45:C$1645&amp;'Tiempos intermodal (horas)'!D$45:D$1645,0))</f>
        <v>60.882947599943691</v>
      </c>
      <c r="J769" s="2" cm="1">
        <f t="array" aca="1" ref="J769" ca="1">INDEX('Tiempos carretera (horas)'!E$45:E$1645,MATCH(C769&amp;D769,'Tiempos carretera (horas)'!C$45:C$1645&amp;'Tiempos carretera (horas)'!D$45:D$1645,0))</f>
        <v>14.56</v>
      </c>
      <c r="K769" s="12">
        <f t="shared" ca="1" si="72"/>
        <v>12.954639469722014</v>
      </c>
      <c r="L769" s="12">
        <f t="shared" ca="1" si="73"/>
        <v>4.612123829729061</v>
      </c>
      <c r="M769" s="12">
        <f t="shared" ca="1" si="74"/>
        <v>7.3240390748020925E-2</v>
      </c>
      <c r="N769" s="13">
        <f t="shared" ca="1" si="76"/>
        <v>8.3425156399929534</v>
      </c>
      <c r="O769" s="13">
        <f t="shared" ca="1" si="77"/>
        <v>-46.322947599943689</v>
      </c>
      <c r="P769" s="12">
        <f t="shared" ca="1" si="75"/>
        <v>2.5379471557766231</v>
      </c>
    </row>
    <row r="770" spans="1:16" x14ac:dyDescent="0.25">
      <c r="A770">
        <v>25</v>
      </c>
      <c r="B770">
        <v>38</v>
      </c>
      <c r="C770" s="2" t="s">
        <v>24</v>
      </c>
      <c r="D770" s="2" t="s">
        <v>37</v>
      </c>
      <c r="E770" s="11" cm="1">
        <f t="array" aca="1" ref="E770" ca="1">INDEX('OD flujo mercancia multimodal'!E$45:E$1645,MATCH(C770&amp;D770,'OD flujo mercancia multimodal'!C$45:C$1645&amp;'OD flujo mercancia multimodal'!D$45:D$1645,0))</f>
        <v>3807.3076923076924</v>
      </c>
      <c r="F770" s="11" cm="1">
        <f t="array" aca="1" ref="F770" ca="1">INDEX('OD flujo mercancia carretera'!E$45:E$1646,MATCH(C770&amp;D770,'OD flujo mercancia carretera'!C$45:C$1646&amp;'OD flujo mercancia carretera'!D$45:D$1646,0))</f>
        <v>72145.717948717953</v>
      </c>
      <c r="G770" s="11" cm="1">
        <f t="array" aca="1" ref="G770" ca="1">INDEX('Coste Carretera'!E$46:E$1646,MATCH(C770&amp;D770,'Coste Carretera'!C$46:C$1646&amp;'Coste Carretera'!D$46:D$1646,0))</f>
        <v>1096063198.8800035</v>
      </c>
      <c r="H770" s="11" cm="1">
        <f t="array" aca="1" ref="H770" ca="1">INDEX('Coste multimodal'!E$46:E$1646,MATCH(C770&amp;D770,'Coste multimodal'!C$46:C$1646&amp;'Coste multimodal'!D$46:D$1646,0))</f>
        <v>24036970.285523348</v>
      </c>
      <c r="I770" s="12" cm="1">
        <f t="array" aca="1" ref="I770" ca="1">INDEX('Tiempos intermodal (horas)'!E$45:E$1645,MATCH(C770&amp;D770,'Tiempos intermodal (horas)'!C$45:C$1645&amp;'Tiempos intermodal (horas)'!D$45:D$1645,0))</f>
        <v>60.882947599943691</v>
      </c>
      <c r="J770" s="2" cm="1">
        <f t="array" aca="1" ref="J770" ca="1">INDEX('Tiempos carretera (horas)'!E$45:E$1645,MATCH(C770&amp;D770,'Tiempos carretera (horas)'!C$45:C$1645&amp;'Tiempos carretera (horas)'!D$45:D$1645,0))</f>
        <v>14.56</v>
      </c>
      <c r="K770" s="12">
        <f t="shared" ca="1" si="72"/>
        <v>15.192352783280892</v>
      </c>
      <c r="L770" s="12">
        <f t="shared" ca="1" si="73"/>
        <v>6.3133773858329834</v>
      </c>
      <c r="M770" s="12">
        <f t="shared" ca="1" si="74"/>
        <v>5.0127136610752666E-2</v>
      </c>
      <c r="N770" s="13">
        <f t="shared" ca="1" si="76"/>
        <v>8.8789753974479098</v>
      </c>
      <c r="O770" s="13">
        <f t="shared" ca="1" si="77"/>
        <v>-46.322947599943689</v>
      </c>
      <c r="P770" s="12">
        <f t="shared" ca="1" si="75"/>
        <v>2.9417656372582885</v>
      </c>
    </row>
    <row r="771" spans="1:16" x14ac:dyDescent="0.25">
      <c r="A771">
        <v>29</v>
      </c>
      <c r="B771">
        <v>3</v>
      </c>
      <c r="C771" s="2" t="s">
        <v>147</v>
      </c>
      <c r="D771" s="2" t="s">
        <v>2</v>
      </c>
      <c r="E771" s="11" cm="1">
        <f t="array" aca="1" ref="E771" ca="1">INDEX('OD flujo mercancia multimodal'!E$45:E$1645,MATCH(C771&amp;D771,'OD flujo mercancia multimodal'!C$45:C$1645&amp;'OD flujo mercancia multimodal'!D$45:D$1645,0))</f>
        <v>39761.5142857143</v>
      </c>
      <c r="F771" s="11" cm="1">
        <f t="array" aca="1" ref="F771" ca="1">INDEX('OD flujo mercancia carretera'!E$45:E$1646,MATCH(C771&amp;D771,'OD flujo mercancia carretera'!C$45:C$1646&amp;'OD flujo mercancia carretera'!D$45:D$1646,0))</f>
        <v>404655.56153846148</v>
      </c>
      <c r="G771" s="11" cm="1">
        <f t="array" aca="1" ref="G771" ca="1">INDEX('Coste Carretera'!E$46:E$1646,MATCH(C771&amp;D771,'Coste Carretera'!C$46:C$1646&amp;'Coste Carretera'!D$46:D$1646,0))</f>
        <v>1000283595.8068575</v>
      </c>
      <c r="H771" s="11" cm="1">
        <f t="array" aca="1" ref="H771" ca="1">INDEX('Coste multimodal'!E$46:E$1646,MATCH(C771&amp;D771,'Coste multimodal'!C$46:C$1646&amp;'Coste multimodal'!D$46:D$1646,0))</f>
        <v>834567943.79361737</v>
      </c>
      <c r="I771" s="12" cm="1">
        <f t="array" aca="1" ref="I771" ca="1">INDEX('Tiempos intermodal (horas)'!E$45:E$1645,MATCH(C771&amp;D771,'Tiempos intermodal (horas)'!C$45:C$1645&amp;'Tiempos intermodal (horas)'!D$45:D$1645,0))</f>
        <v>25.326789087427269</v>
      </c>
      <c r="J771" s="2" cm="1">
        <f t="array" aca="1" ref="J771" ca="1">INDEX('Tiempos carretera (horas)'!E$45:E$1645,MATCH(C771&amp;D771,'Tiempos carretera (horas)'!C$45:C$1645&amp;'Tiempos carretera (horas)'!D$45:D$1645,0))</f>
        <v>5.15</v>
      </c>
      <c r="K771" s="12">
        <f t="shared" ca="1" si="72"/>
        <v>2.4719383369003394</v>
      </c>
      <c r="L771" s="12">
        <f t="shared" ca="1" si="73"/>
        <v>20.989340038627876</v>
      </c>
      <c r="M771" s="12">
        <f t="shared" ca="1" si="74"/>
        <v>8.9468916584665853E-2</v>
      </c>
      <c r="N771" s="13">
        <f t="shared" ca="1" si="76"/>
        <v>-18.517401701727536</v>
      </c>
      <c r="O771" s="13">
        <f t="shared" ca="1" si="77"/>
        <v>-20.176789087427267</v>
      </c>
      <c r="P771" s="12">
        <f t="shared" ca="1" si="75"/>
        <v>2.3201367731986551</v>
      </c>
    </row>
    <row r="772" spans="1:16" x14ac:dyDescent="0.25">
      <c r="A772">
        <v>38</v>
      </c>
      <c r="B772">
        <v>16</v>
      </c>
      <c r="C772" s="2" t="s">
        <v>37</v>
      </c>
      <c r="D772" s="2" t="s">
        <v>15</v>
      </c>
      <c r="E772" s="11" cm="1">
        <f t="array" aca="1" ref="E772" ca="1">INDEX('OD flujo mercancia multimodal'!E$45:E$1645,MATCH(C772&amp;D772,'OD flujo mercancia multimodal'!C$45:C$1645&amp;'OD flujo mercancia multimodal'!D$45:D$1645,0))</f>
        <v>37433.230769230802</v>
      </c>
      <c r="F772" s="11" cm="1">
        <f t="array" aca="1" ref="F772" ca="1">INDEX('OD flujo mercancia carretera'!E$45:E$1646,MATCH(C772&amp;D772,'OD flujo mercancia carretera'!C$45:C$1646&amp;'OD flujo mercancia carretera'!D$45:D$1646,0))</f>
        <v>535923.38461538428</v>
      </c>
      <c r="G772" s="11" cm="1">
        <f t="array" aca="1" ref="G772" ca="1">INDEX('Coste Carretera'!E$46:E$1646,MATCH(C772&amp;D772,'Coste Carretera'!C$46:C$1646&amp;'Coste Carretera'!D$46:D$1646,0))</f>
        <v>1935791908.5200014</v>
      </c>
      <c r="H772" s="11" cm="1">
        <f t="array" aca="1" ref="H772" ca="1">INDEX('Coste multimodal'!E$46:E$1646,MATCH(C772&amp;D772,'Coste multimodal'!C$46:C$1646&amp;'Coste multimodal'!D$46:D$1646,0))</f>
        <v>281544732.37646675</v>
      </c>
      <c r="I772" s="12" cm="1">
        <f t="array" aca="1" ref="I772" ca="1">INDEX('Tiempos intermodal (horas)'!E$45:E$1645,MATCH(C772&amp;D772,'Tiempos intermodal (horas)'!C$45:C$1645&amp;'Tiempos intermodal (horas)'!D$45:D$1645,0))</f>
        <v>55.022446793473158</v>
      </c>
      <c r="J772" s="2" cm="1">
        <f t="array" aca="1" ref="J772" ca="1">INDEX('Tiempos carretera (horas)'!E$45:E$1645,MATCH(C772&amp;D772,'Tiempos carretera (horas)'!C$45:C$1645&amp;'Tiempos carretera (horas)'!D$45:D$1645,0))</f>
        <v>8.58</v>
      </c>
      <c r="K772" s="12">
        <f t="shared" ca="1" si="72"/>
        <v>3.6120683741189232</v>
      </c>
      <c r="L772" s="12">
        <f t="shared" ca="1" si="73"/>
        <v>7.5212512142523797</v>
      </c>
      <c r="M772" s="12">
        <f t="shared" ca="1" si="74"/>
        <v>6.5287867558866675E-2</v>
      </c>
      <c r="N772" s="13">
        <f t="shared" ca="1" si="76"/>
        <v>-3.9091828401334565</v>
      </c>
      <c r="O772" s="13">
        <f t="shared" ca="1" si="77"/>
        <v>-46.44244679347316</v>
      </c>
      <c r="P772" s="12">
        <f t="shared" ca="1" si="75"/>
        <v>2.6614323785447831</v>
      </c>
    </row>
    <row r="773" spans="1:16" x14ac:dyDescent="0.25">
      <c r="A773">
        <v>16</v>
      </c>
      <c r="B773">
        <v>38</v>
      </c>
      <c r="C773" s="2" t="s">
        <v>15</v>
      </c>
      <c r="D773" s="2" t="s">
        <v>37</v>
      </c>
      <c r="E773" s="11" cm="1">
        <f t="array" aca="1" ref="E773" ca="1">INDEX('OD flujo mercancia multimodal'!E$45:E$1645,MATCH(C773&amp;D773,'OD flujo mercancia multimodal'!C$45:C$1645&amp;'OD flujo mercancia multimodal'!D$45:D$1645,0))</f>
        <v>35425.461538461539</v>
      </c>
      <c r="F773" s="11" cm="1">
        <f t="array" aca="1" ref="F773" ca="1">INDEX('OD flujo mercancia carretera'!E$45:E$1646,MATCH(C773&amp;D773,'OD flujo mercancia carretera'!C$45:C$1646&amp;'OD flujo mercancia carretera'!D$45:D$1646,0))</f>
        <v>176573.92307692309</v>
      </c>
      <c r="G773" s="11" cm="1">
        <f t="array" aca="1" ref="G773" ca="1">INDEX('Coste Carretera'!E$46:E$1646,MATCH(C773&amp;D773,'Coste Carretera'!C$46:C$1646&amp;'Coste Carretera'!D$46:D$1646,0))</f>
        <v>2046017054.6000021</v>
      </c>
      <c r="H773" s="11" cm="1">
        <f t="array" aca="1" ref="H773" ca="1">INDEX('Coste multimodal'!E$46:E$1646,MATCH(C773&amp;D773,'Coste multimodal'!C$46:C$1646&amp;'Coste multimodal'!D$46:D$1646,0))</f>
        <v>281544732.37646675</v>
      </c>
      <c r="I773" s="12" cm="1">
        <f t="array" aca="1" ref="I773" ca="1">INDEX('Tiempos intermodal (horas)'!E$45:E$1645,MATCH(C773&amp;D773,'Tiempos intermodal (horas)'!C$45:C$1645&amp;'Tiempos intermodal (horas)'!D$45:D$1645,0))</f>
        <v>55.022446793473158</v>
      </c>
      <c r="J773" s="2" cm="1">
        <f t="array" aca="1" ref="J773" ca="1">INDEX('Tiempos carretera (horas)'!E$45:E$1645,MATCH(C773&amp;D773,'Tiempos carretera (horas)'!C$45:C$1645&amp;'Tiempos carretera (horas)'!D$45:D$1645,0))</f>
        <v>8.58</v>
      </c>
      <c r="K773" s="12">
        <f t="shared" ca="1" si="72"/>
        <v>11.5873115290567</v>
      </c>
      <c r="L773" s="12">
        <f t="shared" ca="1" si="73"/>
        <v>7.9475247505467994</v>
      </c>
      <c r="M773" s="12">
        <f t="shared" ca="1" si="74"/>
        <v>0.16710171872777568</v>
      </c>
      <c r="N773" s="13">
        <f t="shared" ca="1" si="76"/>
        <v>3.639786778509901</v>
      </c>
      <c r="O773" s="13">
        <f t="shared" ca="1" si="77"/>
        <v>-46.44244679347316</v>
      </c>
      <c r="P773" s="12">
        <f t="shared" ca="1" si="75"/>
        <v>1.6063088022203078</v>
      </c>
    </row>
    <row r="774" spans="1:16" x14ac:dyDescent="0.25">
      <c r="A774">
        <v>38</v>
      </c>
      <c r="B774">
        <v>26</v>
      </c>
      <c r="C774" s="2" t="s">
        <v>37</v>
      </c>
      <c r="D774" s="2" t="s">
        <v>25</v>
      </c>
      <c r="E774" s="11" cm="1">
        <f t="array" aca="1" ref="E774" ca="1">INDEX('OD flujo mercancia multimodal'!E$45:E$1645,MATCH(C774&amp;D774,'OD flujo mercancia multimodal'!C$45:C$1645&amp;'OD flujo mercancia multimodal'!D$45:D$1645,0))</f>
        <v>4290.7692307692296</v>
      </c>
      <c r="F774" s="11" cm="1">
        <f t="array" aca="1" ref="F774" ca="1">INDEX('OD flujo mercancia carretera'!E$45:E$1646,MATCH(C774&amp;D774,'OD flujo mercancia carretera'!C$45:C$1646&amp;'OD flujo mercancia carretera'!D$45:D$1646,0))</f>
        <v>52020.692307692305</v>
      </c>
      <c r="G774" s="11" cm="1">
        <f t="array" aca="1" ref="G774" ca="1">INDEX('Coste Carretera'!E$46:E$1646,MATCH(C774&amp;D774,'Coste Carretera'!C$46:C$1646&amp;'Coste Carretera'!D$46:D$1646,0))</f>
        <v>782419002.79999971</v>
      </c>
      <c r="H774" s="11" cm="1">
        <f t="array" aca="1" ref="H774" ca="1">INDEX('Coste multimodal'!E$46:E$1646,MATCH(C774&amp;D774,'Coste multimodal'!C$46:C$1646&amp;'Coste multimodal'!D$46:D$1646,0))</f>
        <v>191947348.01415378</v>
      </c>
      <c r="I774" s="12" cm="1">
        <f t="array" aca="1" ref="I774" ca="1">INDEX('Tiempos intermodal (horas)'!E$45:E$1645,MATCH(C774&amp;D774,'Tiempos intermodal (horas)'!C$45:C$1645&amp;'Tiempos intermodal (horas)'!D$45:D$1645,0))</f>
        <v>61.550212626689181</v>
      </c>
      <c r="J774" s="2" cm="1">
        <f t="array" aca="1" ref="J774" ca="1">INDEX('Tiempos carretera (horas)'!E$45:E$1645,MATCH(C774&amp;D774,'Tiempos carretera (horas)'!C$45:C$1645&amp;'Tiempos carretera (horas)'!D$45:D$1645,0))</f>
        <v>14.96</v>
      </c>
      <c r="K774" s="12">
        <f t="shared" ca="1" si="72"/>
        <v>15.040534219962762</v>
      </c>
      <c r="L774" s="12">
        <f t="shared" ca="1" si="73"/>
        <v>44.734950236357122</v>
      </c>
      <c r="M774" s="12">
        <f t="shared" ca="1" si="74"/>
        <v>7.6197085167796136E-2</v>
      </c>
      <c r="N774" s="13">
        <f t="shared" ca="1" si="76"/>
        <v>-29.69441601639436</v>
      </c>
      <c r="O774" s="13">
        <f t="shared" ca="1" si="77"/>
        <v>-46.59021262668918</v>
      </c>
      <c r="P774" s="12">
        <f t="shared" ca="1" si="75"/>
        <v>2.4951755436849594</v>
      </c>
    </row>
    <row r="775" spans="1:16" x14ac:dyDescent="0.25">
      <c r="A775">
        <v>26</v>
      </c>
      <c r="B775">
        <v>38</v>
      </c>
      <c r="C775" s="2" t="s">
        <v>25</v>
      </c>
      <c r="D775" s="2" t="s">
        <v>37</v>
      </c>
      <c r="E775" s="11" cm="1">
        <f t="array" aca="1" ref="E775" ca="1">INDEX('OD flujo mercancia multimodal'!E$45:E$1645,MATCH(C775&amp;D775,'OD flujo mercancia multimodal'!C$45:C$1645&amp;'OD flujo mercancia multimodal'!D$45:D$1645,0))</f>
        <v>1276.3076923076924</v>
      </c>
      <c r="F775" s="11" cm="1">
        <f t="array" aca="1" ref="F775" ca="1">INDEX('OD flujo mercancia carretera'!E$45:E$1646,MATCH(C775&amp;D775,'OD flujo mercancia carretera'!C$45:C$1646&amp;'OD flujo mercancia carretera'!D$45:D$1646,0))</f>
        <v>54427.384615384624</v>
      </c>
      <c r="G775" s="11" cm="1">
        <f t="array" aca="1" ref="G775" ca="1">INDEX('Coste Carretera'!E$46:E$1646,MATCH(C775&amp;D775,'Coste Carretera'!C$46:C$1646&amp;'Coste Carretera'!D$46:D$1646,0))</f>
        <v>896795402.40000343</v>
      </c>
      <c r="H775" s="11" cm="1">
        <f t="array" aca="1" ref="H775" ca="1">INDEX('Coste multimodal'!E$46:E$1646,MATCH(C775&amp;D775,'Coste multimodal'!C$46:C$1646&amp;'Coste multimodal'!D$46:D$1646,0))</f>
        <v>191947348.01415378</v>
      </c>
      <c r="I775" s="12" cm="1">
        <f t="array" aca="1" ref="I775" ca="1">INDEX('Tiempos intermodal (horas)'!E$45:E$1645,MATCH(C775&amp;D775,'Tiempos intermodal (horas)'!C$45:C$1645&amp;'Tiempos intermodal (horas)'!D$45:D$1645,0))</f>
        <v>61.550212626689181</v>
      </c>
      <c r="J775" s="2" cm="1">
        <f t="array" aca="1" ref="J775" ca="1">INDEX('Tiempos carretera (horas)'!E$45:E$1645,MATCH(C775&amp;D775,'Tiempos carretera (horas)'!C$45:C$1645&amp;'Tiempos carretera (horas)'!D$45:D$1645,0))</f>
        <v>14.96</v>
      </c>
      <c r="K775" s="12">
        <f t="shared" ca="1" si="72"/>
        <v>16.476915228194013</v>
      </c>
      <c r="L775" s="12">
        <f t="shared" ca="1" si="73"/>
        <v>150.39269070540013</v>
      </c>
      <c r="M775" s="12">
        <f t="shared" ca="1" si="74"/>
        <v>2.291244331269298E-2</v>
      </c>
      <c r="N775" s="13">
        <f t="shared" ca="1" si="76"/>
        <v>-133.91577547720613</v>
      </c>
      <c r="O775" s="13">
        <f t="shared" ca="1" si="77"/>
        <v>-46.59021262668918</v>
      </c>
      <c r="P775" s="12">
        <f t="shared" ca="1" si="75"/>
        <v>3.7528961268413346</v>
      </c>
    </row>
    <row r="776" spans="1:16" x14ac:dyDescent="0.25">
      <c r="A776">
        <v>36</v>
      </c>
      <c r="B776">
        <v>23</v>
      </c>
      <c r="C776" s="2" t="s">
        <v>35</v>
      </c>
      <c r="D776" s="2" t="s">
        <v>22</v>
      </c>
      <c r="E776" s="11" cm="1">
        <f t="array" aca="1" ref="E776" ca="1">INDEX('OD flujo mercancia multimodal'!E$45:E$1645,MATCH(C776&amp;D776,'OD flujo mercancia multimodal'!C$45:C$1645&amp;'OD flujo mercancia multimodal'!D$45:D$1645,0))</f>
        <v>8530.9230769230799</v>
      </c>
      <c r="F776" s="11" cm="1">
        <f t="array" aca="1" ref="F776" ca="1">INDEX('OD flujo mercancia carretera'!E$45:E$1646,MATCH(C776&amp;D776,'OD flujo mercancia carretera'!C$45:C$1646&amp;'OD flujo mercancia carretera'!D$45:D$1646,0))</f>
        <v>202762.5897435901</v>
      </c>
      <c r="G776" s="11" cm="1">
        <f t="array" aca="1" ref="G776" ca="1">INDEX('Coste Carretera'!E$46:E$1646,MATCH(C776&amp;D776,'Coste Carretera'!C$46:C$1646&amp;'Coste Carretera'!D$46:D$1646,0))</f>
        <v>577381771.20000005</v>
      </c>
      <c r="H776" s="11" cm="1">
        <f t="array" aca="1" ref="H776" ca="1">INDEX('Coste multimodal'!E$46:E$1646,MATCH(C776&amp;D776,'Coste multimodal'!C$46:C$1646&amp;'Coste multimodal'!D$46:D$1646,0))</f>
        <v>448103960.70211166</v>
      </c>
      <c r="I776" s="12" cm="1">
        <f t="array" aca="1" ref="I776" ca="1">INDEX('Tiempos intermodal (horas)'!E$45:E$1645,MATCH(C776&amp;D776,'Tiempos intermodal (horas)'!C$45:C$1645&amp;'Tiempos intermodal (horas)'!D$45:D$1645,0))</f>
        <v>54.0217144214527</v>
      </c>
      <c r="J776" s="2" cm="1">
        <f t="array" aca="1" ref="J776" ca="1">INDEX('Tiempos carretera (horas)'!E$45:E$1645,MATCH(C776&amp;D776,'Tiempos carretera (horas)'!C$45:C$1645&amp;'Tiempos carretera (horas)'!D$45:D$1645,0))</f>
        <v>7.4</v>
      </c>
      <c r="K776" s="12">
        <f t="shared" ca="1" si="72"/>
        <v>2.8475754424430395</v>
      </c>
      <c r="L776" s="12">
        <f t="shared" ca="1" si="73"/>
        <v>52.527019252380029</v>
      </c>
      <c r="M776" s="12">
        <f t="shared" ca="1" si="74"/>
        <v>4.0374751515300025E-2</v>
      </c>
      <c r="N776" s="13">
        <f t="shared" ca="1" si="76"/>
        <v>-49.679443809936991</v>
      </c>
      <c r="O776" s="13">
        <f t="shared" ca="1" si="77"/>
        <v>-46.621714421452701</v>
      </c>
      <c r="P776" s="12">
        <f t="shared" ca="1" si="75"/>
        <v>3.1683382149833381</v>
      </c>
    </row>
    <row r="777" spans="1:16" x14ac:dyDescent="0.25">
      <c r="A777">
        <v>23</v>
      </c>
      <c r="B777">
        <v>36</v>
      </c>
      <c r="C777" s="2" t="s">
        <v>22</v>
      </c>
      <c r="D777" s="2" t="s">
        <v>35</v>
      </c>
      <c r="E777" s="11" cm="1">
        <f t="array" aca="1" ref="E777" ca="1">INDEX('OD flujo mercancia multimodal'!E$45:E$1645,MATCH(C777&amp;D777,'OD flujo mercancia multimodal'!C$45:C$1645&amp;'OD flujo mercancia multimodal'!D$45:D$1645,0))</f>
        <v>4526.3846153846116</v>
      </c>
      <c r="F777" s="11" cm="1">
        <f t="array" aca="1" ref="F777" ca="1">INDEX('OD flujo mercancia carretera'!E$45:E$1646,MATCH(C777&amp;D777,'OD flujo mercancia carretera'!C$45:C$1646&amp;'OD flujo mercancia carretera'!D$45:D$1646,0))</f>
        <v>196378.58974358978</v>
      </c>
      <c r="G777" s="11" cm="1">
        <f t="array" aca="1" ref="G777" ca="1">INDEX('Coste Carretera'!E$46:E$1646,MATCH(C777&amp;D777,'Coste Carretera'!C$46:C$1646&amp;'Coste Carretera'!D$46:D$1646,0))</f>
        <v>853631961.6000005</v>
      </c>
      <c r="H777" s="11" cm="1">
        <f t="array" aca="1" ref="H777" ca="1">INDEX('Coste multimodal'!E$46:E$1646,MATCH(C777&amp;D777,'Coste multimodal'!C$46:C$1646&amp;'Coste multimodal'!D$46:D$1646,0))</f>
        <v>448103960.70211166</v>
      </c>
      <c r="I777" s="12" cm="1">
        <f t="array" aca="1" ref="I777" ca="1">INDEX('Tiempos intermodal (horas)'!E$45:E$1645,MATCH(C777&amp;D777,'Tiempos intermodal (horas)'!C$45:C$1645&amp;'Tiempos intermodal (horas)'!D$45:D$1645,0))</f>
        <v>54.0217144214527</v>
      </c>
      <c r="J777" s="2" cm="1">
        <f t="array" aca="1" ref="J777" ca="1">INDEX('Tiempos carretera (horas)'!E$45:E$1645,MATCH(C777&amp;D777,'Tiempos carretera (horas)'!C$45:C$1645&amp;'Tiempos carretera (horas)'!D$45:D$1645,0))</f>
        <v>7.4</v>
      </c>
      <c r="K777" s="12">
        <f t="shared" ca="1" si="72"/>
        <v>4.3468687839880209</v>
      </c>
      <c r="L777" s="12">
        <f t="shared" ca="1" si="73"/>
        <v>98.99820690867999</v>
      </c>
      <c r="M777" s="12">
        <f t="shared" ca="1" si="74"/>
        <v>2.252997781576541E-2</v>
      </c>
      <c r="N777" s="13">
        <f t="shared" ca="1" si="76"/>
        <v>-94.651338124691975</v>
      </c>
      <c r="O777" s="13">
        <f t="shared" ca="1" si="77"/>
        <v>-46.621714421452701</v>
      </c>
      <c r="P777" s="12">
        <f t="shared" ca="1" si="75"/>
        <v>3.7701208537564801</v>
      </c>
    </row>
    <row r="778" spans="1:16" x14ac:dyDescent="0.25">
      <c r="A778">
        <v>9</v>
      </c>
      <c r="B778">
        <v>23</v>
      </c>
      <c r="C778" s="2" t="s">
        <v>148</v>
      </c>
      <c r="D778" s="2" t="s">
        <v>22</v>
      </c>
      <c r="E778" s="11" cm="1">
        <f t="array" aca="1" ref="E778" ca="1">INDEX('OD flujo mercancia multimodal'!E$45:E$1645,MATCH(C778&amp;D778,'OD flujo mercancia multimodal'!C$45:C$1645&amp;'OD flujo mercancia multimodal'!D$45:D$1645,0))</f>
        <v>7340.1923076923104</v>
      </c>
      <c r="F778" s="11" cm="1">
        <f t="array" aca="1" ref="F778" ca="1">INDEX('OD flujo mercancia carretera'!E$45:E$1646,MATCH(C778&amp;D778,'OD flujo mercancia carretera'!C$45:C$1646&amp;'OD flujo mercancia carretera'!D$45:D$1646,0))</f>
        <v>685311.96367521409</v>
      </c>
      <c r="G778" s="11" cm="1">
        <f t="array" aca="1" ref="G778" ca="1">INDEX('Coste Carretera'!E$46:E$1646,MATCH(C778&amp;D778,'Coste Carretera'!C$46:C$1646&amp;'Coste Carretera'!D$46:D$1646,0))</f>
        <v>316886671.80000013</v>
      </c>
      <c r="H778" s="11" cm="1">
        <f t="array" aca="1" ref="H778" ca="1">INDEX('Coste multimodal'!E$46:E$1646,MATCH(C778&amp;D778,'Coste multimodal'!C$46:C$1646&amp;'Coste multimodal'!D$46:D$1646,0))</f>
        <v>523039548.81811166</v>
      </c>
      <c r="I778" s="12" cm="1">
        <f t="array" aca="1" ref="I778" ca="1">INDEX('Tiempos intermodal (horas)'!E$45:E$1645,MATCH(C778&amp;D778,'Tiempos intermodal (horas)'!C$45:C$1645&amp;'Tiempos intermodal (horas)'!D$45:D$1645,0))</f>
        <v>55.862825532563811</v>
      </c>
      <c r="J778" s="2" cm="1">
        <f t="array" aca="1" ref="J778" ca="1">INDEX('Tiempos carretera (horas)'!E$45:E$1645,MATCH(C778&amp;D778,'Tiempos carretera (horas)'!C$45:C$1645&amp;'Tiempos carretera (horas)'!D$45:D$1645,0))</f>
        <v>9.23</v>
      </c>
      <c r="K778" s="12">
        <f t="shared" ca="1" si="72"/>
        <v>0.46239769418381321</v>
      </c>
      <c r="L778" s="12">
        <f t="shared" ca="1" si="73"/>
        <v>71.256927188403665</v>
      </c>
      <c r="M778" s="12">
        <f t="shared" ca="1" si="74"/>
        <v>1.0597227257996805E-2</v>
      </c>
      <c r="N778" s="13">
        <f t="shared" ca="1" si="76"/>
        <v>-70.794529494219859</v>
      </c>
      <c r="O778" s="13">
        <f t="shared" ca="1" si="77"/>
        <v>-46.632825532563814</v>
      </c>
      <c r="P778" s="12">
        <f t="shared" ca="1" si="75"/>
        <v>4.5365091137717428</v>
      </c>
    </row>
    <row r="779" spans="1:16" x14ac:dyDescent="0.25">
      <c r="A779">
        <v>23</v>
      </c>
      <c r="B779">
        <v>9</v>
      </c>
      <c r="C779" s="2" t="s">
        <v>22</v>
      </c>
      <c r="D779" s="2" t="s">
        <v>148</v>
      </c>
      <c r="E779" s="11" cm="1">
        <f t="array" aca="1" ref="E779" ca="1">INDEX('OD flujo mercancia multimodal'!E$45:E$1645,MATCH(C779&amp;D779,'OD flujo mercancia multimodal'!C$45:C$1645&amp;'OD flujo mercancia multimodal'!D$45:D$1645,0))</f>
        <v>1403.9930069930065</v>
      </c>
      <c r="F779" s="11" cm="1">
        <f t="array" aca="1" ref="F779" ca="1">INDEX('OD flujo mercancia carretera'!E$45:E$1646,MATCH(C779&amp;D779,'OD flujo mercancia carretera'!C$45:C$1646&amp;'OD flujo mercancia carretera'!D$45:D$1646,0))</f>
        <v>675185.28846153861</v>
      </c>
      <c r="G779" s="11" cm="1">
        <f t="array" aca="1" ref="G779" ca="1">INDEX('Coste Carretera'!E$46:E$1646,MATCH(C779&amp;D779,'Coste Carretera'!C$46:C$1646&amp;'Coste Carretera'!D$46:D$1646,0))</f>
        <v>86936763.305454507</v>
      </c>
      <c r="H779" s="11" cm="1">
        <f t="array" aca="1" ref="H779" ca="1">INDEX('Coste multimodal'!E$46:E$1646,MATCH(C779&amp;D779,'Coste multimodal'!C$46:C$1646&amp;'Coste multimodal'!D$46:D$1646,0))</f>
        <v>523039548.81811166</v>
      </c>
      <c r="I779" s="12" cm="1">
        <f t="array" aca="1" ref="I779" ca="1">INDEX('Tiempos intermodal (horas)'!E$45:E$1645,MATCH(C779&amp;D779,'Tiempos intermodal (horas)'!C$45:C$1645&amp;'Tiempos intermodal (horas)'!D$45:D$1645,0))</f>
        <v>55.862825532563811</v>
      </c>
      <c r="J779" s="2" cm="1">
        <f t="array" aca="1" ref="J779" ca="1">INDEX('Tiempos carretera (horas)'!E$45:E$1645,MATCH(C779&amp;D779,'Tiempos carretera (horas)'!C$45:C$1645&amp;'Tiempos carretera (horas)'!D$45:D$1645,0))</f>
        <v>9.23</v>
      </c>
      <c r="K779" s="12">
        <f t="shared" ca="1" si="72"/>
        <v>0.12875986013194476</v>
      </c>
      <c r="L779" s="12">
        <f t="shared" ca="1" si="73"/>
        <v>372.53714670440451</v>
      </c>
      <c r="M779" s="12">
        <f t="shared" ca="1" si="74"/>
        <v>2.0751038265720838E-3</v>
      </c>
      <c r="N779" s="13">
        <f t="shared" ca="1" si="76"/>
        <v>-372.40838684427257</v>
      </c>
      <c r="O779" s="13">
        <f t="shared" ca="1" si="77"/>
        <v>-46.632825532563814</v>
      </c>
      <c r="P779" s="12">
        <f t="shared" ca="1" si="75"/>
        <v>6.175666829811405</v>
      </c>
    </row>
    <row r="780" spans="1:16" x14ac:dyDescent="0.25">
      <c r="A780">
        <v>26</v>
      </c>
      <c r="B780">
        <v>41</v>
      </c>
      <c r="C780" s="2" t="s">
        <v>25</v>
      </c>
      <c r="D780" s="2" t="s">
        <v>40</v>
      </c>
      <c r="E780" s="11" cm="1">
        <f t="array" aca="1" ref="E780" ca="1">INDEX('OD flujo mercancia multimodal'!E$45:E$1645,MATCH(C780&amp;D780,'OD flujo mercancia multimodal'!C$45:C$1645&amp;'OD flujo mercancia multimodal'!D$45:D$1645,0))</f>
        <v>23251.999999999993</v>
      </c>
      <c r="F780" s="11" cm="1">
        <f t="array" aca="1" ref="F780" ca="1">INDEX('OD flujo mercancia carretera'!E$45:E$1646,MATCH(C780&amp;D780,'OD flujo mercancia carretera'!C$45:C$1646&amp;'OD flujo mercancia carretera'!D$45:D$1646,0))</f>
        <v>68095.492673992703</v>
      </c>
      <c r="G780" s="11" cm="1">
        <f t="array" aca="1" ref="G780" ca="1">INDEX('Coste Carretera'!E$46:E$1646,MATCH(C780&amp;D780,'Coste Carretera'!C$46:C$1646&amp;'Coste Carretera'!D$46:D$1646,0))</f>
        <v>834128215.19999981</v>
      </c>
      <c r="H780" s="11" cm="1">
        <f t="array" aca="1" ref="H780" ca="1">INDEX('Coste multimodal'!E$46:E$1646,MATCH(C780&amp;D780,'Coste multimodal'!C$46:C$1646&amp;'Coste multimodal'!D$46:D$1646,0))</f>
        <v>348913564.97415376</v>
      </c>
      <c r="I780" s="12" cm="1">
        <f t="array" aca="1" ref="I780" ca="1">INDEX('Tiempos intermodal (horas)'!E$45:E$1645,MATCH(C780&amp;D780,'Tiempos intermodal (horas)'!C$45:C$1645&amp;'Tiempos intermodal (horas)'!D$45:D$1645,0))</f>
        <v>60.950212626689179</v>
      </c>
      <c r="J780" s="2" cm="1">
        <f t="array" aca="1" ref="J780" ca="1">INDEX('Tiempos carretera (horas)'!E$45:E$1645,MATCH(C780&amp;D780,'Tiempos carretera (horas)'!C$45:C$1645&amp;'Tiempos carretera (horas)'!D$45:D$1645,0))</f>
        <v>14.31</v>
      </c>
      <c r="K780" s="12">
        <f t="shared" ca="1" si="72"/>
        <v>12.249389532922393</v>
      </c>
      <c r="L780" s="12">
        <f t="shared" ca="1" si="73"/>
        <v>15.005744235943311</v>
      </c>
      <c r="M780" s="12">
        <f t="shared" ca="1" si="74"/>
        <v>0.25454447975910349</v>
      </c>
      <c r="N780" s="13">
        <f t="shared" ca="1" si="76"/>
        <v>-2.7563547030209179</v>
      </c>
      <c r="O780" s="13">
        <f t="shared" ca="1" si="77"/>
        <v>-46.640212626689177</v>
      </c>
      <c r="P780" s="12">
        <f t="shared" ca="1" si="75"/>
        <v>1.0745198742535615</v>
      </c>
    </row>
    <row r="781" spans="1:16" x14ac:dyDescent="0.25">
      <c r="A781">
        <v>41</v>
      </c>
      <c r="B781">
        <v>26</v>
      </c>
      <c r="C781" s="2" t="s">
        <v>40</v>
      </c>
      <c r="D781" s="2" t="s">
        <v>25</v>
      </c>
      <c r="E781" s="11" cm="1">
        <f t="array" aca="1" ref="E781" ca="1">INDEX('OD flujo mercancia multimodal'!E$45:E$1645,MATCH(C781&amp;D781,'OD flujo mercancia multimodal'!C$45:C$1645&amp;'OD flujo mercancia multimodal'!D$45:D$1645,0))</f>
        <v>11947.923076923074</v>
      </c>
      <c r="F781" s="11" cm="1">
        <f t="array" aca="1" ref="F781" ca="1">INDEX('OD flujo mercancia carretera'!E$45:E$1646,MATCH(C781&amp;D781,'OD flujo mercancia carretera'!C$45:C$1646&amp;'OD flujo mercancia carretera'!D$45:D$1646,0))</f>
        <v>113300.5</v>
      </c>
      <c r="G781" s="11" cm="1">
        <f t="array" aca="1" ref="G781" ca="1">INDEX('Coste Carretera'!E$46:E$1646,MATCH(C781&amp;D781,'Coste Carretera'!C$46:C$1646&amp;'Coste Carretera'!D$46:D$1646,0))</f>
        <v>540076087.99999988</v>
      </c>
      <c r="H781" s="11" cm="1">
        <f t="array" aca="1" ref="H781" ca="1">INDEX('Coste multimodal'!E$46:E$1646,MATCH(C781&amp;D781,'Coste multimodal'!C$46:C$1646&amp;'Coste multimodal'!D$46:D$1646,0))</f>
        <v>292417745.58063108</v>
      </c>
      <c r="I781" s="12" cm="1">
        <f t="array" aca="1" ref="I781" ca="1">INDEX('Tiempos intermodal (horas)'!E$45:E$1645,MATCH(C781&amp;D781,'Tiempos intermodal (horas)'!C$45:C$1645&amp;'Tiempos intermodal (horas)'!D$45:D$1645,0))</f>
        <v>61.659477139053116</v>
      </c>
      <c r="J781" s="2" cm="1">
        <f t="array" aca="1" ref="J781" ca="1">INDEX('Tiempos carretera (horas)'!E$45:E$1645,MATCH(C781&amp;D781,'Tiempos carretera (horas)'!C$45:C$1645&amp;'Tiempos carretera (horas)'!D$45:D$1645,0))</f>
        <v>14.35</v>
      </c>
      <c r="K781" s="12">
        <f t="shared" ca="1" si="72"/>
        <v>4.766758204950551</v>
      </c>
      <c r="L781" s="12">
        <f t="shared" ca="1" si="73"/>
        <v>24.474357902874686</v>
      </c>
      <c r="M781" s="12">
        <f t="shared" ca="1" si="74"/>
        <v>9.539380044397916E-2</v>
      </c>
      <c r="N781" s="13">
        <f t="shared" ca="1" si="76"/>
        <v>-19.707599697924135</v>
      </c>
      <c r="O781" s="13">
        <f t="shared" ca="1" si="77"/>
        <v>-47.309477139053115</v>
      </c>
      <c r="P781" s="12">
        <f t="shared" ca="1" si="75"/>
        <v>2.2494861189088327</v>
      </c>
    </row>
    <row r="782" spans="1:16" x14ac:dyDescent="0.25">
      <c r="A782">
        <v>22</v>
      </c>
      <c r="B782">
        <v>34</v>
      </c>
      <c r="C782" s="2" t="s">
        <v>21</v>
      </c>
      <c r="D782" s="2" t="s">
        <v>33</v>
      </c>
      <c r="E782" s="11" cm="1">
        <f t="array" aca="1" ref="E782" ca="1">INDEX('OD flujo mercancia multimodal'!E$45:E$1645,MATCH(C782&amp;D782,'OD flujo mercancia multimodal'!C$45:C$1645&amp;'OD flujo mercancia multimodal'!D$45:D$1645,0))</f>
        <v>305441.84615384642</v>
      </c>
      <c r="F782" s="11" cm="1">
        <f t="array" aca="1" ref="F782" ca="1">INDEX('OD flujo mercancia carretera'!E$45:E$1646,MATCH(C782&amp;D782,'OD flujo mercancia carretera'!C$45:C$1646&amp;'OD flujo mercancia carretera'!D$45:D$1646,0))</f>
        <v>394221.05555555562</v>
      </c>
      <c r="G782" s="11" cm="1">
        <f t="array" aca="1" ref="G782" ca="1">INDEX('Coste Carretera'!E$46:E$1646,MATCH(C782&amp;D782,'Coste Carretera'!C$46:C$1646&amp;'Coste Carretera'!D$46:D$1646,0))</f>
        <v>2719646299.079999</v>
      </c>
      <c r="H782" s="11" cm="1">
        <f t="array" aca="1" ref="H782" ca="1">INDEX('Coste multimodal'!E$46:E$1646,MATCH(C782&amp;D782,'Coste multimodal'!C$46:C$1646&amp;'Coste multimodal'!D$46:D$1646,0))</f>
        <v>4148090877.3243937</v>
      </c>
      <c r="I782" s="12" cm="1">
        <f t="array" aca="1" ref="I782" ca="1">INDEX('Tiempos intermodal (horas)'!E$45:E$1645,MATCH(C782&amp;D782,'Tiempos intermodal (horas)'!C$45:C$1645&amp;'Tiempos intermodal (horas)'!D$45:D$1645,0))</f>
        <v>52.295953456386073</v>
      </c>
      <c r="J782" s="2" cm="1">
        <f t="array" aca="1" ref="J782" ca="1">INDEX('Tiempos carretera (horas)'!E$45:E$1645,MATCH(C782&amp;D782,'Tiempos carretera (horas)'!C$45:C$1645&amp;'Tiempos carretera (horas)'!D$45:D$1645,0))</f>
        <v>7.58</v>
      </c>
      <c r="K782" s="12">
        <f t="shared" ca="1" si="72"/>
        <v>6.8987849856150882</v>
      </c>
      <c r="L782" s="12">
        <f t="shared" ca="1" si="73"/>
        <v>13.580624035499913</v>
      </c>
      <c r="M782" s="12">
        <f t="shared" ca="1" si="74"/>
        <v>0.43655572620414373</v>
      </c>
      <c r="N782" s="13">
        <f t="shared" ca="1" si="76"/>
        <v>-6.6818390498848244</v>
      </c>
      <c r="O782" s="13">
        <f t="shared" ca="1" si="77"/>
        <v>-44.715953456386075</v>
      </c>
      <c r="P782" s="12">
        <f t="shared" ca="1" si="75"/>
        <v>0.25515240247208054</v>
      </c>
    </row>
    <row r="783" spans="1:16" x14ac:dyDescent="0.25">
      <c r="A783">
        <v>34</v>
      </c>
      <c r="B783">
        <v>22</v>
      </c>
      <c r="C783" s="2" t="s">
        <v>33</v>
      </c>
      <c r="D783" s="2" t="s">
        <v>21</v>
      </c>
      <c r="E783" s="11" cm="1">
        <f t="array" aca="1" ref="E783" ca="1">INDEX('OD flujo mercancia multimodal'!E$45:E$1645,MATCH(C783&amp;D783,'OD flujo mercancia multimodal'!C$45:C$1645&amp;'OD flujo mercancia multimodal'!D$45:D$1645,0))</f>
        <v>146416.92307692303</v>
      </c>
      <c r="F783" s="11" cm="1">
        <f t="array" aca="1" ref="F783" ca="1">INDEX('OD flujo mercancia carretera'!E$45:E$1646,MATCH(C783&amp;D783,'OD flujo mercancia carretera'!C$45:C$1646&amp;'OD flujo mercancia carretera'!D$45:D$1646,0))</f>
        <v>401028.55982905952</v>
      </c>
      <c r="G783" s="11" cm="1">
        <f t="array" aca="1" ref="G783" ca="1">INDEX('Coste Carretera'!E$46:E$1646,MATCH(C783&amp;D783,'Coste Carretera'!C$46:C$1646&amp;'Coste Carretera'!D$46:D$1646,0))</f>
        <v>1938063992.3999982</v>
      </c>
      <c r="H783" s="11" cm="1">
        <f t="array" aca="1" ref="H783" ca="1">INDEX('Coste multimodal'!E$46:E$1646,MATCH(C783&amp;D783,'Coste multimodal'!C$46:C$1646&amp;'Coste multimodal'!D$46:D$1646,0))</f>
        <v>4148090877.3243937</v>
      </c>
      <c r="I783" s="12" cm="1">
        <f t="array" aca="1" ref="I783" ca="1">INDEX('Tiempos intermodal (horas)'!E$45:E$1645,MATCH(C783&amp;D783,'Tiempos intermodal (horas)'!C$45:C$1645&amp;'Tiempos intermodal (horas)'!D$45:D$1645,0))</f>
        <v>52.295953456386073</v>
      </c>
      <c r="J783" s="2" cm="1">
        <f t="array" aca="1" ref="J783" ca="1">INDEX('Tiempos carretera (horas)'!E$45:E$1645,MATCH(C783&amp;D783,'Tiempos carretera (horas)'!C$45:C$1645&amp;'Tiempos carretera (horas)'!D$45:D$1645,0))</f>
        <v>7.58</v>
      </c>
      <c r="K783" s="12">
        <f t="shared" ca="1" si="72"/>
        <v>4.8327330931894421</v>
      </c>
      <c r="L783" s="12">
        <f t="shared" ca="1" si="73"/>
        <v>28.330679201236265</v>
      </c>
      <c r="M783" s="12">
        <f t="shared" ca="1" si="74"/>
        <v>0.26745480170866337</v>
      </c>
      <c r="N783" s="13">
        <f t="shared" ca="1" si="76"/>
        <v>-23.497946108046822</v>
      </c>
      <c r="O783" s="13">
        <f t="shared" ca="1" si="77"/>
        <v>-44.715953456386075</v>
      </c>
      <c r="P783" s="12">
        <f t="shared" ca="1" si="75"/>
        <v>1.007574456654915</v>
      </c>
    </row>
    <row r="784" spans="1:16" x14ac:dyDescent="0.25">
      <c r="A784">
        <v>38</v>
      </c>
      <c r="B784">
        <v>15</v>
      </c>
      <c r="C784" s="2" t="s">
        <v>37</v>
      </c>
      <c r="D784" s="2" t="s">
        <v>14</v>
      </c>
      <c r="E784" s="11" cm="1">
        <f t="array" aca="1" ref="E784" ca="1">INDEX('OD flujo mercancia multimodal'!E$45:E$1645,MATCH(C784&amp;D784,'OD flujo mercancia multimodal'!C$45:C$1645&amp;'OD flujo mercancia multimodal'!D$45:D$1645,0))</f>
        <v>47740.769230769198</v>
      </c>
      <c r="F784" s="11" cm="1">
        <f t="array" aca="1" ref="F784" ca="1">INDEX('OD flujo mercancia carretera'!E$45:E$1646,MATCH(C784&amp;D784,'OD flujo mercancia carretera'!C$45:C$1646&amp;'OD flujo mercancia carretera'!D$45:D$1646,0))</f>
        <v>297710.15384615434</v>
      </c>
      <c r="G784" s="11" cm="1">
        <f t="array" aca="1" ref="G784" ca="1">INDEX('Coste Carretera'!E$46:E$1646,MATCH(C784&amp;D784,'Coste Carretera'!C$46:C$1646&amp;'Coste Carretera'!D$46:D$1646,0))</f>
        <v>3278978319.8799977</v>
      </c>
      <c r="H784" s="11" cm="1">
        <f t="array" aca="1" ref="H784" ca="1">INDEX('Coste multimodal'!E$46:E$1646,MATCH(C784&amp;D784,'Coste multimodal'!C$46:C$1646&amp;'Coste multimodal'!D$46:D$1646,0))</f>
        <v>289141805.37415379</v>
      </c>
      <c r="I784" s="12" cm="1">
        <f t="array" aca="1" ref="I784" ca="1">INDEX('Tiempos intermodal (horas)'!E$45:E$1645,MATCH(C784&amp;D784,'Tiempos intermodal (horas)'!C$45:C$1645&amp;'Tiempos intermodal (horas)'!D$45:D$1645,0))</f>
        <v>58.851323737800293</v>
      </c>
      <c r="J784" s="2" cm="1">
        <f t="array" aca="1" ref="J784" ca="1">INDEX('Tiempos carretera (horas)'!E$45:E$1645,MATCH(C784&amp;D784,'Tiempos carretera (horas)'!C$45:C$1645&amp;'Tiempos carretera (horas)'!D$45:D$1645,0))</f>
        <v>12.08</v>
      </c>
      <c r="K784" s="12">
        <f t="shared" ca="1" si="72"/>
        <v>11.013995584357708</v>
      </c>
      <c r="L784" s="12">
        <f t="shared" ca="1" si="73"/>
        <v>6.0564965758406819</v>
      </c>
      <c r="M784" s="12">
        <f t="shared" ca="1" si="74"/>
        <v>0.13819841268780889</v>
      </c>
      <c r="N784" s="13">
        <f t="shared" ca="1" si="76"/>
        <v>4.9574990085170265</v>
      </c>
      <c r="O784" s="13">
        <f t="shared" ca="1" si="77"/>
        <v>-46.771323737800294</v>
      </c>
      <c r="P784" s="12">
        <f t="shared" ca="1" si="75"/>
        <v>1.8303346413856667</v>
      </c>
    </row>
    <row r="785" spans="1:16" x14ac:dyDescent="0.25">
      <c r="A785">
        <v>15</v>
      </c>
      <c r="B785">
        <v>38</v>
      </c>
      <c r="C785" s="2" t="s">
        <v>14</v>
      </c>
      <c r="D785" s="2" t="s">
        <v>37</v>
      </c>
      <c r="E785" s="11" cm="1">
        <f t="array" aca="1" ref="E785" ca="1">INDEX('OD flujo mercancia multimodal'!E$45:E$1645,MATCH(C785&amp;D785,'OD flujo mercancia multimodal'!C$45:C$1645&amp;'OD flujo mercancia multimodal'!D$45:D$1645,0))</f>
        <v>26370.76923076923</v>
      </c>
      <c r="F785" s="11" cm="1">
        <f t="array" aca="1" ref="F785" ca="1">INDEX('OD flujo mercancia carretera'!E$45:E$1646,MATCH(C785&amp;D785,'OD flujo mercancia carretera'!C$45:C$1646&amp;'OD flujo mercancia carretera'!D$45:D$1646,0))</f>
        <v>302539.30769230775</v>
      </c>
      <c r="G785" s="11" cm="1">
        <f t="array" aca="1" ref="G785" ca="1">INDEX('Coste Carretera'!E$46:E$1646,MATCH(C785&amp;D785,'Coste Carretera'!C$46:C$1646&amp;'Coste Carretera'!D$46:D$1646,0))</f>
        <v>2238794336.5600028</v>
      </c>
      <c r="H785" s="11" cm="1">
        <f t="array" aca="1" ref="H785" ca="1">INDEX('Coste multimodal'!E$46:E$1646,MATCH(C785&amp;D785,'Coste multimodal'!C$46:C$1646&amp;'Coste multimodal'!D$46:D$1646,0))</f>
        <v>289141805.37415379</v>
      </c>
      <c r="I785" s="12" cm="1">
        <f t="array" aca="1" ref="I785" ca="1">INDEX('Tiempos intermodal (horas)'!E$45:E$1645,MATCH(C785&amp;D785,'Tiempos intermodal (horas)'!C$45:C$1645&amp;'Tiempos intermodal (horas)'!D$45:D$1645,0))</f>
        <v>58.851323737800293</v>
      </c>
      <c r="J785" s="2" cm="1">
        <f t="array" aca="1" ref="J785" ca="1">INDEX('Tiempos carretera (horas)'!E$45:E$1645,MATCH(C785&amp;D785,'Tiempos carretera (horas)'!C$45:C$1645&amp;'Tiempos carretera (horas)'!D$45:D$1645,0))</f>
        <v>12.08</v>
      </c>
      <c r="K785" s="12">
        <f t="shared" ca="1" si="72"/>
        <v>7.4000114353303434</v>
      </c>
      <c r="L785" s="12">
        <f t="shared" ca="1" si="73"/>
        <v>10.964481272574526</v>
      </c>
      <c r="M785" s="12">
        <f t="shared" ca="1" si="74"/>
        <v>8.0176227732106323E-2</v>
      </c>
      <c r="N785" s="13">
        <f t="shared" ca="1" si="76"/>
        <v>-3.5644698372441823</v>
      </c>
      <c r="O785" s="13">
        <f t="shared" ca="1" si="77"/>
        <v>-46.771323737800294</v>
      </c>
      <c r="P785" s="12">
        <f t="shared" ca="1" si="75"/>
        <v>2.4399550411961779</v>
      </c>
    </row>
    <row r="786" spans="1:16" x14ac:dyDescent="0.25">
      <c r="A786">
        <v>34</v>
      </c>
      <c r="B786">
        <v>3</v>
      </c>
      <c r="C786" s="2" t="s">
        <v>33</v>
      </c>
      <c r="D786" s="2" t="s">
        <v>2</v>
      </c>
      <c r="E786" s="11" cm="1">
        <f t="array" aca="1" ref="E786" ca="1">INDEX('OD flujo mercancia multimodal'!E$45:E$1645,MATCH(C786&amp;D786,'OD flujo mercancia multimodal'!C$45:C$1645&amp;'OD flujo mercancia multimodal'!D$45:D$1645,0))</f>
        <v>141156.48351648354</v>
      </c>
      <c r="F786" s="11" cm="1">
        <f t="array" aca="1" ref="F786" ca="1">INDEX('OD flujo mercancia carretera'!E$45:E$1646,MATCH(C786&amp;D786,'OD flujo mercancia carretera'!C$45:C$1646&amp;'OD flujo mercancia carretera'!D$45:D$1646,0))</f>
        <v>316579.688034188</v>
      </c>
      <c r="G786" s="11" cm="1">
        <f t="array" aca="1" ref="G786" ca="1">INDEX('Coste Carretera'!E$46:E$1646,MATCH(C786&amp;D786,'Coste Carretera'!C$46:C$1646&amp;'Coste Carretera'!D$46:D$1646,0))</f>
        <v>548699225.60000014</v>
      </c>
      <c r="H786" s="11" cm="1">
        <f t="array" aca="1" ref="H786" ca="1">INDEX('Coste multimodal'!E$46:E$1646,MATCH(C786&amp;D786,'Coste multimodal'!C$46:C$1646&amp;'Coste multimodal'!D$46:D$1646,0))</f>
        <v>4187174249.4731255</v>
      </c>
      <c r="I786" s="12" cm="1">
        <f t="array" aca="1" ref="I786" ca="1">INDEX('Tiempos intermodal (horas)'!E$45:E$1645,MATCH(C786&amp;D786,'Tiempos intermodal (horas)'!C$45:C$1645&amp;'Tiempos intermodal (horas)'!D$45:D$1645,0))</f>
        <v>44.827244351773651</v>
      </c>
      <c r="J786" s="2" cm="1">
        <f t="array" aca="1" ref="J786" ca="1">INDEX('Tiempos carretera (horas)'!E$45:E$1645,MATCH(C786&amp;D786,'Tiempos carretera (horas)'!C$45:C$1645&amp;'Tiempos carretera (horas)'!D$45:D$1645,0))</f>
        <v>2.61</v>
      </c>
      <c r="K786" s="12">
        <f t="shared" ca="1" si="72"/>
        <v>1.7332104564483148</v>
      </c>
      <c r="L786" s="12">
        <f t="shared" ca="1" si="73"/>
        <v>29.663350525335016</v>
      </c>
      <c r="M786" s="12">
        <f t="shared" ca="1" si="74"/>
        <v>0.30837956947620748</v>
      </c>
      <c r="N786" s="13">
        <f t="shared" ca="1" si="76"/>
        <v>-27.930140068886701</v>
      </c>
      <c r="O786" s="13">
        <f t="shared" ca="1" si="77"/>
        <v>-42.217244351773651</v>
      </c>
      <c r="P786" s="12">
        <f t="shared" ca="1" si="75"/>
        <v>0.80770590166666911</v>
      </c>
    </row>
    <row r="787" spans="1:16" x14ac:dyDescent="0.25">
      <c r="A787">
        <v>13</v>
      </c>
      <c r="B787">
        <v>33</v>
      </c>
      <c r="C787" s="2" t="s">
        <v>12</v>
      </c>
      <c r="D787" s="2" t="s">
        <v>32</v>
      </c>
      <c r="E787" s="11" cm="1">
        <f t="array" aca="1" ref="E787" ca="1">INDEX('OD flujo mercancia multimodal'!E$45:E$1645,MATCH(C787&amp;D787,'OD flujo mercancia multimodal'!C$45:C$1645&amp;'OD flujo mercancia multimodal'!D$45:D$1645,0))</f>
        <v>65975.615384615347</v>
      </c>
      <c r="F787" s="11" cm="1">
        <f t="array" aca="1" ref="F787" ca="1">INDEX('OD flujo mercancia carretera'!E$45:E$1646,MATCH(C787&amp;D787,'OD flujo mercancia carretera'!C$45:C$1646&amp;'OD flujo mercancia carretera'!D$45:D$1646,0))</f>
        <v>122592.03076923078</v>
      </c>
      <c r="G787" s="11" cm="1">
        <f t="array" aca="1" ref="G787" ca="1">INDEX('Coste Carretera'!E$46:E$1646,MATCH(C787&amp;D787,'Coste Carretera'!C$46:C$1646&amp;'Coste Carretera'!D$46:D$1646,0))</f>
        <v>190952272.55999991</v>
      </c>
      <c r="H787" s="11" cm="1">
        <f t="array" aca="1" ref="H787" ca="1">INDEX('Coste multimodal'!E$46:E$1646,MATCH(C787&amp;D787,'Coste multimodal'!C$46:C$1646&amp;'Coste multimodal'!D$46:D$1646,0))</f>
        <v>405277586.50911796</v>
      </c>
      <c r="I787" s="12" cm="1">
        <f t="array" aca="1" ref="I787" ca="1">INDEX('Tiempos intermodal (horas)'!E$45:E$1645,MATCH(C787&amp;D787,'Tiempos intermodal (horas)'!C$45:C$1645&amp;'Tiempos intermodal (horas)'!D$45:D$1645,0))</f>
        <v>63.173730891047292</v>
      </c>
      <c r="J787" s="2" cm="1">
        <f t="array" aca="1" ref="J787" ca="1">INDEX('Tiempos carretera (horas)'!E$45:E$1645,MATCH(C787&amp;D787,'Tiempos carretera (horas)'!C$45:C$1645&amp;'Tiempos carretera (horas)'!D$45:D$1645,0))</f>
        <v>16.260000000000002</v>
      </c>
      <c r="K787" s="12">
        <f t="shared" ca="1" si="72"/>
        <v>1.5576238631649031</v>
      </c>
      <c r="L787" s="12">
        <f t="shared" ca="1" si="73"/>
        <v>6.142839049647173</v>
      </c>
      <c r="M787" s="12">
        <f t="shared" ca="1" si="74"/>
        <v>0.34987770558894299</v>
      </c>
      <c r="N787" s="13">
        <f t="shared" ca="1" si="76"/>
        <v>-4.5852151864822694</v>
      </c>
      <c r="O787" s="13">
        <f t="shared" ca="1" si="77"/>
        <v>-46.913730891047294</v>
      </c>
      <c r="P787" s="12">
        <f t="shared" ca="1" si="75"/>
        <v>0.61957680961873318</v>
      </c>
    </row>
    <row r="788" spans="1:16" x14ac:dyDescent="0.25">
      <c r="A788">
        <v>33</v>
      </c>
      <c r="B788">
        <v>13</v>
      </c>
      <c r="C788" s="2" t="s">
        <v>32</v>
      </c>
      <c r="D788" s="2" t="s">
        <v>12</v>
      </c>
      <c r="E788" s="11" cm="1">
        <f t="array" aca="1" ref="E788" ca="1">INDEX('OD flujo mercancia multimodal'!E$45:E$1645,MATCH(C788&amp;D788,'OD flujo mercancia multimodal'!C$45:C$1645&amp;'OD flujo mercancia multimodal'!D$45:D$1645,0))</f>
        <v>33451</v>
      </c>
      <c r="F788" s="11" cm="1">
        <f t="array" aca="1" ref="F788" ca="1">INDEX('OD flujo mercancia carretera'!E$45:E$1646,MATCH(C788&amp;D788,'OD flujo mercancia carretera'!C$45:C$1646&amp;'OD flujo mercancia carretera'!D$45:D$1646,0))</f>
        <v>116398.55897435901</v>
      </c>
      <c r="G788" s="11" cm="1">
        <f t="array" aca="1" ref="G788" ca="1">INDEX('Coste Carretera'!E$46:E$1646,MATCH(C788&amp;D788,'Coste Carretera'!C$46:C$1646&amp;'Coste Carretera'!D$46:D$1646,0))</f>
        <v>282616010.32000029</v>
      </c>
      <c r="H788" s="11" cm="1">
        <f t="array" aca="1" ref="H788" ca="1">INDEX('Coste multimodal'!E$46:E$1646,MATCH(C788&amp;D788,'Coste multimodal'!C$46:C$1646&amp;'Coste multimodal'!D$46:D$1646,0))</f>
        <v>405277586.50911796</v>
      </c>
      <c r="I788" s="12" cm="1">
        <f t="array" aca="1" ref="I788" ca="1">INDEX('Tiempos intermodal (horas)'!E$45:E$1645,MATCH(C788&amp;D788,'Tiempos intermodal (horas)'!C$45:C$1645&amp;'Tiempos intermodal (horas)'!D$45:D$1645,0))</f>
        <v>63.173730891047292</v>
      </c>
      <c r="J788" s="2" cm="1">
        <f t="array" aca="1" ref="J788" ca="1">INDEX('Tiempos carretera (horas)'!E$45:E$1645,MATCH(C788&amp;D788,'Tiempos carretera (horas)'!C$45:C$1645&amp;'Tiempos carretera (horas)'!D$45:D$1645,0))</f>
        <v>16.260000000000002</v>
      </c>
      <c r="K788" s="12">
        <f t="shared" ca="1" si="72"/>
        <v>2.4280026557910972</v>
      </c>
      <c r="L788" s="12">
        <f t="shared" ca="1" si="73"/>
        <v>12.11555966963971</v>
      </c>
      <c r="M788" s="12">
        <f t="shared" ca="1" si="74"/>
        <v>0.22323055355620935</v>
      </c>
      <c r="N788" s="13">
        <f t="shared" ca="1" si="76"/>
        <v>-9.6875570138486129</v>
      </c>
      <c r="O788" s="13">
        <f t="shared" ca="1" si="77"/>
        <v>-46.913730891047294</v>
      </c>
      <c r="P788" s="12">
        <f t="shared" ca="1" si="75"/>
        <v>1.2469384737817377</v>
      </c>
    </row>
    <row r="789" spans="1:16" x14ac:dyDescent="0.25">
      <c r="A789">
        <v>40</v>
      </c>
      <c r="B789">
        <v>18</v>
      </c>
      <c r="C789" s="2" t="s">
        <v>39</v>
      </c>
      <c r="D789" s="2" t="s">
        <v>17</v>
      </c>
      <c r="E789" s="11" cm="1">
        <f t="array" aca="1" ref="E789" ca="1">INDEX('OD flujo mercancia multimodal'!E$45:E$1645,MATCH(C789&amp;D789,'OD flujo mercancia multimodal'!C$45:C$1645&amp;'OD flujo mercancia multimodal'!D$45:D$1645,0))</f>
        <v>26439.692307692279</v>
      </c>
      <c r="F789" s="11" cm="1">
        <f t="array" aca="1" ref="F789" ca="1">INDEX('OD flujo mercancia carretera'!E$45:E$1646,MATCH(C789&amp;D789,'OD flujo mercancia carretera'!C$45:C$1646&amp;'OD flujo mercancia carretera'!D$45:D$1646,0))</f>
        <v>152260.89743589744</v>
      </c>
      <c r="G789" s="11" cm="1">
        <f t="array" aca="1" ref="G789" ca="1">INDEX('Coste Carretera'!E$46:E$1646,MATCH(C789&amp;D789,'Coste Carretera'!C$46:C$1646&amp;'Coste Carretera'!D$46:D$1646,0))</f>
        <v>1090586429.4399986</v>
      </c>
      <c r="H789" s="11" cm="1">
        <f t="array" aca="1" ref="H789" ca="1">INDEX('Coste multimodal'!E$46:E$1646,MATCH(C789&amp;D789,'Coste multimodal'!C$46:C$1646&amp;'Coste multimodal'!D$46:D$1646,0))</f>
        <v>309639963.73096633</v>
      </c>
      <c r="I789" s="12" cm="1">
        <f t="array" aca="1" ref="I789" ca="1">INDEX('Tiempos intermodal (horas)'!E$45:E$1645,MATCH(C789&amp;D789,'Tiempos intermodal (horas)'!C$45:C$1645&amp;'Tiempos intermodal (horas)'!D$45:D$1645,0))</f>
        <v>70.193941910660669</v>
      </c>
      <c r="J789" s="2" cm="1">
        <f t="array" aca="1" ref="J789" ca="1">INDEX('Tiempos carretera (horas)'!E$45:E$1645,MATCH(C789&amp;D789,'Tiempos carretera (horas)'!C$45:C$1645&amp;'Tiempos carretera (horas)'!D$45:D$1645,0))</f>
        <v>8.26</v>
      </c>
      <c r="K789" s="12">
        <f t="shared" ca="1" si="72"/>
        <v>7.1626165864360587</v>
      </c>
      <c r="L789" s="12">
        <f t="shared" ca="1" si="73"/>
        <v>11.711178788600376</v>
      </c>
      <c r="M789" s="12">
        <f t="shared" ca="1" si="74"/>
        <v>0.14795526050378194</v>
      </c>
      <c r="N789" s="13">
        <f t="shared" ca="1" si="76"/>
        <v>-4.5485622021643177</v>
      </c>
      <c r="O789" s="13">
        <f t="shared" ca="1" si="77"/>
        <v>-61.933941910660671</v>
      </c>
      <c r="P789" s="12">
        <f t="shared" ca="1" si="75"/>
        <v>1.750729102425709</v>
      </c>
    </row>
    <row r="790" spans="1:16" x14ac:dyDescent="0.25">
      <c r="A790">
        <v>18</v>
      </c>
      <c r="B790">
        <v>40</v>
      </c>
      <c r="C790" s="2" t="s">
        <v>17</v>
      </c>
      <c r="D790" s="2" t="s">
        <v>39</v>
      </c>
      <c r="E790" s="11" cm="1">
        <f t="array" aca="1" ref="E790" ca="1">INDEX('OD flujo mercancia multimodal'!E$45:E$1645,MATCH(C790&amp;D790,'OD flujo mercancia multimodal'!C$45:C$1645&amp;'OD flujo mercancia multimodal'!D$45:D$1645,0))</f>
        <v>16451.384615384617</v>
      </c>
      <c r="F790" s="11" cm="1">
        <f t="array" aca="1" ref="F790" ca="1">INDEX('OD flujo mercancia carretera'!E$45:E$1646,MATCH(C790&amp;D790,'OD flujo mercancia carretera'!C$45:C$1646&amp;'OD flujo mercancia carretera'!D$45:D$1646,0))</f>
        <v>128216.75824175827</v>
      </c>
      <c r="G790" s="11" cm="1">
        <f t="array" aca="1" ref="G790" ca="1">INDEX('Coste Carretera'!E$46:E$1646,MATCH(C790&amp;D790,'Coste Carretera'!C$46:C$1646&amp;'Coste Carretera'!D$46:D$1646,0))</f>
        <v>463507644.6000002</v>
      </c>
      <c r="H790" s="11" cm="1">
        <f t="array" aca="1" ref="H790" ca="1">INDEX('Coste multimodal'!E$46:E$1646,MATCH(C790&amp;D790,'Coste multimodal'!C$46:C$1646&amp;'Coste multimodal'!D$46:D$1646,0))</f>
        <v>378446652.06749839</v>
      </c>
      <c r="I790" s="12" cm="1">
        <f t="array" aca="1" ref="I790" ca="1">INDEX('Tiempos intermodal (horas)'!E$45:E$1645,MATCH(C790&amp;D790,'Tiempos intermodal (horas)'!C$45:C$1645&amp;'Tiempos intermodal (horas)'!D$45:D$1645,0))</f>
        <v>57.492164724099112</v>
      </c>
      <c r="J790" s="2" cm="1">
        <f t="array" aca="1" ref="J790" ca="1">INDEX('Tiempos carretera (horas)'!E$45:E$1645,MATCH(C790&amp;D790,'Tiempos carretera (horas)'!C$45:C$1645&amp;'Tiempos carretera (horas)'!D$45:D$1645,0))</f>
        <v>9.0500000000000007</v>
      </c>
      <c r="K790" s="12">
        <f t="shared" ca="1" si="72"/>
        <v>3.6150316928621482</v>
      </c>
      <c r="L790" s="12">
        <f t="shared" ca="1" si="73"/>
        <v>23.003939237648822</v>
      </c>
      <c r="M790" s="12">
        <f t="shared" ca="1" si="74"/>
        <v>0.1137180881047879</v>
      </c>
      <c r="N790" s="13">
        <f t="shared" ca="1" si="76"/>
        <v>-19.388907544786676</v>
      </c>
      <c r="O790" s="13">
        <f t="shared" ca="1" si="77"/>
        <v>-48.442164724099115</v>
      </c>
      <c r="P790" s="12">
        <f t="shared" ca="1" si="75"/>
        <v>2.0533126106408242</v>
      </c>
    </row>
    <row r="791" spans="1:16" x14ac:dyDescent="0.25">
      <c r="A791">
        <v>23</v>
      </c>
      <c r="B791">
        <v>41</v>
      </c>
      <c r="C791" s="2" t="s">
        <v>22</v>
      </c>
      <c r="D791" s="2" t="s">
        <v>40</v>
      </c>
      <c r="E791" s="11" cm="1">
        <f t="array" aca="1" ref="E791" ca="1">INDEX('OD flujo mercancia multimodal'!E$45:E$1645,MATCH(C791&amp;D791,'OD flujo mercancia multimodal'!C$45:C$1645&amp;'OD flujo mercancia multimodal'!D$45:D$1645,0))</f>
        <v>22889.230769230762</v>
      </c>
      <c r="F791" s="11" cm="1">
        <f t="array" aca="1" ref="F791" ca="1">INDEX('OD flujo mercancia carretera'!E$45:E$1646,MATCH(C791&amp;D791,'OD flujo mercancia carretera'!C$45:C$1646&amp;'OD flujo mercancia carretera'!D$45:D$1646,0))</f>
        <v>125839.15934065937</v>
      </c>
      <c r="G791" s="11" cm="1">
        <f t="array" aca="1" ref="G791" ca="1">INDEX('Coste Carretera'!E$46:E$1646,MATCH(C791&amp;D791,'Coste Carretera'!C$46:C$1646&amp;'Coste Carretera'!D$46:D$1646,0))</f>
        <v>821281863.5999999</v>
      </c>
      <c r="H791" s="11" cm="1">
        <f t="array" aca="1" ref="H791" ca="1">INDEX('Coste multimodal'!E$46:E$1646,MATCH(C791&amp;D791,'Coste multimodal'!C$46:C$1646&amp;'Coste multimodal'!D$46:D$1646,0))</f>
        <v>176101061.34552336</v>
      </c>
      <c r="I791" s="12" cm="1">
        <f t="array" aca="1" ref="I791" ca="1">INDEX('Tiempos intermodal (horas)'!E$45:E$1645,MATCH(C791&amp;D791,'Tiempos intermodal (horas)'!C$45:C$1645&amp;'Tiempos intermodal (horas)'!D$45:D$1645,0))</f>
        <v>62.332947599943694</v>
      </c>
      <c r="J791" s="2" cm="1">
        <f t="array" aca="1" ref="J791" ca="1">INDEX('Tiempos carretera (horas)'!E$45:E$1645,MATCH(C791&amp;D791,'Tiempos carretera (horas)'!C$45:C$1645&amp;'Tiempos carretera (horas)'!D$45:D$1645,0))</f>
        <v>15.08</v>
      </c>
      <c r="K791" s="12">
        <f t="shared" ca="1" si="72"/>
        <v>6.5264411166058931</v>
      </c>
      <c r="L791" s="12">
        <f t="shared" ca="1" si="73"/>
        <v>7.6936207739340112</v>
      </c>
      <c r="M791" s="12">
        <f t="shared" ca="1" si="74"/>
        <v>0.1538995396394644</v>
      </c>
      <c r="N791" s="13">
        <f t="shared" ca="1" si="76"/>
        <v>-1.1671796573281181</v>
      </c>
      <c r="O791" s="13">
        <f t="shared" ca="1" si="77"/>
        <v>-47.252947599943695</v>
      </c>
      <c r="P791" s="12">
        <f t="shared" ca="1" si="75"/>
        <v>1.7043380504835508</v>
      </c>
    </row>
    <row r="792" spans="1:16" x14ac:dyDescent="0.25">
      <c r="A792">
        <v>41</v>
      </c>
      <c r="B792">
        <v>23</v>
      </c>
      <c r="C792" s="2" t="s">
        <v>40</v>
      </c>
      <c r="D792" s="2" t="s">
        <v>22</v>
      </c>
      <c r="E792" s="11" cm="1">
        <f t="array" aca="1" ref="E792" ca="1">INDEX('OD flujo mercancia multimodal'!E$45:E$1645,MATCH(C792&amp;D792,'OD flujo mercancia multimodal'!C$45:C$1645&amp;'OD flujo mercancia multimodal'!D$45:D$1645,0))</f>
        <v>14101.846153846156</v>
      </c>
      <c r="F792" s="11" cm="1">
        <f t="array" aca="1" ref="F792" ca="1">INDEX('OD flujo mercancia carretera'!E$45:E$1646,MATCH(C792&amp;D792,'OD flujo mercancia carretera'!C$45:C$1646&amp;'OD flujo mercancia carretera'!D$45:D$1646,0))</f>
        <v>176807.16666666701</v>
      </c>
      <c r="G792" s="11" cm="1">
        <f t="array" aca="1" ref="G792" ca="1">INDEX('Coste Carretera'!E$46:E$1646,MATCH(C792&amp;D792,'Coste Carretera'!C$46:C$1646&amp;'Coste Carretera'!D$46:D$1646,0))</f>
        <v>719874534.6400001</v>
      </c>
      <c r="H792" s="11" cm="1">
        <f t="array" aca="1" ref="H792" ca="1">INDEX('Coste multimodal'!E$46:E$1646,MATCH(C792&amp;D792,'Coste multimodal'!C$46:C$1646&amp;'Coste multimodal'!D$46:D$1646,0))</f>
        <v>97551699.154128015</v>
      </c>
      <c r="I792" s="12" cm="1">
        <f t="array" aca="1" ref="I792" ca="1">INDEX('Tiempos intermodal (horas)'!E$45:E$1645,MATCH(C792&amp;D792,'Tiempos intermodal (horas)'!C$45:C$1645&amp;'Tiempos intermodal (horas)'!D$45:D$1645,0))</f>
        <v>57.795606757929789</v>
      </c>
      <c r="J792" s="2" cm="1">
        <f t="array" aca="1" ref="J792" ca="1">INDEX('Tiempos carretera (horas)'!E$45:E$1645,MATCH(C792&amp;D792,'Tiempos carretera (horas)'!C$45:C$1645&amp;'Tiempos carretera (horas)'!D$45:D$1645,0))</f>
        <v>15.65</v>
      </c>
      <c r="K792" s="12">
        <f t="shared" ca="1" si="72"/>
        <v>4.0715235033270636</v>
      </c>
      <c r="L792" s="12">
        <f t="shared" ca="1" si="73"/>
        <v>6.9176544751569029</v>
      </c>
      <c r="M792" s="12">
        <f t="shared" ca="1" si="74"/>
        <v>7.3866843400967566E-2</v>
      </c>
      <c r="N792" s="13">
        <f t="shared" ca="1" si="76"/>
        <v>-2.8461309718298393</v>
      </c>
      <c r="O792" s="13">
        <f t="shared" ca="1" si="77"/>
        <v>-42.145606757929791</v>
      </c>
      <c r="P792" s="12">
        <f t="shared" ca="1" si="75"/>
        <v>2.5287539631169036</v>
      </c>
    </row>
    <row r="793" spans="1:16" x14ac:dyDescent="0.25">
      <c r="A793">
        <v>32</v>
      </c>
      <c r="B793">
        <v>13</v>
      </c>
      <c r="C793" s="2" t="s">
        <v>31</v>
      </c>
      <c r="D793" s="2" t="s">
        <v>12</v>
      </c>
      <c r="E793" s="11" cm="1">
        <f t="array" aca="1" ref="E793" ca="1">INDEX('OD flujo mercancia multimodal'!E$45:E$1645,MATCH(C793&amp;D793,'OD flujo mercancia multimodal'!C$45:C$1645&amp;'OD flujo mercancia multimodal'!D$45:D$1645,0))</f>
        <v>3401.4615384615427</v>
      </c>
      <c r="F793" s="11" cm="1">
        <f t="array" aca="1" ref="F793" ca="1">INDEX('OD flujo mercancia carretera'!E$45:E$1646,MATCH(C793&amp;D793,'OD flujo mercancia carretera'!C$45:C$1646&amp;'OD flujo mercancia carretera'!D$45:D$1646,0))</f>
        <v>70288.138461538489</v>
      </c>
      <c r="G793" s="11" cm="1">
        <f t="array" aca="1" ref="G793" ca="1">INDEX('Coste Carretera'!E$46:E$1646,MATCH(C793&amp;D793,'Coste Carretera'!C$46:C$1646&amp;'Coste Carretera'!D$46:D$1646,0))</f>
        <v>450994750.5600003</v>
      </c>
      <c r="H793" s="11" cm="1">
        <f t="array" aca="1" ref="H793" ca="1">INDEX('Coste multimodal'!E$46:E$1646,MATCH(C793&amp;D793,'Coste multimodal'!C$46:C$1646&amp;'Coste multimodal'!D$46:D$1646,0))</f>
        <v>326373966.14511794</v>
      </c>
      <c r="I793" s="12" cm="1">
        <f t="array" aca="1" ref="I793" ca="1">INDEX('Tiempos intermodal (horas)'!E$45:E$1645,MATCH(C793&amp;D793,'Tiempos intermodal (horas)'!C$45:C$1645&amp;'Tiempos intermodal (horas)'!D$45:D$1645,0))</f>
        <v>64.481508668825072</v>
      </c>
      <c r="J793" s="2" cm="1">
        <f t="array" aca="1" ref="J793" ca="1">INDEX('Tiempos carretera (horas)'!E$45:E$1645,MATCH(C793&amp;D793,'Tiempos carretera (horas)'!C$45:C$1645&amp;'Tiempos carretera (horas)'!D$45:D$1645,0))</f>
        <v>17.23</v>
      </c>
      <c r="K793" s="12">
        <f t="shared" ca="1" si="72"/>
        <v>6.4163706769213071</v>
      </c>
      <c r="L793" s="12">
        <f t="shared" ca="1" si="73"/>
        <v>95.951097037167912</v>
      </c>
      <c r="M793" s="12">
        <f t="shared" ca="1" si="74"/>
        <v>4.6159316083430241E-2</v>
      </c>
      <c r="N793" s="13">
        <f t="shared" ca="1" si="76"/>
        <v>-89.534726360246609</v>
      </c>
      <c r="O793" s="13">
        <f t="shared" ca="1" si="77"/>
        <v>-47.251508668825068</v>
      </c>
      <c r="P793" s="12">
        <f t="shared" ca="1" si="75"/>
        <v>3.0283978536383187</v>
      </c>
    </row>
    <row r="794" spans="1:16" x14ac:dyDescent="0.25">
      <c r="A794">
        <v>13</v>
      </c>
      <c r="B794">
        <v>32</v>
      </c>
      <c r="C794" s="2" t="s">
        <v>12</v>
      </c>
      <c r="D794" s="2" t="s">
        <v>31</v>
      </c>
      <c r="E794" s="11" cm="1">
        <f t="array" aca="1" ref="E794" ca="1">INDEX('OD flujo mercancia multimodal'!E$45:E$1645,MATCH(C794&amp;D794,'OD flujo mercancia multimodal'!C$45:C$1645&amp;'OD flujo mercancia multimodal'!D$45:D$1645,0))</f>
        <v>2298.2307692307686</v>
      </c>
      <c r="F794" s="11" cm="1">
        <f t="array" aca="1" ref="F794" ca="1">INDEX('OD flujo mercancia carretera'!E$45:E$1646,MATCH(C794&amp;D794,'OD flujo mercancia carretera'!C$45:C$1646&amp;'OD flujo mercancia carretera'!D$45:D$1646,0))</f>
        <v>72881.807692307688</v>
      </c>
      <c r="G794" s="11" cm="1">
        <f t="array" aca="1" ref="G794" ca="1">INDEX('Coste Carretera'!E$46:E$1646,MATCH(C794&amp;D794,'Coste Carretera'!C$46:C$1646&amp;'Coste Carretera'!D$46:D$1646,0))</f>
        <v>391528043.28000003</v>
      </c>
      <c r="H794" s="11" cm="1">
        <f t="array" aca="1" ref="H794" ca="1">INDEX('Coste multimodal'!E$46:E$1646,MATCH(C794&amp;D794,'Coste multimodal'!C$46:C$1646&amp;'Coste multimodal'!D$46:D$1646,0))</f>
        <v>326373966.14511794</v>
      </c>
      <c r="I794" s="12" cm="1">
        <f t="array" aca="1" ref="I794" ca="1">INDEX('Tiempos intermodal (horas)'!E$45:E$1645,MATCH(C794&amp;D794,'Tiempos intermodal (horas)'!C$45:C$1645&amp;'Tiempos intermodal (horas)'!D$45:D$1645,0))</f>
        <v>64.481508668825072</v>
      </c>
      <c r="J794" s="2" cm="1">
        <f t="array" aca="1" ref="J794" ca="1">INDEX('Tiempos carretera (horas)'!E$45:E$1645,MATCH(C794&amp;D794,'Tiempos carretera (horas)'!C$45:C$1645&amp;'Tiempos carretera (horas)'!D$45:D$1645,0))</f>
        <v>17.23</v>
      </c>
      <c r="K794" s="12">
        <f t="shared" ref="K794:K857" ca="1" si="78">G794/(F794*1000)</f>
        <v>5.3720956666299031</v>
      </c>
      <c r="L794" s="12">
        <f t="shared" ref="L794:L857" ca="1" si="79">H794/(E794*1000)</f>
        <v>142.01096361370065</v>
      </c>
      <c r="M794" s="12">
        <f t="shared" ref="M794:M857" ca="1" si="80">E794/(E794+F794)</f>
        <v>3.0569693980756957E-2</v>
      </c>
      <c r="N794" s="13">
        <f t="shared" ca="1" si="76"/>
        <v>-136.63886794707076</v>
      </c>
      <c r="O794" s="13">
        <f t="shared" ca="1" si="77"/>
        <v>-47.251508668825068</v>
      </c>
      <c r="P794" s="12">
        <f t="shared" ref="P794:P857" ca="1" si="81">LN(1/M794-1)</f>
        <v>3.4566994601695211</v>
      </c>
    </row>
    <row r="795" spans="1:16" x14ac:dyDescent="0.25">
      <c r="A795">
        <v>25</v>
      </c>
      <c r="B795">
        <v>41</v>
      </c>
      <c r="C795" s="2" t="s">
        <v>24</v>
      </c>
      <c r="D795" s="2" t="s">
        <v>40</v>
      </c>
      <c r="E795" s="11" cm="1">
        <f t="array" aca="1" ref="E795" ca="1">INDEX('OD flujo mercancia multimodal'!E$45:E$1645,MATCH(C795&amp;D795,'OD flujo mercancia multimodal'!C$45:C$1645&amp;'OD flujo mercancia multimodal'!D$45:D$1645,0))</f>
        <v>25782.999999999993</v>
      </c>
      <c r="F795" s="11" cm="1">
        <f t="array" aca="1" ref="F795" ca="1">INDEX('OD flujo mercancia carretera'!E$45:E$1646,MATCH(C795&amp;D795,'OD flujo mercancia carretera'!C$45:C$1646&amp;'OD flujo mercancia carretera'!D$45:D$1646,0))</f>
        <v>85813.826007326032</v>
      </c>
      <c r="G795" s="11" cm="1">
        <f t="array" aca="1" ref="G795" ca="1">INDEX('Coste Carretera'!E$46:E$1646,MATCH(C795&amp;D795,'Coste Carretera'!C$46:C$1646&amp;'Coste Carretera'!D$46:D$1646,0))</f>
        <v>917247308.51999986</v>
      </c>
      <c r="H795" s="11" cm="1">
        <f t="array" aca="1" ref="H795" ca="1">INDEX('Coste multimodal'!E$46:E$1646,MATCH(C795&amp;D795,'Coste multimodal'!C$46:C$1646&amp;'Coste multimodal'!D$46:D$1646,0))</f>
        <v>181003187.24552336</v>
      </c>
      <c r="I795" s="12" cm="1">
        <f t="array" aca="1" ref="I795" ca="1">INDEX('Tiempos intermodal (horas)'!E$45:E$1645,MATCH(C795&amp;D795,'Tiempos intermodal (horas)'!C$45:C$1645&amp;'Tiempos intermodal (horas)'!D$45:D$1645,0))</f>
        <v>60.282947599943689</v>
      </c>
      <c r="J795" s="2" cm="1">
        <f t="array" aca="1" ref="J795" ca="1">INDEX('Tiempos carretera (horas)'!E$45:E$1645,MATCH(C795&amp;D795,'Tiempos carretera (horas)'!C$45:C$1645&amp;'Tiempos carretera (horas)'!D$45:D$1645,0))</f>
        <v>13</v>
      </c>
      <c r="K795" s="12">
        <f t="shared" ca="1" si="78"/>
        <v>10.688805652852412</v>
      </c>
      <c r="L795" s="12">
        <f t="shared" ca="1" si="79"/>
        <v>7.0202531608239314</v>
      </c>
      <c r="M795" s="12">
        <f t="shared" ca="1" si="80"/>
        <v>0.23103703682672311</v>
      </c>
      <c r="N795" s="13">
        <f t="shared" ca="1" si="76"/>
        <v>3.6685524920284811</v>
      </c>
      <c r="O795" s="13">
        <f t="shared" ca="1" si="77"/>
        <v>-47.282947599943689</v>
      </c>
      <c r="P795" s="12">
        <f t="shared" ca="1" si="81"/>
        <v>1.2024647757692495</v>
      </c>
    </row>
    <row r="796" spans="1:16" x14ac:dyDescent="0.25">
      <c r="A796">
        <v>41</v>
      </c>
      <c r="B796">
        <v>25</v>
      </c>
      <c r="C796" s="2" t="s">
        <v>40</v>
      </c>
      <c r="D796" s="2" t="s">
        <v>24</v>
      </c>
      <c r="E796" s="11" cm="1">
        <f t="array" aca="1" ref="E796" ca="1">INDEX('OD flujo mercancia multimodal'!E$45:E$1645,MATCH(C796&amp;D796,'OD flujo mercancia multimodal'!C$45:C$1645&amp;'OD flujo mercancia multimodal'!D$45:D$1645,0))</f>
        <v>12868.846153846156</v>
      </c>
      <c r="F796" s="11" cm="1">
        <f t="array" aca="1" ref="F796" ca="1">INDEX('OD flujo mercancia carretera'!E$45:E$1646,MATCH(C796&amp;D796,'OD flujo mercancia carretera'!C$45:C$1646&amp;'OD flujo mercancia carretera'!D$45:D$1646,0))</f>
        <v>127226.8333333333</v>
      </c>
      <c r="G796" s="11" cm="1">
        <f t="array" aca="1" ref="G796" ca="1">INDEX('Coste Carretera'!E$46:E$1646,MATCH(C796&amp;D796,'Coste Carretera'!C$46:C$1646&amp;'Coste Carretera'!D$46:D$1646,0))</f>
        <v>546337570.88000011</v>
      </c>
      <c r="H796" s="11" cm="1">
        <f t="array" aca="1" ref="H796" ca="1">INDEX('Coste multimodal'!E$46:E$1646,MATCH(C796&amp;D796,'Coste multimodal'!C$46:C$1646&amp;'Coste multimodal'!D$46:D$1646,0))</f>
        <v>102453825.05412802</v>
      </c>
      <c r="I796" s="12" cm="1">
        <f t="array" aca="1" ref="I796" ca="1">INDEX('Tiempos intermodal (horas)'!E$45:E$1645,MATCH(C796&amp;D796,'Tiempos intermodal (horas)'!C$45:C$1645&amp;'Tiempos intermodal (horas)'!D$45:D$1645,0))</f>
        <v>55.745606757929792</v>
      </c>
      <c r="J796" s="2" cm="1">
        <f t="array" aca="1" ref="J796" ca="1">INDEX('Tiempos carretera (horas)'!E$45:E$1645,MATCH(C796&amp;D796,'Tiempos carretera (horas)'!C$45:C$1645&amp;'Tiempos carretera (horas)'!D$45:D$1645,0))</f>
        <v>12.95</v>
      </c>
      <c r="K796" s="12">
        <f t="shared" ca="1" si="78"/>
        <v>4.2942008109924421</v>
      </c>
      <c r="L796" s="12">
        <f t="shared" ca="1" si="79"/>
        <v>7.9613839367803223</v>
      </c>
      <c r="M796" s="12">
        <f t="shared" ca="1" si="80"/>
        <v>9.1857551931312925E-2</v>
      </c>
      <c r="N796" s="13">
        <f t="shared" ca="1" si="76"/>
        <v>-3.6671831257878802</v>
      </c>
      <c r="O796" s="13">
        <f t="shared" ca="1" si="77"/>
        <v>-42.795606757929789</v>
      </c>
      <c r="P796" s="12">
        <f t="shared" ca="1" si="81"/>
        <v>2.2911622188837142</v>
      </c>
    </row>
    <row r="797" spans="1:16" x14ac:dyDescent="0.25">
      <c r="A797">
        <v>41</v>
      </c>
      <c r="B797">
        <v>15</v>
      </c>
      <c r="C797" s="2" t="s">
        <v>40</v>
      </c>
      <c r="D797" s="2" t="s">
        <v>14</v>
      </c>
      <c r="E797" s="11" cm="1">
        <f t="array" aca="1" ref="E797" ca="1">INDEX('OD flujo mercancia multimodal'!E$45:E$1645,MATCH(C797&amp;D797,'OD flujo mercancia multimodal'!C$45:C$1645&amp;'OD flujo mercancia multimodal'!D$45:D$1645,0))</f>
        <v>55397.923076923042</v>
      </c>
      <c r="F797" s="11" cm="1">
        <f t="array" aca="1" ref="F797" ca="1">INDEX('OD flujo mercancia carretera'!E$45:E$1646,MATCH(C797&amp;D797,'OD flujo mercancia carretera'!C$45:C$1646&amp;'OD flujo mercancia carretera'!D$45:D$1646,0))</f>
        <v>358989.96153846203</v>
      </c>
      <c r="G797" s="11" cm="1">
        <f t="array" aca="1" ref="G797" ca="1">INDEX('Coste Carretera'!E$46:E$1646,MATCH(C797&amp;D797,'Coste Carretera'!C$46:C$1646&amp;'Coste Carretera'!D$46:D$1646,0))</f>
        <v>3119517495.8399978</v>
      </c>
      <c r="H797" s="11" cm="1">
        <f t="array" aca="1" ref="H797" ca="1">INDEX('Coste multimodal'!E$46:E$1646,MATCH(C797&amp;D797,'Coste multimodal'!C$46:C$1646&amp;'Coste multimodal'!D$46:D$1646,0))</f>
        <v>389612202.94063109</v>
      </c>
      <c r="I797" s="12" cm="1">
        <f t="array" aca="1" ref="I797" ca="1">INDEX('Tiempos intermodal (horas)'!E$45:E$1645,MATCH(C797&amp;D797,'Tiempos intermodal (horas)'!C$45:C$1645&amp;'Tiempos intermodal (horas)'!D$45:D$1645,0))</f>
        <v>58.960588250164228</v>
      </c>
      <c r="J797" s="2" cm="1">
        <f t="array" aca="1" ref="J797" ca="1">INDEX('Tiempos carretera (horas)'!E$45:E$1645,MATCH(C797&amp;D797,'Tiempos carretera (horas)'!C$45:C$1645&amp;'Tiempos carretera (horas)'!D$45:D$1645,0))</f>
        <v>11.5</v>
      </c>
      <c r="K797" s="12">
        <f t="shared" ca="1" si="78"/>
        <v>8.6897067607996998</v>
      </c>
      <c r="L797" s="12">
        <f t="shared" ca="1" si="79"/>
        <v>7.0329749077349568</v>
      </c>
      <c r="M797" s="12">
        <f t="shared" ca="1" si="80"/>
        <v>0.13368615525123456</v>
      </c>
      <c r="N797" s="13">
        <f t="shared" ca="1" si="76"/>
        <v>1.656731853064743</v>
      </c>
      <c r="O797" s="13">
        <f t="shared" ca="1" si="77"/>
        <v>-47.460588250164228</v>
      </c>
      <c r="P797" s="12">
        <f t="shared" ca="1" si="81"/>
        <v>1.8687523223446609</v>
      </c>
    </row>
    <row r="798" spans="1:16" x14ac:dyDescent="0.25">
      <c r="A798">
        <v>15</v>
      </c>
      <c r="B798">
        <v>41</v>
      </c>
      <c r="C798" s="2" t="s">
        <v>14</v>
      </c>
      <c r="D798" s="2" t="s">
        <v>40</v>
      </c>
      <c r="E798" s="11" cm="1">
        <f t="array" aca="1" ref="E798" ca="1">INDEX('OD flujo mercancia multimodal'!E$45:E$1645,MATCH(C798&amp;D798,'OD flujo mercancia multimodal'!C$45:C$1645&amp;'OD flujo mercancia multimodal'!D$45:D$1645,0))</f>
        <v>48346.461538461532</v>
      </c>
      <c r="F798" s="11" cm="1">
        <f t="array" aca="1" ref="F798" ca="1">INDEX('OD flujo mercancia carretera'!E$45:E$1646,MATCH(C798&amp;D798,'OD flujo mercancia carretera'!C$45:C$1646&amp;'OD flujo mercancia carretera'!D$45:D$1646,0))</f>
        <v>316207.41575091582</v>
      </c>
      <c r="G798" s="11" cm="1">
        <f t="array" aca="1" ref="G798" ca="1">INDEX('Coste Carretera'!E$46:E$1646,MATCH(C798&amp;D798,'Coste Carretera'!C$46:C$1646&amp;'Coste Carretera'!D$46:D$1646,0))</f>
        <v>2097972727.1999998</v>
      </c>
      <c r="H798" s="11" cm="1">
        <f t="array" aca="1" ref="H798" ca="1">INDEX('Coste multimodal'!E$46:E$1646,MATCH(C798&amp;D798,'Coste multimodal'!C$46:C$1646&amp;'Coste multimodal'!D$46:D$1646,0))</f>
        <v>446108022.33415377</v>
      </c>
      <c r="I798" s="12" cm="1">
        <f t="array" aca="1" ref="I798" ca="1">INDEX('Tiempos intermodal (horas)'!E$45:E$1645,MATCH(C798&amp;D798,'Tiempos intermodal (horas)'!C$45:C$1645&amp;'Tiempos intermodal (horas)'!D$45:D$1645,0))</f>
        <v>58.251323737800291</v>
      </c>
      <c r="J798" s="2" cm="1">
        <f t="array" aca="1" ref="J798" ca="1">INDEX('Tiempos carretera (horas)'!E$45:E$1645,MATCH(C798&amp;D798,'Tiempos carretera (horas)'!C$45:C$1645&amp;'Tiempos carretera (horas)'!D$45:D$1645,0))</f>
        <v>10.96</v>
      </c>
      <c r="K798" s="12">
        <f t="shared" ca="1" si="78"/>
        <v>6.6347992573729622</v>
      </c>
      <c r="L798" s="12">
        <f t="shared" ca="1" si="79"/>
        <v>9.227314846594453</v>
      </c>
      <c r="M798" s="12">
        <f t="shared" ca="1" si="80"/>
        <v>0.13261815207655805</v>
      </c>
      <c r="N798" s="13">
        <f t="shared" ca="1" si="76"/>
        <v>-2.5925155892214908</v>
      </c>
      <c r="O798" s="13">
        <f t="shared" ca="1" si="77"/>
        <v>-47.29132373780029</v>
      </c>
      <c r="P798" s="12">
        <f t="shared" ca="1" si="81"/>
        <v>1.8780053423149556</v>
      </c>
    </row>
    <row r="799" spans="1:16" x14ac:dyDescent="0.25">
      <c r="A799">
        <v>29</v>
      </c>
      <c r="B799">
        <v>34</v>
      </c>
      <c r="C799" s="2" t="s">
        <v>147</v>
      </c>
      <c r="D799" s="2" t="s">
        <v>33</v>
      </c>
      <c r="E799" s="11" cm="1">
        <f t="array" aca="1" ref="E799" ca="1">INDEX('OD flujo mercancia multimodal'!E$45:E$1645,MATCH(C799&amp;D799,'OD flujo mercancia multimodal'!C$45:C$1645&amp;'OD flujo mercancia multimodal'!D$45:D$1645,0))</f>
        <v>320055.10769230797</v>
      </c>
      <c r="F799" s="11" cm="1">
        <f t="array" aca="1" ref="F799" ca="1">INDEX('OD flujo mercancia carretera'!E$45:E$1646,MATCH(C799&amp;D799,'OD flujo mercancia carretera'!C$45:C$1646&amp;'OD flujo mercancia carretera'!D$45:D$1646,0))</f>
        <v>629765.48888888897</v>
      </c>
      <c r="G799" s="11" cm="1">
        <f t="array" aca="1" ref="G799" ca="1">INDEX('Coste Carretera'!E$46:E$1646,MATCH(C799&amp;D799,'Coste Carretera'!C$46:C$1646&amp;'Coste Carretera'!D$46:D$1646,0))</f>
        <v>3058664124.8159986</v>
      </c>
      <c r="H799" s="11" cm="1">
        <f t="array" aca="1" ref="H799" ca="1">INDEX('Coste multimodal'!E$46:E$1646,MATCH(C799&amp;D799,'Coste multimodal'!C$46:C$1646&amp;'Coste multimodal'!D$46:D$1646,0))</f>
        <v>4069620685.5323939</v>
      </c>
      <c r="I799" s="12" cm="1">
        <f t="array" aca="1" ref="I799" ca="1">INDEX('Tiempos intermodal (horas)'!E$45:E$1645,MATCH(C799&amp;D799,'Tiempos intermodal (horas)'!C$45:C$1645&amp;'Tiempos intermodal (horas)'!D$45:D$1645,0))</f>
        <v>52.740397900830516</v>
      </c>
      <c r="J799" s="2" cm="1">
        <f t="array" aca="1" ref="J799" ca="1">INDEX('Tiempos carretera (horas)'!E$45:E$1645,MATCH(C799&amp;D799,'Tiempos carretera (horas)'!C$45:C$1645&amp;'Tiempos carretera (horas)'!D$45:D$1645,0))</f>
        <v>7.31</v>
      </c>
      <c r="K799" s="12">
        <f t="shared" ca="1" si="78"/>
        <v>4.856830326178204</v>
      </c>
      <c r="L799" s="12">
        <f t="shared" ca="1" si="79"/>
        <v>12.715374908013697</v>
      </c>
      <c r="M799" s="12">
        <f t="shared" ca="1" si="80"/>
        <v>0.33696374751644753</v>
      </c>
      <c r="N799" s="13">
        <f t="shared" ca="1" si="76"/>
        <v>-7.8585445818354929</v>
      </c>
      <c r="O799" s="13">
        <f t="shared" ca="1" si="77"/>
        <v>-45.430397900830513</v>
      </c>
      <c r="P799" s="12">
        <f t="shared" ca="1" si="81"/>
        <v>0.676854317722688</v>
      </c>
    </row>
    <row r="800" spans="1:16" x14ac:dyDescent="0.25">
      <c r="A800">
        <v>34</v>
      </c>
      <c r="B800">
        <v>29</v>
      </c>
      <c r="C800" s="2" t="s">
        <v>33</v>
      </c>
      <c r="D800" s="2" t="s">
        <v>147</v>
      </c>
      <c r="E800" s="11" cm="1">
        <f t="array" aca="1" ref="E800" ca="1">INDEX('OD flujo mercancia multimodal'!E$45:E$1645,MATCH(C800&amp;D800,'OD flujo mercancia multimodal'!C$45:C$1645&amp;'OD flujo mercancia multimodal'!D$45:D$1645,0))</f>
        <v>161221.06923076924</v>
      </c>
      <c r="F800" s="11" cm="1">
        <f t="array" aca="1" ref="F800" ca="1">INDEX('OD flujo mercancia carretera'!E$45:E$1646,MATCH(C800&amp;D800,'OD flujo mercancia carretera'!C$45:C$1646&amp;'OD flujo mercancia carretera'!D$45:D$1646,0))</f>
        <v>635969.62649572652</v>
      </c>
      <c r="G800" s="11" cm="1">
        <f t="array" aca="1" ref="G800" ca="1">INDEX('Coste Carretera'!E$46:E$1646,MATCH(C800&amp;D800,'Coste Carretera'!C$46:C$1646&amp;'Coste Carretera'!D$46:D$1646,0))</f>
        <v>2333225875.8959999</v>
      </c>
      <c r="H800" s="11" cm="1">
        <f t="array" aca="1" ref="H800" ca="1">INDEX('Coste multimodal'!E$46:E$1646,MATCH(C800&amp;D800,'Coste multimodal'!C$46:C$1646&amp;'Coste multimodal'!D$46:D$1646,0))</f>
        <v>4069620685.5323939</v>
      </c>
      <c r="I800" s="12" cm="1">
        <f t="array" aca="1" ref="I800" ca="1">INDEX('Tiempos intermodal (horas)'!E$45:E$1645,MATCH(C800&amp;D800,'Tiempos intermodal (horas)'!C$45:C$1645&amp;'Tiempos intermodal (horas)'!D$45:D$1645,0))</f>
        <v>52.740397900830516</v>
      </c>
      <c r="J800" s="2" cm="1">
        <f t="array" aca="1" ref="J800" ca="1">INDEX('Tiempos carretera (horas)'!E$45:E$1645,MATCH(C800&amp;D800,'Tiempos carretera (horas)'!C$45:C$1645&amp;'Tiempos carretera (horas)'!D$45:D$1645,0))</f>
        <v>7.31</v>
      </c>
      <c r="K800" s="12">
        <f t="shared" ca="1" si="78"/>
        <v>3.6687693542101552</v>
      </c>
      <c r="L800" s="12">
        <f t="shared" ca="1" si="79"/>
        <v>25.242486636205125</v>
      </c>
      <c r="M800" s="12">
        <f t="shared" ca="1" si="80"/>
        <v>0.2022365164257785</v>
      </c>
      <c r="N800" s="13">
        <f t="shared" ca="1" si="76"/>
        <v>-21.57371728199497</v>
      </c>
      <c r="O800" s="13">
        <f t="shared" ca="1" si="77"/>
        <v>-45.430397900830513</v>
      </c>
      <c r="P800" s="12">
        <f t="shared" ca="1" si="81"/>
        <v>1.3723742811616881</v>
      </c>
    </row>
    <row r="801" spans="1:16" x14ac:dyDescent="0.25">
      <c r="A801">
        <v>13</v>
      </c>
      <c r="B801">
        <v>8</v>
      </c>
      <c r="C801" s="2" t="s">
        <v>12</v>
      </c>
      <c r="D801" s="2" t="s">
        <v>7</v>
      </c>
      <c r="E801" s="11" cm="1">
        <f t="array" aca="1" ref="E801" ca="1">INDEX('OD flujo mercancia multimodal'!E$45:E$1645,MATCH(C801&amp;D801,'OD flujo mercancia multimodal'!C$45:C$1645&amp;'OD flujo mercancia multimodal'!D$45:D$1645,0))</f>
        <v>36410.703296703257</v>
      </c>
      <c r="F801" s="11" cm="1">
        <f t="array" aca="1" ref="F801" ca="1">INDEX('OD flujo mercancia carretera'!E$45:E$1646,MATCH(C801&amp;D801,'OD flujo mercancia carretera'!C$45:C$1646&amp;'OD flujo mercancia carretera'!D$45:D$1646,0))</f>
        <v>142884.1538461537</v>
      </c>
      <c r="G801" s="11" cm="1">
        <f t="array" aca="1" ref="G801" ca="1">INDEX('Coste Carretera'!E$46:E$1646,MATCH(C801&amp;D801,'Coste Carretera'!C$46:C$1646&amp;'Coste Carretera'!D$46:D$1646,0))</f>
        <v>3505227821.382853</v>
      </c>
      <c r="H801" s="11" cm="1">
        <f t="array" aca="1" ref="H801" ca="1">INDEX('Coste multimodal'!E$46:E$1646,MATCH(C801&amp;D801,'Coste multimodal'!C$46:C$1646&amp;'Coste multimodal'!D$46:D$1646,0))</f>
        <v>284641568.89775723</v>
      </c>
      <c r="I801" s="12" cm="1">
        <f t="array" aca="1" ref="I801" ca="1">INDEX('Tiempos intermodal (horas)'!E$45:E$1645,MATCH(C801&amp;D801,'Tiempos intermodal (horas)'!C$45:C$1645&amp;'Tiempos intermodal (horas)'!D$45:D$1645,0))</f>
        <v>67.262597125445751</v>
      </c>
      <c r="J801" s="2" cm="1">
        <f t="array" aca="1" ref="J801" ca="1">INDEX('Tiempos carretera (horas)'!E$45:E$1645,MATCH(C801&amp;D801,'Tiempos carretera (horas)'!C$45:C$1645&amp;'Tiempos carretera (horas)'!D$45:D$1645,0))</f>
        <v>19.63</v>
      </c>
      <c r="K801" s="12">
        <f t="shared" ca="1" si="78"/>
        <v>24.531956322861411</v>
      </c>
      <c r="L801" s="12">
        <f t="shared" ca="1" si="79"/>
        <v>7.8175246047370255</v>
      </c>
      <c r="M801" s="12">
        <f t="shared" ca="1" si="80"/>
        <v>0.20307723197934374</v>
      </c>
      <c r="N801" s="13">
        <f t="shared" ca="1" si="76"/>
        <v>16.714431718124388</v>
      </c>
      <c r="O801" s="13">
        <f t="shared" ca="1" si="77"/>
        <v>-47.632597125445756</v>
      </c>
      <c r="P801" s="12">
        <f t="shared" ca="1" si="81"/>
        <v>1.3671714109449216</v>
      </c>
    </row>
    <row r="802" spans="1:16" x14ac:dyDescent="0.25">
      <c r="A802">
        <v>8</v>
      </c>
      <c r="B802">
        <v>13</v>
      </c>
      <c r="C802" s="2" t="s">
        <v>7</v>
      </c>
      <c r="D802" s="2" t="s">
        <v>12</v>
      </c>
      <c r="E802" s="11" cm="1">
        <f t="array" aca="1" ref="E802" ca="1">INDEX('OD flujo mercancia multimodal'!E$45:E$1645,MATCH(C802&amp;D802,'OD flujo mercancia multimodal'!C$45:C$1645&amp;'OD flujo mercancia multimodal'!D$45:D$1645,0))</f>
        <v>10254.027472527476</v>
      </c>
      <c r="F802" s="11" cm="1">
        <f t="array" aca="1" ref="F802" ca="1">INDEX('OD flujo mercancia carretera'!E$45:E$1646,MATCH(C802&amp;D802,'OD flujo mercancia carretera'!C$45:C$1646&amp;'OD flujo mercancia carretera'!D$45:D$1646,0))</f>
        <v>140802.46153846159</v>
      </c>
      <c r="G802" s="11" cm="1">
        <f t="array" aca="1" ref="G802" ca="1">INDEX('Coste Carretera'!E$46:E$1646,MATCH(C802&amp;D802,'Coste Carretera'!C$46:C$1646&amp;'Coste Carretera'!D$46:D$1646,0))</f>
        <v>987146611.39714313</v>
      </c>
      <c r="H802" s="11" cm="1">
        <f t="array" aca="1" ref="H802" ca="1">INDEX('Coste multimodal'!E$46:E$1646,MATCH(C802&amp;D802,'Coste multimodal'!C$46:C$1646&amp;'Coste multimodal'!D$46:D$1646,0))</f>
        <v>284641568.89775723</v>
      </c>
      <c r="I802" s="12" cm="1">
        <f t="array" aca="1" ref="I802" ca="1">INDEX('Tiempos intermodal (horas)'!E$45:E$1645,MATCH(C802&amp;D802,'Tiempos intermodal (horas)'!C$45:C$1645&amp;'Tiempos intermodal (horas)'!D$45:D$1645,0))</f>
        <v>67.262597125445751</v>
      </c>
      <c r="J802" s="2" cm="1">
        <f t="array" aca="1" ref="J802" ca="1">INDEX('Tiempos carretera (horas)'!E$45:E$1645,MATCH(C802&amp;D802,'Tiempos carretera (horas)'!C$45:C$1645&amp;'Tiempos carretera (horas)'!D$45:D$1645,0))</f>
        <v>19.63</v>
      </c>
      <c r="K802" s="12">
        <f t="shared" ca="1" si="78"/>
        <v>7.0108618884300835</v>
      </c>
      <c r="L802" s="12">
        <f t="shared" ca="1" si="79"/>
        <v>27.75900197852669</v>
      </c>
      <c r="M802" s="12">
        <f t="shared" ca="1" si="80"/>
        <v>6.7882072062336332E-2</v>
      </c>
      <c r="N802" s="13">
        <f t="shared" ca="1" si="76"/>
        <v>-20.748140090096605</v>
      </c>
      <c r="O802" s="13">
        <f t="shared" ca="1" si="77"/>
        <v>-47.632597125445756</v>
      </c>
      <c r="P802" s="12">
        <f t="shared" ca="1" si="81"/>
        <v>2.6196873735296466</v>
      </c>
    </row>
    <row r="803" spans="1:16" x14ac:dyDescent="0.25">
      <c r="A803">
        <v>22</v>
      </c>
      <c r="B803">
        <v>35</v>
      </c>
      <c r="C803" s="2" t="s">
        <v>21</v>
      </c>
      <c r="D803" s="2" t="s">
        <v>34</v>
      </c>
      <c r="E803" s="11" cm="1">
        <f t="array" aca="1" ref="E803" ca="1">INDEX('OD flujo mercancia multimodal'!E$45:E$1645,MATCH(C803&amp;D803,'OD flujo mercancia multimodal'!C$45:C$1645&amp;'OD flujo mercancia multimodal'!D$45:D$1645,0))</f>
        <v>31760.153846153862</v>
      </c>
      <c r="F803" s="11" cm="1">
        <f t="array" aca="1" ref="F803" ca="1">INDEX('OD flujo mercancia carretera'!E$45:E$1646,MATCH(C803&amp;D803,'OD flujo mercancia carretera'!C$45:C$1646&amp;'OD flujo mercancia carretera'!D$45:D$1646,0))</f>
        <v>142631.20512820515</v>
      </c>
      <c r="G803" s="11" cm="1">
        <f t="array" aca="1" ref="G803" ca="1">INDEX('Coste Carretera'!E$46:E$1646,MATCH(C803&amp;D803,'Coste Carretera'!C$46:C$1646&amp;'Coste Carretera'!D$46:D$1646,0))</f>
        <v>11550100147.20001</v>
      </c>
      <c r="H803" s="11" cm="1">
        <f t="array" aca="1" ref="H803" ca="1">INDEX('Coste multimodal'!E$46:E$1646,MATCH(C803&amp;D803,'Coste multimodal'!C$46:C$1646&amp;'Coste multimodal'!D$46:D$1646,0))</f>
        <v>3518356268.3963938</v>
      </c>
      <c r="I803" s="12" cm="1">
        <f t="array" aca="1" ref="I803" ca="1">INDEX('Tiempos intermodal (horas)'!E$45:E$1645,MATCH(C803&amp;D803,'Tiempos intermodal (horas)'!C$45:C$1645&amp;'Tiempos intermodal (horas)'!D$45:D$1645,0))</f>
        <v>53.220397900830513</v>
      </c>
      <c r="J803" s="2" cm="1">
        <f t="array" aca="1" ref="J803" ca="1">INDEX('Tiempos carretera (horas)'!E$45:E$1645,MATCH(C803&amp;D803,'Tiempos carretera (horas)'!C$45:C$1645&amp;'Tiempos carretera (horas)'!D$45:D$1645,0))</f>
        <v>7.55</v>
      </c>
      <c r="K803" s="12">
        <f t="shared" ca="1" si="78"/>
        <v>80.978774152669573</v>
      </c>
      <c r="L803" s="12">
        <f t="shared" ca="1" si="79"/>
        <v>110.77894286782445</v>
      </c>
      <c r="M803" s="12">
        <f t="shared" ca="1" si="80"/>
        <v>0.18211999741812665</v>
      </c>
      <c r="N803" s="13">
        <f t="shared" ca="1" si="76"/>
        <v>-29.800168715154882</v>
      </c>
      <c r="O803" s="13">
        <f t="shared" ca="1" si="77"/>
        <v>-45.670397900830515</v>
      </c>
      <c r="P803" s="12">
        <f t="shared" ca="1" si="81"/>
        <v>1.5020498334418297</v>
      </c>
    </row>
    <row r="804" spans="1:16" x14ac:dyDescent="0.25">
      <c r="A804">
        <v>35</v>
      </c>
      <c r="B804">
        <v>22</v>
      </c>
      <c r="C804" s="2" t="s">
        <v>34</v>
      </c>
      <c r="D804" s="2" t="s">
        <v>21</v>
      </c>
      <c r="E804" s="11" cm="1">
        <f t="array" aca="1" ref="E804" ca="1">INDEX('OD flujo mercancia multimodal'!E$45:E$1645,MATCH(C804&amp;D804,'OD flujo mercancia multimodal'!C$45:C$1645&amp;'OD flujo mercancia multimodal'!D$45:D$1645,0))</f>
        <v>31488.461538461492</v>
      </c>
      <c r="F804" s="11" cm="1">
        <f t="array" aca="1" ref="F804" ca="1">INDEX('OD flujo mercancia carretera'!E$45:E$1646,MATCH(C804&amp;D804,'OD flujo mercancia carretera'!C$45:C$1646&amp;'OD flujo mercancia carretera'!D$45:D$1646,0))</f>
        <v>140526.71794871762</v>
      </c>
      <c r="G804" s="11" cm="1">
        <f t="array" aca="1" ref="G804" ca="1">INDEX('Coste Carretera'!E$46:E$1646,MATCH(C804&amp;D804,'Coste Carretera'!C$46:C$1646&amp;'Coste Carretera'!D$46:D$1646,0))</f>
        <v>5536668095.999999</v>
      </c>
      <c r="H804" s="11" cm="1">
        <f t="array" aca="1" ref="H804" ca="1">INDEX('Coste multimodal'!E$46:E$1646,MATCH(C804&amp;D804,'Coste multimodal'!C$46:C$1646&amp;'Coste multimodal'!D$46:D$1646,0))</f>
        <v>3518356268.3963938</v>
      </c>
      <c r="I804" s="12" cm="1">
        <f t="array" aca="1" ref="I804" ca="1">INDEX('Tiempos intermodal (horas)'!E$45:E$1645,MATCH(C804&amp;D804,'Tiempos intermodal (horas)'!C$45:C$1645&amp;'Tiempos intermodal (horas)'!D$45:D$1645,0))</f>
        <v>53.220397900830513</v>
      </c>
      <c r="J804" s="2" cm="1">
        <f t="array" aca="1" ref="J804" ca="1">INDEX('Tiempos carretera (horas)'!E$45:E$1645,MATCH(C804&amp;D804,'Tiempos carretera (horas)'!C$45:C$1645&amp;'Tiempos carretera (horas)'!D$45:D$1645,0))</f>
        <v>7.55</v>
      </c>
      <c r="K804" s="12">
        <f t="shared" ca="1" si="78"/>
        <v>39.399398042018554</v>
      </c>
      <c r="L804" s="12">
        <f t="shared" ca="1" si="79"/>
        <v>111.73477828057455</v>
      </c>
      <c r="M804" s="12">
        <f t="shared" ca="1" si="80"/>
        <v>0.18305629556842937</v>
      </c>
      <c r="N804" s="13">
        <f t="shared" ca="1" si="76"/>
        <v>-72.335380238555985</v>
      </c>
      <c r="O804" s="13">
        <f t="shared" ca="1" si="77"/>
        <v>-45.670397900830515</v>
      </c>
      <c r="P804" s="12">
        <f t="shared" ca="1" si="81"/>
        <v>1.4957764556701949</v>
      </c>
    </row>
    <row r="805" spans="1:16" x14ac:dyDescent="0.25">
      <c r="A805">
        <v>4</v>
      </c>
      <c r="B805">
        <v>13</v>
      </c>
      <c r="C805" s="2" t="s">
        <v>3</v>
      </c>
      <c r="D805" s="2" t="s">
        <v>12</v>
      </c>
      <c r="E805" s="11" cm="1">
        <f t="array" aca="1" ref="E805" ca="1">INDEX('OD flujo mercancia multimodal'!E$45:E$1645,MATCH(C805&amp;D805,'OD flujo mercancia multimodal'!C$45:C$1645&amp;'OD flujo mercancia multimodal'!D$45:D$1645,0))</f>
        <v>32911.527472527479</v>
      </c>
      <c r="F805" s="11" cm="1">
        <f t="array" aca="1" ref="F805" ca="1">INDEX('OD flujo mercancia carretera'!E$45:E$1646,MATCH(C805&amp;D805,'OD flujo mercancia carretera'!C$45:C$1646&amp;'OD flujo mercancia carretera'!D$45:D$1646,0))</f>
        <v>54854.692307692349</v>
      </c>
      <c r="G805" s="11" cm="1">
        <f t="array" aca="1" ref="G805" ca="1">INDEX('Coste Carretera'!E$46:E$1646,MATCH(C805&amp;D805,'Coste Carretera'!C$46:C$1646&amp;'Coste Carretera'!D$46:D$1646,0))</f>
        <v>3171822130.9428577</v>
      </c>
      <c r="H805" s="11" cm="1">
        <f t="array" aca="1" ref="H805" ca="1">INDEX('Coste multimodal'!E$46:E$1646,MATCH(C805&amp;D805,'Coste multimodal'!C$46:C$1646&amp;'Coste multimodal'!D$46:D$1646,0))</f>
        <v>367577756.35432869</v>
      </c>
      <c r="I805" s="12" cm="1">
        <f t="array" aca="1" ref="I805" ca="1">INDEX('Tiempos intermodal (horas)'!E$45:E$1645,MATCH(C805&amp;D805,'Tiempos intermodal (horas)'!C$45:C$1645&amp;'Tiempos intermodal (horas)'!D$45:D$1645,0))</f>
        <v>67.109263792112415</v>
      </c>
      <c r="J805" s="2" cm="1">
        <f t="array" aca="1" ref="J805" ca="1">INDEX('Tiempos carretera (horas)'!E$45:E$1645,MATCH(C805&amp;D805,'Tiempos carretera (horas)'!C$45:C$1645&amp;'Tiempos carretera (horas)'!D$45:D$1645,0))</f>
        <v>19.36</v>
      </c>
      <c r="K805" s="12">
        <f t="shared" ca="1" si="78"/>
        <v>57.822257267462035</v>
      </c>
      <c r="L805" s="12">
        <f t="shared" ca="1" si="79"/>
        <v>11.168662914875647</v>
      </c>
      <c r="M805" s="12">
        <f t="shared" ca="1" si="80"/>
        <v>0.37499082853224197</v>
      </c>
      <c r="N805" s="13">
        <f t="shared" ca="1" si="76"/>
        <v>46.653594352586389</v>
      </c>
      <c r="O805" s="13">
        <f t="shared" ca="1" si="77"/>
        <v>-47.749263792112416</v>
      </c>
      <c r="P805" s="12">
        <f t="shared" ca="1" si="81"/>
        <v>0.51086475555317434</v>
      </c>
    </row>
    <row r="806" spans="1:16" x14ac:dyDescent="0.25">
      <c r="A806">
        <v>35</v>
      </c>
      <c r="B806">
        <v>3</v>
      </c>
      <c r="C806" s="2" t="s">
        <v>34</v>
      </c>
      <c r="D806" s="2" t="s">
        <v>2</v>
      </c>
      <c r="E806" s="11" cm="1">
        <f t="array" aca="1" ref="E806" ca="1">INDEX('OD flujo mercancia multimodal'!E$45:E$1645,MATCH(C806&amp;D806,'OD flujo mercancia multimodal'!C$45:C$1645&amp;'OD flujo mercancia multimodal'!D$45:D$1645,0))</f>
        <v>26228.021978021992</v>
      </c>
      <c r="F806" s="11" cm="1">
        <f t="array" aca="1" ref="F806" ca="1">INDEX('OD flujo mercancia carretera'!E$45:E$1646,MATCH(C806&amp;D806,'OD flujo mercancia carretera'!C$45:C$1646&amp;'OD flujo mercancia carretera'!D$45:D$1646,0))</f>
        <v>56077.84615384612</v>
      </c>
      <c r="G806" s="11" cm="1">
        <f t="array" aca="1" ref="G806" ca="1">INDEX('Coste Carretera'!E$46:E$1646,MATCH(C806&amp;D806,'Coste Carretera'!C$46:C$1646&amp;'Coste Carretera'!D$46:D$1646,0))</f>
        <v>1749595089.371429</v>
      </c>
      <c r="H806" s="11" cm="1">
        <f t="array" aca="1" ref="H806" ca="1">INDEX('Coste multimodal'!E$46:E$1646,MATCH(C806&amp;D806,'Coste multimodal'!C$46:C$1646&amp;'Coste multimodal'!D$46:D$1646,0))</f>
        <v>3557439640.5451255</v>
      </c>
      <c r="I806" s="12" cm="1">
        <f t="array" aca="1" ref="I806" ca="1">INDEX('Tiempos intermodal (horas)'!E$45:E$1645,MATCH(C806&amp;D806,'Tiempos intermodal (horas)'!C$45:C$1645&amp;'Tiempos intermodal (horas)'!D$45:D$1645,0))</f>
        <v>45.751688796218097</v>
      </c>
      <c r="J806" s="2" cm="1">
        <f t="array" aca="1" ref="J806" ca="1">INDEX('Tiempos carretera (horas)'!E$45:E$1645,MATCH(C806&amp;D806,'Tiempos carretera (horas)'!C$45:C$1645&amp;'Tiempos carretera (horas)'!D$45:D$1645,0))</f>
        <v>2.6</v>
      </c>
      <c r="K806" s="12">
        <f t="shared" ca="1" si="78"/>
        <v>31.199398860140285</v>
      </c>
      <c r="L806" s="12">
        <f t="shared" ca="1" si="79"/>
        <v>135.63507166213734</v>
      </c>
      <c r="M806" s="12">
        <f t="shared" ca="1" si="80"/>
        <v>0.31866527348937268</v>
      </c>
      <c r="N806" s="13">
        <f t="shared" ca="1" si="76"/>
        <v>-104.43567280199704</v>
      </c>
      <c r="O806" s="13">
        <f t="shared" ca="1" si="77"/>
        <v>-43.151688796218096</v>
      </c>
      <c r="P806" s="12">
        <f t="shared" ca="1" si="81"/>
        <v>0.75991245495569815</v>
      </c>
    </row>
    <row r="807" spans="1:16" x14ac:dyDescent="0.25">
      <c r="A807">
        <v>23</v>
      </c>
      <c r="B807">
        <v>2</v>
      </c>
      <c r="C807" s="2" t="s">
        <v>22</v>
      </c>
      <c r="D807" s="2" t="s">
        <v>1</v>
      </c>
      <c r="E807" s="11" cm="1">
        <f t="array" aca="1" ref="E807" ca="1">INDEX('OD flujo mercancia multimodal'!E$45:E$1645,MATCH(C807&amp;D807,'OD flujo mercancia multimodal'!C$45:C$1645&amp;'OD flujo mercancia multimodal'!D$45:D$1645,0))</f>
        <v>22025.609890109859</v>
      </c>
      <c r="F807" s="11" cm="1">
        <f t="array" aca="1" ref="F807" ca="1">INDEX('OD flujo mercancia carretera'!E$45:E$1646,MATCH(C807&amp;D807,'OD flujo mercancia carretera'!C$45:C$1646&amp;'OD flujo mercancia carretera'!D$45:D$1646,0))</f>
        <v>143977.89743589747</v>
      </c>
      <c r="G807" s="11" cm="1">
        <f t="array" aca="1" ref="G807" ca="1">INDEX('Coste Carretera'!E$46:E$1646,MATCH(C807&amp;D807,'Coste Carretera'!C$46:C$1646&amp;'Coste Carretera'!D$46:D$1646,0))</f>
        <v>620036776.84571338</v>
      </c>
      <c r="H807" s="11" cm="1">
        <f t="array" aca="1" ref="H807" ca="1">INDEX('Coste multimodal'!E$46:E$1646,MATCH(C807&amp;D807,'Coste multimodal'!C$46:C$1646&amp;'Coste multimodal'!D$46:D$1646,0))</f>
        <v>532168706.51811171</v>
      </c>
      <c r="I807" s="12" cm="1">
        <f t="array" aca="1" ref="I807" ca="1">INDEX('Tiempos intermodal (horas)'!E$45:E$1645,MATCH(C807&amp;D807,'Tiempos intermodal (horas)'!C$45:C$1645&amp;'Tiempos intermodal (horas)'!D$45:D$1645,0))</f>
        <v>53.779492199230475</v>
      </c>
      <c r="J807" s="2" cm="1">
        <f t="array" aca="1" ref="J807" ca="1">INDEX('Tiempos carretera (horas)'!E$45:E$1645,MATCH(C807&amp;D807,'Tiempos carretera (horas)'!C$45:C$1645&amp;'Tiempos carretera (horas)'!D$45:D$1645,0))</f>
        <v>5.76</v>
      </c>
      <c r="K807" s="12">
        <f t="shared" ca="1" si="78"/>
        <v>4.3064719508198754</v>
      </c>
      <c r="L807" s="12">
        <f t="shared" ca="1" si="79"/>
        <v>24.161360760188121</v>
      </c>
      <c r="M807" s="12">
        <f t="shared" ca="1" si="80"/>
        <v>0.1326815935693135</v>
      </c>
      <c r="N807" s="13">
        <f t="shared" ca="1" si="76"/>
        <v>-19.854888809368244</v>
      </c>
      <c r="O807" s="13">
        <f t="shared" ca="1" si="77"/>
        <v>-48.019492199230477</v>
      </c>
      <c r="P807" s="12">
        <f t="shared" ca="1" si="81"/>
        <v>1.8774539355169606</v>
      </c>
    </row>
    <row r="808" spans="1:16" x14ac:dyDescent="0.25">
      <c r="A808">
        <v>2</v>
      </c>
      <c r="B808">
        <v>23</v>
      </c>
      <c r="C808" s="2" t="s">
        <v>1</v>
      </c>
      <c r="D808" s="2" t="s">
        <v>22</v>
      </c>
      <c r="E808" s="11" cm="1">
        <f t="array" aca="1" ref="E808" ca="1">INDEX('OD flujo mercancia multimodal'!E$45:E$1645,MATCH(C808&amp;D808,'OD flujo mercancia multimodal'!C$45:C$1645&amp;'OD flujo mercancia multimodal'!D$45:D$1645,0))</f>
        <v>12842.69230769231</v>
      </c>
      <c r="F808" s="11" cm="1">
        <f t="array" aca="1" ref="F808" ca="1">INDEX('OD flujo mercancia carretera'!E$45:E$1646,MATCH(C808&amp;D808,'OD flujo mercancia carretera'!C$45:C$1646&amp;'OD flujo mercancia carretera'!D$45:D$1646,0))</f>
        <v>148733.66666666701</v>
      </c>
      <c r="G808" s="11" cm="1">
        <f t="array" aca="1" ref="G808" ca="1">INDEX('Coste Carretera'!E$46:E$1646,MATCH(C808&amp;D808,'Coste Carretera'!C$46:C$1646&amp;'Coste Carretera'!D$46:D$1646,0))</f>
        <v>361531035.19999999</v>
      </c>
      <c r="H808" s="11" cm="1">
        <f t="array" aca="1" ref="H808" ca="1">INDEX('Coste multimodal'!E$46:E$1646,MATCH(C808&amp;D808,'Coste multimodal'!C$46:C$1646&amp;'Coste multimodal'!D$46:D$1646,0))</f>
        <v>532168706.51811171</v>
      </c>
      <c r="I808" s="12" cm="1">
        <f t="array" aca="1" ref="I808" ca="1">INDEX('Tiempos intermodal (horas)'!E$45:E$1645,MATCH(C808&amp;D808,'Tiempos intermodal (horas)'!C$45:C$1645&amp;'Tiempos intermodal (horas)'!D$45:D$1645,0))</f>
        <v>53.779492199230475</v>
      </c>
      <c r="J808" s="2" cm="1">
        <f t="array" aca="1" ref="J808" ca="1">INDEX('Tiempos carretera (horas)'!E$45:E$1645,MATCH(C808&amp;D808,'Tiempos carretera (horas)'!C$45:C$1645&amp;'Tiempos carretera (horas)'!D$45:D$1645,0))</f>
        <v>5.76</v>
      </c>
      <c r="K808" s="12">
        <f t="shared" ca="1" si="78"/>
        <v>2.4307276442679364</v>
      </c>
      <c r="L808" s="12">
        <f t="shared" ca="1" si="79"/>
        <v>41.437472281365942</v>
      </c>
      <c r="M808" s="12">
        <f t="shared" ca="1" si="80"/>
        <v>7.9483733816098232E-2</v>
      </c>
      <c r="N808" s="13">
        <f t="shared" ca="1" si="76"/>
        <v>-39.006744637098002</v>
      </c>
      <c r="O808" s="13">
        <f t="shared" ca="1" si="77"/>
        <v>-48.019492199230477</v>
      </c>
      <c r="P808" s="12">
        <f t="shared" ca="1" si="81"/>
        <v>2.4493822769090658</v>
      </c>
    </row>
    <row r="809" spans="1:16" x14ac:dyDescent="0.25">
      <c r="A809">
        <v>24</v>
      </c>
      <c r="B809">
        <v>37</v>
      </c>
      <c r="C809" s="2" t="s">
        <v>23</v>
      </c>
      <c r="D809" s="2" t="s">
        <v>36</v>
      </c>
      <c r="E809" s="11" cm="1">
        <f t="array" aca="1" ref="E809" ca="1">INDEX('OD flujo mercancia multimodal'!E$45:E$1645,MATCH(C809&amp;D809,'OD flujo mercancia multimodal'!C$45:C$1645&amp;'OD flujo mercancia multimodal'!D$45:D$1645,0))</f>
        <v>13877.307692307739</v>
      </c>
      <c r="F809" s="11" cm="1">
        <f t="array" aca="1" ref="F809" ca="1">INDEX('OD flujo mercancia carretera'!E$45:E$1646,MATCH(C809&amp;D809,'OD flujo mercancia carretera'!C$45:C$1646&amp;'OD flujo mercancia carretera'!D$45:D$1646,0))</f>
        <v>168214.42673992668</v>
      </c>
      <c r="G809" s="11" cm="1">
        <f t="array" aca="1" ref="G809" ca="1">INDEX('Coste Carretera'!E$46:E$1646,MATCH(C809&amp;D809,'Coste Carretera'!C$46:C$1646&amp;'Coste Carretera'!D$46:D$1646,0))</f>
        <v>336087454.55999976</v>
      </c>
      <c r="H809" s="11" cm="1">
        <f t="array" aca="1" ref="H809" ca="1">INDEX('Coste multimodal'!E$46:E$1646,MATCH(C809&amp;D809,'Coste multimodal'!C$46:C$1646&amp;'Coste multimodal'!D$46:D$1646,0))</f>
        <v>180854920.90104872</v>
      </c>
      <c r="I809" s="12" cm="1">
        <f t="array" aca="1" ref="I809" ca="1">INDEX('Tiempos intermodal (horas)'!E$45:E$1645,MATCH(C809&amp;D809,'Tiempos intermodal (horas)'!C$45:C$1645&amp;'Tiempos intermodal (horas)'!D$45:D$1645,0))</f>
        <v>54.272912915845531</v>
      </c>
      <c r="J809" s="2" cm="1">
        <f t="array" aca="1" ref="J809" ca="1">INDEX('Tiempos carretera (horas)'!E$45:E$1645,MATCH(C809&amp;D809,'Tiempos carretera (horas)'!C$45:C$1645&amp;'Tiempos carretera (horas)'!D$45:D$1645,0))</f>
        <v>9</v>
      </c>
      <c r="K809" s="12">
        <f t="shared" ca="1" si="78"/>
        <v>1.9979704539826333</v>
      </c>
      <c r="L809" s="12">
        <f t="shared" ca="1" si="79"/>
        <v>13.032421339284529</v>
      </c>
      <c r="M809" s="12">
        <f t="shared" ca="1" si="80"/>
        <v>7.6210530563495665E-2</v>
      </c>
      <c r="N809" s="13">
        <f t="shared" ca="1" si="76"/>
        <v>-11.034450885301895</v>
      </c>
      <c r="O809" s="13">
        <f t="shared" ca="1" si="77"/>
        <v>-45.272912915845531</v>
      </c>
      <c r="P809" s="12">
        <f t="shared" ca="1" si="81"/>
        <v>2.4949845492347427</v>
      </c>
    </row>
    <row r="810" spans="1:16" x14ac:dyDescent="0.25">
      <c r="A810">
        <v>37</v>
      </c>
      <c r="B810">
        <v>24</v>
      </c>
      <c r="C810" s="2" t="s">
        <v>36</v>
      </c>
      <c r="D810" s="2" t="s">
        <v>23</v>
      </c>
      <c r="E810" s="11" cm="1">
        <f t="array" aca="1" ref="E810" ca="1">INDEX('OD flujo mercancia multimodal'!E$45:E$1645,MATCH(C810&amp;D810,'OD flujo mercancia multimodal'!C$45:C$1645&amp;'OD flujo mercancia multimodal'!D$45:D$1645,0))</f>
        <v>13182.230769230766</v>
      </c>
      <c r="F810" s="11" cm="1">
        <f t="array" aca="1" ref="F810" ca="1">INDEX('OD flujo mercancia carretera'!E$45:E$1646,MATCH(C810&amp;D810,'OD flujo mercancia carretera'!C$45:C$1646&amp;'OD flujo mercancia carretera'!D$45:D$1646,0))</f>
        <v>149666.24175824178</v>
      </c>
      <c r="G810" s="11" cm="1">
        <f t="array" aca="1" ref="G810" ca="1">INDEX('Coste Carretera'!E$46:E$1646,MATCH(C810&amp;D810,'Coste Carretera'!C$46:C$1646&amp;'Coste Carretera'!D$46:D$1646,0))</f>
        <v>436801382.15999985</v>
      </c>
      <c r="H810" s="11" cm="1">
        <f t="array" aca="1" ref="H810" ca="1">INDEX('Coste multimodal'!E$46:E$1646,MATCH(C810&amp;D810,'Coste multimodal'!C$46:C$1646&amp;'Coste multimodal'!D$46:D$1646,0))</f>
        <v>180854920.90104872</v>
      </c>
      <c r="I810" s="12" cm="1">
        <f t="array" aca="1" ref="I810" ca="1">INDEX('Tiempos intermodal (horas)'!E$45:E$1645,MATCH(C810&amp;D810,'Tiempos intermodal (horas)'!C$45:C$1645&amp;'Tiempos intermodal (horas)'!D$45:D$1645,0))</f>
        <v>54.272912915845531</v>
      </c>
      <c r="J810" s="2" cm="1">
        <f t="array" aca="1" ref="J810" ca="1">INDEX('Tiempos carretera (horas)'!E$45:E$1645,MATCH(C810&amp;D810,'Tiempos carretera (horas)'!C$45:C$1645&amp;'Tiempos carretera (horas)'!D$45:D$1645,0))</f>
        <v>9</v>
      </c>
      <c r="K810" s="12">
        <f t="shared" ca="1" si="78"/>
        <v>2.9185030440302762</v>
      </c>
      <c r="L810" s="12">
        <f t="shared" ca="1" si="79"/>
        <v>13.719599062337027</v>
      </c>
      <c r="M810" s="12">
        <f t="shared" ca="1" si="80"/>
        <v>8.0947831838010784E-2</v>
      </c>
      <c r="N810" s="13">
        <f t="shared" ca="1" si="76"/>
        <v>-10.801096018306751</v>
      </c>
      <c r="O810" s="13">
        <f t="shared" ca="1" si="77"/>
        <v>-45.272912915845531</v>
      </c>
      <c r="P810" s="12">
        <f t="shared" ca="1" si="81"/>
        <v>2.4295379911711974</v>
      </c>
    </row>
    <row r="811" spans="1:16" x14ac:dyDescent="0.25">
      <c r="A811">
        <v>5</v>
      </c>
      <c r="B811">
        <v>13</v>
      </c>
      <c r="C811" s="2" t="s">
        <v>4</v>
      </c>
      <c r="D811" s="2" t="s">
        <v>12</v>
      </c>
      <c r="E811" s="11" cm="1">
        <f t="array" aca="1" ref="E811" ca="1">INDEX('OD flujo mercancia multimodal'!E$45:E$1645,MATCH(C811&amp;D811,'OD flujo mercancia multimodal'!C$45:C$1645&amp;'OD flujo mercancia multimodal'!D$45:D$1645,0))</f>
        <v>49837.456043956045</v>
      </c>
      <c r="F811" s="11" cm="1">
        <f t="array" aca="1" ref="F811" ca="1">INDEX('OD flujo mercancia carretera'!E$45:E$1646,MATCH(C811&amp;D811,'OD flujo mercancia carretera'!C$45:C$1646&amp;'OD flujo mercancia carretera'!D$45:D$1646,0))</f>
        <v>88944.615384615419</v>
      </c>
      <c r="G811" s="11" cm="1">
        <f t="array" aca="1" ref="G811" ca="1">INDEX('Coste Carretera'!E$46:E$1646,MATCH(C811&amp;D811,'Coste Carretera'!C$46:C$1646&amp;'Coste Carretera'!D$46:D$1646,0))</f>
        <v>5090965907.3285704</v>
      </c>
      <c r="H811" s="11" cm="1">
        <f t="array" aca="1" ref="H811" ca="1">INDEX('Coste multimodal'!E$46:E$1646,MATCH(C811&amp;D811,'Coste multimodal'!C$46:C$1646&amp;'Coste multimodal'!D$46:D$1646,0))</f>
        <v>325433473.11194879</v>
      </c>
      <c r="I811" s="12" cm="1">
        <f t="array" aca="1" ref="I811" ca="1">INDEX('Tiempos intermodal (horas)'!E$45:E$1645,MATCH(C811&amp;D811,'Tiempos intermodal (horas)'!C$45:C$1645&amp;'Tiempos intermodal (horas)'!D$45:D$1645,0))</f>
        <v>68.950810587931684</v>
      </c>
      <c r="J811" s="2" cm="1">
        <f t="array" aca="1" ref="J811" ca="1">INDEX('Tiempos carretera (horas)'!E$45:E$1645,MATCH(C811&amp;D811,'Tiempos carretera (horas)'!C$45:C$1645&amp;'Tiempos carretera (horas)'!D$45:D$1645,0))</f>
        <v>20.81</v>
      </c>
      <c r="K811" s="12">
        <f t="shared" ca="1" si="78"/>
        <v>57.237482958514711</v>
      </c>
      <c r="L811" s="12">
        <f t="shared" ca="1" si="79"/>
        <v>6.5298973692581814</v>
      </c>
      <c r="M811" s="12">
        <f t="shared" ca="1" si="80"/>
        <v>0.3591058667084851</v>
      </c>
      <c r="N811" s="13">
        <f t="shared" ca="1" si="76"/>
        <v>50.707585589256531</v>
      </c>
      <c r="O811" s="13">
        <f t="shared" ca="1" si="77"/>
        <v>-48.140810587931682</v>
      </c>
      <c r="P811" s="12">
        <f t="shared" ca="1" si="81"/>
        <v>0.5792470462547078</v>
      </c>
    </row>
    <row r="812" spans="1:16" x14ac:dyDescent="0.25">
      <c r="A812">
        <v>13</v>
      </c>
      <c r="B812">
        <v>5</v>
      </c>
      <c r="C812" s="2" t="s">
        <v>12</v>
      </c>
      <c r="D812" s="2" t="s">
        <v>4</v>
      </c>
      <c r="E812" s="11" cm="1">
        <f t="array" aca="1" ref="E812" ca="1">INDEX('OD flujo mercancia multimodal'!E$45:E$1645,MATCH(C812&amp;D812,'OD flujo mercancia multimodal'!C$45:C$1645&amp;'OD flujo mercancia multimodal'!D$45:D$1645,0))</f>
        <v>66685.489010989055</v>
      </c>
      <c r="F812" s="11" cm="1">
        <f t="array" aca="1" ref="F812" ca="1">INDEX('OD flujo mercancia carretera'!E$45:E$1646,MATCH(C812&amp;D812,'OD flujo mercancia carretera'!C$45:C$1646&amp;'OD flujo mercancia carretera'!D$45:D$1646,0))</f>
        <v>85950.76923076919</v>
      </c>
      <c r="G812" s="11" cm="1">
        <f t="array" aca="1" ref="G812" ca="1">INDEX('Coste Carretera'!E$46:E$1646,MATCH(C812&amp;D812,'Coste Carretera'!C$46:C$1646&amp;'Coste Carretera'!D$46:D$1646,0))</f>
        <v>6812016062.1571474</v>
      </c>
      <c r="H812" s="11" cm="1">
        <f t="array" aca="1" ref="H812" ca="1">INDEX('Coste multimodal'!E$46:E$1646,MATCH(C812&amp;D812,'Coste multimodal'!C$46:C$1646&amp;'Coste multimodal'!D$46:D$1646,0))</f>
        <v>325433473.11194879</v>
      </c>
      <c r="I812" s="12" cm="1">
        <f t="array" aca="1" ref="I812" ca="1">INDEX('Tiempos intermodal (horas)'!E$45:E$1645,MATCH(C812&amp;D812,'Tiempos intermodal (horas)'!C$45:C$1645&amp;'Tiempos intermodal (horas)'!D$45:D$1645,0))</f>
        <v>68.950810587931684</v>
      </c>
      <c r="J812" s="2" cm="1">
        <f t="array" aca="1" ref="J812" ca="1">INDEX('Tiempos carretera (horas)'!E$45:E$1645,MATCH(C812&amp;D812,'Tiempos carretera (horas)'!C$45:C$1645&amp;'Tiempos carretera (horas)'!D$45:D$1645,0))</f>
        <v>20.81</v>
      </c>
      <c r="K812" s="12">
        <f t="shared" ca="1" si="78"/>
        <v>79.254858602458441</v>
      </c>
      <c r="L812" s="12">
        <f t="shared" ca="1" si="79"/>
        <v>4.8801242659901742</v>
      </c>
      <c r="M812" s="12">
        <f t="shared" ca="1" si="80"/>
        <v>0.43689153402441855</v>
      </c>
      <c r="N812" s="13">
        <f t="shared" ca="1" si="76"/>
        <v>74.374734336468265</v>
      </c>
      <c r="O812" s="13">
        <f t="shared" ca="1" si="77"/>
        <v>-48.140810587931682</v>
      </c>
      <c r="P812" s="12">
        <f t="shared" ca="1" si="81"/>
        <v>0.2537873083402879</v>
      </c>
    </row>
    <row r="813" spans="1:16" x14ac:dyDescent="0.25">
      <c r="A813">
        <v>14</v>
      </c>
      <c r="B813">
        <v>33</v>
      </c>
      <c r="C813" s="2" t="s">
        <v>13</v>
      </c>
      <c r="D813" s="2" t="s">
        <v>32</v>
      </c>
      <c r="E813" s="11" cm="1">
        <f t="array" aca="1" ref="E813" ca="1">INDEX('OD flujo mercancia multimodal'!E$45:E$1645,MATCH(C813&amp;D813,'OD flujo mercancia multimodal'!C$45:C$1645&amp;'OD flujo mercancia multimodal'!D$45:D$1645,0))</f>
        <v>75720.846153846127</v>
      </c>
      <c r="F813" s="11" cm="1">
        <f t="array" aca="1" ref="F813" ca="1">INDEX('OD flujo mercancia carretera'!E$45:E$1646,MATCH(C813&amp;D813,'OD flujo mercancia carretera'!C$45:C$1646&amp;'OD flujo mercancia carretera'!D$45:D$1646,0))</f>
        <v>203639.33846153849</v>
      </c>
      <c r="G813" s="11" cm="1">
        <f t="array" aca="1" ref="G813" ca="1">INDEX('Coste Carretera'!E$46:E$1646,MATCH(C813&amp;D813,'Coste Carretera'!C$46:C$1646&amp;'Coste Carretera'!D$46:D$1646,0))</f>
        <v>912730111.80000007</v>
      </c>
      <c r="H813" s="11" cm="1">
        <f t="array" aca="1" ref="H813" ca="1">INDEX('Coste multimodal'!E$46:E$1646,MATCH(C813&amp;D813,'Coste multimodal'!C$46:C$1646&amp;'Coste multimodal'!D$46:D$1646,0))</f>
        <v>445400461.90111798</v>
      </c>
      <c r="I813" s="12" cm="1">
        <f t="array" aca="1" ref="I813" ca="1">INDEX('Tiempos intermodal (horas)'!E$45:E$1645,MATCH(C813&amp;D813,'Tiempos intermodal (horas)'!C$45:C$1645&amp;'Tiempos intermodal (horas)'!D$45:D$1645,0))</f>
        <v>62.675953113269514</v>
      </c>
      <c r="J813" s="2" cm="1">
        <f t="array" aca="1" ref="J813" ca="1">INDEX('Tiempos carretera (horas)'!E$45:E$1645,MATCH(C813&amp;D813,'Tiempos carretera (horas)'!C$45:C$1645&amp;'Tiempos carretera (horas)'!D$45:D$1645,0))</f>
        <v>14.48</v>
      </c>
      <c r="K813" s="12">
        <f t="shared" ca="1" si="78"/>
        <v>4.4820913223128942</v>
      </c>
      <c r="L813" s="12">
        <f t="shared" ca="1" si="79"/>
        <v>5.8821379385562311</v>
      </c>
      <c r="M813" s="12">
        <f t="shared" ca="1" si="80"/>
        <v>0.27105095974251486</v>
      </c>
      <c r="N813" s="13">
        <f t="shared" ca="1" si="76"/>
        <v>-1.4000466162433369</v>
      </c>
      <c r="O813" s="13">
        <f t="shared" ca="1" si="77"/>
        <v>-48.19595311326951</v>
      </c>
      <c r="P813" s="12">
        <f t="shared" ca="1" si="81"/>
        <v>0.98929697940835382</v>
      </c>
    </row>
    <row r="814" spans="1:16" x14ac:dyDescent="0.25">
      <c r="A814">
        <v>33</v>
      </c>
      <c r="B814">
        <v>14</v>
      </c>
      <c r="C814" s="2" t="s">
        <v>32</v>
      </c>
      <c r="D814" s="2" t="s">
        <v>13</v>
      </c>
      <c r="E814" s="11" cm="1">
        <f t="array" aca="1" ref="E814" ca="1">INDEX('OD flujo mercancia multimodal'!E$45:E$1645,MATCH(C814&amp;D814,'OD flujo mercancia multimodal'!C$45:C$1645&amp;'OD flujo mercancia multimodal'!D$45:D$1645,0))</f>
        <v>54075.999999999985</v>
      </c>
      <c r="F814" s="11" cm="1">
        <f t="array" aca="1" ref="F814" ca="1">INDEX('OD flujo mercancia carretera'!E$45:E$1646,MATCH(C814&amp;D814,'OD flujo mercancia carretera'!C$45:C$1646&amp;'OD flujo mercancia carretera'!D$45:D$1646,0))</f>
        <v>262862.78974358947</v>
      </c>
      <c r="G814" s="11" cm="1">
        <f t="array" aca="1" ref="G814" ca="1">INDEX('Coste Carretera'!E$46:E$1646,MATCH(C814&amp;D814,'Coste Carretera'!C$46:C$1646&amp;'Coste Carretera'!D$46:D$1646,0))</f>
        <v>1820878063.6799984</v>
      </c>
      <c r="H814" s="11" cm="1">
        <f t="array" aca="1" ref="H814" ca="1">INDEX('Coste multimodal'!E$46:E$1646,MATCH(C814&amp;D814,'Coste multimodal'!C$46:C$1646&amp;'Coste multimodal'!D$46:D$1646,0))</f>
        <v>445400461.90111798</v>
      </c>
      <c r="I814" s="12" cm="1">
        <f t="array" aca="1" ref="I814" ca="1">INDEX('Tiempos intermodal (horas)'!E$45:E$1645,MATCH(C814&amp;D814,'Tiempos intermodal (horas)'!C$45:C$1645&amp;'Tiempos intermodal (horas)'!D$45:D$1645,0))</f>
        <v>62.675953113269514</v>
      </c>
      <c r="J814" s="2" cm="1">
        <f t="array" aca="1" ref="J814" ca="1">INDEX('Tiempos carretera (horas)'!E$45:E$1645,MATCH(C814&amp;D814,'Tiempos carretera (horas)'!C$45:C$1645&amp;'Tiempos carretera (horas)'!D$45:D$1645,0))</f>
        <v>14.48</v>
      </c>
      <c r="K814" s="12">
        <f t="shared" ca="1" si="78"/>
        <v>6.9271046900787328</v>
      </c>
      <c r="L814" s="12">
        <f t="shared" ca="1" si="79"/>
        <v>8.2365644999836913</v>
      </c>
      <c r="M814" s="12">
        <f t="shared" ca="1" si="80"/>
        <v>0.17061969613674827</v>
      </c>
      <c r="N814" s="13">
        <f t="shared" ca="1" si="76"/>
        <v>-1.3094598099049586</v>
      </c>
      <c r="O814" s="13">
        <f t="shared" ca="1" si="77"/>
        <v>-48.19595311326951</v>
      </c>
      <c r="P814" s="12">
        <f t="shared" ca="1" si="81"/>
        <v>1.5812417195349864</v>
      </c>
    </row>
    <row r="815" spans="1:16" x14ac:dyDescent="0.25">
      <c r="A815">
        <v>41</v>
      </c>
      <c r="B815">
        <v>18</v>
      </c>
      <c r="C815" s="2" t="s">
        <v>40</v>
      </c>
      <c r="D815" s="2" t="s">
        <v>17</v>
      </c>
      <c r="E815" s="11" cm="1">
        <f t="array" aca="1" ref="E815" ca="1">INDEX('OD flujo mercancia multimodal'!E$45:E$1645,MATCH(C815&amp;D815,'OD flujo mercancia multimodal'!C$45:C$1645&amp;'OD flujo mercancia multimodal'!D$45:D$1645,0))</f>
        <v>31415.923076923049</v>
      </c>
      <c r="F815" s="11" cm="1">
        <f t="array" aca="1" ref="F815" ca="1">INDEX('OD flujo mercancia carretera'!E$45:E$1646,MATCH(C815&amp;D815,'OD flujo mercancia carretera'!C$45:C$1646&amp;'OD flujo mercancia carretera'!D$45:D$1646,0))</f>
        <v>119257.8846153846</v>
      </c>
      <c r="G815" s="11" cm="1">
        <f t="array" aca="1" ref="G815" ca="1">INDEX('Coste Carretera'!E$46:E$1646,MATCH(C815&amp;D815,'Coste Carretera'!C$46:C$1646&amp;'Coste Carretera'!D$46:D$1646,0))</f>
        <v>1237253862.2399986</v>
      </c>
      <c r="H815" s="11" cm="1">
        <f t="array" aca="1" ref="H815" ca="1">INDEX('Coste multimodal'!E$46:E$1646,MATCH(C815&amp;D815,'Coste multimodal'!C$46:C$1646&amp;'Coste multimodal'!D$46:D$1646,0))</f>
        <v>378446652.06749839</v>
      </c>
      <c r="I815" s="12" cm="1">
        <f t="array" aca="1" ref="I815" ca="1">INDEX('Tiempos intermodal (horas)'!E$45:E$1645,MATCH(C815&amp;D815,'Tiempos intermodal (horas)'!C$45:C$1645&amp;'Tiempos intermodal (horas)'!D$45:D$1645,0))</f>
        <v>57.492164724099112</v>
      </c>
      <c r="J815" s="2" cm="1">
        <f t="array" aca="1" ref="J815" ca="1">INDEX('Tiempos carretera (horas)'!E$45:E$1645,MATCH(C815&amp;D815,'Tiempos carretera (horas)'!C$45:C$1645&amp;'Tiempos carretera (horas)'!D$45:D$1645,0))</f>
        <v>9.0500000000000007</v>
      </c>
      <c r="K815" s="12">
        <f t="shared" ca="1" si="78"/>
        <v>10.374608490082084</v>
      </c>
      <c r="L815" s="12">
        <f t="shared" ca="1" si="79"/>
        <v>12.046332400956603</v>
      </c>
      <c r="M815" s="12">
        <f t="shared" ca="1" si="80"/>
        <v>0.20850288154313984</v>
      </c>
      <c r="N815" s="13">
        <f t="shared" ca="1" si="76"/>
        <v>-1.671723910874519</v>
      </c>
      <c r="O815" s="13">
        <f t="shared" ca="1" si="77"/>
        <v>-48.442164724099115</v>
      </c>
      <c r="P815" s="12">
        <f t="shared" ca="1" si="81"/>
        <v>1.3339733772098827</v>
      </c>
    </row>
    <row r="816" spans="1:16" x14ac:dyDescent="0.25">
      <c r="A816">
        <v>18</v>
      </c>
      <c r="B816">
        <v>41</v>
      </c>
      <c r="C816" s="2" t="s">
        <v>17</v>
      </c>
      <c r="D816" s="2" t="s">
        <v>40</v>
      </c>
      <c r="E816" s="11" cm="1">
        <f t="array" aca="1" ref="E816" ca="1">INDEX('OD flujo mercancia multimodal'!E$45:E$1645,MATCH(C816&amp;D816,'OD flujo mercancia multimodal'!C$45:C$1645&amp;'OD flujo mercancia multimodal'!D$45:D$1645,0))</f>
        <v>28810.307692307688</v>
      </c>
      <c r="F816" s="11" cm="1">
        <f t="array" aca="1" ref="F816" ca="1">INDEX('OD flujo mercancia carretera'!E$45:E$1646,MATCH(C816&amp;D816,'OD flujo mercancia carretera'!C$45:C$1646&amp;'OD flujo mercancia carretera'!D$45:D$1646,0))</f>
        <v>76395.108058608079</v>
      </c>
      <c r="G816" s="11" cm="1">
        <f t="array" aca="1" ref="G816" ca="1">INDEX('Coste Carretera'!E$46:E$1646,MATCH(C816&amp;D816,'Coste Carretera'!C$46:C$1646&amp;'Coste Carretera'!D$46:D$1646,0))</f>
        <v>657524333.92000008</v>
      </c>
      <c r="H816" s="11" cm="1">
        <f t="array" aca="1" ref="H816" ca="1">INDEX('Coste multimodal'!E$46:E$1646,MATCH(C816&amp;D816,'Coste multimodal'!C$46:C$1646&amp;'Coste multimodal'!D$46:D$1646,0))</f>
        <v>431923942.24446678</v>
      </c>
      <c r="I816" s="12" cm="1">
        <f t="array" aca="1" ref="I816" ca="1">INDEX('Tiempos intermodal (horas)'!E$45:E$1645,MATCH(C816&amp;D816,'Tiempos intermodal (horas)'!C$45:C$1645&amp;'Tiempos intermodal (horas)'!D$45:D$1645,0))</f>
        <v>56.46355790458427</v>
      </c>
      <c r="J816" s="2" cm="1">
        <f t="array" aca="1" ref="J816" ca="1">INDEX('Tiempos carretera (horas)'!E$45:E$1645,MATCH(C816&amp;D816,'Tiempos carretera (horas)'!C$45:C$1645&amp;'Tiempos carretera (horas)'!D$45:D$1645,0))</f>
        <v>8.16</v>
      </c>
      <c r="K816" s="12">
        <f t="shared" ca="1" si="78"/>
        <v>8.6068905539811098</v>
      </c>
      <c r="L816" s="12">
        <f t="shared" ca="1" si="79"/>
        <v>14.991993381583699</v>
      </c>
      <c r="M816" s="12">
        <f t="shared" ca="1" si="80"/>
        <v>0.27384814257584367</v>
      </c>
      <c r="N816" s="13">
        <f t="shared" ca="1" si="76"/>
        <v>-6.385102827602589</v>
      </c>
      <c r="O816" s="13">
        <f t="shared" ca="1" si="77"/>
        <v>-48.303557904584267</v>
      </c>
      <c r="P816" s="12">
        <f t="shared" ca="1" si="81"/>
        <v>0.97518543438419636</v>
      </c>
    </row>
    <row r="817" spans="1:16" x14ac:dyDescent="0.25">
      <c r="A817">
        <v>35</v>
      </c>
      <c r="B817">
        <v>29</v>
      </c>
      <c r="C817" s="2" t="s">
        <v>34</v>
      </c>
      <c r="D817" s="2" t="s">
        <v>147</v>
      </c>
      <c r="E817" s="11" cm="1">
        <f t="array" aca="1" ref="E817" ca="1">INDEX('OD flujo mercancia multimodal'!E$45:E$1645,MATCH(C817&amp;D817,'OD flujo mercancia multimodal'!C$45:C$1645&amp;'OD flujo mercancia multimodal'!D$45:D$1645,0))</f>
        <v>46292.607692307691</v>
      </c>
      <c r="F817" s="11" cm="1">
        <f t="array" aca="1" ref="F817" ca="1">INDEX('OD flujo mercancia carretera'!E$45:E$1646,MATCH(C817&amp;D817,'OD flujo mercancia carretera'!C$45:C$1646&amp;'OD flujo mercancia carretera'!D$45:D$1646,0))</f>
        <v>375467.78461538465</v>
      </c>
      <c r="G817" s="11" cm="1">
        <f t="array" aca="1" ref="G817" ca="1">INDEX('Coste Carretera'!E$46:E$1646,MATCH(C817&amp;D817,'Coste Carretera'!C$46:C$1646&amp;'Coste Carretera'!D$46:D$1646,0))</f>
        <v>5706980794.7440004</v>
      </c>
      <c r="H817" s="11" cm="1">
        <f t="array" aca="1" ref="H817" ca="1">INDEX('Coste multimodal'!E$46:E$1646,MATCH(C817&amp;D817,'Coste multimodal'!C$46:C$1646&amp;'Coste multimodal'!D$46:D$1646,0))</f>
        <v>3439886076.604394</v>
      </c>
      <c r="I817" s="12" cm="1">
        <f t="array" aca="1" ref="I817" ca="1">INDEX('Tiempos intermodal (horas)'!E$45:E$1645,MATCH(C817&amp;D817,'Tiempos intermodal (horas)'!C$45:C$1645&amp;'Tiempos intermodal (horas)'!D$45:D$1645,0))</f>
        <v>53.664842345274963</v>
      </c>
      <c r="J817" s="2" cm="1">
        <f t="array" aca="1" ref="J817" ca="1">INDEX('Tiempos carretera (horas)'!E$45:E$1645,MATCH(C817&amp;D817,'Tiempos carretera (horas)'!C$45:C$1645&amp;'Tiempos carretera (horas)'!D$45:D$1645,0))</f>
        <v>7.33</v>
      </c>
      <c r="K817" s="12">
        <f t="shared" ca="1" si="78"/>
        <v>15.199655013252391</v>
      </c>
      <c r="L817" s="12">
        <f t="shared" ca="1" si="79"/>
        <v>74.307459615760422</v>
      </c>
      <c r="M817" s="12">
        <f t="shared" ca="1" si="80"/>
        <v>0.10976044345704052</v>
      </c>
      <c r="N817" s="13">
        <f t="shared" ca="1" si="76"/>
        <v>-59.107804602508033</v>
      </c>
      <c r="O817" s="13">
        <f t="shared" ca="1" si="77"/>
        <v>-46.334842345274964</v>
      </c>
      <c r="P817" s="12">
        <f t="shared" ca="1" si="81"/>
        <v>2.0931903869507598</v>
      </c>
    </row>
    <row r="818" spans="1:16" x14ac:dyDescent="0.25">
      <c r="A818">
        <v>29</v>
      </c>
      <c r="B818">
        <v>35</v>
      </c>
      <c r="C818" s="2" t="s">
        <v>147</v>
      </c>
      <c r="D818" s="2" t="s">
        <v>34</v>
      </c>
      <c r="E818" s="11" cm="1">
        <f t="array" aca="1" ref="E818" ca="1">INDEX('OD flujo mercancia multimodal'!E$45:E$1645,MATCH(C818&amp;D818,'OD flujo mercancia multimodal'!C$45:C$1645&amp;'OD flujo mercancia multimodal'!D$45:D$1645,0))</f>
        <v>46373.4153846154</v>
      </c>
      <c r="F818" s="11" cm="1">
        <f t="array" aca="1" ref="F818" ca="1">INDEX('OD flujo mercancia carretera'!E$45:E$1646,MATCH(C818&amp;D818,'OD flujo mercancia carretera'!C$45:C$1646&amp;'OD flujo mercancia carretera'!D$45:D$1646,0))</f>
        <v>378175.63846153847</v>
      </c>
      <c r="G818" s="11" cm="1">
        <f t="array" aca="1" ref="G818" ca="1">INDEX('Coste Carretera'!E$46:E$1646,MATCH(C818&amp;D818,'Coste Carretera'!C$46:C$1646&amp;'Coste Carretera'!D$46:D$1646,0))</f>
        <v>11329464328.544008</v>
      </c>
      <c r="H818" s="11" cm="1">
        <f t="array" aca="1" ref="H818" ca="1">INDEX('Coste multimodal'!E$46:E$1646,MATCH(C818&amp;D818,'Coste multimodal'!C$46:C$1646&amp;'Coste multimodal'!D$46:D$1646,0))</f>
        <v>3439886076.604394</v>
      </c>
      <c r="I818" s="12" cm="1">
        <f t="array" aca="1" ref="I818" ca="1">INDEX('Tiempos intermodal (horas)'!E$45:E$1645,MATCH(C818&amp;D818,'Tiempos intermodal (horas)'!C$45:C$1645&amp;'Tiempos intermodal (horas)'!D$45:D$1645,0))</f>
        <v>53.664842345274963</v>
      </c>
      <c r="J818" s="2" cm="1">
        <f t="array" aca="1" ref="J818" ca="1">INDEX('Tiempos carretera (horas)'!E$45:E$1645,MATCH(C818&amp;D818,'Tiempos carretera (horas)'!C$45:C$1645&amp;'Tiempos carretera (horas)'!D$45:D$1645,0))</f>
        <v>7.33</v>
      </c>
      <c r="K818" s="12">
        <f t="shared" ca="1" si="78"/>
        <v>29.958207711722409</v>
      </c>
      <c r="L818" s="12">
        <f t="shared" ca="1" si="79"/>
        <v>74.177975636998099</v>
      </c>
      <c r="M818" s="12">
        <f t="shared" ca="1" si="80"/>
        <v>0.1092298168244652</v>
      </c>
      <c r="N818" s="13">
        <f t="shared" ca="1" si="76"/>
        <v>-44.21976792527569</v>
      </c>
      <c r="O818" s="13">
        <f t="shared" ca="1" si="77"/>
        <v>-46.334842345274964</v>
      </c>
      <c r="P818" s="12">
        <f t="shared" ca="1" si="81"/>
        <v>2.0986323889770961</v>
      </c>
    </row>
    <row r="819" spans="1:16" x14ac:dyDescent="0.25">
      <c r="A819">
        <v>39</v>
      </c>
      <c r="B819">
        <v>20</v>
      </c>
      <c r="C819" s="2" t="s">
        <v>38</v>
      </c>
      <c r="D819" s="2" t="s">
        <v>19</v>
      </c>
      <c r="E819" s="11" cm="1">
        <f t="array" aca="1" ref="E819" ca="1">INDEX('OD flujo mercancia multimodal'!E$45:E$1645,MATCH(C819&amp;D819,'OD flujo mercancia multimodal'!C$45:C$1645&amp;'OD flujo mercancia multimodal'!D$45:D$1645,0))</f>
        <v>58481.692307692298</v>
      </c>
      <c r="F819" s="11" cm="1">
        <f t="array" aca="1" ref="F819" ca="1">INDEX('OD flujo mercancia carretera'!E$45:E$1646,MATCH(C819&amp;D819,'OD flujo mercancia carretera'!C$45:C$1646&amp;'OD flujo mercancia carretera'!D$45:D$1646,0))</f>
        <v>68512.358974359013</v>
      </c>
      <c r="G819" s="11" cm="1">
        <f t="array" aca="1" ref="G819" ca="1">INDEX('Coste Carretera'!E$46:E$1646,MATCH(C819&amp;D819,'Coste Carretera'!C$46:C$1646&amp;'Coste Carretera'!D$46:D$1646,0))</f>
        <v>6725166854.4399996</v>
      </c>
      <c r="H819" s="11" cm="1">
        <f t="array" aca="1" ref="H819" ca="1">INDEX('Coste multimodal'!E$46:E$1646,MATCH(C819&amp;D819,'Coste multimodal'!C$46:C$1646&amp;'Coste multimodal'!D$46:D$1646,0))</f>
        <v>326218076.56172609</v>
      </c>
      <c r="I819" s="12" cm="1">
        <f t="array" aca="1" ref="I819" ca="1">INDEX('Tiempos intermodal (horas)'!E$45:E$1645,MATCH(C819&amp;D819,'Tiempos intermodal (horas)'!C$45:C$1645&amp;'Tiempos intermodal (horas)'!D$45:D$1645,0))</f>
        <v>72.3482291432057</v>
      </c>
      <c r="J819" s="2" cm="1">
        <f t="array" aca="1" ref="J819" ca="1">INDEX('Tiempos carretera (horas)'!E$45:E$1645,MATCH(C819&amp;D819,'Tiempos carretera (horas)'!C$45:C$1645&amp;'Tiempos carretera (horas)'!D$45:D$1645,0))</f>
        <v>19.95</v>
      </c>
      <c r="K819" s="12">
        <f t="shared" ca="1" si="78"/>
        <v>98.159908009544921</v>
      </c>
      <c r="L819" s="12">
        <f t="shared" ca="1" si="79"/>
        <v>5.578123061921338</v>
      </c>
      <c r="M819" s="12">
        <f t="shared" ca="1" si="80"/>
        <v>0.46050733650354692</v>
      </c>
      <c r="N819" s="13">
        <f t="shared" ca="1" si="76"/>
        <v>92.581784947623589</v>
      </c>
      <c r="O819" s="13">
        <f t="shared" ca="1" si="77"/>
        <v>-52.398229143205697</v>
      </c>
      <c r="P819" s="12">
        <f t="shared" ca="1" si="81"/>
        <v>0.15830039872440085</v>
      </c>
    </row>
    <row r="820" spans="1:16" x14ac:dyDescent="0.25">
      <c r="A820">
        <v>20</v>
      </c>
      <c r="B820">
        <v>39</v>
      </c>
      <c r="C820" s="2" t="s">
        <v>19</v>
      </c>
      <c r="D820" s="2" t="s">
        <v>38</v>
      </c>
      <c r="E820" s="11" cm="1">
        <f t="array" aca="1" ref="E820" ca="1">INDEX('OD flujo mercancia multimodal'!E$45:E$1645,MATCH(C820&amp;D820,'OD flujo mercancia multimodal'!C$45:C$1645&amp;'OD flujo mercancia multimodal'!D$45:D$1645,0))</f>
        <v>35148.153846153851</v>
      </c>
      <c r="F820" s="11" cm="1">
        <f t="array" aca="1" ref="F820" ca="1">INDEX('OD flujo mercancia carretera'!E$45:E$1646,MATCH(C820&amp;D820,'OD flujo mercancia carretera'!C$45:C$1646&amp;'OD flujo mercancia carretera'!D$45:D$1646,0))</f>
        <v>152880.17582417582</v>
      </c>
      <c r="G820" s="11" cm="1">
        <f t="array" aca="1" ref="G820" ca="1">INDEX('Coste Carretera'!E$46:E$1646,MATCH(C820&amp;D820,'Coste Carretera'!C$46:C$1646&amp;'Coste Carretera'!D$46:D$1646,0))</f>
        <v>2695559103.9999995</v>
      </c>
      <c r="H820" s="11" cm="1">
        <f t="array" aca="1" ref="H820" ca="1">INDEX('Coste multimodal'!E$46:E$1646,MATCH(C820&amp;D820,'Coste multimodal'!C$46:C$1646&amp;'Coste multimodal'!D$46:D$1646,0))</f>
        <v>367553411.39125842</v>
      </c>
      <c r="I820" s="12" cm="1">
        <f t="array" aca="1" ref="I820" ca="1">INDEX('Tiempos intermodal (horas)'!E$45:E$1645,MATCH(C820&amp;D820,'Tiempos intermodal (horas)'!C$45:C$1645&amp;'Tiempos intermodal (horas)'!D$45:D$1645,0))</f>
        <v>64.275465054898646</v>
      </c>
      <c r="J820" s="2" cm="1">
        <f t="array" aca="1" ref="J820" ca="1">INDEX('Tiempos carretera (horas)'!E$45:E$1645,MATCH(C820&amp;D820,'Tiempos carretera (horas)'!C$45:C$1645&amp;'Tiempos carretera (horas)'!D$45:D$1645,0))</f>
        <v>15.85</v>
      </c>
      <c r="K820" s="12">
        <f t="shared" ca="1" si="78"/>
        <v>17.631841993039721</v>
      </c>
      <c r="L820" s="12">
        <f t="shared" ca="1" si="79"/>
        <v>10.457260799530689</v>
      </c>
      <c r="M820" s="12">
        <f t="shared" ca="1" si="80"/>
        <v>0.18693009669223334</v>
      </c>
      <c r="N820" s="13">
        <f t="shared" ca="1" si="76"/>
        <v>7.1745811935090327</v>
      </c>
      <c r="O820" s="13">
        <f t="shared" ca="1" si="77"/>
        <v>-48.425465054898645</v>
      </c>
      <c r="P820" s="12">
        <f t="shared" ca="1" si="81"/>
        <v>1.4700823552914473</v>
      </c>
    </row>
    <row r="821" spans="1:16" x14ac:dyDescent="0.25">
      <c r="A821">
        <v>40</v>
      </c>
      <c r="B821">
        <v>30</v>
      </c>
      <c r="C821" s="2" t="s">
        <v>39</v>
      </c>
      <c r="D821" s="2" t="s">
        <v>146</v>
      </c>
      <c r="E821" s="11" cm="1">
        <f t="array" aca="1" ref="E821" ca="1">INDEX('OD flujo mercancia multimodal'!E$45:E$1645,MATCH(C821&amp;D821,'OD flujo mercancia multimodal'!C$45:C$1645&amp;'OD flujo mercancia multimodal'!D$45:D$1645,0))</f>
        <v>10458.223076923077</v>
      </c>
      <c r="F821" s="11" cm="1">
        <f t="array" aca="1" ref="F821" ca="1">INDEX('OD flujo mercancia carretera'!E$45:E$1646,MATCH(C821&amp;D821,'OD flujo mercancia carretera'!C$45:C$1646&amp;'OD flujo mercancia carretera'!D$45:D$1646,0))</f>
        <v>329164.61282051285</v>
      </c>
      <c r="G821" s="11" cm="1">
        <f t="array" aca="1" ref="G821" ca="1">INDEX('Coste Carretera'!E$46:E$1646,MATCH(C821&amp;D821,'Coste Carretera'!C$46:C$1646&amp;'Coste Carretera'!D$46:D$1646,0))</f>
        <v>1704505744.5</v>
      </c>
      <c r="H821" s="11" cm="1">
        <f t="array" aca="1" ref="H821" ca="1">INDEX('Coste multimodal'!E$46:E$1646,MATCH(C821&amp;D821,'Coste multimodal'!C$46:C$1646&amp;'Coste multimodal'!D$46:D$1646,0))</f>
        <v>101210655.82104872</v>
      </c>
      <c r="I821" s="12" cm="1">
        <f t="array" aca="1" ref="I821" ca="1">INDEX('Tiempos intermodal (horas)'!E$45:E$1645,MATCH(C821&amp;D821,'Tiempos intermodal (horas)'!C$45:C$1645&amp;'Tiempos intermodal (horas)'!D$45:D$1645,0))</f>
        <v>53.184024026956642</v>
      </c>
      <c r="J821" s="2" cm="1">
        <f t="array" aca="1" ref="J821" ca="1">INDEX('Tiempos carretera (horas)'!E$45:E$1645,MATCH(C821&amp;D821,'Tiempos carretera (horas)'!C$45:C$1645&amp;'Tiempos carretera (horas)'!D$45:D$1645,0))</f>
        <v>10</v>
      </c>
      <c r="K821" s="12">
        <f t="shared" ca="1" si="78"/>
        <v>5.1782776097788927</v>
      </c>
      <c r="L821" s="12">
        <f t="shared" ca="1" si="79"/>
        <v>9.677614932920898</v>
      </c>
      <c r="M821" s="12">
        <f t="shared" ca="1" si="80"/>
        <v>3.0793639212415621E-2</v>
      </c>
      <c r="N821" s="13">
        <f t="shared" ca="1" si="76"/>
        <v>-4.4993373231420053</v>
      </c>
      <c r="O821" s="13">
        <f t="shared" ca="1" si="77"/>
        <v>-43.184024026956642</v>
      </c>
      <c r="P821" s="12">
        <f t="shared" ca="1" si="81"/>
        <v>3.449169402272418</v>
      </c>
    </row>
    <row r="822" spans="1:16" x14ac:dyDescent="0.25">
      <c r="A822">
        <v>30</v>
      </c>
      <c r="B822">
        <v>40</v>
      </c>
      <c r="C822" s="2" t="s">
        <v>146</v>
      </c>
      <c r="D822" s="2" t="s">
        <v>39</v>
      </c>
      <c r="E822" s="11" cm="1">
        <f t="array" aca="1" ref="E822" ca="1">INDEX('OD flujo mercancia multimodal'!E$45:E$1645,MATCH(C822&amp;D822,'OD flujo mercancia multimodal'!C$45:C$1645&amp;'OD flujo mercancia multimodal'!D$45:D$1645,0))</f>
        <v>11559.076923076922</v>
      </c>
      <c r="F822" s="11" cm="1">
        <f t="array" aca="1" ref="F822" ca="1">INDEX('OD flujo mercancia carretera'!E$45:E$1646,MATCH(C822&amp;D822,'OD flujo mercancia carretera'!C$45:C$1646&amp;'OD flujo mercancia carretera'!D$45:D$1646,0))</f>
        <v>297397.94285714295</v>
      </c>
      <c r="G822" s="11" cm="1">
        <f t="array" aca="1" ref="G822" ca="1">INDEX('Coste Carretera'!E$46:E$1646,MATCH(C822&amp;D822,'Coste Carretera'!C$46:C$1646&amp;'Coste Carretera'!D$46:D$1646,0))</f>
        <v>1023246586.3200003</v>
      </c>
      <c r="H822" s="11" cm="1">
        <f t="array" aca="1" ref="H822" ca="1">INDEX('Coste multimodal'!E$46:E$1646,MATCH(C822&amp;D822,'Coste multimodal'!C$46:C$1646&amp;'Coste multimodal'!D$46:D$1646,0))</f>
        <v>99985863.794128016</v>
      </c>
      <c r="I822" s="12" cm="1">
        <f t="array" aca="1" ref="I822" ca="1">INDEX('Tiempos intermodal (horas)'!E$45:E$1645,MATCH(C822&amp;D822,'Tiempos intermodal (horas)'!C$45:C$1645&amp;'Tiempos intermodal (horas)'!D$45:D$1645,0))</f>
        <v>56.273384535707571</v>
      </c>
      <c r="J822" s="2" cm="1">
        <f t="array" aca="1" ref="J822" ca="1">INDEX('Tiempos carretera (horas)'!E$45:E$1645,MATCH(C822&amp;D822,'Tiempos carretera (horas)'!C$45:C$1645&amp;'Tiempos carretera (horas)'!D$45:D$1645,0))</f>
        <v>11.92</v>
      </c>
      <c r="K822" s="12">
        <f t="shared" ca="1" si="78"/>
        <v>3.4406646410850379</v>
      </c>
      <c r="L822" s="12">
        <f t="shared" ca="1" si="79"/>
        <v>8.6499868855888433</v>
      </c>
      <c r="M822" s="12">
        <f t="shared" ca="1" si="80"/>
        <v>3.7413219907738639E-2</v>
      </c>
      <c r="N822" s="13">
        <f t="shared" ca="1" si="76"/>
        <v>-5.2093222445038059</v>
      </c>
      <c r="O822" s="13">
        <f t="shared" ca="1" si="77"/>
        <v>-44.353384535707569</v>
      </c>
      <c r="P822" s="12">
        <f t="shared" ca="1" si="81"/>
        <v>3.2476001078000807</v>
      </c>
    </row>
    <row r="823" spans="1:16" x14ac:dyDescent="0.25">
      <c r="A823">
        <v>32</v>
      </c>
      <c r="B823">
        <v>14</v>
      </c>
      <c r="C823" s="2" t="s">
        <v>31</v>
      </c>
      <c r="D823" s="2" t="s">
        <v>13</v>
      </c>
      <c r="E823" s="11" cm="1">
        <f t="array" aca="1" ref="E823" ca="1">INDEX('OD flujo mercancia multimodal'!E$45:E$1645,MATCH(C823&amp;D823,'OD flujo mercancia multimodal'!C$45:C$1645&amp;'OD flujo mercancia multimodal'!D$45:D$1645,0))</f>
        <v>24026.461538461521</v>
      </c>
      <c r="F823" s="11" cm="1">
        <f t="array" aca="1" ref="F823" ca="1">INDEX('OD flujo mercancia carretera'!E$45:E$1646,MATCH(C823&amp;D823,'OD flujo mercancia carretera'!C$45:C$1646&amp;'OD flujo mercancia carretera'!D$45:D$1646,0))</f>
        <v>216752.36923076899</v>
      </c>
      <c r="G823" s="11" cm="1">
        <f t="array" aca="1" ref="G823" ca="1">INDEX('Coste Carretera'!E$46:E$1646,MATCH(C823&amp;D823,'Coste Carretera'!C$46:C$1646&amp;'Coste Carretera'!D$46:D$1646,0))</f>
        <v>2076296935.3999984</v>
      </c>
      <c r="H823" s="11" cm="1">
        <f t="array" aca="1" ref="H823" ca="1">INDEX('Coste multimodal'!E$46:E$1646,MATCH(C823&amp;D823,'Coste multimodal'!C$46:C$1646&amp;'Coste multimodal'!D$46:D$1646,0))</f>
        <v>366496841.53711796</v>
      </c>
      <c r="I823" s="12" cm="1">
        <f t="array" aca="1" ref="I823" ca="1">INDEX('Tiempos intermodal (horas)'!E$45:E$1645,MATCH(C823&amp;D823,'Tiempos intermodal (horas)'!C$45:C$1645&amp;'Tiempos intermodal (horas)'!D$45:D$1645,0))</f>
        <v>63.983730891047294</v>
      </c>
      <c r="J823" s="2" cm="1">
        <f t="array" aca="1" ref="J823" ca="1">INDEX('Tiempos carretera (horas)'!E$45:E$1645,MATCH(C823&amp;D823,'Tiempos carretera (horas)'!C$45:C$1645&amp;'Tiempos carretera (horas)'!D$45:D$1645,0))</f>
        <v>15.46</v>
      </c>
      <c r="K823" s="12">
        <f t="shared" ca="1" si="78"/>
        <v>9.5791199089013634</v>
      </c>
      <c r="L823" s="12">
        <f t="shared" ca="1" si="79"/>
        <v>15.253883346510696</v>
      </c>
      <c r="M823" s="12">
        <f t="shared" ca="1" si="80"/>
        <v>9.9786436630258352E-2</v>
      </c>
      <c r="N823" s="13">
        <f t="shared" ca="1" si="76"/>
        <v>-5.6747634376093323</v>
      </c>
      <c r="O823" s="13">
        <f t="shared" ca="1" si="77"/>
        <v>-48.523730891047293</v>
      </c>
      <c r="P823" s="12">
        <f t="shared" ca="1" si="81"/>
        <v>2.1995997592349186</v>
      </c>
    </row>
    <row r="824" spans="1:16" x14ac:dyDescent="0.25">
      <c r="A824">
        <v>14</v>
      </c>
      <c r="B824">
        <v>32</v>
      </c>
      <c r="C824" s="2" t="s">
        <v>13</v>
      </c>
      <c r="D824" s="2" t="s">
        <v>31</v>
      </c>
      <c r="E824" s="11" cm="1">
        <f t="array" aca="1" ref="E824" ca="1">INDEX('OD flujo mercancia multimodal'!E$45:E$1645,MATCH(C824&amp;D824,'OD flujo mercancia multimodal'!C$45:C$1645&amp;'OD flujo mercancia multimodal'!D$45:D$1645,0))</f>
        <v>12043.461538461539</v>
      </c>
      <c r="F824" s="11" cm="1">
        <f t="array" aca="1" ref="F824" ca="1">INDEX('OD flujo mercancia carretera'!E$45:E$1646,MATCH(C824&amp;D824,'OD flujo mercancia carretera'!C$45:C$1646&amp;'OD flujo mercancia carretera'!D$45:D$1646,0))</f>
        <v>153929.11538461538</v>
      </c>
      <c r="G824" s="11" cm="1">
        <f t="array" aca="1" ref="G824" ca="1">INDEX('Coste Carretera'!E$46:E$1646,MATCH(C824&amp;D824,'Coste Carretera'!C$46:C$1646&amp;'Coste Carretera'!D$46:D$1646,0))</f>
        <v>1144660613.4000001</v>
      </c>
      <c r="H824" s="11" cm="1">
        <f t="array" aca="1" ref="H824" ca="1">INDEX('Coste multimodal'!E$46:E$1646,MATCH(C824&amp;D824,'Coste multimodal'!C$46:C$1646&amp;'Coste multimodal'!D$46:D$1646,0))</f>
        <v>366496841.53711796</v>
      </c>
      <c r="I824" s="12" cm="1">
        <f t="array" aca="1" ref="I824" ca="1">INDEX('Tiempos intermodal (horas)'!E$45:E$1645,MATCH(C824&amp;D824,'Tiempos intermodal (horas)'!C$45:C$1645&amp;'Tiempos intermodal (horas)'!D$45:D$1645,0))</f>
        <v>63.983730891047294</v>
      </c>
      <c r="J824" s="2" cm="1">
        <f t="array" aca="1" ref="J824" ca="1">INDEX('Tiempos carretera (horas)'!E$45:E$1645,MATCH(C824&amp;D824,'Tiempos carretera (horas)'!C$45:C$1645&amp;'Tiempos carretera (horas)'!D$45:D$1645,0))</f>
        <v>15.46</v>
      </c>
      <c r="K824" s="12">
        <f t="shared" ca="1" si="78"/>
        <v>7.436283970968657</v>
      </c>
      <c r="L824" s="12">
        <f t="shared" ca="1" si="79"/>
        <v>30.431187940999155</v>
      </c>
      <c r="M824" s="12">
        <f t="shared" ca="1" si="80"/>
        <v>7.2562960470531859E-2</v>
      </c>
      <c r="N824" s="13">
        <f t="shared" ca="1" si="76"/>
        <v>-22.994903970030499</v>
      </c>
      <c r="O824" s="13">
        <f t="shared" ca="1" si="77"/>
        <v>-48.523730891047293</v>
      </c>
      <c r="P824" s="12">
        <f t="shared" ca="1" si="81"/>
        <v>2.5479703049834814</v>
      </c>
    </row>
    <row r="825" spans="1:16" x14ac:dyDescent="0.25">
      <c r="A825">
        <v>5</v>
      </c>
      <c r="B825">
        <v>22</v>
      </c>
      <c r="C825" s="2" t="s">
        <v>4</v>
      </c>
      <c r="D825" s="2" t="s">
        <v>21</v>
      </c>
      <c r="E825" s="11" cm="1">
        <f t="array" aca="1" ref="E825" ca="1">INDEX('OD flujo mercancia multimodal'!E$45:E$1645,MATCH(C825&amp;D825,'OD flujo mercancia multimodal'!C$45:C$1645&amp;'OD flujo mercancia multimodal'!D$45:D$1645,0))</f>
        <v>68287.225274725235</v>
      </c>
      <c r="F825" s="11" cm="1">
        <f t="array" aca="1" ref="F825" ca="1">INDEX('OD flujo mercancia carretera'!E$45:E$1646,MATCH(C825&amp;D825,'OD flujo mercancia carretera'!C$45:C$1646&amp;'OD flujo mercancia carretera'!D$45:D$1646,0))</f>
        <v>191665.4102564099</v>
      </c>
      <c r="G825" s="11" cm="1">
        <f t="array" aca="1" ref="G825" ca="1">INDEX('Coste Carretera'!E$46:E$1646,MATCH(C825&amp;D825,'Coste Carretera'!C$46:C$1646&amp;'Coste Carretera'!D$46:D$1646,0))</f>
        <v>4171035618.0714254</v>
      </c>
      <c r="H825" s="11" cm="1">
        <f t="array" aca="1" ref="H825" ca="1">INDEX('Coste multimodal'!E$46:E$1646,MATCH(C825&amp;D825,'Coste multimodal'!C$46:C$1646&amp;'Coste multimodal'!D$46:D$1646,0))</f>
        <v>2338005303.8041797</v>
      </c>
      <c r="I825" s="12" cm="1">
        <f t="array" aca="1" ref="I825" ca="1">INDEX('Tiempos intermodal (horas)'!E$45:E$1645,MATCH(C825&amp;D825,'Tiempos intermodal (horas)'!C$45:C$1645&amp;'Tiempos intermodal (horas)'!D$45:D$1645,0))</f>
        <v>83.936266080377251</v>
      </c>
      <c r="J825" s="2" cm="1">
        <f t="array" aca="1" ref="J825" ca="1">INDEX('Tiempos carretera (horas)'!E$45:E$1645,MATCH(C825&amp;D825,'Tiempos carretera (horas)'!C$45:C$1645&amp;'Tiempos carretera (horas)'!D$45:D$1645,0))</f>
        <v>12.36</v>
      </c>
      <c r="K825" s="12">
        <f t="shared" ca="1" si="78"/>
        <v>21.762067618207247</v>
      </c>
      <c r="L825" s="12">
        <f t="shared" ca="1" si="79"/>
        <v>34.237813798967352</v>
      </c>
      <c r="M825" s="12">
        <f t="shared" ca="1" si="80"/>
        <v>0.26269102882992817</v>
      </c>
      <c r="N825" s="13">
        <f t="shared" ca="1" si="76"/>
        <v>-12.475746180760105</v>
      </c>
      <c r="O825" s="13">
        <f t="shared" ca="1" si="77"/>
        <v>-71.576266080377252</v>
      </c>
      <c r="P825" s="12">
        <f t="shared" ca="1" si="81"/>
        <v>1.0320284862783378</v>
      </c>
    </row>
    <row r="826" spans="1:16" x14ac:dyDescent="0.25">
      <c r="A826">
        <v>39</v>
      </c>
      <c r="B826">
        <v>21</v>
      </c>
      <c r="C826" s="2" t="s">
        <v>38</v>
      </c>
      <c r="D826" s="2" t="s">
        <v>20</v>
      </c>
      <c r="E826" s="11" cm="1">
        <f t="array" aca="1" ref="E826" ca="1">INDEX('OD flujo mercancia multimodal'!E$45:E$1645,MATCH(C826&amp;D826,'OD flujo mercancia multimodal'!C$45:C$1645&amp;'OD flujo mercancia multimodal'!D$45:D$1645,0))</f>
        <v>37326.307692307702</v>
      </c>
      <c r="F826" s="11" cm="1">
        <f t="array" aca="1" ref="F826" ca="1">INDEX('OD flujo mercancia carretera'!E$45:E$1646,MATCH(C826&amp;D826,'OD flujo mercancia carretera'!C$45:C$1646&amp;'OD flujo mercancia carretera'!D$45:D$1646,0))</f>
        <v>112664.02564102531</v>
      </c>
      <c r="G826" s="11" cm="1">
        <f t="array" aca="1" ref="G826" ca="1">INDEX('Coste Carretera'!E$46:E$1646,MATCH(C826&amp;D826,'Coste Carretera'!C$46:C$1646&amp;'Coste Carretera'!D$46:D$1646,0))</f>
        <v>4801536723.5600004</v>
      </c>
      <c r="H826" s="11" cm="1">
        <f t="array" aca="1" ref="H826" ca="1">INDEX('Coste multimodal'!E$46:E$1646,MATCH(C826&amp;D826,'Coste multimodal'!C$46:C$1646&amp;'Coste multimodal'!D$46:D$1646,0))</f>
        <v>278701413.58029974</v>
      </c>
      <c r="I826" s="12" cm="1">
        <f t="array" aca="1" ref="I826" ca="1">INDEX('Tiempos intermodal (horas)'!E$45:E$1645,MATCH(C826&amp;D826,'Tiempos intermodal (horas)'!C$45:C$1645&amp;'Tiempos intermodal (horas)'!D$45:D$1645,0))</f>
        <v>77.448329778997746</v>
      </c>
      <c r="J826" s="2" cm="1">
        <f t="array" aca="1" ref="J826" ca="1">INDEX('Tiempos carretera (horas)'!E$45:E$1645,MATCH(C826&amp;D826,'Tiempos carretera (horas)'!C$45:C$1645&amp;'Tiempos carretera (horas)'!D$45:D$1645,0))</f>
        <v>21.53</v>
      </c>
      <c r="K826" s="12">
        <f t="shared" ca="1" si="78"/>
        <v>42.618188869434256</v>
      </c>
      <c r="L826" s="12">
        <f t="shared" ca="1" si="79"/>
        <v>7.4666215549022867</v>
      </c>
      <c r="M826" s="12">
        <f t="shared" ca="1" si="80"/>
        <v>0.2488580888033303</v>
      </c>
      <c r="N826" s="13">
        <f t="shared" ca="1" si="76"/>
        <v>35.151567314531967</v>
      </c>
      <c r="O826" s="13">
        <f t="shared" ca="1" si="77"/>
        <v>-55.918329778997744</v>
      </c>
      <c r="P826" s="12">
        <f t="shared" ca="1" si="81"/>
        <v>1.104711787379737</v>
      </c>
    </row>
    <row r="827" spans="1:16" x14ac:dyDescent="0.25">
      <c r="A827">
        <v>21</v>
      </c>
      <c r="B827">
        <v>39</v>
      </c>
      <c r="C827" s="2" t="s">
        <v>20</v>
      </c>
      <c r="D827" s="2" t="s">
        <v>38</v>
      </c>
      <c r="E827" s="11" cm="1">
        <f t="array" aca="1" ref="E827" ca="1">INDEX('OD flujo mercancia multimodal'!E$45:E$1645,MATCH(C827&amp;D827,'OD flujo mercancia multimodal'!C$45:C$1645&amp;'OD flujo mercancia multimodal'!D$45:D$1645,0))</f>
        <v>26366.923076923082</v>
      </c>
      <c r="F827" s="11" cm="1">
        <f t="array" aca="1" ref="F827" ca="1">INDEX('OD flujo mercancia carretera'!E$45:E$1646,MATCH(C827&amp;D827,'OD flujo mercancia carretera'!C$45:C$1646&amp;'OD flujo mercancia carretera'!D$45:D$1646,0))</f>
        <v>201292.84249084251</v>
      </c>
      <c r="G827" s="11" cm="1">
        <f t="array" aca="1" ref="G827" ca="1">INDEX('Coste Carretera'!E$46:E$1646,MATCH(C827&amp;D827,'Coste Carretera'!C$46:C$1646&amp;'Coste Carretera'!D$46:D$1646,0))</f>
        <v>2119161234.3999999</v>
      </c>
      <c r="H827" s="11" cm="1">
        <f t="array" aca="1" ref="H827" ca="1">INDEX('Coste multimodal'!E$46:E$1646,MATCH(C827&amp;D827,'Coste multimodal'!C$46:C$1646&amp;'Coste multimodal'!D$46:D$1646,0))</f>
        <v>244835804.3395012</v>
      </c>
      <c r="I827" s="12" cm="1">
        <f t="array" aca="1" ref="I827" ca="1">INDEX('Tiempos intermodal (horas)'!E$45:E$1645,MATCH(C827&amp;D827,'Tiempos intermodal (horas)'!C$45:C$1645&amp;'Tiempos intermodal (horas)'!D$45:D$1645,0))</f>
        <v>66.515316403317371</v>
      </c>
      <c r="J827" s="2" cm="1">
        <f t="array" aca="1" ref="J827" ca="1">INDEX('Tiempos carretera (horas)'!E$45:E$1645,MATCH(C827&amp;D827,'Tiempos carretera (horas)'!C$45:C$1645&amp;'Tiempos carretera (horas)'!D$45:D$1645,0))</f>
        <v>17.809999999999999</v>
      </c>
      <c r="K827" s="12">
        <f t="shared" ca="1" si="78"/>
        <v>10.527752542897334</v>
      </c>
      <c r="L827" s="12">
        <f t="shared" ca="1" si="79"/>
        <v>9.2857177011217864</v>
      </c>
      <c r="M827" s="12">
        <f t="shared" ca="1" si="80"/>
        <v>0.11581722844687134</v>
      </c>
      <c r="N827" s="13">
        <f t="shared" ca="1" si="76"/>
        <v>1.2420348417755473</v>
      </c>
      <c r="O827" s="13">
        <f t="shared" ca="1" si="77"/>
        <v>-48.705316403317369</v>
      </c>
      <c r="P827" s="12">
        <f t="shared" ca="1" si="81"/>
        <v>2.0326504647379031</v>
      </c>
    </row>
    <row r="828" spans="1:16" x14ac:dyDescent="0.25">
      <c r="A828">
        <v>14</v>
      </c>
      <c r="B828">
        <v>8</v>
      </c>
      <c r="C828" s="2" t="s">
        <v>13</v>
      </c>
      <c r="D828" s="2" t="s">
        <v>7</v>
      </c>
      <c r="E828" s="11" cm="1">
        <f t="array" aca="1" ref="E828" ca="1">INDEX('OD flujo mercancia multimodal'!E$45:E$1645,MATCH(C828&amp;D828,'OD flujo mercancia multimodal'!C$45:C$1645&amp;'OD flujo mercancia multimodal'!D$45:D$1645,0))</f>
        <v>46155.934065934023</v>
      </c>
      <c r="F828" s="11" cm="1">
        <f t="array" aca="1" ref="F828" ca="1">INDEX('OD flujo mercancia carretera'!E$45:E$1646,MATCH(C828&amp;D828,'OD flujo mercancia carretera'!C$45:C$1646&amp;'OD flujo mercancia carretera'!D$45:D$1646,0))</f>
        <v>223931.46153846139</v>
      </c>
      <c r="G828" s="11" cm="1">
        <f t="array" aca="1" ref="G828" ca="1">INDEX('Coste Carretera'!E$46:E$1646,MATCH(C828&amp;D828,'Coste Carretera'!C$46:C$1646&amp;'Coste Carretera'!D$46:D$1646,0))</f>
        <v>4104017649.5428538</v>
      </c>
      <c r="H828" s="11" cm="1">
        <f t="array" aca="1" ref="H828" ca="1">INDEX('Coste multimodal'!E$46:E$1646,MATCH(C828&amp;D828,'Coste multimodal'!C$46:C$1646&amp;'Coste multimodal'!D$46:D$1646,0))</f>
        <v>371599204.38575721</v>
      </c>
      <c r="I828" s="12" cm="1">
        <f t="array" aca="1" ref="I828" ca="1">INDEX('Tiempos intermodal (horas)'!E$45:E$1645,MATCH(C828&amp;D828,'Tiempos intermodal (horas)'!C$45:C$1645&amp;'Tiempos intermodal (horas)'!D$45:D$1645,0))</f>
        <v>66.764819347667967</v>
      </c>
      <c r="J828" s="2" cm="1">
        <f t="array" aca="1" ref="J828" ca="1">INDEX('Tiempos carretera (horas)'!E$45:E$1645,MATCH(C828&amp;D828,'Tiempos carretera (horas)'!C$45:C$1645&amp;'Tiempos carretera (horas)'!D$45:D$1645,0))</f>
        <v>18.03</v>
      </c>
      <c r="K828" s="12">
        <f t="shared" ca="1" si="78"/>
        <v>18.327115008080128</v>
      </c>
      <c r="L828" s="12">
        <f t="shared" ca="1" si="79"/>
        <v>8.0509518852966018</v>
      </c>
      <c r="M828" s="12">
        <f t="shared" ca="1" si="80"/>
        <v>0.17089258816631309</v>
      </c>
      <c r="N828" s="13">
        <f t="shared" ca="1" si="76"/>
        <v>10.276163122783526</v>
      </c>
      <c r="O828" s="13">
        <f t="shared" ca="1" si="77"/>
        <v>-48.734819347667965</v>
      </c>
      <c r="P828" s="12">
        <f t="shared" ca="1" si="81"/>
        <v>1.5793144949336939</v>
      </c>
    </row>
    <row r="829" spans="1:16" x14ac:dyDescent="0.25">
      <c r="A829">
        <v>8</v>
      </c>
      <c r="B829">
        <v>14</v>
      </c>
      <c r="C829" s="2" t="s">
        <v>7</v>
      </c>
      <c r="D829" s="2" t="s">
        <v>13</v>
      </c>
      <c r="E829" s="11" cm="1">
        <f t="array" aca="1" ref="E829" ca="1">INDEX('OD flujo mercancia multimodal'!E$45:E$1645,MATCH(C829&amp;D829,'OD flujo mercancia multimodal'!C$45:C$1645&amp;'OD flujo mercancia multimodal'!D$45:D$1645,0))</f>
        <v>30879.027472527458</v>
      </c>
      <c r="F829" s="11" cm="1">
        <f t="array" aca="1" ref="F829" ca="1">INDEX('OD flujo mercancia carretera'!E$45:E$1646,MATCH(C829&amp;D829,'OD flujo mercancia carretera'!C$45:C$1646&amp;'OD flujo mercancia carretera'!D$45:D$1646,0))</f>
        <v>287266.69230769208</v>
      </c>
      <c r="G829" s="11" cm="1">
        <f t="array" aca="1" ref="G829" ca="1">INDEX('Coste Carretera'!E$46:E$1646,MATCH(C829&amp;D829,'Coste Carretera'!C$46:C$1646&amp;'Coste Carretera'!D$46:D$1646,0))</f>
        <v>2745650723.1971416</v>
      </c>
      <c r="H829" s="11" cm="1">
        <f t="array" aca="1" ref="H829" ca="1">INDEX('Coste multimodal'!E$46:E$1646,MATCH(C829&amp;D829,'Coste multimodal'!C$46:C$1646&amp;'Coste multimodal'!D$46:D$1646,0))</f>
        <v>371599204.38575721</v>
      </c>
      <c r="I829" s="12" cm="1">
        <f t="array" aca="1" ref="I829" ca="1">INDEX('Tiempos intermodal (horas)'!E$45:E$1645,MATCH(C829&amp;D829,'Tiempos intermodal (horas)'!C$45:C$1645&amp;'Tiempos intermodal (horas)'!D$45:D$1645,0))</f>
        <v>66.764819347667967</v>
      </c>
      <c r="J829" s="2" cm="1">
        <f t="array" aca="1" ref="J829" ca="1">INDEX('Tiempos carretera (horas)'!E$45:E$1645,MATCH(C829&amp;D829,'Tiempos carretera (horas)'!C$45:C$1645&amp;'Tiempos carretera (horas)'!D$45:D$1645,0))</f>
        <v>18.03</v>
      </c>
      <c r="K829" s="12">
        <f t="shared" ca="1" si="78"/>
        <v>9.5578457117341973</v>
      </c>
      <c r="L829" s="12">
        <f t="shared" ca="1" si="79"/>
        <v>12.034031988745845</v>
      </c>
      <c r="M829" s="12">
        <f t="shared" ca="1" si="80"/>
        <v>9.7059383649288802E-2</v>
      </c>
      <c r="N829" s="13">
        <f t="shared" ca="1" si="76"/>
        <v>-2.4761862770116476</v>
      </c>
      <c r="O829" s="13">
        <f t="shared" ca="1" si="77"/>
        <v>-48.734819347667965</v>
      </c>
      <c r="P829" s="12">
        <f t="shared" ca="1" si="81"/>
        <v>2.2303337948769073</v>
      </c>
    </row>
    <row r="830" spans="1:16" x14ac:dyDescent="0.25">
      <c r="A830">
        <v>22</v>
      </c>
      <c r="B830">
        <v>33</v>
      </c>
      <c r="C830" s="2" t="s">
        <v>21</v>
      </c>
      <c r="D830" s="2" t="s">
        <v>32</v>
      </c>
      <c r="E830" s="11" cm="1">
        <f t="array" aca="1" ref="E830" ca="1">INDEX('OD flujo mercancia multimodal'!E$45:E$1645,MATCH(C830&amp;D830,'OD flujo mercancia multimodal'!C$45:C$1645&amp;'OD flujo mercancia multimodal'!D$45:D$1645,0))</f>
        <v>72831.307692307659</v>
      </c>
      <c r="F830" s="11" cm="1">
        <f t="array" aca="1" ref="F830" ca="1">INDEX('OD flujo mercancia carretera'!E$45:E$1646,MATCH(C830&amp;D830,'OD flujo mercancia carretera'!C$45:C$1646&amp;'OD flujo mercancia carretera'!D$45:D$1646,0))</f>
        <v>226659.38974358974</v>
      </c>
      <c r="G830" s="11" cm="1">
        <f t="array" aca="1" ref="G830" ca="1">INDEX('Coste Carretera'!E$46:E$1646,MATCH(C830&amp;D830,'Coste Carretera'!C$46:C$1646&amp;'Coste Carretera'!D$46:D$1646,0))</f>
        <v>375476715.23999995</v>
      </c>
      <c r="H830" s="11" cm="1">
        <f t="array" aca="1" ref="H830" ca="1">INDEX('Coste multimodal'!E$46:E$1646,MATCH(C830&amp;D830,'Coste multimodal'!C$46:C$1646&amp;'Coste multimodal'!D$46:D$1646,0))</f>
        <v>254299133.71704805</v>
      </c>
      <c r="I830" s="12" cm="1">
        <f t="array" aca="1" ref="I830" ca="1">INDEX('Tiempos intermodal (horas)'!E$45:E$1645,MATCH(C830&amp;D830,'Tiempos intermodal (horas)'!C$45:C$1645&amp;'Tiempos intermodal (horas)'!D$45:D$1645,0))</f>
        <v>60.91897880008915</v>
      </c>
      <c r="J830" s="2" cm="1">
        <f t="array" aca="1" ref="J830" ca="1">INDEX('Tiempos carretera (horas)'!E$45:E$1645,MATCH(C830&amp;D830,'Tiempos carretera (horas)'!C$45:C$1645&amp;'Tiempos carretera (horas)'!D$45:D$1645,0))</f>
        <v>8.1300000000000008</v>
      </c>
      <c r="K830" s="12">
        <f t="shared" ca="1" si="78"/>
        <v>1.656568102758774</v>
      </c>
      <c r="L830" s="12">
        <f t="shared" ca="1" si="79"/>
        <v>3.491618395640955</v>
      </c>
      <c r="M830" s="12">
        <f t="shared" ca="1" si="80"/>
        <v>0.24318387287436991</v>
      </c>
      <c r="N830" s="13">
        <f t="shared" ca="1" si="76"/>
        <v>-1.835050292882181</v>
      </c>
      <c r="O830" s="13">
        <f t="shared" ca="1" si="77"/>
        <v>-52.788978800089147</v>
      </c>
      <c r="P830" s="12">
        <f t="shared" ca="1" si="81"/>
        <v>1.1353024914384526</v>
      </c>
    </row>
    <row r="831" spans="1:16" x14ac:dyDescent="0.25">
      <c r="A831">
        <v>33</v>
      </c>
      <c r="B831">
        <v>22</v>
      </c>
      <c r="C831" s="2" t="s">
        <v>32</v>
      </c>
      <c r="D831" s="2" t="s">
        <v>21</v>
      </c>
      <c r="E831" s="11" cm="1">
        <f t="array" aca="1" ref="E831" ca="1">INDEX('OD flujo mercancia multimodal'!E$45:E$1645,MATCH(C831&amp;D831,'OD flujo mercancia multimodal'!C$45:C$1645&amp;'OD flujo mercancia multimodal'!D$45:D$1645,0))</f>
        <v>51900.769230769183</v>
      </c>
      <c r="F831" s="11" cm="1">
        <f t="array" aca="1" ref="F831" ca="1">INDEX('OD flujo mercancia carretera'!E$45:E$1646,MATCH(C831&amp;D831,'OD flujo mercancia carretera'!C$45:C$1646&amp;'OD flujo mercancia carretera'!D$45:D$1646,0))</f>
        <v>219119.35384615351</v>
      </c>
      <c r="G831" s="11" cm="1">
        <f t="array" aca="1" ref="G831" ca="1">INDEX('Coste Carretera'!E$46:E$1646,MATCH(C831&amp;D831,'Coste Carretera'!C$46:C$1646&amp;'Coste Carretera'!D$46:D$1646,0))</f>
        <v>896296405.83999801</v>
      </c>
      <c r="H831" s="11" cm="1">
        <f t="array" aca="1" ref="H831" ca="1">INDEX('Coste multimodal'!E$46:E$1646,MATCH(C831&amp;D831,'Coste multimodal'!C$46:C$1646&amp;'Coste multimodal'!D$46:D$1646,0))</f>
        <v>254299133.71704805</v>
      </c>
      <c r="I831" s="12" cm="1">
        <f t="array" aca="1" ref="I831" ca="1">INDEX('Tiempos intermodal (horas)'!E$45:E$1645,MATCH(C831&amp;D831,'Tiempos intermodal (horas)'!C$45:C$1645&amp;'Tiempos intermodal (horas)'!D$45:D$1645,0))</f>
        <v>60.91897880008915</v>
      </c>
      <c r="J831" s="2" cm="1">
        <f t="array" aca="1" ref="J831" ca="1">INDEX('Tiempos carretera (horas)'!E$45:E$1645,MATCH(C831&amp;D831,'Tiempos carretera (horas)'!C$45:C$1645&amp;'Tiempos carretera (horas)'!D$45:D$1645,0))</f>
        <v>8.1300000000000008</v>
      </c>
      <c r="K831" s="12">
        <f t="shared" ca="1" si="78"/>
        <v>4.0904483794220168</v>
      </c>
      <c r="L831" s="12">
        <f t="shared" ca="1" si="79"/>
        <v>4.8997180096954658</v>
      </c>
      <c r="M831" s="12">
        <f t="shared" ca="1" si="80"/>
        <v>0.19150153369253092</v>
      </c>
      <c r="N831" s="13">
        <f t="shared" ca="1" si="76"/>
        <v>-0.809269630273449</v>
      </c>
      <c r="O831" s="13">
        <f t="shared" ca="1" si="77"/>
        <v>-52.788978800089147</v>
      </c>
      <c r="P831" s="12">
        <f t="shared" ca="1" si="81"/>
        <v>1.4402829646279918</v>
      </c>
    </row>
    <row r="832" spans="1:16" x14ac:dyDescent="0.25">
      <c r="A832">
        <v>10</v>
      </c>
      <c r="B832">
        <v>22</v>
      </c>
      <c r="C832" s="2" t="s">
        <v>9</v>
      </c>
      <c r="D832" s="2" t="s">
        <v>21</v>
      </c>
      <c r="E832" s="11" cm="1">
        <f t="array" aca="1" ref="E832" ca="1">INDEX('OD flujo mercancia multimodal'!E$45:E$1645,MATCH(C832&amp;D832,'OD flujo mercancia multimodal'!C$45:C$1645&amp;'OD flujo mercancia multimodal'!D$45:D$1645,0))</f>
        <v>35795.725274725228</v>
      </c>
      <c r="F832" s="11" cm="1">
        <f t="array" aca="1" ref="F832" ca="1">INDEX('OD flujo mercancia carretera'!E$45:E$1646,MATCH(C832&amp;D832,'OD flujo mercancia carretera'!C$45:C$1646&amp;'OD flujo mercancia carretera'!D$45:D$1646,0))</f>
        <v>217068.25641025609</v>
      </c>
      <c r="G832" s="11" cm="1">
        <f t="array" aca="1" ref="G832" ca="1">INDEX('Coste Carretera'!E$46:E$1646,MATCH(C832&amp;D832,'Coste Carretera'!C$46:C$1646&amp;'Coste Carretera'!D$46:D$1646,0))</f>
        <v>2299229594.0171399</v>
      </c>
      <c r="H832" s="11" cm="1">
        <f t="array" aca="1" ref="H832" ca="1">INDEX('Coste multimodal'!E$46:E$1646,MATCH(C832&amp;D832,'Coste multimodal'!C$46:C$1646&amp;'Coste multimodal'!D$46:D$1646,0))</f>
        <v>2385341080.8641796</v>
      </c>
      <c r="I832" s="12" cm="1">
        <f t="array" aca="1" ref="I832" ca="1">INDEX('Tiempos intermodal (horas)'!E$45:E$1645,MATCH(C832&amp;D832,'Tiempos intermodal (horas)'!C$45:C$1645&amp;'Tiempos intermodal (horas)'!D$45:D$1645,0))</f>
        <v>84.924043858155031</v>
      </c>
      <c r="J832" s="2" cm="1">
        <f t="array" aca="1" ref="J832" ca="1">INDEX('Tiempos carretera (horas)'!E$45:E$1645,MATCH(C832&amp;D832,'Tiempos carretera (horas)'!C$45:C$1645&amp;'Tiempos carretera (horas)'!D$45:D$1645,0))</f>
        <v>13.03</v>
      </c>
      <c r="K832" s="12">
        <f t="shared" ca="1" si="78"/>
        <v>10.592196353536037</v>
      </c>
      <c r="L832" s="12">
        <f t="shared" ca="1" si="79"/>
        <v>66.637596041347138</v>
      </c>
      <c r="M832" s="12">
        <f t="shared" ca="1" si="80"/>
        <v>0.14156118651694588</v>
      </c>
      <c r="N832" s="13">
        <f t="shared" ref="N832:N895" ca="1" si="82">K832-L832</f>
        <v>-56.045399687811098</v>
      </c>
      <c r="O832" s="13">
        <f t="shared" ref="O832:O895" ca="1" si="83">J832-I832</f>
        <v>-71.89404385815503</v>
      </c>
      <c r="P832" s="12">
        <f t="shared" ca="1" si="81"/>
        <v>1.8023833692074342</v>
      </c>
    </row>
    <row r="833" spans="1:16" x14ac:dyDescent="0.25">
      <c r="A833">
        <v>22</v>
      </c>
      <c r="B833">
        <v>10</v>
      </c>
      <c r="C833" s="2" t="s">
        <v>21</v>
      </c>
      <c r="D833" s="2" t="s">
        <v>9</v>
      </c>
      <c r="E833" s="11" cm="1">
        <f t="array" aca="1" ref="E833" ca="1">INDEX('OD flujo mercancia multimodal'!E$45:E$1645,MATCH(C833&amp;D833,'OD flujo mercancia multimodal'!C$45:C$1645&amp;'OD flujo mercancia multimodal'!D$45:D$1645,0))</f>
        <v>29744.752747252762</v>
      </c>
      <c r="F833" s="11" cm="1">
        <f t="array" aca="1" ref="F833" ca="1">INDEX('OD flujo mercancia carretera'!E$45:E$1646,MATCH(C833&amp;D833,'OD flujo mercancia carretera'!C$45:C$1646&amp;'OD flujo mercancia carretera'!D$45:D$1646,0))</f>
        <v>221660.58974358975</v>
      </c>
      <c r="G833" s="11" cm="1">
        <f t="array" aca="1" ref="G833" ca="1">INDEX('Coste Carretera'!E$46:E$1646,MATCH(C833&amp;D833,'Coste Carretera'!C$46:C$1646&amp;'Coste Carretera'!D$46:D$1646,0))</f>
        <v>1910563768.6714296</v>
      </c>
      <c r="H833" s="11" cm="1">
        <f t="array" aca="1" ref="H833" ca="1">INDEX('Coste multimodal'!E$46:E$1646,MATCH(C833&amp;D833,'Coste multimodal'!C$46:C$1646&amp;'Coste multimodal'!D$46:D$1646,0))</f>
        <v>2385341080.8641796</v>
      </c>
      <c r="I833" s="12" cm="1">
        <f t="array" aca="1" ref="I833" ca="1">INDEX('Tiempos intermodal (horas)'!E$45:E$1645,MATCH(C833&amp;D833,'Tiempos intermodal (horas)'!C$45:C$1645&amp;'Tiempos intermodal (horas)'!D$45:D$1645,0))</f>
        <v>84.924043858155031</v>
      </c>
      <c r="J833" s="2" cm="1">
        <f t="array" aca="1" ref="J833" ca="1">INDEX('Tiempos carretera (horas)'!E$45:E$1645,MATCH(C833&amp;D833,'Tiempos carretera (horas)'!C$45:C$1645&amp;'Tiempos carretera (horas)'!D$45:D$1645,0))</f>
        <v>13.03</v>
      </c>
      <c r="K833" s="12">
        <f t="shared" ca="1" si="78"/>
        <v>8.619320966715426</v>
      </c>
      <c r="L833" s="12">
        <f t="shared" ca="1" si="79"/>
        <v>80.193676549706424</v>
      </c>
      <c r="M833" s="12">
        <f t="shared" ca="1" si="80"/>
        <v>0.11831392464675336</v>
      </c>
      <c r="N833" s="13">
        <f t="shared" ca="1" si="82"/>
        <v>-71.574355582991004</v>
      </c>
      <c r="O833" s="13">
        <f t="shared" ca="1" si="83"/>
        <v>-71.89404385815503</v>
      </c>
      <c r="P833" s="12">
        <f t="shared" ca="1" si="81"/>
        <v>2.0084945987298197</v>
      </c>
    </row>
    <row r="834" spans="1:16" x14ac:dyDescent="0.25">
      <c r="A834">
        <v>24</v>
      </c>
      <c r="B834">
        <v>34</v>
      </c>
      <c r="C834" s="2" t="s">
        <v>23</v>
      </c>
      <c r="D834" s="2" t="s">
        <v>33</v>
      </c>
      <c r="E834" s="11" cm="1">
        <f t="array" aca="1" ref="E834" ca="1">INDEX('OD flujo mercancia multimodal'!E$45:E$1645,MATCH(C834&amp;D834,'OD flujo mercancia multimodal'!C$45:C$1645&amp;'OD flujo mercancia multimodal'!D$45:D$1645,0))</f>
        <v>300515.76923076954</v>
      </c>
      <c r="F834" s="11" cm="1">
        <f t="array" aca="1" ref="F834" ca="1">INDEX('OD flujo mercancia carretera'!E$45:E$1646,MATCH(C834&amp;D834,'OD flujo mercancia carretera'!C$45:C$1646&amp;'OD flujo mercancia carretera'!D$45:D$1646,0))</f>
        <v>349142.38888888899</v>
      </c>
      <c r="G834" s="11" cm="1">
        <f t="array" aca="1" ref="G834" ca="1">INDEX('Coste Carretera'!E$46:E$1646,MATCH(C834&amp;D834,'Coste Carretera'!C$46:C$1646&amp;'Coste Carretera'!D$46:D$1646,0))</f>
        <v>3794631214.079998</v>
      </c>
      <c r="H834" s="11" cm="1">
        <f t="array" aca="1" ref="H834" ca="1">INDEX('Coste multimodal'!E$46:E$1646,MATCH(C834&amp;D834,'Coste multimodal'!C$46:C$1646&amp;'Coste multimodal'!D$46:D$1646,0))</f>
        <v>2935865036.1257267</v>
      </c>
      <c r="I834" s="12" cm="1">
        <f t="array" aca="1" ref="I834" ca="1">INDEX('Tiempos intermodal (horas)'!E$45:E$1645,MATCH(C834&amp;D834,'Tiempos intermodal (horas)'!C$45:C$1645&amp;'Tiempos intermodal (horas)'!D$45:D$1645,0))</f>
        <v>60.285412836664783</v>
      </c>
      <c r="J834" s="2" cm="1">
        <f t="array" aca="1" ref="J834" ca="1">INDEX('Tiempos carretera (horas)'!E$45:E$1645,MATCH(C834&amp;D834,'Tiempos carretera (horas)'!C$45:C$1645&amp;'Tiempos carretera (horas)'!D$45:D$1645,0))</f>
        <v>11.35</v>
      </c>
      <c r="K834" s="12">
        <f t="shared" ca="1" si="78"/>
        <v>10.86843458382706</v>
      </c>
      <c r="L834" s="12">
        <f t="shared" ca="1" si="79"/>
        <v>9.7694208980802006</v>
      </c>
      <c r="M834" s="12">
        <f t="shared" ca="1" si="80"/>
        <v>0.46257522587043154</v>
      </c>
      <c r="N834" s="13">
        <f t="shared" ca="1" si="82"/>
        <v>1.0990136857468595</v>
      </c>
      <c r="O834" s="13">
        <f t="shared" ca="1" si="83"/>
        <v>-48.935412836664781</v>
      </c>
      <c r="P834" s="12">
        <f t="shared" ca="1" si="81"/>
        <v>0.1499796008424292</v>
      </c>
    </row>
    <row r="835" spans="1:16" x14ac:dyDescent="0.25">
      <c r="A835">
        <v>34</v>
      </c>
      <c r="B835">
        <v>24</v>
      </c>
      <c r="C835" s="2" t="s">
        <v>33</v>
      </c>
      <c r="D835" s="2" t="s">
        <v>23</v>
      </c>
      <c r="E835" s="11" cm="1">
        <f t="array" aca="1" ref="E835" ca="1">INDEX('OD flujo mercancia multimodal'!E$45:E$1645,MATCH(C835&amp;D835,'OD flujo mercancia multimodal'!C$45:C$1645&amp;'OD flujo mercancia multimodal'!D$45:D$1645,0))</f>
        <v>132257.84615384616</v>
      </c>
      <c r="F835" s="11" cm="1">
        <f t="array" aca="1" ref="F835" ca="1">INDEX('OD flujo mercancia carretera'!E$45:E$1646,MATCH(C835&amp;D835,'OD flujo mercancia carretera'!C$45:C$1646&amp;'OD flujo mercancia carretera'!D$45:D$1646,0))</f>
        <v>342236.89316239319</v>
      </c>
      <c r="G835" s="11" cm="1">
        <f t="array" aca="1" ref="G835" ca="1">INDEX('Coste Carretera'!E$46:E$1646,MATCH(C835&amp;D835,'Coste Carretera'!C$46:C$1646&amp;'Coste Carretera'!D$46:D$1646,0))</f>
        <v>2109054075.5199997</v>
      </c>
      <c r="H835" s="11" cm="1">
        <f t="array" aca="1" ref="H835" ca="1">INDEX('Coste multimodal'!E$46:E$1646,MATCH(C835&amp;D835,'Coste multimodal'!C$46:C$1646&amp;'Coste multimodal'!D$46:D$1646,0))</f>
        <v>2935865036.1257267</v>
      </c>
      <c r="I835" s="12" cm="1">
        <f t="array" aca="1" ref="I835" ca="1">INDEX('Tiempos intermodal (horas)'!E$45:E$1645,MATCH(C835&amp;D835,'Tiempos intermodal (horas)'!C$45:C$1645&amp;'Tiempos intermodal (horas)'!D$45:D$1645,0))</f>
        <v>60.285412836664783</v>
      </c>
      <c r="J835" s="2" cm="1">
        <f t="array" aca="1" ref="J835" ca="1">INDEX('Tiempos carretera (horas)'!E$45:E$1645,MATCH(C835&amp;D835,'Tiempos carretera (horas)'!C$45:C$1645&amp;'Tiempos carretera (horas)'!D$45:D$1645,0))</f>
        <v>11.35</v>
      </c>
      <c r="K835" s="12">
        <f t="shared" ca="1" si="78"/>
        <v>6.1625561640405682</v>
      </c>
      <c r="L835" s="12">
        <f t="shared" ca="1" si="79"/>
        <v>22.198040581355329</v>
      </c>
      <c r="M835" s="12">
        <f t="shared" ca="1" si="80"/>
        <v>0.27873406214035912</v>
      </c>
      <c r="N835" s="13">
        <f t="shared" ca="1" si="82"/>
        <v>-16.035484417314763</v>
      </c>
      <c r="O835" s="13">
        <f t="shared" ca="1" si="83"/>
        <v>-48.935412836664781</v>
      </c>
      <c r="P835" s="12">
        <f t="shared" ca="1" si="81"/>
        <v>0.95074977016889906</v>
      </c>
    </row>
    <row r="836" spans="1:16" x14ac:dyDescent="0.25">
      <c r="A836">
        <v>4</v>
      </c>
      <c r="B836">
        <v>14</v>
      </c>
      <c r="C836" s="2" t="s">
        <v>3</v>
      </c>
      <c r="D836" s="2" t="s">
        <v>13</v>
      </c>
      <c r="E836" s="11" cm="1">
        <f t="array" aca="1" ref="E836" ca="1">INDEX('OD flujo mercancia multimodal'!E$45:E$1645,MATCH(C836&amp;D836,'OD flujo mercancia multimodal'!C$45:C$1645&amp;'OD flujo mercancia multimodal'!D$45:D$1645,0))</f>
        <v>53536.527472527458</v>
      </c>
      <c r="F836" s="11" cm="1">
        <f t="array" aca="1" ref="F836" ca="1">INDEX('OD flujo mercancia carretera'!E$45:E$1646,MATCH(C836&amp;D836,'OD flujo mercancia carretera'!C$45:C$1646&amp;'OD flujo mercancia carretera'!D$45:D$1646,0))</f>
        <v>201318.92307692283</v>
      </c>
      <c r="G836" s="11" cm="1">
        <f t="array" aca="1" ref="G836" ca="1">INDEX('Coste Carretera'!E$46:E$1646,MATCH(C836&amp;D836,'Coste Carretera'!C$46:C$1646&amp;'Coste Carretera'!D$46:D$1646,0))</f>
        <v>4768708365.1657133</v>
      </c>
      <c r="H836" s="11" cm="1">
        <f t="array" aca="1" ref="H836" ca="1">INDEX('Coste multimodal'!E$46:E$1646,MATCH(C836&amp;D836,'Coste multimodal'!C$46:C$1646&amp;'Coste multimodal'!D$46:D$1646,0))</f>
        <v>454535391.84232867</v>
      </c>
      <c r="I836" s="12" cm="1">
        <f t="array" aca="1" ref="I836" ca="1">INDEX('Tiempos intermodal (horas)'!E$45:E$1645,MATCH(C836&amp;D836,'Tiempos intermodal (horas)'!C$45:C$1645&amp;'Tiempos intermodal (horas)'!D$45:D$1645,0))</f>
        <v>66.611486014334631</v>
      </c>
      <c r="J836" s="2" cm="1">
        <f t="array" aca="1" ref="J836" ca="1">INDEX('Tiempos carretera (horas)'!E$45:E$1645,MATCH(C836&amp;D836,'Tiempos carretera (horas)'!C$45:C$1645&amp;'Tiempos carretera (horas)'!D$45:D$1645,0))</f>
        <v>17.649999999999999</v>
      </c>
      <c r="K836" s="12">
        <f t="shared" ca="1" si="78"/>
        <v>23.687332975368722</v>
      </c>
      <c r="L836" s="12">
        <f t="shared" ca="1" si="79"/>
        <v>8.4901918988969882</v>
      </c>
      <c r="M836" s="12">
        <f t="shared" ca="1" si="80"/>
        <v>0.21006624483449932</v>
      </c>
      <c r="N836" s="13">
        <f t="shared" ca="1" si="82"/>
        <v>15.197141076471734</v>
      </c>
      <c r="O836" s="13">
        <f t="shared" ca="1" si="83"/>
        <v>-48.961486014334632</v>
      </c>
      <c r="P836" s="12">
        <f t="shared" ca="1" si="81"/>
        <v>1.3245261551582905</v>
      </c>
    </row>
    <row r="837" spans="1:16" x14ac:dyDescent="0.25">
      <c r="A837">
        <v>38</v>
      </c>
      <c r="B837">
        <v>24</v>
      </c>
      <c r="C837" s="2" t="s">
        <v>37</v>
      </c>
      <c r="D837" s="2" t="s">
        <v>23</v>
      </c>
      <c r="E837" s="11" cm="1">
        <f t="array" aca="1" ref="E837" ca="1">INDEX('OD flujo mercancia multimodal'!E$45:E$1645,MATCH(C837&amp;D837,'OD flujo mercancia multimodal'!C$45:C$1645&amp;'OD flujo mercancia multimodal'!D$45:D$1645,0))</f>
        <v>7607.0769230769201</v>
      </c>
      <c r="F837" s="11" cm="1">
        <f t="array" aca="1" ref="F837" ca="1">INDEX('OD flujo mercancia carretera'!E$45:E$1646,MATCH(C837&amp;D837,'OD flujo mercancia carretera'!C$45:C$1646&amp;'OD flujo mercancia carretera'!D$45:D$1646,0))</f>
        <v>72999.358974359013</v>
      </c>
      <c r="G837" s="11" cm="1">
        <f t="array" aca="1" ref="G837" ca="1">INDEX('Coste Carretera'!E$46:E$1646,MATCH(C837&amp;D837,'Coste Carretera'!C$46:C$1646&amp;'Coste Carretera'!D$46:D$1646,0))</f>
        <v>932569533.71999967</v>
      </c>
      <c r="H837" s="11" cm="1">
        <f t="array" aca="1" ref="H837" ca="1">INDEX('Coste multimodal'!E$46:E$1646,MATCH(C837&amp;D837,'Coste multimodal'!C$46:C$1646&amp;'Coste multimodal'!D$46:D$1646,0))</f>
        <v>48554936.425523348</v>
      </c>
      <c r="I837" s="12" cm="1">
        <f t="array" aca="1" ref="I837" ca="1">INDEX('Tiempos intermodal (horas)'!E$45:E$1645,MATCH(C837&amp;D837,'Tiempos intermodal (horas)'!C$45:C$1645&amp;'Tiempos intermodal (horas)'!D$45:D$1645,0))</f>
        <v>62.221836488832579</v>
      </c>
      <c r="J837" s="2" cm="1">
        <f t="array" aca="1" ref="J837" ca="1">INDEX('Tiempos carretera (horas)'!E$45:E$1645,MATCH(C837&amp;D837,'Tiempos carretera (horas)'!C$45:C$1645&amp;'Tiempos carretera (horas)'!D$45:D$1645,0))</f>
        <v>13.25</v>
      </c>
      <c r="K837" s="12">
        <f t="shared" ca="1" si="78"/>
        <v>12.775037299266756</v>
      </c>
      <c r="L837" s="12">
        <f t="shared" ca="1" si="79"/>
        <v>6.3828638669639988</v>
      </c>
      <c r="M837" s="12">
        <f t="shared" ca="1" si="80"/>
        <v>9.4373071311032855E-2</v>
      </c>
      <c r="N837" s="13">
        <f t="shared" ca="1" si="82"/>
        <v>6.3921734323027577</v>
      </c>
      <c r="O837" s="13">
        <f t="shared" ca="1" si="83"/>
        <v>-48.971836488832579</v>
      </c>
      <c r="P837" s="12">
        <f t="shared" ca="1" si="81"/>
        <v>2.2613716718289627</v>
      </c>
    </row>
    <row r="838" spans="1:16" x14ac:dyDescent="0.25">
      <c r="A838">
        <v>24</v>
      </c>
      <c r="B838">
        <v>38</v>
      </c>
      <c r="C838" s="2" t="s">
        <v>23</v>
      </c>
      <c r="D838" s="2" t="s">
        <v>37</v>
      </c>
      <c r="E838" s="11" cm="1">
        <f t="array" aca="1" ref="E838" ca="1">INDEX('OD flujo mercancia multimodal'!E$45:E$1645,MATCH(C838&amp;D838,'OD flujo mercancia multimodal'!C$45:C$1645&amp;'OD flujo mercancia multimodal'!D$45:D$1645,0))</f>
        <v>3845.4615384615386</v>
      </c>
      <c r="F838" s="11" cm="1">
        <f t="array" aca="1" ref="F838" ca="1">INDEX('OD flujo mercancia carretera'!E$45:E$1646,MATCH(C838&amp;D838,'OD flujo mercancia carretera'!C$45:C$1646&amp;'OD flujo mercancia carretera'!D$45:D$1646,0))</f>
        <v>89191.384615384624</v>
      </c>
      <c r="G838" s="11" cm="1">
        <f t="array" aca="1" ref="G838" ca="1">INDEX('Coste Carretera'!E$46:E$1646,MATCH(C838&amp;D838,'Coste Carretera'!C$46:C$1646&amp;'Coste Carretera'!D$46:D$1646,0))</f>
        <v>981742361.40000308</v>
      </c>
      <c r="H838" s="11" cm="1">
        <f t="array" aca="1" ref="H838" ca="1">INDEX('Coste multimodal'!E$46:E$1646,MATCH(C838&amp;D838,'Coste multimodal'!C$46:C$1646&amp;'Coste multimodal'!D$46:D$1646,0))</f>
        <v>48554936.425523348</v>
      </c>
      <c r="I838" s="12" cm="1">
        <f t="array" aca="1" ref="I838" ca="1">INDEX('Tiempos intermodal (horas)'!E$45:E$1645,MATCH(C838&amp;D838,'Tiempos intermodal (horas)'!C$45:C$1645&amp;'Tiempos intermodal (horas)'!D$45:D$1645,0))</f>
        <v>62.221836488832579</v>
      </c>
      <c r="J838" s="2" cm="1">
        <f t="array" aca="1" ref="J838" ca="1">INDEX('Tiempos carretera (horas)'!E$45:E$1645,MATCH(C838&amp;D838,'Tiempos carretera (horas)'!C$45:C$1645&amp;'Tiempos carretera (horas)'!D$45:D$1645,0))</f>
        <v>13.25</v>
      </c>
      <c r="K838" s="12">
        <f t="shared" ca="1" si="78"/>
        <v>11.007143410022389</v>
      </c>
      <c r="L838" s="12">
        <f t="shared" ca="1" si="79"/>
        <v>12.626556250761208</v>
      </c>
      <c r="M838" s="12">
        <f t="shared" ca="1" si="80"/>
        <v>4.1332672993908949E-2</v>
      </c>
      <c r="N838" s="13">
        <f t="shared" ca="1" si="82"/>
        <v>-1.6194128407388195</v>
      </c>
      <c r="O838" s="13">
        <f t="shared" ca="1" si="83"/>
        <v>-48.971836488832579</v>
      </c>
      <c r="P838" s="12">
        <f t="shared" ca="1" si="81"/>
        <v>3.1438908181273439</v>
      </c>
    </row>
    <row r="839" spans="1:16" x14ac:dyDescent="0.25">
      <c r="A839">
        <v>25</v>
      </c>
      <c r="B839">
        <v>34</v>
      </c>
      <c r="C839" s="2" t="s">
        <v>24</v>
      </c>
      <c r="D839" s="2" t="s">
        <v>33</v>
      </c>
      <c r="E839" s="11" cm="1">
        <f t="array" aca="1" ref="E839" ca="1">INDEX('OD flujo mercancia multimodal'!E$45:E$1645,MATCH(C839&amp;D839,'OD flujo mercancia multimodal'!C$45:C$1645&amp;'OD flujo mercancia multimodal'!D$45:D$1645,0))</f>
        <v>300477.61538461567</v>
      </c>
      <c r="F839" s="11" cm="1">
        <f t="array" aca="1" ref="F839" ca="1">INDEX('OD flujo mercancia carretera'!E$45:E$1646,MATCH(C839&amp;D839,'OD flujo mercancia carretera'!C$45:C$1646&amp;'OD flujo mercancia carretera'!D$45:D$1646,0))</f>
        <v>332096.72222222231</v>
      </c>
      <c r="G839" s="11" cm="1">
        <f t="array" aca="1" ref="G839" ca="1">INDEX('Coste Carretera'!E$46:E$1646,MATCH(C839&amp;D839,'Coste Carretera'!C$46:C$1646&amp;'Coste Carretera'!D$46:D$1646,0))</f>
        <v>3289921706.2399988</v>
      </c>
      <c r="H839" s="11" cm="1">
        <f t="array" aca="1" ref="H839" ca="1">INDEX('Coste multimodal'!E$46:E$1646,MATCH(C839&amp;D839,'Coste multimodal'!C$46:C$1646&amp;'Coste multimodal'!D$46:D$1646,0))</f>
        <v>2911347069.9857268</v>
      </c>
      <c r="I839" s="12" cm="1">
        <f t="array" aca="1" ref="I839" ca="1">INDEX('Tiempos intermodal (horas)'!E$45:E$1645,MATCH(C839&amp;D839,'Tiempos intermodal (horas)'!C$45:C$1645&amp;'Tiempos intermodal (horas)'!D$45:D$1645,0))</f>
        <v>58.946523947775894</v>
      </c>
      <c r="J839" s="2" cm="1">
        <f t="array" aca="1" ref="J839" ca="1">INDEX('Tiempos carretera (horas)'!E$45:E$1645,MATCH(C839&amp;D839,'Tiempos carretera (horas)'!C$45:C$1645&amp;'Tiempos carretera (horas)'!D$45:D$1645,0))</f>
        <v>9.9</v>
      </c>
      <c r="K839" s="12">
        <f t="shared" ca="1" si="78"/>
        <v>9.9065166443845527</v>
      </c>
      <c r="L839" s="12">
        <f t="shared" ca="1" si="79"/>
        <v>9.6890647453360579</v>
      </c>
      <c r="M839" s="12">
        <f t="shared" ca="1" si="80"/>
        <v>0.47500759597897346</v>
      </c>
      <c r="N839" s="13">
        <f t="shared" ca="1" si="82"/>
        <v>0.21745189904849482</v>
      </c>
      <c r="O839" s="13">
        <f t="shared" ca="1" si="83"/>
        <v>-49.046523947775896</v>
      </c>
      <c r="P839" s="12">
        <f t="shared" ca="1" si="81"/>
        <v>0.10005299851411668</v>
      </c>
    </row>
    <row r="840" spans="1:16" x14ac:dyDescent="0.25">
      <c r="A840">
        <v>34</v>
      </c>
      <c r="B840">
        <v>25</v>
      </c>
      <c r="C840" s="2" t="s">
        <v>33</v>
      </c>
      <c r="D840" s="2" t="s">
        <v>24</v>
      </c>
      <c r="E840" s="11" cm="1">
        <f t="array" aca="1" ref="E840" ca="1">INDEX('OD flujo mercancia multimodal'!E$45:E$1645,MATCH(C840&amp;D840,'OD flujo mercancia multimodal'!C$45:C$1645&amp;'OD flujo mercancia multimodal'!D$45:D$1645,0))</f>
        <v>129862.46153846155</v>
      </c>
      <c r="F840" s="11" cm="1">
        <f t="array" aca="1" ref="F840" ca="1">INDEX('OD flujo mercancia carretera'!E$45:E$1646,MATCH(C840&amp;D840,'OD flujo mercancia carretera'!C$45:C$1646&amp;'OD flujo mercancia carretera'!D$45:D$1646,0))</f>
        <v>335184.55982905981</v>
      </c>
      <c r="G840" s="11" cm="1">
        <f t="array" aca="1" ref="G840" ca="1">INDEX('Coste Carretera'!E$46:E$1646,MATCH(C840&amp;D840,'Coste Carretera'!C$46:C$1646&amp;'Coste Carretera'!D$46:D$1646,0))</f>
        <v>1713446197.8399999</v>
      </c>
      <c r="H840" s="11" cm="1">
        <f t="array" aca="1" ref="H840" ca="1">INDEX('Coste multimodal'!E$46:E$1646,MATCH(C840&amp;D840,'Coste multimodal'!C$46:C$1646&amp;'Coste multimodal'!D$46:D$1646,0))</f>
        <v>2911347069.9857268</v>
      </c>
      <c r="I840" s="12" cm="1">
        <f t="array" aca="1" ref="I840" ca="1">INDEX('Tiempos intermodal (horas)'!E$45:E$1645,MATCH(C840&amp;D840,'Tiempos intermodal (horas)'!C$45:C$1645&amp;'Tiempos intermodal (horas)'!D$45:D$1645,0))</f>
        <v>58.946523947775894</v>
      </c>
      <c r="J840" s="2" cm="1">
        <f t="array" aca="1" ref="J840" ca="1">INDEX('Tiempos carretera (horas)'!E$45:E$1645,MATCH(C840&amp;D840,'Tiempos carretera (horas)'!C$45:C$1645&amp;'Tiempos carretera (horas)'!D$45:D$1645,0))</f>
        <v>9.9</v>
      </c>
      <c r="K840" s="12">
        <f t="shared" ca="1" si="78"/>
        <v>5.1119484701617441</v>
      </c>
      <c r="L840" s="12">
        <f t="shared" ca="1" si="79"/>
        <v>22.418696176673574</v>
      </c>
      <c r="M840" s="12">
        <f t="shared" ca="1" si="80"/>
        <v>0.27924587315189514</v>
      </c>
      <c r="N840" s="13">
        <f t="shared" ca="1" si="82"/>
        <v>-17.306747706511828</v>
      </c>
      <c r="O840" s="13">
        <f t="shared" ca="1" si="83"/>
        <v>-49.046523947775896</v>
      </c>
      <c r="P840" s="12">
        <f t="shared" ca="1" si="81"/>
        <v>0.94820540275918497</v>
      </c>
    </row>
    <row r="841" spans="1:16" x14ac:dyDescent="0.25">
      <c r="A841">
        <v>14</v>
      </c>
      <c r="B841">
        <v>5</v>
      </c>
      <c r="C841" s="2" t="s">
        <v>13</v>
      </c>
      <c r="D841" s="2" t="s">
        <v>4</v>
      </c>
      <c r="E841" s="11" cm="1">
        <f t="array" aca="1" ref="E841" ca="1">INDEX('OD flujo mercancia multimodal'!E$45:E$1645,MATCH(C841&amp;D841,'OD flujo mercancia multimodal'!C$45:C$1645&amp;'OD flujo mercancia multimodal'!D$45:D$1645,0))</f>
        <v>76430.719780219821</v>
      </c>
      <c r="F841" s="11" cm="1">
        <f t="array" aca="1" ref="F841" ca="1">INDEX('OD flujo mercancia carretera'!E$45:E$1646,MATCH(C841&amp;D841,'OD flujo mercancia carretera'!C$45:C$1646&amp;'OD flujo mercancia carretera'!D$45:D$1646,0))</f>
        <v>166998.07692307688</v>
      </c>
      <c r="G841" s="11" cm="1">
        <f t="array" aca="1" ref="G841" ca="1">INDEX('Coste Carretera'!E$46:E$1646,MATCH(C841&amp;D841,'Coste Carretera'!C$46:C$1646&amp;'Coste Carretera'!D$46:D$1646,0))</f>
        <v>7245525232.1571465</v>
      </c>
      <c r="H841" s="11" cm="1">
        <f t="array" aca="1" ref="H841" ca="1">INDEX('Coste multimodal'!E$46:E$1646,MATCH(C841&amp;D841,'Coste multimodal'!C$46:C$1646&amp;'Coste multimodal'!D$46:D$1646,0))</f>
        <v>412391108.59994876</v>
      </c>
      <c r="I841" s="12" cm="1">
        <f t="array" aca="1" ref="I841" ca="1">INDEX('Tiempos intermodal (horas)'!E$45:E$1645,MATCH(C841&amp;D841,'Tiempos intermodal (horas)'!C$45:C$1645&amp;'Tiempos intermodal (horas)'!D$45:D$1645,0))</f>
        <v>68.4530328101539</v>
      </c>
      <c r="J841" s="2" cm="1">
        <f t="array" aca="1" ref="J841" ca="1">INDEX('Tiempos carretera (horas)'!E$45:E$1645,MATCH(C841&amp;D841,'Tiempos carretera (horas)'!C$45:C$1645&amp;'Tiempos carretera (horas)'!D$45:D$1645,0))</f>
        <v>19.36</v>
      </c>
      <c r="K841" s="12">
        <f t="shared" ca="1" si="78"/>
        <v>43.386878254260381</v>
      </c>
      <c r="L841" s="12">
        <f t="shared" ca="1" si="79"/>
        <v>5.395619847435678</v>
      </c>
      <c r="M841" s="12">
        <f t="shared" ca="1" si="80"/>
        <v>0.31397567097773332</v>
      </c>
      <c r="N841" s="13">
        <f t="shared" ca="1" si="82"/>
        <v>37.991258406824706</v>
      </c>
      <c r="O841" s="13">
        <f t="shared" ca="1" si="83"/>
        <v>-49.0930328101539</v>
      </c>
      <c r="P841" s="12">
        <f t="shared" ca="1" si="81"/>
        <v>0.78159759020023556</v>
      </c>
    </row>
    <row r="842" spans="1:16" x14ac:dyDescent="0.25">
      <c r="A842">
        <v>5</v>
      </c>
      <c r="B842">
        <v>14</v>
      </c>
      <c r="C842" s="2" t="s">
        <v>4</v>
      </c>
      <c r="D842" s="2" t="s">
        <v>13</v>
      </c>
      <c r="E842" s="11" cm="1">
        <f t="array" aca="1" ref="E842" ca="1">INDEX('OD flujo mercancia multimodal'!E$45:E$1645,MATCH(C842&amp;D842,'OD flujo mercancia multimodal'!C$45:C$1645&amp;'OD flujo mercancia multimodal'!D$45:D$1645,0))</f>
        <v>70462.45604395603</v>
      </c>
      <c r="F842" s="11" cm="1">
        <f t="array" aca="1" ref="F842" ca="1">INDEX('OD flujo mercancia carretera'!E$45:E$1646,MATCH(C842&amp;D842,'OD flujo mercancia carretera'!C$45:C$1646&amp;'OD flujo mercancia carretera'!D$45:D$1646,0))</f>
        <v>235408.84615384589</v>
      </c>
      <c r="G842" s="11" cm="1">
        <f t="array" aca="1" ref="G842" ca="1">INDEX('Coste Carretera'!E$46:E$1646,MATCH(C842&amp;D842,'Coste Carretera'!C$46:C$1646&amp;'Coste Carretera'!D$46:D$1646,0))</f>
        <v>6679742185.5285683</v>
      </c>
      <c r="H842" s="11" cm="1">
        <f t="array" aca="1" ref="H842" ca="1">INDEX('Coste multimodal'!E$46:E$1646,MATCH(C842&amp;D842,'Coste multimodal'!C$46:C$1646&amp;'Coste multimodal'!D$46:D$1646,0))</f>
        <v>412391108.59994876</v>
      </c>
      <c r="I842" s="12" cm="1">
        <f t="array" aca="1" ref="I842" ca="1">INDEX('Tiempos intermodal (horas)'!E$45:E$1645,MATCH(C842&amp;D842,'Tiempos intermodal (horas)'!C$45:C$1645&amp;'Tiempos intermodal (horas)'!D$45:D$1645,0))</f>
        <v>68.4530328101539</v>
      </c>
      <c r="J842" s="2" cm="1">
        <f t="array" aca="1" ref="J842" ca="1">INDEX('Tiempos carretera (horas)'!E$45:E$1645,MATCH(C842&amp;D842,'Tiempos carretera (horas)'!C$45:C$1645&amp;'Tiempos carretera (horas)'!D$45:D$1645,0))</f>
        <v>19.36</v>
      </c>
      <c r="K842" s="12">
        <f t="shared" ca="1" si="78"/>
        <v>28.375068714126318</v>
      </c>
      <c r="L842" s="12">
        <f t="shared" ca="1" si="79"/>
        <v>5.852636024249426</v>
      </c>
      <c r="M842" s="12">
        <f t="shared" ca="1" si="80"/>
        <v>0.23036635191878549</v>
      </c>
      <c r="N842" s="13">
        <f t="shared" ca="1" si="82"/>
        <v>22.522432689876894</v>
      </c>
      <c r="O842" s="13">
        <f t="shared" ca="1" si="83"/>
        <v>-49.0930328101539</v>
      </c>
      <c r="P842" s="12">
        <f t="shared" ca="1" si="81"/>
        <v>1.2062437437775868</v>
      </c>
    </row>
    <row r="843" spans="1:16" x14ac:dyDescent="0.25">
      <c r="A843">
        <v>3</v>
      </c>
      <c r="B843">
        <v>39</v>
      </c>
      <c r="C843" s="2" t="s">
        <v>2</v>
      </c>
      <c r="D843" s="2" t="s">
        <v>38</v>
      </c>
      <c r="E843" s="11" cm="1">
        <f t="array" aca="1" ref="E843" ca="1">INDEX('OD flujo mercancia multimodal'!E$45:E$1645,MATCH(C843&amp;D843,'OD flujo mercancia multimodal'!C$45:C$1645&amp;'OD flujo mercancia multimodal'!D$45:D$1645,0))</f>
        <v>18154.956043956048</v>
      </c>
      <c r="F843" s="11" cm="1">
        <f t="array" aca="1" ref="F843" ca="1">INDEX('OD flujo mercancia carretera'!E$45:E$1646,MATCH(C843&amp;D843,'OD flujo mercancia carretera'!C$45:C$1646&amp;'OD flujo mercancia carretera'!D$45:D$1646,0))</f>
        <v>128828.61172161173</v>
      </c>
      <c r="G843" s="11" cm="1">
        <f t="array" aca="1" ref="G843" ca="1">INDEX('Coste Carretera'!E$46:E$1646,MATCH(C843&amp;D843,'Coste Carretera'!C$46:C$1646&amp;'Coste Carretera'!D$46:D$1646,0))</f>
        <v>1421281594.422857</v>
      </c>
      <c r="H843" s="11" cm="1">
        <f t="array" aca="1" ref="H843" ca="1">INDEX('Coste multimodal'!E$46:E$1646,MATCH(C843&amp;D843,'Coste multimodal'!C$46:C$1646&amp;'Coste multimodal'!D$46:D$1646,0))</f>
        <v>580053352.87923586</v>
      </c>
      <c r="I843" s="12" cm="1">
        <f t="array" aca="1" ref="I843" ca="1">INDEX('Tiempos intermodal (horas)'!E$45:E$1645,MATCH(C843&amp;D843,'Tiempos intermodal (horas)'!C$45:C$1645&amp;'Tiempos intermodal (horas)'!D$45:D$1645,0))</f>
        <v>65.029963406766129</v>
      </c>
      <c r="J843" s="2" cm="1">
        <f t="array" aca="1" ref="J843" ca="1">INDEX('Tiempos carretera (horas)'!E$45:E$1645,MATCH(C843&amp;D843,'Tiempos carretera (horas)'!C$45:C$1645&amp;'Tiempos carretera (horas)'!D$45:D$1645,0))</f>
        <v>17.899999999999999</v>
      </c>
      <c r="K843" s="12">
        <f t="shared" ca="1" si="78"/>
        <v>11.032344255126588</v>
      </c>
      <c r="L843" s="12">
        <f t="shared" ca="1" si="79"/>
        <v>31.950138104153712</v>
      </c>
      <c r="M843" s="12">
        <f t="shared" ca="1" si="80"/>
        <v>0.12351690954265304</v>
      </c>
      <c r="N843" s="13">
        <f t="shared" ca="1" si="82"/>
        <v>-20.917793849027124</v>
      </c>
      <c r="O843" s="13">
        <f t="shared" ca="1" si="83"/>
        <v>-47.12996340676613</v>
      </c>
      <c r="P843" s="12">
        <f t="shared" ca="1" si="81"/>
        <v>1.9595393459866564</v>
      </c>
    </row>
    <row r="844" spans="1:16" x14ac:dyDescent="0.25">
      <c r="A844">
        <v>6</v>
      </c>
      <c r="B844">
        <v>13</v>
      </c>
      <c r="C844" s="2" t="s">
        <v>5</v>
      </c>
      <c r="D844" s="2" t="s">
        <v>12</v>
      </c>
      <c r="E844" s="11" cm="1">
        <f t="array" aca="1" ref="E844" ca="1">INDEX('OD flujo mercancia multimodal'!E$45:E$1645,MATCH(C844&amp;D844,'OD flujo mercancia multimodal'!C$45:C$1645&amp;'OD flujo mercancia multimodal'!D$45:D$1645,0))</f>
        <v>14802.598901098907</v>
      </c>
      <c r="F844" s="11" cm="1">
        <f t="array" aca="1" ref="F844" ca="1">INDEX('OD flujo mercancia carretera'!E$45:E$1646,MATCH(C844&amp;D844,'OD flujo mercancia carretera'!C$45:C$1646&amp;'OD flujo mercancia carretera'!D$45:D$1646,0))</f>
        <v>151499.23809523814</v>
      </c>
      <c r="G844" s="11" cm="1">
        <f t="array" aca="1" ref="G844" ca="1">INDEX('Coste Carretera'!E$46:E$1646,MATCH(C844&amp;D844,'Coste Carretera'!C$46:C$1646&amp;'Coste Carretera'!D$46:D$1646,0))</f>
        <v>1702577162.4857149</v>
      </c>
      <c r="H844" s="11" cm="1">
        <f t="array" aca="1" ref="H844" ca="1">INDEX('Coste multimodal'!E$46:E$1646,MATCH(C844&amp;D844,'Coste multimodal'!C$46:C$1646&amp;'Coste multimodal'!D$46:D$1646,0))</f>
        <v>444890246.87480587</v>
      </c>
      <c r="I844" s="12" cm="1">
        <f t="array" aca="1" ref="I844" ca="1">INDEX('Tiempos intermodal (horas)'!E$45:E$1645,MATCH(C844&amp;D844,'Tiempos intermodal (horas)'!C$45:C$1645&amp;'Tiempos intermodal (horas)'!D$45:D$1645,0))</f>
        <v>71.495255032376122</v>
      </c>
      <c r="J844" s="2" cm="1">
        <f t="array" aca="1" ref="J844" ca="1">INDEX('Tiempos carretera (horas)'!E$45:E$1645,MATCH(C844&amp;D844,'Tiempos carretera (horas)'!C$45:C$1645&amp;'Tiempos carretera (horas)'!D$45:D$1645,0))</f>
        <v>22.36</v>
      </c>
      <c r="K844" s="12">
        <f t="shared" ca="1" si="78"/>
        <v>11.238189603405203</v>
      </c>
      <c r="L844" s="12">
        <f t="shared" ca="1" si="79"/>
        <v>30.0548741371205</v>
      </c>
      <c r="M844" s="12">
        <f t="shared" ca="1" si="80"/>
        <v>8.9010435293176871E-2</v>
      </c>
      <c r="N844" s="13">
        <f t="shared" ca="1" si="82"/>
        <v>-18.816684533715296</v>
      </c>
      <c r="O844" s="13">
        <f t="shared" ca="1" si="83"/>
        <v>-49.135255032376122</v>
      </c>
      <c r="P844" s="12">
        <f t="shared" ca="1" si="81"/>
        <v>2.3257778290828965</v>
      </c>
    </row>
    <row r="845" spans="1:16" x14ac:dyDescent="0.25">
      <c r="A845">
        <v>32</v>
      </c>
      <c r="B845">
        <v>22</v>
      </c>
      <c r="C845" s="2" t="s">
        <v>31</v>
      </c>
      <c r="D845" s="2" t="s">
        <v>21</v>
      </c>
      <c r="E845" s="11" cm="1">
        <f t="array" aca="1" ref="E845" ca="1">INDEX('OD flujo mercancia multimodal'!E$45:E$1645,MATCH(C845&amp;D845,'OD flujo mercancia multimodal'!C$45:C$1645&amp;'OD flujo mercancia multimodal'!D$45:D$1645,0))</f>
        <v>21851.230769230722</v>
      </c>
      <c r="F845" s="11" cm="1">
        <f t="array" aca="1" ref="F845" ca="1">INDEX('OD flujo mercancia carretera'!E$45:E$1646,MATCH(C845&amp;D845,'OD flujo mercancia carretera'!C$45:C$1646&amp;'OD flujo mercancia carretera'!D$45:D$1646,0))</f>
        <v>173008.933333333</v>
      </c>
      <c r="G845" s="11" cm="1">
        <f t="array" aca="1" ref="G845" ca="1">INDEX('Coste Carretera'!E$46:E$1646,MATCH(C845&amp;D845,'Coste Carretera'!C$46:C$1646&amp;'Coste Carretera'!D$46:D$1646,0))</f>
        <v>1079878975.0399978</v>
      </c>
      <c r="H845" s="11" cm="1">
        <f t="array" aca="1" ref="H845" ca="1">INDEX('Coste multimodal'!E$46:E$1646,MATCH(C845&amp;D845,'Coste multimodal'!C$46:C$1646&amp;'Coste multimodal'!D$46:D$1646,0))</f>
        <v>175395513.35304803</v>
      </c>
      <c r="I845" s="12" cm="1">
        <f t="array" aca="1" ref="I845" ca="1">INDEX('Tiempos intermodal (horas)'!E$45:E$1645,MATCH(C845&amp;D845,'Tiempos intermodal (horas)'!C$45:C$1645&amp;'Tiempos intermodal (horas)'!D$45:D$1645,0))</f>
        <v>62.226756577866922</v>
      </c>
      <c r="J845" s="2" cm="1">
        <f t="array" aca="1" ref="J845" ca="1">INDEX('Tiempos carretera (horas)'!E$45:E$1645,MATCH(C845&amp;D845,'Tiempos carretera (horas)'!C$45:C$1645&amp;'Tiempos carretera (horas)'!D$45:D$1645,0))</f>
        <v>8.93</v>
      </c>
      <c r="K845" s="12">
        <f t="shared" ca="1" si="78"/>
        <v>6.2417526900730369</v>
      </c>
      <c r="L845" s="12">
        <f t="shared" ca="1" si="79"/>
        <v>8.026802481077036</v>
      </c>
      <c r="M845" s="12">
        <f t="shared" ca="1" si="80"/>
        <v>0.11213800865799041</v>
      </c>
      <c r="N845" s="13">
        <f t="shared" ca="1" si="82"/>
        <v>-1.7850497910039991</v>
      </c>
      <c r="O845" s="13">
        <f t="shared" ca="1" si="83"/>
        <v>-53.296756577866923</v>
      </c>
      <c r="P845" s="12">
        <f t="shared" ca="1" si="81"/>
        <v>2.0690859828630495</v>
      </c>
    </row>
    <row r="846" spans="1:16" x14ac:dyDescent="0.25">
      <c r="A846">
        <v>22</v>
      </c>
      <c r="B846">
        <v>32</v>
      </c>
      <c r="C846" s="2" t="s">
        <v>21</v>
      </c>
      <c r="D846" s="2" t="s">
        <v>31</v>
      </c>
      <c r="E846" s="11" cm="1">
        <f t="array" aca="1" ref="E846" ca="1">INDEX('OD flujo mercancia multimodal'!E$45:E$1645,MATCH(C846&amp;D846,'OD flujo mercancia multimodal'!C$45:C$1645&amp;'OD flujo mercancia multimodal'!D$45:D$1645,0))</f>
        <v>9153.9230769230762</v>
      </c>
      <c r="F846" s="11" cm="1">
        <f t="array" aca="1" ref="F846" ca="1">INDEX('OD flujo mercancia carretera'!E$45:E$1646,MATCH(C846&amp;D846,'OD flujo mercancia carretera'!C$45:C$1646&amp;'OD flujo mercancia carretera'!D$45:D$1646,0))</f>
        <v>176949.16666666666</v>
      </c>
      <c r="G846" s="11" cm="1">
        <f t="array" aca="1" ref="G846" ca="1">INDEX('Coste Carretera'!E$46:E$1646,MATCH(C846&amp;D846,'Coste Carretera'!C$46:C$1646&amp;'Coste Carretera'!D$46:D$1646,0))</f>
        <v>517923248.95999998</v>
      </c>
      <c r="H846" s="11" cm="1">
        <f t="array" aca="1" ref="H846" ca="1">INDEX('Coste multimodal'!E$46:E$1646,MATCH(C846&amp;D846,'Coste multimodal'!C$46:C$1646&amp;'Coste multimodal'!D$46:D$1646,0))</f>
        <v>175395513.35304803</v>
      </c>
      <c r="I846" s="12" cm="1">
        <f t="array" aca="1" ref="I846" ca="1">INDEX('Tiempos intermodal (horas)'!E$45:E$1645,MATCH(C846&amp;D846,'Tiempos intermodal (horas)'!C$45:C$1645&amp;'Tiempos intermodal (horas)'!D$45:D$1645,0))</f>
        <v>62.226756577866922</v>
      </c>
      <c r="J846" s="2" cm="1">
        <f t="array" aca="1" ref="J846" ca="1">INDEX('Tiempos carretera (horas)'!E$45:E$1645,MATCH(C846&amp;D846,'Tiempos carretera (horas)'!C$45:C$1645&amp;'Tiempos carretera (horas)'!D$45:D$1645,0))</f>
        <v>8.93</v>
      </c>
      <c r="K846" s="12">
        <f t="shared" ca="1" si="78"/>
        <v>2.9269606560829615</v>
      </c>
      <c r="L846" s="12">
        <f t="shared" ca="1" si="79"/>
        <v>19.160693385682681</v>
      </c>
      <c r="M846" s="12">
        <f t="shared" ca="1" si="80"/>
        <v>4.9187378294123035E-2</v>
      </c>
      <c r="N846" s="13">
        <f t="shared" ca="1" si="82"/>
        <v>-16.233732729599719</v>
      </c>
      <c r="O846" s="13">
        <f t="shared" ca="1" si="83"/>
        <v>-53.296756577866923</v>
      </c>
      <c r="P846" s="12">
        <f t="shared" ca="1" si="81"/>
        <v>2.9616799583760782</v>
      </c>
    </row>
    <row r="847" spans="1:16" x14ac:dyDescent="0.25">
      <c r="A847">
        <v>13</v>
      </c>
      <c r="B847">
        <v>6</v>
      </c>
      <c r="C847" s="2" t="s">
        <v>12</v>
      </c>
      <c r="D847" s="2" t="s">
        <v>5</v>
      </c>
      <c r="E847" s="11" cm="1">
        <f t="array" aca="1" ref="E847" ca="1">INDEX('OD flujo mercancia multimodal'!E$45:E$1645,MATCH(C847&amp;D847,'OD flujo mercancia multimodal'!C$45:C$1645&amp;'OD flujo mercancia multimodal'!D$45:D$1645,0))</f>
        <v>15013.631868131853</v>
      </c>
      <c r="F847" s="11" cm="1">
        <f t="array" aca="1" ref="F847" ca="1">INDEX('OD flujo mercancia carretera'!E$45:E$1646,MATCH(C847&amp;D847,'OD flujo mercancia carretera'!C$45:C$1646&amp;'OD flujo mercancia carretera'!D$45:D$1646,0))</f>
        <v>151740.0805860807</v>
      </c>
      <c r="G847" s="11" cm="1">
        <f t="array" aca="1" ref="G847" ca="1">INDEX('Coste Carretera'!E$46:E$1646,MATCH(C847&amp;D847,'Coste Carretera'!C$46:C$1646&amp;'Coste Carretera'!D$46:D$1646,0))</f>
        <v>1726849921.114284</v>
      </c>
      <c r="H847" s="11" cm="1">
        <f t="array" aca="1" ref="H847" ca="1">INDEX('Coste multimodal'!E$46:E$1646,MATCH(C847&amp;D847,'Coste multimodal'!C$46:C$1646&amp;'Coste multimodal'!D$46:D$1646,0))</f>
        <v>444890246.87480587</v>
      </c>
      <c r="I847" s="12" cm="1">
        <f t="array" aca="1" ref="I847" ca="1">INDEX('Tiempos intermodal (horas)'!E$45:E$1645,MATCH(C847&amp;D847,'Tiempos intermodal (horas)'!C$45:C$1645&amp;'Tiempos intermodal (horas)'!D$45:D$1645,0))</f>
        <v>71.495255032376122</v>
      </c>
      <c r="J847" s="2" cm="1">
        <f t="array" aca="1" ref="J847" ca="1">INDEX('Tiempos carretera (horas)'!E$45:E$1645,MATCH(C847&amp;D847,'Tiempos carretera (horas)'!C$45:C$1645&amp;'Tiempos carretera (horas)'!D$45:D$1645,0))</f>
        <v>22.36</v>
      </c>
      <c r="K847" s="12">
        <f t="shared" ca="1" si="78"/>
        <v>11.380315039009476</v>
      </c>
      <c r="L847" s="12">
        <f t="shared" ca="1" si="79"/>
        <v>29.6324201087637</v>
      </c>
      <c r="M847" s="12">
        <f t="shared" ca="1" si="80"/>
        <v>9.0034768324898998E-2</v>
      </c>
      <c r="N847" s="13">
        <f t="shared" ca="1" si="82"/>
        <v>-18.252105069754222</v>
      </c>
      <c r="O847" s="13">
        <f t="shared" ca="1" si="83"/>
        <v>-49.135255032376122</v>
      </c>
      <c r="P847" s="12">
        <f t="shared" ca="1" si="81"/>
        <v>2.3132104813795076</v>
      </c>
    </row>
    <row r="848" spans="1:16" x14ac:dyDescent="0.25">
      <c r="A848">
        <v>29</v>
      </c>
      <c r="B848">
        <v>33</v>
      </c>
      <c r="C848" s="2" t="s">
        <v>147</v>
      </c>
      <c r="D848" s="2" t="s">
        <v>32</v>
      </c>
      <c r="E848" s="11" cm="1">
        <f t="array" aca="1" ref="E848" ca="1">INDEX('OD flujo mercancia multimodal'!E$45:E$1645,MATCH(C848&amp;D848,'OD flujo mercancia multimodal'!C$45:C$1645&amp;'OD flujo mercancia multimodal'!D$45:D$1645,0))</f>
        <v>87444.569230769193</v>
      </c>
      <c r="F848" s="11" cm="1">
        <f t="array" aca="1" ref="F848" ca="1">INDEX('OD flujo mercancia carretera'!E$45:E$1646,MATCH(C848&amp;D848,'OD flujo mercancia carretera'!C$45:C$1646&amp;'OD flujo mercancia carretera'!D$45:D$1646,0))</f>
        <v>462203.82307692309</v>
      </c>
      <c r="G848" s="11" cm="1">
        <f t="array" aca="1" ref="G848" ca="1">INDEX('Coste Carretera'!E$46:E$1646,MATCH(C848&amp;D848,'Coste Carretera'!C$46:C$1646&amp;'Coste Carretera'!D$46:D$1646,0))</f>
        <v>917465613.9599998</v>
      </c>
      <c r="H848" s="11" cm="1">
        <f t="array" aca="1" ref="H848" ca="1">INDEX('Coste multimodal'!E$46:E$1646,MATCH(C848&amp;D848,'Coste multimodal'!C$46:C$1646&amp;'Coste multimodal'!D$46:D$1646,0))</f>
        <v>175828941.92504805</v>
      </c>
      <c r="I848" s="12" cm="1">
        <f t="array" aca="1" ref="I848" ca="1">INDEX('Tiempos intermodal (horas)'!E$45:E$1645,MATCH(C848&amp;D848,'Tiempos intermodal (horas)'!C$45:C$1645&amp;'Tiempos intermodal (horas)'!D$45:D$1645,0))</f>
        <v>61.363423244533593</v>
      </c>
      <c r="J848" s="2" cm="1">
        <f t="array" aca="1" ref="J848" ca="1">INDEX('Tiempos carretera (horas)'!E$45:E$1645,MATCH(C848&amp;D848,'Tiempos carretera (horas)'!C$45:C$1645&amp;'Tiempos carretera (horas)'!D$45:D$1645,0))</f>
        <v>8</v>
      </c>
      <c r="K848" s="12">
        <f t="shared" ca="1" si="78"/>
        <v>1.9849805824892734</v>
      </c>
      <c r="L848" s="12">
        <f t="shared" ca="1" si="79"/>
        <v>2.0107474194427044</v>
      </c>
      <c r="M848" s="12">
        <f t="shared" ca="1" si="80"/>
        <v>0.15909183116798395</v>
      </c>
      <c r="N848" s="13">
        <f t="shared" ca="1" si="82"/>
        <v>-2.576683695343096E-2</v>
      </c>
      <c r="O848" s="13">
        <f t="shared" ca="1" si="83"/>
        <v>-53.363423244533593</v>
      </c>
      <c r="P848" s="12">
        <f t="shared" ca="1" si="81"/>
        <v>1.6650008711679751</v>
      </c>
    </row>
    <row r="849" spans="1:16" x14ac:dyDescent="0.25">
      <c r="A849">
        <v>33</v>
      </c>
      <c r="B849">
        <v>29</v>
      </c>
      <c r="C849" s="2" t="s">
        <v>32</v>
      </c>
      <c r="D849" s="2" t="s">
        <v>147</v>
      </c>
      <c r="E849" s="11" cm="1">
        <f t="array" aca="1" ref="E849" ca="1">INDEX('OD flujo mercancia multimodal'!E$45:E$1645,MATCH(C849&amp;D849,'OD flujo mercancia multimodal'!C$45:C$1645&amp;'OD flujo mercancia multimodal'!D$45:D$1645,0))</f>
        <v>66704.915384615393</v>
      </c>
      <c r="F849" s="11" cm="1">
        <f t="array" aca="1" ref="F849" ca="1">INDEX('OD flujo mercancia carretera'!E$45:E$1646,MATCH(C849&amp;D849,'OD flujo mercancia carretera'!C$45:C$1646&amp;'OD flujo mercancia carretera'!D$45:D$1646,0))</f>
        <v>454060.42051282054</v>
      </c>
      <c r="G849" s="11" cm="1">
        <f t="array" aca="1" ref="G849" ca="1">INDEX('Coste Carretera'!E$46:E$1646,MATCH(C849&amp;D849,'Coste Carretera'!C$46:C$1646&amp;'Coste Carretera'!D$46:D$1646,0))</f>
        <v>1414978191.0599999</v>
      </c>
      <c r="H849" s="11" cm="1">
        <f t="array" aca="1" ref="H849" ca="1">INDEX('Coste multimodal'!E$46:E$1646,MATCH(C849&amp;D849,'Coste multimodal'!C$46:C$1646&amp;'Coste multimodal'!D$46:D$1646,0))</f>
        <v>175828941.92504805</v>
      </c>
      <c r="I849" s="12" cm="1">
        <f t="array" aca="1" ref="I849" ca="1">INDEX('Tiempos intermodal (horas)'!E$45:E$1645,MATCH(C849&amp;D849,'Tiempos intermodal (horas)'!C$45:C$1645&amp;'Tiempos intermodal (horas)'!D$45:D$1645,0))</f>
        <v>61.363423244533593</v>
      </c>
      <c r="J849" s="2" cm="1">
        <f t="array" aca="1" ref="J849" ca="1">INDEX('Tiempos carretera (horas)'!E$45:E$1645,MATCH(C849&amp;D849,'Tiempos carretera (horas)'!C$45:C$1645&amp;'Tiempos carretera (horas)'!D$45:D$1645,0))</f>
        <v>8</v>
      </c>
      <c r="K849" s="12">
        <f t="shared" ca="1" si="78"/>
        <v>3.1162773215553758</v>
      </c>
      <c r="L849" s="12">
        <f t="shared" ca="1" si="79"/>
        <v>2.6359218194226308</v>
      </c>
      <c r="M849" s="12">
        <f t="shared" ca="1" si="80"/>
        <v>0.12809016035920034</v>
      </c>
      <c r="N849" s="13">
        <f t="shared" ca="1" si="82"/>
        <v>0.48035550213274503</v>
      </c>
      <c r="O849" s="13">
        <f t="shared" ca="1" si="83"/>
        <v>-53.363423244533593</v>
      </c>
      <c r="P849" s="12">
        <f t="shared" ca="1" si="81"/>
        <v>1.9179516298877646</v>
      </c>
    </row>
    <row r="850" spans="1:16" x14ac:dyDescent="0.25">
      <c r="A850">
        <v>7</v>
      </c>
      <c r="B850">
        <v>22</v>
      </c>
      <c r="C850" s="2" t="s">
        <v>6</v>
      </c>
      <c r="D850" s="2" t="s">
        <v>21</v>
      </c>
      <c r="E850" s="11" cm="1">
        <f t="array" aca="1" ref="E850" ca="1">INDEX('OD flujo mercancia multimodal'!E$45:E$1645,MATCH(C850&amp;D850,'OD flujo mercancia multimodal'!C$45:C$1645&amp;'OD flujo mercancia multimodal'!D$45:D$1645,0))</f>
        <v>24547.296703296659</v>
      </c>
      <c r="F850" s="11" cm="1">
        <f t="array" aca="1" ref="F850" ca="1">INDEX('OD flujo mercancia carretera'!E$45:E$1646,MATCH(C850&amp;D850,'OD flujo mercancia carretera'!C$45:C$1646&amp;'OD flujo mercancia carretera'!D$45:D$1646,0))</f>
        <v>182527.02564102531</v>
      </c>
      <c r="G850" s="11" cm="1">
        <f t="array" aca="1" ref="G850" ca="1">INDEX('Coste Carretera'!E$46:E$1646,MATCH(C850&amp;D850,'Coste Carretera'!C$46:C$1646&amp;'Coste Carretera'!D$46:D$1646,0))</f>
        <v>1472293834.1028543</v>
      </c>
      <c r="H850" s="11" cm="1">
        <f t="array" aca="1" ref="H850" ca="1">INDEX('Coste multimodal'!E$46:E$1646,MATCH(C850&amp;D850,'Coste multimodal'!C$46:C$1646&amp;'Coste multimodal'!D$46:D$1646,0))</f>
        <v>2318773080.0327516</v>
      </c>
      <c r="I850" s="12" cm="1">
        <f t="array" aca="1" ref="I850" ca="1">INDEX('Tiempos intermodal (horas)'!E$45:E$1645,MATCH(C850&amp;D850,'Tiempos intermodal (horas)'!C$45:C$1645&amp;'Tiempos intermodal (horas)'!D$45:D$1645,0))</f>
        <v>84.375154969266148</v>
      </c>
      <c r="J850" s="2" cm="1">
        <f t="array" aca="1" ref="J850" ca="1">INDEX('Tiempos carretera (horas)'!E$45:E$1645,MATCH(C850&amp;D850,'Tiempos carretera (horas)'!C$45:C$1645&amp;'Tiempos carretera (horas)'!D$45:D$1645,0))</f>
        <v>12</v>
      </c>
      <c r="K850" s="12">
        <f t="shared" ca="1" si="78"/>
        <v>8.0661689902206852</v>
      </c>
      <c r="L850" s="12">
        <f t="shared" ca="1" si="79"/>
        <v>94.461443476231921</v>
      </c>
      <c r="M850" s="12">
        <f t="shared" ca="1" si="80"/>
        <v>0.11854341197591635</v>
      </c>
      <c r="N850" s="13">
        <f t="shared" ca="1" si="82"/>
        <v>-86.395274486011232</v>
      </c>
      <c r="O850" s="13">
        <f t="shared" ca="1" si="83"/>
        <v>-72.375154969266148</v>
      </c>
      <c r="P850" s="12">
        <f t="shared" ca="1" si="81"/>
        <v>2.0062965135043118</v>
      </c>
    </row>
    <row r="851" spans="1:16" x14ac:dyDescent="0.25">
      <c r="A851">
        <v>22</v>
      </c>
      <c r="B851">
        <v>7</v>
      </c>
      <c r="C851" s="2" t="s">
        <v>21</v>
      </c>
      <c r="D851" s="2" t="s">
        <v>6</v>
      </c>
      <c r="E851" s="11" cm="1">
        <f t="array" aca="1" ref="E851" ca="1">INDEX('OD flujo mercancia multimodal'!E$45:E$1645,MATCH(C851&amp;D851,'OD flujo mercancia multimodal'!C$45:C$1645&amp;'OD flujo mercancia multimodal'!D$45:D$1645,0))</f>
        <v>13619.324175824171</v>
      </c>
      <c r="F851" s="11" cm="1">
        <f t="array" aca="1" ref="F851" ca="1">INDEX('OD flujo mercancia carretera'!E$45:E$1646,MATCH(C851&amp;D851,'OD flujo mercancia carretera'!C$45:C$1646&amp;'OD flujo mercancia carretera'!D$45:D$1646,0))</f>
        <v>189353.74358974356</v>
      </c>
      <c r="G851" s="11" cm="1">
        <f t="array" aca="1" ref="G851" ca="1">INDEX('Coste Carretera'!E$46:E$1646,MATCH(C851&amp;D851,'Coste Carretera'!C$46:C$1646&amp;'Coste Carretera'!D$46:D$1646,0))</f>
        <v>816857646.32571387</v>
      </c>
      <c r="H851" s="11" cm="1">
        <f t="array" aca="1" ref="H851" ca="1">INDEX('Coste multimodal'!E$46:E$1646,MATCH(C851&amp;D851,'Coste multimodal'!C$46:C$1646&amp;'Coste multimodal'!D$46:D$1646,0))</f>
        <v>2318773080.0327516</v>
      </c>
      <c r="I851" s="12" cm="1">
        <f t="array" aca="1" ref="I851" ca="1">INDEX('Tiempos intermodal (horas)'!E$45:E$1645,MATCH(C851&amp;D851,'Tiempos intermodal (horas)'!C$45:C$1645&amp;'Tiempos intermodal (horas)'!D$45:D$1645,0))</f>
        <v>84.375154969266148</v>
      </c>
      <c r="J851" s="2" cm="1">
        <f t="array" aca="1" ref="J851" ca="1">INDEX('Tiempos carretera (horas)'!E$45:E$1645,MATCH(C851&amp;D851,'Tiempos carretera (horas)'!C$45:C$1645&amp;'Tiempos carretera (horas)'!D$45:D$1645,0))</f>
        <v>12</v>
      </c>
      <c r="K851" s="12">
        <f t="shared" ca="1" si="78"/>
        <v>4.3139239332681427</v>
      </c>
      <c r="L851" s="12">
        <f t="shared" ca="1" si="79"/>
        <v>170.25610449517268</v>
      </c>
      <c r="M851" s="12">
        <f t="shared" ca="1" si="80"/>
        <v>6.7099168996915301E-2</v>
      </c>
      <c r="N851" s="13">
        <f t="shared" ca="1" si="82"/>
        <v>-165.94218056190454</v>
      </c>
      <c r="O851" s="13">
        <f t="shared" ca="1" si="83"/>
        <v>-72.375154969266148</v>
      </c>
      <c r="P851" s="12">
        <f t="shared" ca="1" si="81"/>
        <v>2.63212724538631</v>
      </c>
    </row>
    <row r="852" spans="1:16" x14ac:dyDescent="0.25">
      <c r="A852">
        <v>6</v>
      </c>
      <c r="B852">
        <v>22</v>
      </c>
      <c r="C852" s="2" t="s">
        <v>5</v>
      </c>
      <c r="D852" s="2" t="s">
        <v>21</v>
      </c>
      <c r="E852" s="11" cm="1">
        <f t="array" aca="1" ref="E852" ca="1">INDEX('OD flujo mercancia multimodal'!E$45:E$1645,MATCH(C852&amp;D852,'OD flujo mercancia multimodal'!C$45:C$1645&amp;'OD flujo mercancia multimodal'!D$45:D$1645,0))</f>
        <v>33252.36813186809</v>
      </c>
      <c r="F852" s="11" cm="1">
        <f t="array" aca="1" ref="F852" ca="1">INDEX('OD flujo mercancia carretera'!E$45:E$1646,MATCH(C852&amp;D852,'OD flujo mercancia carretera'!C$45:C$1646&amp;'OD flujo mercancia carretera'!D$45:D$1646,0))</f>
        <v>254220.03296703263</v>
      </c>
      <c r="G852" s="11" cm="1">
        <f t="array" aca="1" ref="G852" ca="1">INDEX('Coste Carretera'!E$46:E$1646,MATCH(C852&amp;D852,'Coste Carretera'!C$46:C$1646&amp;'Coste Carretera'!D$46:D$1646,0))</f>
        <v>2425769565.882854</v>
      </c>
      <c r="H852" s="11" cm="1">
        <f t="array" aca="1" ref="H852" ca="1">INDEX('Coste multimodal'!E$46:E$1646,MATCH(C852&amp;D852,'Coste multimodal'!C$46:C$1646&amp;'Coste multimodal'!D$46:D$1646,0))</f>
        <v>2457462077.5670371</v>
      </c>
      <c r="I852" s="12" cm="1">
        <f t="array" aca="1" ref="I852" ca="1">INDEX('Tiempos intermodal (horas)'!E$45:E$1645,MATCH(C852&amp;D852,'Tiempos intermodal (horas)'!C$45:C$1645&amp;'Tiempos intermodal (horas)'!D$45:D$1645,0))</f>
        <v>86.480710524821703</v>
      </c>
      <c r="J852" s="2" cm="1">
        <f t="array" aca="1" ref="J852" ca="1">INDEX('Tiempos carretera (horas)'!E$45:E$1645,MATCH(C852&amp;D852,'Tiempos carretera (horas)'!C$45:C$1645&amp;'Tiempos carretera (horas)'!D$45:D$1645,0))</f>
        <v>14.05</v>
      </c>
      <c r="K852" s="12">
        <f t="shared" ca="1" si="78"/>
        <v>9.5420079116952543</v>
      </c>
      <c r="L852" s="12">
        <f t="shared" ca="1" si="79"/>
        <v>73.90337036512831</v>
      </c>
      <c r="M852" s="12">
        <f t="shared" ca="1" si="80"/>
        <v>0.11567151491675924</v>
      </c>
      <c r="N852" s="13">
        <f t="shared" ca="1" si="82"/>
        <v>-64.36136245343306</v>
      </c>
      <c r="O852" s="13">
        <f t="shared" ca="1" si="83"/>
        <v>-72.430710524821706</v>
      </c>
      <c r="P852" s="12">
        <f t="shared" ca="1" si="81"/>
        <v>2.0340741769688946</v>
      </c>
    </row>
    <row r="853" spans="1:16" x14ac:dyDescent="0.25">
      <c r="A853">
        <v>5</v>
      </c>
      <c r="B853">
        <v>29</v>
      </c>
      <c r="C853" s="2" t="s">
        <v>4</v>
      </c>
      <c r="D853" s="2" t="s">
        <v>147</v>
      </c>
      <c r="E853" s="11" cm="1">
        <f t="array" aca="1" ref="E853" ca="1">INDEX('OD flujo mercancia multimodal'!E$45:E$1645,MATCH(C853&amp;D853,'OD flujo mercancia multimodal'!C$45:C$1645&amp;'OD flujo mercancia multimodal'!D$45:D$1645,0))</f>
        <v>83091.371428571438</v>
      </c>
      <c r="F853" s="11" cm="1">
        <f t="array" aca="1" ref="F853" ca="1">INDEX('OD flujo mercancia carretera'!E$45:E$1646,MATCH(C853&amp;D853,'OD flujo mercancia carretera'!C$45:C$1646&amp;'OD flujo mercancia carretera'!D$45:D$1646,0))</f>
        <v>426606.47692307696</v>
      </c>
      <c r="G853" s="11" cm="1">
        <f t="array" aca="1" ref="G853" ca="1">INDEX('Coste Carretera'!E$46:E$1646,MATCH(C853&amp;D853,'Coste Carretera'!C$46:C$1646&amp;'Coste Carretera'!D$46:D$1646,0))</f>
        <v>4874542010.2377138</v>
      </c>
      <c r="H853" s="11" cm="1">
        <f t="array" aca="1" ref="H853" ca="1">INDEX('Coste multimodal'!E$46:E$1646,MATCH(C853&amp;D853,'Coste multimodal'!C$46:C$1646&amp;'Coste multimodal'!D$46:D$1646,0))</f>
        <v>2517960033.8041797</v>
      </c>
      <c r="I853" s="12" cm="1">
        <f t="array" aca="1" ref="I853" ca="1">INDEX('Tiempos intermodal (horas)'!E$45:E$1645,MATCH(C853&amp;D853,'Tiempos intermodal (horas)'!C$45:C$1645&amp;'Tiempos intermodal (horas)'!D$45:D$1645,0))</f>
        <v>84.380710524821694</v>
      </c>
      <c r="J853" s="2" cm="1">
        <f t="array" aca="1" ref="J853" ca="1">INDEX('Tiempos carretera (horas)'!E$45:E$1645,MATCH(C853&amp;D853,'Tiempos carretera (horas)'!C$45:C$1645&amp;'Tiempos carretera (horas)'!D$45:D$1645,0))</f>
        <v>11.86</v>
      </c>
      <c r="K853" s="12">
        <f t="shared" ca="1" si="78"/>
        <v>11.426319744124889</v>
      </c>
      <c r="L853" s="12">
        <f t="shared" ca="1" si="79"/>
        <v>30.30350793967477</v>
      </c>
      <c r="M853" s="12">
        <f t="shared" ca="1" si="80"/>
        <v>0.1630208400865083</v>
      </c>
      <c r="N853" s="13">
        <f t="shared" ca="1" si="82"/>
        <v>-18.877188195549881</v>
      </c>
      <c r="O853" s="13">
        <f t="shared" ca="1" si="83"/>
        <v>-72.520710524821695</v>
      </c>
      <c r="P853" s="12">
        <f t="shared" ca="1" si="81"/>
        <v>1.6359211257036232</v>
      </c>
    </row>
    <row r="854" spans="1:16" x14ac:dyDescent="0.25">
      <c r="A854">
        <v>5</v>
      </c>
      <c r="B854">
        <v>24</v>
      </c>
      <c r="C854" s="2" t="s">
        <v>4</v>
      </c>
      <c r="D854" s="2" t="s">
        <v>23</v>
      </c>
      <c r="E854" s="11" cm="1">
        <f t="array" aca="1" ref="E854" ca="1">INDEX('OD flujo mercancia multimodal'!E$45:E$1645,MATCH(C854&amp;D854,'OD flujo mercancia multimodal'!C$45:C$1645&amp;'OD flujo mercancia multimodal'!D$45:D$1645,0))</f>
        <v>54128.148351648349</v>
      </c>
      <c r="F854" s="11" cm="1">
        <f t="array" aca="1" ref="F854" ca="1">INDEX('OD flujo mercancia carretera'!E$45:E$1646,MATCH(C854&amp;D854,'OD flujo mercancia carretera'!C$45:C$1646&amp;'OD flujo mercancia carretera'!D$45:D$1646,0))</f>
        <v>132873.74358974362</v>
      </c>
      <c r="G854" s="11" cm="1">
        <f t="array" aca="1" ref="G854" ca="1">INDEX('Coste Carretera'!E$46:E$1646,MATCH(C854&amp;D854,'Coste Carretera'!C$46:C$1646&amp;'Coste Carretera'!D$46:D$1646,0))</f>
        <v>4306857682.4142857</v>
      </c>
      <c r="H854" s="11" cm="1">
        <f t="array" aca="1" ref="H854" ca="1">INDEX('Coste multimodal'!E$46:E$1646,MATCH(C854&amp;D854,'Coste multimodal'!C$46:C$1646&amp;'Coste multimodal'!D$46:D$1646,0))</f>
        <v>404434768.57914519</v>
      </c>
      <c r="I854" s="12" cm="1">
        <f t="array" aca="1" ref="I854" ca="1">INDEX('Tiempos intermodal (horas)'!E$45:E$1645,MATCH(C854&amp;D854,'Tiempos intermodal (horas)'!C$45:C$1645&amp;'Tiempos intermodal (horas)'!D$45:D$1645,0))</f>
        <v>65.556265994510127</v>
      </c>
      <c r="J854" s="2" cm="1">
        <f t="array" aca="1" ref="J854" ca="1">INDEX('Tiempos carretera (horas)'!E$45:E$1645,MATCH(C854&amp;D854,'Tiempos carretera (horas)'!C$45:C$1645&amp;'Tiempos carretera (horas)'!D$45:D$1645,0))</f>
        <v>16</v>
      </c>
      <c r="K854" s="12">
        <f t="shared" ca="1" si="78"/>
        <v>32.41315828138319</v>
      </c>
      <c r="L854" s="12">
        <f t="shared" ca="1" si="79"/>
        <v>7.4718012881523039</v>
      </c>
      <c r="M854" s="12">
        <f t="shared" ca="1" si="80"/>
        <v>0.28945241029225832</v>
      </c>
      <c r="N854" s="13">
        <f t="shared" ca="1" si="82"/>
        <v>24.941356993230887</v>
      </c>
      <c r="O854" s="13">
        <f t="shared" ca="1" si="83"/>
        <v>-49.556265994510127</v>
      </c>
      <c r="P854" s="12">
        <f t="shared" ca="1" si="81"/>
        <v>0.89804502824619015</v>
      </c>
    </row>
    <row r="855" spans="1:16" x14ac:dyDescent="0.25">
      <c r="A855">
        <v>13</v>
      </c>
      <c r="B855">
        <v>10</v>
      </c>
      <c r="C855" s="2" t="s">
        <v>12</v>
      </c>
      <c r="D855" s="2" t="s">
        <v>9</v>
      </c>
      <c r="E855" s="11" cm="1">
        <f t="array" aca="1" ref="E855" ca="1">INDEX('OD flujo mercancia multimodal'!E$45:E$1645,MATCH(C855&amp;D855,'OD flujo mercancia multimodal'!C$45:C$1645&amp;'OD flujo mercancia multimodal'!D$45:D$1645,0))</f>
        <v>22889.060439560453</v>
      </c>
      <c r="F855" s="11" cm="1">
        <f t="array" aca="1" ref="F855" ca="1">INDEX('OD flujo mercancia carretera'!E$45:E$1646,MATCH(C855&amp;D855,'OD flujo mercancia carretera'!C$45:C$1646&amp;'OD flujo mercancia carretera'!D$45:D$1646,0))</f>
        <v>117593.23076923079</v>
      </c>
      <c r="G855" s="11" cm="1">
        <f t="array" aca="1" ref="G855" ca="1">INDEX('Coste Carretera'!E$46:E$1646,MATCH(C855&amp;D855,'Coste Carretera'!C$46:C$1646&amp;'Coste Carretera'!D$46:D$1646,0))</f>
        <v>2433118111.474287</v>
      </c>
      <c r="H855" s="11" cm="1">
        <f t="array" aca="1" ref="H855" ca="1">INDEX('Coste multimodal'!E$46:E$1646,MATCH(C855&amp;D855,'Coste multimodal'!C$46:C$1646&amp;'Coste multimodal'!D$46:D$1646,0))</f>
        <v>372769250.17194879</v>
      </c>
      <c r="I855" s="12" cm="1">
        <f t="array" aca="1" ref="I855" ca="1">INDEX('Tiempos intermodal (horas)'!E$45:E$1645,MATCH(C855&amp;D855,'Tiempos intermodal (horas)'!C$45:C$1645&amp;'Tiempos intermodal (horas)'!D$45:D$1645,0))</f>
        <v>69.938588365709464</v>
      </c>
      <c r="J855" s="2" cm="1">
        <f t="array" aca="1" ref="J855" ca="1">INDEX('Tiempos carretera (horas)'!E$45:E$1645,MATCH(C855&amp;D855,'Tiempos carretera (horas)'!C$45:C$1645&amp;'Tiempos carretera (horas)'!D$45:D$1645,0))</f>
        <v>20.36</v>
      </c>
      <c r="K855" s="12">
        <f t="shared" ca="1" si="78"/>
        <v>20.690970862507605</v>
      </c>
      <c r="L855" s="12">
        <f t="shared" ca="1" si="79"/>
        <v>16.285913139871425</v>
      </c>
      <c r="M855" s="12">
        <f t="shared" ca="1" si="80"/>
        <v>0.16293199835089303</v>
      </c>
      <c r="N855" s="13">
        <f t="shared" ca="1" si="82"/>
        <v>4.4050577226361796</v>
      </c>
      <c r="O855" s="13">
        <f t="shared" ca="1" si="83"/>
        <v>-49.578588365709464</v>
      </c>
      <c r="P855" s="12">
        <f t="shared" ca="1" si="81"/>
        <v>1.6365723859641406</v>
      </c>
    </row>
    <row r="856" spans="1:16" x14ac:dyDescent="0.25">
      <c r="A856">
        <v>10</v>
      </c>
      <c r="B856">
        <v>13</v>
      </c>
      <c r="C856" s="2" t="s">
        <v>9</v>
      </c>
      <c r="D856" s="2" t="s">
        <v>12</v>
      </c>
      <c r="E856" s="11" cm="1">
        <f t="array" aca="1" ref="E856" ca="1">INDEX('OD flujo mercancia multimodal'!E$45:E$1645,MATCH(C856&amp;D856,'OD flujo mercancia multimodal'!C$45:C$1645&amp;'OD flujo mercancia multimodal'!D$45:D$1645,0))</f>
        <v>17345.956043956048</v>
      </c>
      <c r="F856" s="11" cm="1">
        <f t="array" aca="1" ref="F856" ca="1">INDEX('OD flujo mercancia carretera'!E$45:E$1646,MATCH(C856&amp;D856,'OD flujo mercancia carretera'!C$45:C$1646&amp;'OD flujo mercancia carretera'!D$45:D$1646,0))</f>
        <v>114347.46153846158</v>
      </c>
      <c r="G856" s="11" cm="1">
        <f t="array" aca="1" ref="G856" ca="1">INDEX('Coste Carretera'!E$46:E$1646,MATCH(C856&amp;D856,'Coste Carretera'!C$46:C$1646&amp;'Coste Carretera'!D$46:D$1646,0))</f>
        <v>1843883453.5314288</v>
      </c>
      <c r="H856" s="11" cm="1">
        <f t="array" aca="1" ref="H856" ca="1">INDEX('Coste multimodal'!E$46:E$1646,MATCH(C856&amp;D856,'Coste multimodal'!C$46:C$1646&amp;'Coste multimodal'!D$46:D$1646,0))</f>
        <v>372769250.17194879</v>
      </c>
      <c r="I856" s="12" cm="1">
        <f t="array" aca="1" ref="I856" ca="1">INDEX('Tiempos intermodal (horas)'!E$45:E$1645,MATCH(C856&amp;D856,'Tiempos intermodal (horas)'!C$45:C$1645&amp;'Tiempos intermodal (horas)'!D$45:D$1645,0))</f>
        <v>69.938588365709464</v>
      </c>
      <c r="J856" s="2" cm="1">
        <f t="array" aca="1" ref="J856" ca="1">INDEX('Tiempos carretera (horas)'!E$45:E$1645,MATCH(C856&amp;D856,'Tiempos carretera (horas)'!C$45:C$1645&amp;'Tiempos carretera (horas)'!D$45:D$1645,0))</f>
        <v>20.36</v>
      </c>
      <c r="K856" s="12">
        <f t="shared" ca="1" si="78"/>
        <v>16.125267922202415</v>
      </c>
      <c r="L856" s="12">
        <f t="shared" ca="1" si="79"/>
        <v>21.490268350001667</v>
      </c>
      <c r="M856" s="12">
        <f t="shared" ca="1" si="80"/>
        <v>0.13171467763831426</v>
      </c>
      <c r="N856" s="13">
        <f t="shared" ca="1" si="82"/>
        <v>-5.3650004277992522</v>
      </c>
      <c r="O856" s="13">
        <f t="shared" ca="1" si="83"/>
        <v>-49.578588365709464</v>
      </c>
      <c r="P856" s="12">
        <f t="shared" ca="1" si="81"/>
        <v>1.8858823229856292</v>
      </c>
    </row>
    <row r="857" spans="1:16" x14ac:dyDescent="0.25">
      <c r="A857">
        <v>37</v>
      </c>
      <c r="B857">
        <v>20</v>
      </c>
      <c r="C857" s="2" t="s">
        <v>36</v>
      </c>
      <c r="D857" s="2" t="s">
        <v>19</v>
      </c>
      <c r="E857" s="11" cm="1">
        <f t="array" aca="1" ref="E857" ca="1">INDEX('OD flujo mercancia multimodal'!E$45:E$1645,MATCH(C857&amp;D857,'OD flujo mercancia multimodal'!C$45:C$1645&amp;'OD flujo mercancia multimodal'!D$45:D$1645,0))</f>
        <v>64056.846153846142</v>
      </c>
      <c r="F857" s="11" cm="1">
        <f t="array" aca="1" ref="F857" ca="1">INDEX('OD flujo mercancia carretera'!E$45:E$1646,MATCH(C857&amp;D857,'OD flujo mercancia carretera'!C$45:C$1646&amp;'OD flujo mercancia carretera'!D$45:D$1646,0))</f>
        <v>145179.24175824178</v>
      </c>
      <c r="G857" s="11" cm="1">
        <f t="array" aca="1" ref="G857" ca="1">INDEX('Coste Carretera'!E$46:E$1646,MATCH(C857&amp;D857,'Coste Carretera'!C$46:C$1646&amp;'Coste Carretera'!D$46:D$1646,0))</f>
        <v>4806532280.5199986</v>
      </c>
      <c r="H857" s="11" cm="1">
        <f t="array" aca="1" ref="H857" ca="1">INDEX('Coste multimodal'!E$46:E$1646,MATCH(C857&amp;D857,'Coste multimodal'!C$46:C$1646&amp;'Coste multimodal'!D$46:D$1646,0))</f>
        <v>420211749.07125843</v>
      </c>
      <c r="I857" s="12" cm="1">
        <f t="array" aca="1" ref="I857" ca="1">INDEX('Tiempos intermodal (horas)'!E$45:E$1645,MATCH(C857&amp;D857,'Tiempos intermodal (horas)'!C$45:C$1645&amp;'Tiempos intermodal (horas)'!D$45:D$1645,0))</f>
        <v>64.553242832676432</v>
      </c>
      <c r="J857" s="2" cm="1">
        <f t="array" aca="1" ref="J857" ca="1">INDEX('Tiempos carretera (horas)'!E$45:E$1645,MATCH(C857&amp;D857,'Tiempos carretera (horas)'!C$45:C$1645&amp;'Tiempos carretera (horas)'!D$45:D$1645,0))</f>
        <v>14.98</v>
      </c>
      <c r="K857" s="12">
        <f t="shared" ca="1" si="78"/>
        <v>33.10757255864462</v>
      </c>
      <c r="L857" s="12">
        <f t="shared" ca="1" si="79"/>
        <v>6.5599818645774493</v>
      </c>
      <c r="M857" s="12">
        <f t="shared" ca="1" si="80"/>
        <v>0.30614626182821819</v>
      </c>
      <c r="N857" s="13">
        <f t="shared" ca="1" si="82"/>
        <v>26.547590694067171</v>
      </c>
      <c r="O857" s="13">
        <f t="shared" ca="1" si="83"/>
        <v>-49.573242832676428</v>
      </c>
      <c r="P857" s="12">
        <f t="shared" ca="1" si="81"/>
        <v>0.81819821879445265</v>
      </c>
    </row>
    <row r="858" spans="1:16" x14ac:dyDescent="0.25">
      <c r="A858">
        <v>20</v>
      </c>
      <c r="B858">
        <v>37</v>
      </c>
      <c r="C858" s="2" t="s">
        <v>19</v>
      </c>
      <c r="D858" s="2" t="s">
        <v>36</v>
      </c>
      <c r="E858" s="11" cm="1">
        <f t="array" aca="1" ref="E858" ca="1">INDEX('OD flujo mercancia multimodal'!E$45:E$1645,MATCH(C858&amp;D858,'OD flujo mercancia multimodal'!C$45:C$1645&amp;'OD flujo mercancia multimodal'!D$45:D$1645,0))</f>
        <v>42109.615384615434</v>
      </c>
      <c r="F858" s="11" cm="1">
        <f t="array" aca="1" ref="F858" ca="1">INDEX('OD flujo mercancia carretera'!E$45:E$1646,MATCH(C858&amp;D858,'OD flujo mercancia carretera'!C$45:C$1646&amp;'OD flujo mercancia carretera'!D$45:D$1646,0))</f>
        <v>147732.76007326003</v>
      </c>
      <c r="G858" s="11" cm="1">
        <f t="array" aca="1" ref="G858" ca="1">INDEX('Coste Carretera'!E$46:E$1646,MATCH(C858&amp;D858,'Coste Carretera'!C$46:C$1646&amp;'Coste Carretera'!D$46:D$1646,0))</f>
        <v>2832325862.3199997</v>
      </c>
      <c r="H858" s="11" cm="1">
        <f t="array" aca="1" ref="H858" ca="1">INDEX('Coste multimodal'!E$46:E$1646,MATCH(C858&amp;D858,'Coste multimodal'!C$46:C$1646&amp;'Coste multimodal'!D$46:D$1646,0))</f>
        <v>420211749.07125843</v>
      </c>
      <c r="I858" s="12" cm="1">
        <f t="array" aca="1" ref="I858" ca="1">INDEX('Tiempos intermodal (horas)'!E$45:E$1645,MATCH(C858&amp;D858,'Tiempos intermodal (horas)'!C$45:C$1645&amp;'Tiempos intermodal (horas)'!D$45:D$1645,0))</f>
        <v>64.553242832676432</v>
      </c>
      <c r="J858" s="2" cm="1">
        <f t="array" aca="1" ref="J858" ca="1">INDEX('Tiempos carretera (horas)'!E$45:E$1645,MATCH(C858&amp;D858,'Tiempos carretera (horas)'!C$45:C$1645&amp;'Tiempos carretera (horas)'!D$45:D$1645,0))</f>
        <v>14.98</v>
      </c>
      <c r="K858" s="12">
        <f t="shared" ref="K858:K921" ca="1" si="84">G858/(F858*1000)</f>
        <v>19.171955231293733</v>
      </c>
      <c r="L858" s="12">
        <f t="shared" ref="L858:L921" ca="1" si="85">H858/(E858*1000)</f>
        <v>9.9789975575217653</v>
      </c>
      <c r="M858" s="12">
        <f t="shared" ref="M858:M921" ca="1" si="86">E858/(E858+F858)</f>
        <v>0.22181357182795697</v>
      </c>
      <c r="N858" s="13">
        <f t="shared" ca="1" si="82"/>
        <v>9.1929576737719678</v>
      </c>
      <c r="O858" s="13">
        <f t="shared" ca="1" si="83"/>
        <v>-49.573242832676428</v>
      </c>
      <c r="P858" s="12">
        <f t="shared" ref="P858:P921" ca="1" si="87">LN(1/M858-1)</f>
        <v>1.2551288578426332</v>
      </c>
    </row>
    <row r="859" spans="1:16" x14ac:dyDescent="0.25">
      <c r="A859">
        <v>38</v>
      </c>
      <c r="B859">
        <v>18</v>
      </c>
      <c r="C859" s="2" t="s">
        <v>37</v>
      </c>
      <c r="D859" s="2" t="s">
        <v>17</v>
      </c>
      <c r="E859" s="11" cm="1">
        <f t="array" aca="1" ref="E859" ca="1">INDEX('OD flujo mercancia multimodal'!E$45:E$1645,MATCH(C859&amp;D859,'OD flujo mercancia multimodal'!C$45:C$1645&amp;'OD flujo mercancia multimodal'!D$45:D$1645,0))</f>
        <v>23758.769230769201</v>
      </c>
      <c r="F859" s="11" cm="1">
        <f t="array" aca="1" ref="F859" ca="1">INDEX('OD flujo mercancia carretera'!E$45:E$1646,MATCH(C859&amp;D859,'OD flujo mercancia carretera'!C$45:C$1646&amp;'OD flujo mercancia carretera'!D$45:D$1646,0))</f>
        <v>57978.076923076907</v>
      </c>
      <c r="G859" s="11" cm="1">
        <f t="array" aca="1" ref="G859" ca="1">INDEX('Coste Carretera'!E$46:E$1646,MATCH(C859&amp;D859,'Coste Carretera'!C$46:C$1646&amp;'Coste Carretera'!D$46:D$1646,0))</f>
        <v>1124650877.1999991</v>
      </c>
      <c r="H859" s="11" cm="1">
        <f t="array" aca="1" ref="H859" ca="1">INDEX('Coste multimodal'!E$46:E$1646,MATCH(C859&amp;D859,'Coste multimodal'!C$46:C$1646&amp;'Coste multimodal'!D$46:D$1646,0))</f>
        <v>274957725.2844668</v>
      </c>
      <c r="I859" s="12" cm="1">
        <f t="array" aca="1" ref="I859" ca="1">INDEX('Tiempos intermodal (horas)'!E$45:E$1645,MATCH(C859&amp;D859,'Tiempos intermodal (horas)'!C$45:C$1645&amp;'Tiempos intermodal (horas)'!D$45:D$1645,0))</f>
        <v>57.063557904584272</v>
      </c>
      <c r="J859" s="2" cm="1">
        <f t="array" aca="1" ref="J859" ca="1">INDEX('Tiempos carretera (horas)'!E$45:E$1645,MATCH(C859&amp;D859,'Tiempos carretera (horas)'!C$45:C$1645&amp;'Tiempos carretera (horas)'!D$45:D$1645,0))</f>
        <v>7.32</v>
      </c>
      <c r="K859" s="12">
        <f t="shared" ca="1" si="84"/>
        <v>19.397864449559837</v>
      </c>
      <c r="L859" s="12">
        <f t="shared" ca="1" si="85"/>
        <v>11.572894311729669</v>
      </c>
      <c r="M859" s="12">
        <f t="shared" ca="1" si="86"/>
        <v>0.29067391695111588</v>
      </c>
      <c r="N859" s="13">
        <f t="shared" ca="1" si="82"/>
        <v>7.8249701378301673</v>
      </c>
      <c r="O859" s="13">
        <f t="shared" ca="1" si="83"/>
        <v>-49.743557904584272</v>
      </c>
      <c r="P859" s="12">
        <f t="shared" ca="1" si="87"/>
        <v>0.89211326190657414</v>
      </c>
    </row>
    <row r="860" spans="1:16" x14ac:dyDescent="0.25">
      <c r="A860">
        <v>18</v>
      </c>
      <c r="B860">
        <v>38</v>
      </c>
      <c r="C860" s="2" t="s">
        <v>17</v>
      </c>
      <c r="D860" s="2" t="s">
        <v>37</v>
      </c>
      <c r="E860" s="11" cm="1">
        <f t="array" aca="1" ref="E860" ca="1">INDEX('OD flujo mercancia multimodal'!E$45:E$1645,MATCH(C860&amp;D860,'OD flujo mercancia multimodal'!C$45:C$1645&amp;'OD flujo mercancia multimodal'!D$45:D$1645,0))</f>
        <v>6834.6153846153848</v>
      </c>
      <c r="F860" s="11" cm="1">
        <f t="array" aca="1" ref="F860" ca="1">INDEX('OD flujo mercancia carretera'!E$45:E$1646,MATCH(C860&amp;D860,'OD flujo mercancia carretera'!C$45:C$1646&amp;'OD flujo mercancia carretera'!D$45:D$1646,0))</f>
        <v>62727</v>
      </c>
      <c r="G860" s="11" cm="1">
        <f t="array" aca="1" ref="G860" ca="1">INDEX('Coste Carretera'!E$46:E$1646,MATCH(C860&amp;D860,'Coste Carretera'!C$46:C$1646&amp;'Coste Carretera'!D$46:D$1646,0))</f>
        <v>646653388.80000162</v>
      </c>
      <c r="H860" s="11" cm="1">
        <f t="array" aca="1" ref="H860" ca="1">INDEX('Coste multimodal'!E$46:E$1646,MATCH(C860&amp;D860,'Coste multimodal'!C$46:C$1646&amp;'Coste multimodal'!D$46:D$1646,0))</f>
        <v>274957725.2844668</v>
      </c>
      <c r="I860" s="12" cm="1">
        <f t="array" aca="1" ref="I860" ca="1">INDEX('Tiempos intermodal (horas)'!E$45:E$1645,MATCH(C860&amp;D860,'Tiempos intermodal (horas)'!C$45:C$1645&amp;'Tiempos intermodal (horas)'!D$45:D$1645,0))</f>
        <v>57.063557904584272</v>
      </c>
      <c r="J860" s="2" cm="1">
        <f t="array" aca="1" ref="J860" ca="1">INDEX('Tiempos carretera (horas)'!E$45:E$1645,MATCH(C860&amp;D860,'Tiempos carretera (horas)'!C$45:C$1645&amp;'Tiempos carretera (horas)'!D$45:D$1645,0))</f>
        <v>7.32</v>
      </c>
      <c r="K860" s="12">
        <f t="shared" ca="1" si="84"/>
        <v>10.309011889616936</v>
      </c>
      <c r="L860" s="12">
        <f t="shared" ca="1" si="85"/>
        <v>40.230168021362616</v>
      </c>
      <c r="M860" s="12">
        <f t="shared" ca="1" si="86"/>
        <v>9.8252683564432633E-2</v>
      </c>
      <c r="N860" s="13">
        <f t="shared" ca="1" si="82"/>
        <v>-29.921156131745679</v>
      </c>
      <c r="O860" s="13">
        <f t="shared" ca="1" si="83"/>
        <v>-49.743557904584272</v>
      </c>
      <c r="P860" s="12">
        <f t="shared" ca="1" si="87"/>
        <v>2.2167917798182724</v>
      </c>
    </row>
    <row r="861" spans="1:16" x14ac:dyDescent="0.25">
      <c r="A861">
        <v>5</v>
      </c>
      <c r="B861">
        <v>30</v>
      </c>
      <c r="C861" s="2" t="s">
        <v>4</v>
      </c>
      <c r="D861" s="2" t="s">
        <v>146</v>
      </c>
      <c r="E861" s="11" cm="1">
        <f t="array" aca="1" ref="E861" ca="1">INDEX('OD flujo mercancia multimodal'!E$45:E$1645,MATCH(C861&amp;D861,'OD flujo mercancia multimodal'!C$45:C$1645&amp;'OD flujo mercancia multimodal'!D$45:D$1645,0))</f>
        <v>54298.37142857143</v>
      </c>
      <c r="F861" s="11" cm="1">
        <f t="array" aca="1" ref="F861" ca="1">INDEX('OD flujo mercancia carretera'!E$45:E$1646,MATCH(C861&amp;D861,'OD flujo mercancia carretera'!C$45:C$1646&amp;'OD flujo mercancia carretera'!D$45:D$1646,0))</f>
        <v>294756.17692307691</v>
      </c>
      <c r="G861" s="11" cm="1">
        <f t="array" aca="1" ref="G861" ca="1">INDEX('Coste Carretera'!E$46:E$1646,MATCH(C861&amp;D861,'Coste Carretera'!C$46:C$1646&amp;'Coste Carretera'!D$46:D$1646,0))</f>
        <v>5997624264.1714277</v>
      </c>
      <c r="H861" s="11" cm="1">
        <f t="array" aca="1" ref="H861" ca="1">INDEX('Coste multimodal'!E$46:E$1646,MATCH(C861&amp;D861,'Coste multimodal'!C$46:C$1646&amp;'Coste multimodal'!D$46:D$1646,0))</f>
        <v>376997856.78714526</v>
      </c>
      <c r="I861" s="12" cm="1">
        <f t="array" aca="1" ref="I861" ca="1">INDEX('Tiempos intermodal (horas)'!E$45:E$1645,MATCH(C861&amp;D861,'Tiempos intermodal (horas)'!C$45:C$1645&amp;'Tiempos intermodal (horas)'!D$45:D$1645,0))</f>
        <v>64.745154883399024</v>
      </c>
      <c r="J861" s="2" cm="1">
        <f t="array" aca="1" ref="J861" ca="1">INDEX('Tiempos carretera (horas)'!E$45:E$1645,MATCH(C861&amp;D861,'Tiempos carretera (horas)'!C$45:C$1645&amp;'Tiempos carretera (horas)'!D$45:D$1645,0))</f>
        <v>15</v>
      </c>
      <c r="K861" s="12">
        <f t="shared" ca="1" si="84"/>
        <v>20.347747507040843</v>
      </c>
      <c r="L861" s="12">
        <f t="shared" ca="1" si="85"/>
        <v>6.943078528295815</v>
      </c>
      <c r="M861" s="12">
        <f t="shared" ca="1" si="86"/>
        <v>0.15555841253175587</v>
      </c>
      <c r="N861" s="13">
        <f t="shared" ca="1" si="82"/>
        <v>13.404668978745029</v>
      </c>
      <c r="O861" s="13">
        <f t="shared" ca="1" si="83"/>
        <v>-49.745154883399024</v>
      </c>
      <c r="P861" s="12">
        <f t="shared" ca="1" si="87"/>
        <v>1.6916542612971439</v>
      </c>
    </row>
    <row r="862" spans="1:16" x14ac:dyDescent="0.25">
      <c r="A862">
        <v>25</v>
      </c>
      <c r="B862">
        <v>5</v>
      </c>
      <c r="C862" s="2" t="s">
        <v>24</v>
      </c>
      <c r="D862" s="2" t="s">
        <v>4</v>
      </c>
      <c r="E862" s="11" cm="1">
        <f t="array" aca="1" ref="E862" ca="1">INDEX('OD flujo mercancia multimodal'!E$45:E$1645,MATCH(C862&amp;D862,'OD flujo mercancia multimodal'!C$45:C$1645&amp;'OD flujo mercancia multimodal'!D$45:D$1645,0))</f>
        <v>68576.950549450587</v>
      </c>
      <c r="F862" s="11" cm="1">
        <f t="array" aca="1" ref="F862" ca="1">INDEX('OD flujo mercancia carretera'!E$45:E$1646,MATCH(C862&amp;D862,'OD flujo mercancia carretera'!C$45:C$1646&amp;'OD flujo mercancia carretera'!D$45:D$1646,0))</f>
        <v>127893.79487179483</v>
      </c>
      <c r="G862" s="11" cm="1">
        <f t="array" aca="1" ref="G862" ca="1">INDEX('Coste Carretera'!E$46:E$1646,MATCH(C862&amp;D862,'Coste Carretera'!C$46:C$1646&amp;'Coste Carretera'!D$46:D$1646,0))</f>
        <v>4952284483.9285746</v>
      </c>
      <c r="H862" s="11" cm="1">
        <f t="array" aca="1" ref="H862" ca="1">INDEX('Coste multimodal'!E$46:E$1646,MATCH(C862&amp;D862,'Coste multimodal'!C$46:C$1646&amp;'Coste multimodal'!D$46:D$1646,0))</f>
        <v>345723155.47914523</v>
      </c>
      <c r="I862" s="12" cm="1">
        <f t="array" aca="1" ref="I862" ca="1">INDEX('Tiempos intermodal (horas)'!E$45:E$1645,MATCH(C862&amp;D862,'Tiempos intermodal (horas)'!C$45:C$1645&amp;'Tiempos intermodal (horas)'!D$45:D$1645,0))</f>
        <v>64.217377105621239</v>
      </c>
      <c r="J862" s="2" cm="1">
        <f t="array" aca="1" ref="J862" ca="1">INDEX('Tiempos carretera (horas)'!E$45:E$1645,MATCH(C862&amp;D862,'Tiempos carretera (horas)'!C$45:C$1645&amp;'Tiempos carretera (horas)'!D$45:D$1645,0))</f>
        <v>14.2</v>
      </c>
      <c r="K862" s="12">
        <f t="shared" ca="1" si="84"/>
        <v>38.721851117897593</v>
      </c>
      <c r="L862" s="12">
        <f t="shared" ca="1" si="85"/>
        <v>5.041390040081259</v>
      </c>
      <c r="M862" s="12">
        <f t="shared" ca="1" si="86"/>
        <v>0.34904407983192293</v>
      </c>
      <c r="N862" s="13">
        <f t="shared" ca="1" si="82"/>
        <v>33.680461077816332</v>
      </c>
      <c r="O862" s="13">
        <f t="shared" ca="1" si="83"/>
        <v>-50.017377105621236</v>
      </c>
      <c r="P862" s="12">
        <f t="shared" ca="1" si="87"/>
        <v>0.6232437114905679</v>
      </c>
    </row>
    <row r="863" spans="1:16" x14ac:dyDescent="0.25">
      <c r="A863">
        <v>32</v>
      </c>
      <c r="B863">
        <v>29</v>
      </c>
      <c r="C863" s="2" t="s">
        <v>31</v>
      </c>
      <c r="D863" s="2" t="s">
        <v>147</v>
      </c>
      <c r="E863" s="11" cm="1">
        <f t="array" aca="1" ref="E863" ca="1">INDEX('OD flujo mercancia multimodal'!E$45:E$1645,MATCH(C863&amp;D863,'OD flujo mercancia multimodal'!C$45:C$1645&amp;'OD flujo mercancia multimodal'!D$45:D$1645,0))</f>
        <v>36655.376923076925</v>
      </c>
      <c r="F863" s="11" cm="1">
        <f t="array" aca="1" ref="F863" ca="1">INDEX('OD flujo mercancia carretera'!E$45:E$1646,MATCH(C863&amp;D863,'OD flujo mercancia carretera'!C$45:C$1646&amp;'OD flujo mercancia carretera'!D$45:D$1646,0))</f>
        <v>407950</v>
      </c>
      <c r="G863" s="11" cm="1">
        <f t="array" aca="1" ref="G863" ca="1">INDEX('Coste Carretera'!E$46:E$1646,MATCH(C863&amp;D863,'Coste Carretera'!C$46:C$1646&amp;'Coste Carretera'!D$46:D$1646,0))</f>
        <v>1665139244.776</v>
      </c>
      <c r="H863" s="11" cm="1">
        <f t="array" aca="1" ref="H863" ca="1">INDEX('Coste multimodal'!E$46:E$1646,MATCH(C863&amp;D863,'Coste multimodal'!C$46:C$1646&amp;'Coste multimodal'!D$46:D$1646,0))</f>
        <v>96925321.561048061</v>
      </c>
      <c r="I863" s="12" cm="1">
        <f t="array" aca="1" ref="I863" ca="1">INDEX('Tiempos intermodal (horas)'!E$45:E$1645,MATCH(C863&amp;D863,'Tiempos intermodal (horas)'!C$45:C$1645&amp;'Tiempos intermodal (horas)'!D$45:D$1645,0))</f>
        <v>62.671201022311372</v>
      </c>
      <c r="J863" s="2" cm="1">
        <f t="array" aca="1" ref="J863" ca="1">INDEX('Tiempos carretera (horas)'!E$45:E$1645,MATCH(C863&amp;D863,'Tiempos carretera (horas)'!C$45:C$1645&amp;'Tiempos carretera (horas)'!D$45:D$1645,0))</f>
        <v>8.8800000000000008</v>
      </c>
      <c r="K863" s="12">
        <f t="shared" ca="1" si="84"/>
        <v>4.0817238504130406</v>
      </c>
      <c r="L863" s="12">
        <f t="shared" ca="1" si="85"/>
        <v>2.6442320253437992</v>
      </c>
      <c r="M863" s="12">
        <f t="shared" ca="1" si="86"/>
        <v>8.2444744993308589E-2</v>
      </c>
      <c r="N863" s="13">
        <f t="shared" ca="1" si="82"/>
        <v>1.4374918250692414</v>
      </c>
      <c r="O863" s="13">
        <f t="shared" ca="1" si="83"/>
        <v>-53.79120102231137</v>
      </c>
      <c r="P863" s="12">
        <f t="shared" ca="1" si="87"/>
        <v>2.4095844902599879</v>
      </c>
    </row>
    <row r="864" spans="1:16" x14ac:dyDescent="0.25">
      <c r="A864">
        <v>29</v>
      </c>
      <c r="B864">
        <v>32</v>
      </c>
      <c r="C864" s="2" t="s">
        <v>147</v>
      </c>
      <c r="D864" s="2" t="s">
        <v>31</v>
      </c>
      <c r="E864" s="11" cm="1">
        <f t="array" aca="1" ref="E864" ca="1">INDEX('OD flujo mercancia multimodal'!E$45:E$1645,MATCH(C864&amp;D864,'OD flujo mercancia multimodal'!C$45:C$1645&amp;'OD flujo mercancia multimodal'!D$45:D$1645,0))</f>
        <v>23767.184615384613</v>
      </c>
      <c r="F864" s="11" cm="1">
        <f t="array" aca="1" ref="F864" ca="1">INDEX('OD flujo mercancia carretera'!E$45:E$1646,MATCH(C864&amp;D864,'OD flujo mercancia carretera'!C$45:C$1646&amp;'OD flujo mercancia carretera'!D$45:D$1646,0))</f>
        <v>412493.6</v>
      </c>
      <c r="G864" s="11" cm="1">
        <f t="array" aca="1" ref="G864" ca="1">INDEX('Coste Carretera'!E$46:E$1646,MATCH(C864&amp;D864,'Coste Carretera'!C$46:C$1646&amp;'Coste Carretera'!D$46:D$1646,0))</f>
        <v>1124547107.3760002</v>
      </c>
      <c r="H864" s="11" cm="1">
        <f t="array" aca="1" ref="H864" ca="1">INDEX('Coste multimodal'!E$46:E$1646,MATCH(C864&amp;D864,'Coste multimodal'!C$46:C$1646&amp;'Coste multimodal'!D$46:D$1646,0))</f>
        <v>96925321.561048061</v>
      </c>
      <c r="I864" s="12" cm="1">
        <f t="array" aca="1" ref="I864" ca="1">INDEX('Tiempos intermodal (horas)'!E$45:E$1645,MATCH(C864&amp;D864,'Tiempos intermodal (horas)'!C$45:C$1645&amp;'Tiempos intermodal (horas)'!D$45:D$1645,0))</f>
        <v>62.671201022311372</v>
      </c>
      <c r="J864" s="2" cm="1">
        <f t="array" aca="1" ref="J864" ca="1">INDEX('Tiempos carretera (horas)'!E$45:E$1645,MATCH(C864&amp;D864,'Tiempos carretera (horas)'!C$45:C$1645&amp;'Tiempos carretera (horas)'!D$45:D$1645,0))</f>
        <v>8.8800000000000008</v>
      </c>
      <c r="K864" s="12">
        <f t="shared" ca="1" si="84"/>
        <v>2.7262171034314235</v>
      </c>
      <c r="L864" s="12">
        <f t="shared" ca="1" si="85"/>
        <v>4.0781153985864966</v>
      </c>
      <c r="M864" s="12">
        <f t="shared" ca="1" si="86"/>
        <v>5.4479305620692434E-2</v>
      </c>
      <c r="N864" s="13">
        <f t="shared" ca="1" si="82"/>
        <v>-1.3518982951550731</v>
      </c>
      <c r="O864" s="13">
        <f t="shared" ca="1" si="83"/>
        <v>-53.79120102231137</v>
      </c>
      <c r="P864" s="12">
        <f t="shared" ca="1" si="87"/>
        <v>2.8539148589144978</v>
      </c>
    </row>
    <row r="865" spans="1:16" x14ac:dyDescent="0.25">
      <c r="A865">
        <v>10</v>
      </c>
      <c r="B865">
        <v>29</v>
      </c>
      <c r="C865" s="2" t="s">
        <v>9</v>
      </c>
      <c r="D865" s="2" t="s">
        <v>147</v>
      </c>
      <c r="E865" s="11" cm="1">
        <f t="array" aca="1" ref="E865" ca="1">INDEX('OD flujo mercancia multimodal'!E$45:E$1645,MATCH(C865&amp;D865,'OD flujo mercancia multimodal'!C$45:C$1645&amp;'OD flujo mercancia multimodal'!D$45:D$1645,0))</f>
        <v>50599.87142857143</v>
      </c>
      <c r="F865" s="11" cm="1">
        <f t="array" aca="1" ref="F865" ca="1">INDEX('OD flujo mercancia carretera'!E$45:E$1646,MATCH(C865&amp;D865,'OD flujo mercancia carretera'!C$45:C$1646&amp;'OD flujo mercancia carretera'!D$45:D$1646,0))</f>
        <v>452009.32307692309</v>
      </c>
      <c r="G865" s="11" cm="1">
        <f t="array" aca="1" ref="G865" ca="1">INDEX('Coste Carretera'!E$46:E$1646,MATCH(C865&amp;D865,'Coste Carretera'!C$46:C$1646&amp;'Coste Carretera'!D$46:D$1646,0))</f>
        <v>3127883676.2234282</v>
      </c>
      <c r="H865" s="11" cm="1">
        <f t="array" aca="1" ref="H865" ca="1">INDEX('Coste multimodal'!E$46:E$1646,MATCH(C865&amp;D865,'Coste multimodal'!C$46:C$1646&amp;'Coste multimodal'!D$46:D$1646,0))</f>
        <v>2565295810.8641796</v>
      </c>
      <c r="I865" s="12" cm="1">
        <f t="array" aca="1" ref="I865" ca="1">INDEX('Tiempos intermodal (horas)'!E$45:E$1645,MATCH(C865&amp;D865,'Tiempos intermodal (horas)'!C$45:C$1645&amp;'Tiempos intermodal (horas)'!D$45:D$1645,0))</f>
        <v>85.368488302599474</v>
      </c>
      <c r="J865" s="2" cm="1">
        <f t="array" aca="1" ref="J865" ca="1">INDEX('Tiempos carretera (horas)'!E$45:E$1645,MATCH(C865&amp;D865,'Tiempos carretera (horas)'!C$45:C$1645&amp;'Tiempos carretera (horas)'!D$45:D$1645,0))</f>
        <v>12.53</v>
      </c>
      <c r="K865" s="12">
        <f t="shared" ca="1" si="84"/>
        <v>6.9199538959313109</v>
      </c>
      <c r="L865" s="12">
        <f t="shared" ca="1" si="85"/>
        <v>50.697674488865886</v>
      </c>
      <c r="M865" s="12">
        <f t="shared" ca="1" si="86"/>
        <v>0.10067438475405423</v>
      </c>
      <c r="N865" s="13">
        <f t="shared" ca="1" si="82"/>
        <v>-43.777720592934571</v>
      </c>
      <c r="O865" s="13">
        <f t="shared" ca="1" si="83"/>
        <v>-72.838488302599472</v>
      </c>
      <c r="P865" s="12">
        <f t="shared" ca="1" si="87"/>
        <v>2.1897537705430228</v>
      </c>
    </row>
    <row r="866" spans="1:16" x14ac:dyDescent="0.25">
      <c r="A866">
        <v>29</v>
      </c>
      <c r="B866">
        <v>10</v>
      </c>
      <c r="C866" s="2" t="s">
        <v>147</v>
      </c>
      <c r="D866" s="2" t="s">
        <v>9</v>
      </c>
      <c r="E866" s="11" cm="1">
        <f t="array" aca="1" ref="E866" ca="1">INDEX('OD flujo mercancia multimodal'!E$45:E$1645,MATCH(C866&amp;D866,'OD flujo mercancia multimodal'!C$45:C$1645&amp;'OD flujo mercancia multimodal'!D$45:D$1645,0))</f>
        <v>44358.0142857143</v>
      </c>
      <c r="F866" s="11" cm="1">
        <f t="array" aca="1" ref="F866" ca="1">INDEX('OD flujo mercancia carretera'!E$45:E$1646,MATCH(C866&amp;D866,'OD flujo mercancia carretera'!C$45:C$1646&amp;'OD flujo mercancia carretera'!D$45:D$1646,0))</f>
        <v>457205.0230769231</v>
      </c>
      <c r="G866" s="11" cm="1">
        <f t="array" aca="1" ref="G866" ca="1">INDEX('Coste Carretera'!E$46:E$1646,MATCH(C866&amp;D866,'Coste Carretera'!C$46:C$1646&amp;'Coste Carretera'!D$46:D$1646,0))</f>
        <v>2742036785.4062862</v>
      </c>
      <c r="H866" s="11" cm="1">
        <f t="array" aca="1" ref="H866" ca="1">INDEX('Coste multimodal'!E$46:E$1646,MATCH(C866&amp;D866,'Coste multimodal'!C$46:C$1646&amp;'Coste multimodal'!D$46:D$1646,0))</f>
        <v>2565295810.8641796</v>
      </c>
      <c r="I866" s="12" cm="1">
        <f t="array" aca="1" ref="I866" ca="1">INDEX('Tiempos intermodal (horas)'!E$45:E$1645,MATCH(C866&amp;D866,'Tiempos intermodal (horas)'!C$45:C$1645&amp;'Tiempos intermodal (horas)'!D$45:D$1645,0))</f>
        <v>85.368488302599474</v>
      </c>
      <c r="J866" s="2" cm="1">
        <f t="array" aca="1" ref="J866" ca="1">INDEX('Tiempos carretera (horas)'!E$45:E$1645,MATCH(C866&amp;D866,'Tiempos carretera (horas)'!C$45:C$1645&amp;'Tiempos carretera (horas)'!D$45:D$1645,0))</f>
        <v>12.53</v>
      </c>
      <c r="K866" s="12">
        <f t="shared" ca="1" si="84"/>
        <v>5.9973898951345257</v>
      </c>
      <c r="L866" s="12">
        <f t="shared" ca="1" si="85"/>
        <v>57.831619655939939</v>
      </c>
      <c r="M866" s="12">
        <f t="shared" ca="1" si="86"/>
        <v>8.843955989851543E-2</v>
      </c>
      <c r="N866" s="13">
        <f t="shared" ca="1" si="82"/>
        <v>-51.834229760805414</v>
      </c>
      <c r="O866" s="13">
        <f t="shared" ca="1" si="83"/>
        <v>-72.838488302599472</v>
      </c>
      <c r="P866" s="12">
        <f t="shared" ca="1" si="87"/>
        <v>2.3328385206098119</v>
      </c>
    </row>
    <row r="867" spans="1:16" x14ac:dyDescent="0.25">
      <c r="A867">
        <v>25</v>
      </c>
      <c r="B867">
        <v>37</v>
      </c>
      <c r="C867" s="2" t="s">
        <v>24</v>
      </c>
      <c r="D867" s="2" t="s">
        <v>36</v>
      </c>
      <c r="E867" s="11" cm="1">
        <f t="array" aca="1" ref="E867" ca="1">INDEX('OD flujo mercancia multimodal'!E$45:E$1645,MATCH(C867&amp;D867,'OD flujo mercancia multimodal'!C$45:C$1645&amp;'OD flujo mercancia multimodal'!D$45:D$1645,0))</f>
        <v>13839.153846153891</v>
      </c>
      <c r="F867" s="11" cm="1">
        <f t="array" aca="1" ref="F867" ca="1">INDEX('OD flujo mercancia carretera'!E$45:E$1646,MATCH(C867&amp;D867,'OD flujo mercancia carretera'!C$45:C$1646&amp;'OD flujo mercancia carretera'!D$45:D$1646,0))</f>
        <v>151168.76007326003</v>
      </c>
      <c r="G867" s="11" cm="1">
        <f t="array" aca="1" ref="G867" ca="1">INDEX('Coste Carretera'!E$46:E$1646,MATCH(C867&amp;D867,'Coste Carretera'!C$46:C$1646&amp;'Coste Carretera'!D$46:D$1646,0))</f>
        <v>397500609.59999979</v>
      </c>
      <c r="H867" s="11" cm="1">
        <f t="array" aca="1" ref="H867" ca="1">INDEX('Coste multimodal'!E$46:E$1646,MATCH(C867&amp;D867,'Coste multimodal'!C$46:C$1646&amp;'Coste multimodal'!D$46:D$1646,0))</f>
        <v>156336954.76104873</v>
      </c>
      <c r="I867" s="12" cm="1">
        <f t="array" aca="1" ref="I867" ca="1">INDEX('Tiempos intermodal (horas)'!E$45:E$1645,MATCH(C867&amp;D867,'Tiempos intermodal (horas)'!C$45:C$1645&amp;'Tiempos intermodal (horas)'!D$45:D$1645,0))</f>
        <v>52.934024026956642</v>
      </c>
      <c r="J867" s="2" cm="1">
        <f t="array" aca="1" ref="J867" ca="1">INDEX('Tiempos carretera (horas)'!E$45:E$1645,MATCH(C867&amp;D867,'Tiempos carretera (horas)'!C$45:C$1645&amp;'Tiempos carretera (horas)'!D$45:D$1645,0))</f>
        <v>10.38</v>
      </c>
      <c r="K867" s="12">
        <f t="shared" ca="1" si="84"/>
        <v>2.6295155785319757</v>
      </c>
      <c r="L867" s="12">
        <f t="shared" ca="1" si="85"/>
        <v>11.296713404519101</v>
      </c>
      <c r="M867" s="12">
        <f t="shared" ca="1" si="86"/>
        <v>8.3869637021849852E-2</v>
      </c>
      <c r="N867" s="13">
        <f t="shared" ca="1" si="82"/>
        <v>-8.6671978259871256</v>
      </c>
      <c r="O867" s="13">
        <f t="shared" ca="1" si="83"/>
        <v>-42.55402402695664</v>
      </c>
      <c r="P867" s="12">
        <f t="shared" ca="1" si="87"/>
        <v>2.3908950190890561</v>
      </c>
    </row>
    <row r="868" spans="1:16" x14ac:dyDescent="0.25">
      <c r="A868">
        <v>37</v>
      </c>
      <c r="B868">
        <v>25</v>
      </c>
      <c r="C868" s="2" t="s">
        <v>36</v>
      </c>
      <c r="D868" s="2" t="s">
        <v>24</v>
      </c>
      <c r="E868" s="11" cm="1">
        <f t="array" aca="1" ref="E868" ca="1">INDEX('OD flujo mercancia multimodal'!E$45:E$1645,MATCH(C868&amp;D868,'OD flujo mercancia multimodal'!C$45:C$1645&amp;'OD flujo mercancia multimodal'!D$45:D$1645,0))</f>
        <v>10786.846153846156</v>
      </c>
      <c r="F868" s="11" cm="1">
        <f t="array" aca="1" ref="F868" ca="1">INDEX('OD flujo mercancia carretera'!E$45:E$1646,MATCH(C868&amp;D868,'OD flujo mercancia carretera'!C$45:C$1646&amp;'OD flujo mercancia carretera'!D$45:D$1646,0))</f>
        <v>142613.90842490841</v>
      </c>
      <c r="G868" s="11" cm="1">
        <f t="array" aca="1" ref="G868" ca="1">INDEX('Coste Carretera'!E$46:E$1646,MATCH(C868&amp;D868,'Coste Carretera'!C$46:C$1646&amp;'Coste Carretera'!D$46:D$1646,0))</f>
        <v>390952658.40000015</v>
      </c>
      <c r="H868" s="11" cm="1">
        <f t="array" aca="1" ref="H868" ca="1">INDEX('Coste multimodal'!E$46:E$1646,MATCH(C868&amp;D868,'Coste multimodal'!C$46:C$1646&amp;'Coste multimodal'!D$46:D$1646,0))</f>
        <v>156336954.76104873</v>
      </c>
      <c r="I868" s="12" cm="1">
        <f t="array" aca="1" ref="I868" ca="1">INDEX('Tiempos intermodal (horas)'!E$45:E$1645,MATCH(C868&amp;D868,'Tiempos intermodal (horas)'!C$45:C$1645&amp;'Tiempos intermodal (horas)'!D$45:D$1645,0))</f>
        <v>52.934024026956642</v>
      </c>
      <c r="J868" s="2" cm="1">
        <f t="array" aca="1" ref="J868" ca="1">INDEX('Tiempos carretera (horas)'!E$45:E$1645,MATCH(C868&amp;D868,'Tiempos carretera (horas)'!C$45:C$1645&amp;'Tiempos carretera (horas)'!D$45:D$1645,0))</f>
        <v>10.38</v>
      </c>
      <c r="K868" s="12">
        <f t="shared" ca="1" si="84"/>
        <v>2.7413361201432291</v>
      </c>
      <c r="L868" s="12">
        <f t="shared" ca="1" si="85"/>
        <v>14.493296050700163</v>
      </c>
      <c r="M868" s="12">
        <f t="shared" ca="1" si="86"/>
        <v>7.0318077531413226E-2</v>
      </c>
      <c r="N868" s="13">
        <f t="shared" ca="1" si="82"/>
        <v>-11.751959930556934</v>
      </c>
      <c r="O868" s="13">
        <f t="shared" ca="1" si="83"/>
        <v>-42.55402402695664</v>
      </c>
      <c r="P868" s="12">
        <f t="shared" ca="1" si="87"/>
        <v>2.5818135946506362</v>
      </c>
    </row>
    <row r="869" spans="1:16" x14ac:dyDescent="0.25">
      <c r="A869">
        <v>24</v>
      </c>
      <c r="B869">
        <v>35</v>
      </c>
      <c r="C869" s="2" t="s">
        <v>23</v>
      </c>
      <c r="D869" s="2" t="s">
        <v>34</v>
      </c>
      <c r="E869" s="11" cm="1">
        <f t="array" aca="1" ref="E869" ca="1">INDEX('OD flujo mercancia multimodal'!E$45:E$1645,MATCH(C869&amp;D869,'OD flujo mercancia multimodal'!C$45:C$1645&amp;'OD flujo mercancia multimodal'!D$45:D$1645,0))</f>
        <v>26834.07692307694</v>
      </c>
      <c r="F869" s="11" cm="1">
        <f t="array" aca="1" ref="F869" ca="1">INDEX('OD flujo mercancia carretera'!E$45:E$1646,MATCH(C869&amp;D869,'OD flujo mercancia carretera'!C$45:C$1646&amp;'OD flujo mercancia carretera'!D$45:D$1646,0))</f>
        <v>97552.538461538497</v>
      </c>
      <c r="G869" s="11" cm="1">
        <f t="array" aca="1" ref="G869" ca="1">INDEX('Coste Carretera'!E$46:E$1646,MATCH(C869&amp;D869,'Coste Carretera'!C$46:C$1646&amp;'Coste Carretera'!D$46:D$1646,0))</f>
        <v>16919470550.400015</v>
      </c>
      <c r="H869" s="11" cm="1">
        <f t="array" aca="1" ref="H869" ca="1">INDEX('Coste multimodal'!E$46:E$1646,MATCH(C869&amp;D869,'Coste multimodal'!C$46:C$1646&amp;'Coste multimodal'!D$46:D$1646,0))</f>
        <v>2306130427.1977267</v>
      </c>
      <c r="I869" s="12" cm="1">
        <f t="array" aca="1" ref="I869" ca="1">INDEX('Tiempos intermodal (horas)'!E$45:E$1645,MATCH(C869&amp;D869,'Tiempos intermodal (horas)'!C$45:C$1645&amp;'Tiempos intermodal (horas)'!D$45:D$1645,0))</f>
        <v>61.20985728110923</v>
      </c>
      <c r="J869" s="2" cm="1">
        <f t="array" aca="1" ref="J869" ca="1">INDEX('Tiempos carretera (horas)'!E$45:E$1645,MATCH(C869&amp;D869,'Tiempos carretera (horas)'!C$45:C$1645&amp;'Tiempos carretera (horas)'!D$45:D$1645,0))</f>
        <v>11.31</v>
      </c>
      <c r="K869" s="12">
        <f t="shared" ca="1" si="84"/>
        <v>173.43957232923017</v>
      </c>
      <c r="L869" s="12">
        <f t="shared" ca="1" si="85"/>
        <v>85.940367310137887</v>
      </c>
      <c r="M869" s="12">
        <f t="shared" ca="1" si="86"/>
        <v>0.21573122510089515</v>
      </c>
      <c r="N869" s="13">
        <f t="shared" ca="1" si="82"/>
        <v>87.499205019092287</v>
      </c>
      <c r="O869" s="13">
        <f t="shared" ca="1" si="83"/>
        <v>-49.899857281109227</v>
      </c>
      <c r="P869" s="12">
        <f t="shared" ca="1" si="87"/>
        <v>1.2907184820973419</v>
      </c>
    </row>
    <row r="870" spans="1:16" x14ac:dyDescent="0.25">
      <c r="A870">
        <v>35</v>
      </c>
      <c r="B870">
        <v>24</v>
      </c>
      <c r="C870" s="2" t="s">
        <v>34</v>
      </c>
      <c r="D870" s="2" t="s">
        <v>23</v>
      </c>
      <c r="E870" s="11" cm="1">
        <f t="array" aca="1" ref="E870" ca="1">INDEX('OD flujo mercancia multimodal'!E$45:E$1645,MATCH(C870&amp;D870,'OD flujo mercancia multimodal'!C$45:C$1645&amp;'OD flujo mercancia multimodal'!D$45:D$1645,0))</f>
        <v>17329.38461538461</v>
      </c>
      <c r="F870" s="11" cm="1">
        <f t="array" aca="1" ref="F870" ca="1">INDEX('OD flujo mercancia carretera'!E$45:E$1646,MATCH(C870&amp;D870,'OD flujo mercancia carretera'!C$45:C$1646&amp;'OD flujo mercancia carretera'!D$45:D$1646,0))</f>
        <v>81735.05128205131</v>
      </c>
      <c r="G870" s="11" cm="1">
        <f t="array" aca="1" ref="G870" ca="1">INDEX('Coste Carretera'!E$46:E$1646,MATCH(C870&amp;D870,'Coste Carretera'!C$46:C$1646&amp;'Coste Carretera'!D$46:D$1646,0))</f>
        <v>7446307189.7599993</v>
      </c>
      <c r="H870" s="11" cm="1">
        <f t="array" aca="1" ref="H870" ca="1">INDEX('Coste multimodal'!E$46:E$1646,MATCH(C870&amp;D870,'Coste multimodal'!C$46:C$1646&amp;'Coste multimodal'!D$46:D$1646,0))</f>
        <v>2306130427.1977267</v>
      </c>
      <c r="I870" s="12" cm="1">
        <f t="array" aca="1" ref="I870" ca="1">INDEX('Tiempos intermodal (horas)'!E$45:E$1645,MATCH(C870&amp;D870,'Tiempos intermodal (horas)'!C$45:C$1645&amp;'Tiempos intermodal (horas)'!D$45:D$1645,0))</f>
        <v>61.20985728110923</v>
      </c>
      <c r="J870" s="2" cm="1">
        <f t="array" aca="1" ref="J870" ca="1">INDEX('Tiempos carretera (horas)'!E$45:E$1645,MATCH(C870&amp;D870,'Tiempos carretera (horas)'!C$45:C$1645&amp;'Tiempos carretera (horas)'!D$45:D$1645,0))</f>
        <v>11.31</v>
      </c>
      <c r="K870" s="12">
        <f t="shared" ca="1" si="84"/>
        <v>91.102985475157809</v>
      </c>
      <c r="L870" s="12">
        <f t="shared" ca="1" si="85"/>
        <v>133.07630238354798</v>
      </c>
      <c r="M870" s="12">
        <f t="shared" ca="1" si="86"/>
        <v>0.17493043248463241</v>
      </c>
      <c r="N870" s="13">
        <f t="shared" ca="1" si="82"/>
        <v>-41.973316908390174</v>
      </c>
      <c r="O870" s="13">
        <f t="shared" ca="1" si="83"/>
        <v>-49.899857281109227</v>
      </c>
      <c r="P870" s="12">
        <f t="shared" ca="1" si="87"/>
        <v>1.5510793408118353</v>
      </c>
    </row>
    <row r="871" spans="1:16" x14ac:dyDescent="0.25">
      <c r="A871">
        <v>13</v>
      </c>
      <c r="B871">
        <v>7</v>
      </c>
      <c r="C871" s="2" t="s">
        <v>12</v>
      </c>
      <c r="D871" s="2" t="s">
        <v>6</v>
      </c>
      <c r="E871" s="11" cm="1">
        <f t="array" aca="1" ref="E871" ca="1">INDEX('OD flujo mercancia multimodal'!E$45:E$1645,MATCH(C871&amp;D871,'OD flujo mercancia multimodal'!C$45:C$1645&amp;'OD flujo mercancia multimodal'!D$45:D$1645,0))</f>
        <v>6763.6318681318644</v>
      </c>
      <c r="F871" s="11" cm="1">
        <f t="array" aca="1" ref="F871" ca="1">INDEX('OD flujo mercancia carretera'!E$45:E$1646,MATCH(C871&amp;D871,'OD flujo mercancia carretera'!C$45:C$1646&amp;'OD flujo mercancia carretera'!D$45:D$1646,0))</f>
        <v>85286.384615384595</v>
      </c>
      <c r="G871" s="11" cm="1">
        <f t="array" aca="1" ref="G871" ca="1">INDEX('Coste Carretera'!E$46:E$1646,MATCH(C871&amp;D871,'Coste Carretera'!C$46:C$1646&amp;'Coste Carretera'!D$46:D$1646,0))</f>
        <v>689848786.57714248</v>
      </c>
      <c r="H871" s="11" cm="1">
        <f t="array" aca="1" ref="H871" ca="1">INDEX('Coste multimodal'!E$46:E$1646,MATCH(C871&amp;D871,'Coste multimodal'!C$46:C$1646&amp;'Coste multimodal'!D$46:D$1646,0))</f>
        <v>306201249.3405202</v>
      </c>
      <c r="I871" s="12" cm="1">
        <f t="array" aca="1" ref="I871" ca="1">INDEX('Tiempos intermodal (horas)'!E$45:E$1645,MATCH(C871&amp;D871,'Tiempos intermodal (horas)'!C$45:C$1645&amp;'Tiempos intermodal (horas)'!D$45:D$1645,0))</f>
        <v>69.389699476820567</v>
      </c>
      <c r="J871" s="2" cm="1">
        <f t="array" aca="1" ref="J871" ca="1">INDEX('Tiempos carretera (horas)'!E$45:E$1645,MATCH(C871&amp;D871,'Tiempos carretera (horas)'!C$45:C$1645&amp;'Tiempos carretera (horas)'!D$45:D$1645,0))</f>
        <v>19.48</v>
      </c>
      <c r="K871" s="12">
        <f t="shared" ca="1" si="84"/>
        <v>8.0886156646004945</v>
      </c>
      <c r="L871" s="12">
        <f t="shared" ca="1" si="85"/>
        <v>45.271720180875825</v>
      </c>
      <c r="M871" s="12">
        <f t="shared" ca="1" si="86"/>
        <v>7.3477790950130226E-2</v>
      </c>
      <c r="N871" s="13">
        <f t="shared" ca="1" si="82"/>
        <v>-37.183104516275328</v>
      </c>
      <c r="O871" s="13">
        <f t="shared" ca="1" si="83"/>
        <v>-49.909699476820563</v>
      </c>
      <c r="P871" s="12">
        <f t="shared" ca="1" si="87"/>
        <v>2.5344548197357488</v>
      </c>
    </row>
    <row r="872" spans="1:16" x14ac:dyDescent="0.25">
      <c r="A872">
        <v>7</v>
      </c>
      <c r="B872">
        <v>13</v>
      </c>
      <c r="C872" s="2" t="s">
        <v>6</v>
      </c>
      <c r="D872" s="2" t="s">
        <v>12</v>
      </c>
      <c r="E872" s="11" cm="1">
        <f t="array" aca="1" ref="E872" ca="1">INDEX('OD flujo mercancia multimodal'!E$45:E$1645,MATCH(C872&amp;D872,'OD flujo mercancia multimodal'!C$45:C$1645&amp;'OD flujo mercancia multimodal'!D$45:D$1645,0))</f>
        <v>6097.5274725274776</v>
      </c>
      <c r="F872" s="11" cm="1">
        <f t="array" aca="1" ref="F872" ca="1">INDEX('OD flujo mercancia carretera'!E$45:E$1646,MATCH(C872&amp;D872,'OD flujo mercancia carretera'!C$45:C$1646&amp;'OD flujo mercancia carretera'!D$45:D$1646,0))</f>
        <v>79806.23076923081</v>
      </c>
      <c r="G872" s="11" cm="1">
        <f t="array" aca="1" ref="G872" ca="1">INDEX('Coste Carretera'!E$46:E$1646,MATCH(C872&amp;D872,'Coste Carretera'!C$46:C$1646&amp;'Coste Carretera'!D$46:D$1646,0))</f>
        <v>621910241.42857194</v>
      </c>
      <c r="H872" s="11" cm="1">
        <f t="array" aca="1" ref="H872" ca="1">INDEX('Coste multimodal'!E$46:E$1646,MATCH(C872&amp;D872,'Coste multimodal'!C$46:C$1646&amp;'Coste multimodal'!D$46:D$1646,0))</f>
        <v>306201249.3405202</v>
      </c>
      <c r="I872" s="12" cm="1">
        <f t="array" aca="1" ref="I872" ca="1">INDEX('Tiempos intermodal (horas)'!E$45:E$1645,MATCH(C872&amp;D872,'Tiempos intermodal (horas)'!C$45:C$1645&amp;'Tiempos intermodal (horas)'!D$45:D$1645,0))</f>
        <v>69.389699476820567</v>
      </c>
      <c r="J872" s="2" cm="1">
        <f t="array" aca="1" ref="J872" ca="1">INDEX('Tiempos carretera (horas)'!E$45:E$1645,MATCH(C872&amp;D872,'Tiempos carretera (horas)'!C$45:C$1645&amp;'Tiempos carretera (horas)'!D$45:D$1645,0))</f>
        <v>19.48</v>
      </c>
      <c r="K872" s="12">
        <f t="shared" ca="1" si="84"/>
        <v>7.7927529647014557</v>
      </c>
      <c r="L872" s="12">
        <f t="shared" ca="1" si="85"/>
        <v>50.217280810970607</v>
      </c>
      <c r="M872" s="12">
        <f t="shared" ca="1" si="86"/>
        <v>7.0980916287355589E-2</v>
      </c>
      <c r="N872" s="13">
        <f t="shared" ca="1" si="82"/>
        <v>-42.42452784626915</v>
      </c>
      <c r="O872" s="13">
        <f t="shared" ca="1" si="83"/>
        <v>-49.909699476820563</v>
      </c>
      <c r="P872" s="12">
        <f t="shared" ca="1" si="87"/>
        <v>2.5717182245852652</v>
      </c>
    </row>
    <row r="873" spans="1:16" x14ac:dyDescent="0.25">
      <c r="A873">
        <v>24</v>
      </c>
      <c r="B873">
        <v>41</v>
      </c>
      <c r="C873" s="2" t="s">
        <v>23</v>
      </c>
      <c r="D873" s="2" t="s">
        <v>40</v>
      </c>
      <c r="E873" s="11" cm="1">
        <f t="array" aca="1" ref="E873" ca="1">INDEX('OD flujo mercancia multimodal'!E$45:E$1645,MATCH(C873&amp;D873,'OD flujo mercancia multimodal'!C$45:C$1645&amp;'OD flujo mercancia multimodal'!D$45:D$1645,0))</f>
        <v>25821.15384615384</v>
      </c>
      <c r="F873" s="11" cm="1">
        <f t="array" aca="1" ref="F873" ca="1">INDEX('OD flujo mercancia carretera'!E$45:E$1646,MATCH(C873&amp;D873,'OD flujo mercancia carretera'!C$45:C$1646&amp;'OD flujo mercancia carretera'!D$45:D$1646,0))</f>
        <v>102859.4926739927</v>
      </c>
      <c r="G873" s="11" cm="1">
        <f t="array" aca="1" ref="G873" ca="1">INDEX('Coste Carretera'!E$46:E$1646,MATCH(C873&amp;D873,'Coste Carretera'!C$46:C$1646&amp;'Coste Carretera'!D$46:D$1646,0))</f>
        <v>806021450.39999998</v>
      </c>
      <c r="H873" s="11" cm="1">
        <f t="array" aca="1" ref="H873" ca="1">INDEX('Coste multimodal'!E$46:E$1646,MATCH(C873&amp;D873,'Coste multimodal'!C$46:C$1646&amp;'Coste multimodal'!D$46:D$1646,0))</f>
        <v>205521153.38552335</v>
      </c>
      <c r="I873" s="12" cm="1">
        <f t="array" aca="1" ref="I873" ca="1">INDEX('Tiempos intermodal (horas)'!E$45:E$1645,MATCH(C873&amp;D873,'Tiempos intermodal (horas)'!C$45:C$1645&amp;'Tiempos intermodal (horas)'!D$45:D$1645,0))</f>
        <v>61.621836488832578</v>
      </c>
      <c r="J873" s="2" cm="1">
        <f t="array" aca="1" ref="J873" ca="1">INDEX('Tiempos carretera (horas)'!E$45:E$1645,MATCH(C873&amp;D873,'Tiempos carretera (horas)'!C$45:C$1645&amp;'Tiempos carretera (horas)'!D$45:D$1645,0))</f>
        <v>11.68</v>
      </c>
      <c r="K873" s="12">
        <f t="shared" ca="1" si="84"/>
        <v>7.8361406365734174</v>
      </c>
      <c r="L873" s="12">
        <f t="shared" ca="1" si="85"/>
        <v>7.9594101259009582</v>
      </c>
      <c r="M873" s="12">
        <f t="shared" ca="1" si="86"/>
        <v>0.20066074071294956</v>
      </c>
      <c r="N873" s="13">
        <f t="shared" ca="1" si="82"/>
        <v>-0.12326948932754078</v>
      </c>
      <c r="O873" s="13">
        <f t="shared" ca="1" si="83"/>
        <v>-49.941836488832578</v>
      </c>
      <c r="P873" s="12">
        <f t="shared" ca="1" si="87"/>
        <v>1.3821698356381953</v>
      </c>
    </row>
    <row r="874" spans="1:16" x14ac:dyDescent="0.25">
      <c r="A874">
        <v>41</v>
      </c>
      <c r="B874">
        <v>24</v>
      </c>
      <c r="C874" s="2" t="s">
        <v>40</v>
      </c>
      <c r="D874" s="2" t="s">
        <v>23</v>
      </c>
      <c r="E874" s="11" cm="1">
        <f t="array" aca="1" ref="E874" ca="1">INDEX('OD flujo mercancia multimodal'!E$45:E$1645,MATCH(C874&amp;D874,'OD flujo mercancia multimodal'!C$45:C$1645&amp;'OD flujo mercancia multimodal'!D$45:D$1645,0))</f>
        <v>15264.230769230766</v>
      </c>
      <c r="F874" s="11" cm="1">
        <f t="array" aca="1" ref="F874" ca="1">INDEX('OD flujo mercancia carretera'!E$45:E$1646,MATCH(C874&amp;D874,'OD flujo mercancia carretera'!C$45:C$1646&amp;'OD flujo mercancia carretera'!D$45:D$1646,0))</f>
        <v>134279.16666666669</v>
      </c>
      <c r="G874" s="11" cm="1">
        <f t="array" aca="1" ref="G874" ca="1">INDEX('Coste Carretera'!E$46:E$1646,MATCH(C874&amp;D874,'Coste Carretera'!C$46:C$1646&amp;'Coste Carretera'!D$46:D$1646,0))</f>
        <v>625156904.31999969</v>
      </c>
      <c r="H874" s="11" cm="1">
        <f t="array" aca="1" ref="H874" ca="1">INDEX('Coste multimodal'!E$46:E$1646,MATCH(C874&amp;D874,'Coste multimodal'!C$46:C$1646&amp;'Coste multimodal'!D$46:D$1646,0))</f>
        <v>126971791.19412801</v>
      </c>
      <c r="I874" s="12" cm="1">
        <f t="array" aca="1" ref="I874" ca="1">INDEX('Tiempos intermodal (horas)'!E$45:E$1645,MATCH(C874&amp;D874,'Tiempos intermodal (horas)'!C$45:C$1645&amp;'Tiempos intermodal (horas)'!D$45:D$1645,0))</f>
        <v>57.084495646818681</v>
      </c>
      <c r="J874" s="2" cm="1">
        <f t="array" aca="1" ref="J874" ca="1">INDEX('Tiempos carretera (horas)'!E$45:E$1645,MATCH(C874&amp;D874,'Tiempos carretera (horas)'!C$45:C$1645&amp;'Tiempos carretera (horas)'!D$45:D$1645,0))</f>
        <v>11.63</v>
      </c>
      <c r="K874" s="12">
        <f t="shared" ca="1" si="84"/>
        <v>4.6556507598225059</v>
      </c>
      <c r="L874" s="12">
        <f t="shared" ca="1" si="85"/>
        <v>8.3182567869764128</v>
      </c>
      <c r="M874" s="12">
        <f t="shared" ca="1" si="86"/>
        <v>0.1020722481296699</v>
      </c>
      <c r="N874" s="13">
        <f t="shared" ca="1" si="82"/>
        <v>-3.6626060271539069</v>
      </c>
      <c r="O874" s="13">
        <f t="shared" ca="1" si="83"/>
        <v>-45.454495646818678</v>
      </c>
      <c r="P874" s="12">
        <f t="shared" ca="1" si="87"/>
        <v>2.17440873303382</v>
      </c>
    </row>
    <row r="875" spans="1:16" x14ac:dyDescent="0.25">
      <c r="A875">
        <v>24</v>
      </c>
      <c r="B875">
        <v>10</v>
      </c>
      <c r="C875" s="2" t="s">
        <v>23</v>
      </c>
      <c r="D875" s="2" t="s">
        <v>9</v>
      </c>
      <c r="E875" s="11" cm="1">
        <f t="array" aca="1" ref="E875" ca="1">INDEX('OD flujo mercancia multimodal'!E$45:E$1645,MATCH(C875&amp;D875,'OD flujo mercancia multimodal'!C$45:C$1645&amp;'OD flujo mercancia multimodal'!D$45:D$1645,0))</f>
        <v>24818.67582417584</v>
      </c>
      <c r="F875" s="11" cm="1">
        <f t="array" aca="1" ref="F875" ca="1">INDEX('OD flujo mercancia carretera'!E$45:E$1646,MATCH(C875&amp;D875,'OD flujo mercancia carretera'!C$45:C$1646&amp;'OD flujo mercancia carretera'!D$45:D$1646,0))</f>
        <v>176581.92307692312</v>
      </c>
      <c r="G875" s="11" cm="1">
        <f t="array" aca="1" ref="G875" ca="1">INDEX('Coste Carretera'!E$46:E$1646,MATCH(C875&amp;D875,'Coste Carretera'!C$46:C$1646&amp;'Coste Carretera'!D$46:D$1646,0))</f>
        <v>2052976045.5000012</v>
      </c>
      <c r="H875" s="11" cm="1">
        <f t="array" aca="1" ref="H875" ca="1">INDEX('Coste multimodal'!E$46:E$1646,MATCH(C875&amp;D875,'Coste multimodal'!C$46:C$1646&amp;'Coste multimodal'!D$46:D$1646,0))</f>
        <v>451770545.63914526</v>
      </c>
      <c r="I875" s="12" cm="1">
        <f t="array" aca="1" ref="I875" ca="1">INDEX('Tiempos intermodal (horas)'!E$45:E$1645,MATCH(C875&amp;D875,'Tiempos intermodal (horas)'!C$45:C$1645&amp;'Tiempos intermodal (horas)'!D$45:D$1645,0))</f>
        <v>66.544043772287907</v>
      </c>
      <c r="J875" s="2" cm="1">
        <f t="array" aca="1" ref="J875" ca="1">INDEX('Tiempos carretera (horas)'!E$45:E$1645,MATCH(C875&amp;D875,'Tiempos carretera (horas)'!C$45:C$1645&amp;'Tiempos carretera (horas)'!D$45:D$1645,0))</f>
        <v>16.600000000000001</v>
      </c>
      <c r="K875" s="12">
        <f t="shared" ca="1" si="84"/>
        <v>11.626195987262399</v>
      </c>
      <c r="L875" s="12">
        <f t="shared" ca="1" si="85"/>
        <v>18.202846470925582</v>
      </c>
      <c r="M875" s="12">
        <f t="shared" ca="1" si="86"/>
        <v>0.12323039732549879</v>
      </c>
      <c r="N875" s="13">
        <f t="shared" ca="1" si="82"/>
        <v>-6.5766504836631832</v>
      </c>
      <c r="O875" s="13">
        <f t="shared" ca="1" si="83"/>
        <v>-49.944043772287905</v>
      </c>
      <c r="P875" s="12">
        <f t="shared" ca="1" si="87"/>
        <v>1.9621884949058979</v>
      </c>
    </row>
    <row r="876" spans="1:16" x14ac:dyDescent="0.25">
      <c r="A876">
        <v>10</v>
      </c>
      <c r="B876">
        <v>24</v>
      </c>
      <c r="C876" s="2" t="s">
        <v>9</v>
      </c>
      <c r="D876" s="2" t="s">
        <v>23</v>
      </c>
      <c r="E876" s="11" cm="1">
        <f t="array" aca="1" ref="E876" ca="1">INDEX('OD flujo mercancia multimodal'!E$45:E$1645,MATCH(C876&amp;D876,'OD flujo mercancia multimodal'!C$45:C$1645&amp;'OD flujo mercancia multimodal'!D$45:D$1645,0))</f>
        <v>21636.648351648349</v>
      </c>
      <c r="F876" s="11" cm="1">
        <f t="array" aca="1" ref="F876" ca="1">INDEX('OD flujo mercancia carretera'!E$45:E$1646,MATCH(C876&amp;D876,'OD flujo mercancia carretera'!C$45:C$1646&amp;'OD flujo mercancia carretera'!D$45:D$1646,0))</f>
        <v>158276.58974358978</v>
      </c>
      <c r="G876" s="11" cm="1">
        <f t="array" aca="1" ref="G876" ca="1">INDEX('Coste Carretera'!E$46:E$1646,MATCH(C876&amp;D876,'Coste Carretera'!C$46:C$1646&amp;'Coste Carretera'!D$46:D$1646,0))</f>
        <v>1789761914.9999995</v>
      </c>
      <c r="H876" s="11" cm="1">
        <f t="array" aca="1" ref="H876" ca="1">INDEX('Coste multimodal'!E$46:E$1646,MATCH(C876&amp;D876,'Coste multimodal'!C$46:C$1646&amp;'Coste multimodal'!D$46:D$1646,0))</f>
        <v>451770545.63914526</v>
      </c>
      <c r="I876" s="12" cm="1">
        <f t="array" aca="1" ref="I876" ca="1">INDEX('Tiempos intermodal (horas)'!E$45:E$1645,MATCH(C876&amp;D876,'Tiempos intermodal (horas)'!C$45:C$1645&amp;'Tiempos intermodal (horas)'!D$45:D$1645,0))</f>
        <v>66.544043772287907</v>
      </c>
      <c r="J876" s="2" cm="1">
        <f t="array" aca="1" ref="J876" ca="1">INDEX('Tiempos carretera (horas)'!E$45:E$1645,MATCH(C876&amp;D876,'Tiempos carretera (horas)'!C$45:C$1645&amp;'Tiempos carretera (horas)'!D$45:D$1645,0))</f>
        <v>16.600000000000001</v>
      </c>
      <c r="K876" s="12">
        <f t="shared" ca="1" si="84"/>
        <v>11.307811963218553</v>
      </c>
      <c r="L876" s="12">
        <f t="shared" ca="1" si="85"/>
        <v>20.879876508448589</v>
      </c>
      <c r="M876" s="12">
        <f t="shared" ca="1" si="86"/>
        <v>0.12026156930261497</v>
      </c>
      <c r="N876" s="13">
        <f t="shared" ca="1" si="82"/>
        <v>-9.5720645452300364</v>
      </c>
      <c r="O876" s="13">
        <f t="shared" ca="1" si="83"/>
        <v>-49.944043772287905</v>
      </c>
      <c r="P876" s="12">
        <f t="shared" ca="1" si="87"/>
        <v>1.9899555106697462</v>
      </c>
    </row>
    <row r="877" spans="1:16" x14ac:dyDescent="0.25">
      <c r="A877">
        <v>6</v>
      </c>
      <c r="B877">
        <v>14</v>
      </c>
      <c r="C877" s="2" t="s">
        <v>5</v>
      </c>
      <c r="D877" s="2" t="s">
        <v>13</v>
      </c>
      <c r="E877" s="11" cm="1">
        <f t="array" aca="1" ref="E877" ca="1">INDEX('OD flujo mercancia multimodal'!E$45:E$1645,MATCH(C877&amp;D877,'OD flujo mercancia multimodal'!C$45:C$1645&amp;'OD flujo mercancia multimodal'!D$45:D$1645,0))</f>
        <v>35427.598901098885</v>
      </c>
      <c r="F877" s="11" cm="1">
        <f t="array" aca="1" ref="F877" ca="1">INDEX('OD flujo mercancia carretera'!E$45:E$1646,MATCH(C877&amp;D877,'OD flujo mercancia carretera'!C$45:C$1646&amp;'OD flujo mercancia carretera'!D$45:D$1646,0))</f>
        <v>297963.46886446862</v>
      </c>
      <c r="G877" s="11" cm="1">
        <f t="array" aca="1" ref="G877" ca="1">INDEX('Coste Carretera'!E$46:E$1646,MATCH(C877&amp;D877,'Coste Carretera'!C$46:C$1646&amp;'Coste Carretera'!D$46:D$1646,0))</f>
        <v>3814347863.2857127</v>
      </c>
      <c r="H877" s="11" cm="1">
        <f t="array" aca="1" ref="H877" ca="1">INDEX('Coste multimodal'!E$46:E$1646,MATCH(C877&amp;D877,'Coste multimodal'!C$46:C$1646&amp;'Coste multimodal'!D$46:D$1646,0))</f>
        <v>531847882.36280584</v>
      </c>
      <c r="I877" s="12" cm="1">
        <f t="array" aca="1" ref="I877" ca="1">INDEX('Tiempos intermodal (horas)'!E$45:E$1645,MATCH(C877&amp;D877,'Tiempos intermodal (horas)'!C$45:C$1645&amp;'Tiempos intermodal (horas)'!D$45:D$1645,0))</f>
        <v>70.997477254598351</v>
      </c>
      <c r="J877" s="2" cm="1">
        <f t="array" aca="1" ref="J877" ca="1">INDEX('Tiempos carretera (horas)'!E$45:E$1645,MATCH(C877&amp;D877,'Tiempos carretera (horas)'!C$45:C$1645&amp;'Tiempos carretera (horas)'!D$45:D$1645,0))</f>
        <v>21.05</v>
      </c>
      <c r="K877" s="12">
        <f t="shared" ca="1" si="84"/>
        <v>12.80139433811164</v>
      </c>
      <c r="L877" s="12">
        <f t="shared" ca="1" si="85"/>
        <v>15.012247481053793</v>
      </c>
      <c r="M877" s="12">
        <f t="shared" ca="1" si="86"/>
        <v>0.10626439136039095</v>
      </c>
      <c r="N877" s="13">
        <f t="shared" ca="1" si="82"/>
        <v>-2.2108531429421525</v>
      </c>
      <c r="O877" s="13">
        <f t="shared" ca="1" si="83"/>
        <v>-49.947477254598354</v>
      </c>
      <c r="P877" s="12">
        <f t="shared" ca="1" si="87"/>
        <v>2.1294797449271008</v>
      </c>
    </row>
    <row r="878" spans="1:16" x14ac:dyDescent="0.25">
      <c r="A878">
        <v>37</v>
      </c>
      <c r="B878">
        <v>21</v>
      </c>
      <c r="C878" s="2" t="s">
        <v>36</v>
      </c>
      <c r="D878" s="2" t="s">
        <v>20</v>
      </c>
      <c r="E878" s="11" cm="1">
        <f t="array" aca="1" ref="E878" ca="1">INDEX('OD flujo mercancia multimodal'!E$45:E$1645,MATCH(C878&amp;D878,'OD flujo mercancia multimodal'!C$45:C$1645&amp;'OD flujo mercancia multimodal'!D$45:D$1645,0))</f>
        <v>42901.461538461546</v>
      </c>
      <c r="F878" s="11" cm="1">
        <f t="array" aca="1" ref="F878" ca="1">INDEX('OD flujo mercancia carretera'!E$45:E$1646,MATCH(C878&amp;D878,'OD flujo mercancia carretera'!C$45:C$1646&amp;'OD flujo mercancia carretera'!D$45:D$1646,0))</f>
        <v>189330.90842490809</v>
      </c>
      <c r="G878" s="11" cm="1">
        <f t="array" aca="1" ref="G878" ca="1">INDEX('Coste Carretera'!E$46:E$1646,MATCH(C878&amp;D878,'Coste Carretera'!C$46:C$1646&amp;'Coste Carretera'!D$46:D$1646,0))</f>
        <v>3400922132.3600011</v>
      </c>
      <c r="H878" s="11" cm="1">
        <f t="array" aca="1" ref="H878" ca="1">INDEX('Coste multimodal'!E$46:E$1646,MATCH(C878&amp;D878,'Coste multimodal'!C$46:C$1646&amp;'Coste multimodal'!D$46:D$1646,0))</f>
        <v>297494142.01950121</v>
      </c>
      <c r="I878" s="12" cm="1">
        <f t="array" aca="1" ref="I878" ca="1">INDEX('Tiempos intermodal (horas)'!E$45:E$1645,MATCH(C878&amp;D878,'Tiempos intermodal (horas)'!C$45:C$1645&amp;'Tiempos intermodal (horas)'!D$45:D$1645,0))</f>
        <v>66.793094181095157</v>
      </c>
      <c r="J878" s="2" cm="1">
        <f t="array" aca="1" ref="J878" ca="1">INDEX('Tiempos carretera (horas)'!E$45:E$1645,MATCH(C878&amp;D878,'Tiempos carretera (horas)'!C$45:C$1645&amp;'Tiempos carretera (horas)'!D$45:D$1645,0))</f>
        <v>16.850000000000001</v>
      </c>
      <c r="K878" s="12">
        <f t="shared" ca="1" si="84"/>
        <v>17.962846957494346</v>
      </c>
      <c r="L878" s="12">
        <f t="shared" ca="1" si="85"/>
        <v>6.9343591418859951</v>
      </c>
      <c r="M878" s="12">
        <f t="shared" ca="1" si="86"/>
        <v>0.18473506318360555</v>
      </c>
      <c r="N878" s="13">
        <f t="shared" ca="1" si="82"/>
        <v>11.028487815608351</v>
      </c>
      <c r="O878" s="13">
        <f t="shared" ca="1" si="83"/>
        <v>-49.943094181095155</v>
      </c>
      <c r="P878" s="12">
        <f t="shared" ca="1" si="87"/>
        <v>1.4845904285068408</v>
      </c>
    </row>
    <row r="879" spans="1:16" x14ac:dyDescent="0.25">
      <c r="A879">
        <v>21</v>
      </c>
      <c r="B879">
        <v>37</v>
      </c>
      <c r="C879" s="2" t="s">
        <v>20</v>
      </c>
      <c r="D879" s="2" t="s">
        <v>36</v>
      </c>
      <c r="E879" s="11" cm="1">
        <f t="array" aca="1" ref="E879" ca="1">INDEX('OD flujo mercancia multimodal'!E$45:E$1645,MATCH(C879&amp;D879,'OD flujo mercancia multimodal'!C$45:C$1645&amp;'OD flujo mercancia multimodal'!D$45:D$1645,0))</f>
        <v>33328.384615384661</v>
      </c>
      <c r="F879" s="11" cm="1">
        <f t="array" aca="1" ref="F879" ca="1">INDEX('OD flujo mercancia carretera'!E$45:E$1646,MATCH(C879&amp;D879,'OD flujo mercancia carretera'!C$45:C$1646&amp;'OD flujo mercancia carretera'!D$45:D$1646,0))</f>
        <v>196145.42673992668</v>
      </c>
      <c r="G879" s="11" cm="1">
        <f t="array" aca="1" ref="G879" ca="1">INDEX('Coste Carretera'!E$46:E$1646,MATCH(C879&amp;D879,'Coste Carretera'!C$46:C$1646&amp;'Coste Carretera'!D$46:D$1646,0))</f>
        <v>2322020485.8399992</v>
      </c>
      <c r="H879" s="11" cm="1">
        <f t="array" aca="1" ref="H879" ca="1">INDEX('Coste multimodal'!E$46:E$1646,MATCH(C879&amp;D879,'Coste multimodal'!C$46:C$1646&amp;'Coste multimodal'!D$46:D$1646,0))</f>
        <v>297494142.01950121</v>
      </c>
      <c r="I879" s="12" cm="1">
        <f t="array" aca="1" ref="I879" ca="1">INDEX('Tiempos intermodal (horas)'!E$45:E$1645,MATCH(C879&amp;D879,'Tiempos intermodal (horas)'!C$45:C$1645&amp;'Tiempos intermodal (horas)'!D$45:D$1645,0))</f>
        <v>66.793094181095157</v>
      </c>
      <c r="J879" s="2" cm="1">
        <f t="array" aca="1" ref="J879" ca="1">INDEX('Tiempos carretera (horas)'!E$45:E$1645,MATCH(C879&amp;D879,'Tiempos carretera (horas)'!C$45:C$1645&amp;'Tiempos carretera (horas)'!D$45:D$1645,0))</f>
        <v>16.850000000000001</v>
      </c>
      <c r="K879" s="12">
        <f t="shared" ca="1" si="84"/>
        <v>11.838259624165566</v>
      </c>
      <c r="L879" s="12">
        <f t="shared" ca="1" si="85"/>
        <v>8.9261494504649779</v>
      </c>
      <c r="M879" s="12">
        <f t="shared" ca="1" si="86"/>
        <v>0.14523829285155268</v>
      </c>
      <c r="N879" s="13">
        <f t="shared" ca="1" si="82"/>
        <v>2.9121101737005883</v>
      </c>
      <c r="O879" s="13">
        <f t="shared" ca="1" si="83"/>
        <v>-49.943094181095155</v>
      </c>
      <c r="P879" s="12">
        <f t="shared" ca="1" si="87"/>
        <v>1.7724469325073871</v>
      </c>
    </row>
    <row r="880" spans="1:16" x14ac:dyDescent="0.25">
      <c r="A880">
        <v>5</v>
      </c>
      <c r="B880">
        <v>25</v>
      </c>
      <c r="C880" s="2" t="s">
        <v>4</v>
      </c>
      <c r="D880" s="2" t="s">
        <v>24</v>
      </c>
      <c r="E880" s="11" cm="1">
        <f t="array" aca="1" ref="E880" ca="1">INDEX('OD flujo mercancia multimodal'!E$45:E$1645,MATCH(C880&amp;D880,'OD flujo mercancia multimodal'!C$45:C$1645&amp;'OD flujo mercancia multimodal'!D$45:D$1645,0))</f>
        <v>51732.76373626374</v>
      </c>
      <c r="F880" s="11" cm="1">
        <f t="array" aca="1" ref="F880" ca="1">INDEX('OD flujo mercancia carretera'!E$45:E$1646,MATCH(C880&amp;D880,'OD flujo mercancia carretera'!C$45:C$1646&amp;'OD flujo mercancia carretera'!D$45:D$1646,0))</f>
        <v>125821.41025641022</v>
      </c>
      <c r="G880" s="11" cm="1">
        <f t="array" aca="1" ref="G880" ca="1">INDEX('Coste Carretera'!E$46:E$1646,MATCH(C880&amp;D880,'Coste Carretera'!C$46:C$1646&amp;'Coste Carretera'!D$46:D$1646,0))</f>
        <v>3735881533.2142859</v>
      </c>
      <c r="H880" s="11" cm="1">
        <f t="array" aca="1" ref="H880" ca="1">INDEX('Coste multimodal'!E$46:E$1646,MATCH(C880&amp;D880,'Coste multimodal'!C$46:C$1646&amp;'Coste multimodal'!D$46:D$1646,0))</f>
        <v>345723155.47914523</v>
      </c>
      <c r="I880" s="12" cm="1">
        <f t="array" aca="1" ref="I880" ca="1">INDEX('Tiempos intermodal (horas)'!E$45:E$1645,MATCH(C880&amp;D880,'Tiempos intermodal (horas)'!C$45:C$1645&amp;'Tiempos intermodal (horas)'!D$45:D$1645,0))</f>
        <v>64.217377105621239</v>
      </c>
      <c r="J880" s="2" cm="1">
        <f t="array" aca="1" ref="J880" ca="1">INDEX('Tiempos carretera (horas)'!E$45:E$1645,MATCH(C880&amp;D880,'Tiempos carretera (horas)'!C$45:C$1645&amp;'Tiempos carretera (horas)'!D$45:D$1645,0))</f>
        <v>14.2</v>
      </c>
      <c r="K880" s="12">
        <f t="shared" ca="1" si="84"/>
        <v>29.691938165380353</v>
      </c>
      <c r="L880" s="12">
        <f t="shared" ca="1" si="85"/>
        <v>6.6828665338983138</v>
      </c>
      <c r="M880" s="12">
        <f t="shared" ca="1" si="86"/>
        <v>0.29136326436571569</v>
      </c>
      <c r="N880" s="13">
        <f t="shared" ca="1" si="82"/>
        <v>23.00907163148204</v>
      </c>
      <c r="O880" s="13">
        <f t="shared" ca="1" si="83"/>
        <v>-50.017377105621236</v>
      </c>
      <c r="P880" s="12">
        <f t="shared" ca="1" si="87"/>
        <v>0.88877221383467531</v>
      </c>
    </row>
    <row r="881" spans="1:16" x14ac:dyDescent="0.25">
      <c r="A881">
        <v>25</v>
      </c>
      <c r="B881">
        <v>35</v>
      </c>
      <c r="C881" s="2" t="s">
        <v>24</v>
      </c>
      <c r="D881" s="2" t="s">
        <v>34</v>
      </c>
      <c r="E881" s="11" cm="1">
        <f t="array" aca="1" ref="E881" ca="1">INDEX('OD flujo mercancia multimodal'!E$45:E$1645,MATCH(C881&amp;D881,'OD flujo mercancia multimodal'!C$45:C$1645&amp;'OD flujo mercancia multimodal'!D$45:D$1645,0))</f>
        <v>26795.923076923093</v>
      </c>
      <c r="F881" s="11" cm="1">
        <f t="array" aca="1" ref="F881" ca="1">INDEX('OD flujo mercancia carretera'!E$45:E$1646,MATCH(C881&amp;D881,'OD flujo mercancia carretera'!C$45:C$1646&amp;'OD flujo mercancia carretera'!D$45:D$1646,0))</f>
        <v>80506.871794871826</v>
      </c>
      <c r="G881" s="11" cm="1">
        <f t="array" aca="1" ref="G881" ca="1">INDEX('Coste Carretera'!E$46:E$1646,MATCH(C881&amp;D881,'Coste Carretera'!C$46:C$1646&amp;'Coste Carretera'!D$46:D$1646,0))</f>
        <v>14692189539.160015</v>
      </c>
      <c r="H881" s="11" cm="1">
        <f t="array" aca="1" ref="H881" ca="1">INDEX('Coste multimodal'!E$46:E$1646,MATCH(C881&amp;D881,'Coste multimodal'!C$46:C$1646&amp;'Coste multimodal'!D$46:D$1646,0))</f>
        <v>2281612461.0577269</v>
      </c>
      <c r="I881" s="12" cm="1">
        <f t="array" aca="1" ref="I881" ca="1">INDEX('Tiempos intermodal (horas)'!E$45:E$1645,MATCH(C881&amp;D881,'Tiempos intermodal (horas)'!C$45:C$1645&amp;'Tiempos intermodal (horas)'!D$45:D$1645,0))</f>
        <v>59.870968392220341</v>
      </c>
      <c r="J881" s="2" cm="1">
        <f t="array" aca="1" ref="J881" ca="1">INDEX('Tiempos carretera (horas)'!E$45:E$1645,MATCH(C881&amp;D881,'Tiempos carretera (horas)'!C$45:C$1645&amp;'Tiempos carretera (horas)'!D$45:D$1645,0))</f>
        <v>9.85</v>
      </c>
      <c r="K881" s="12">
        <f t="shared" ca="1" si="84"/>
        <v>182.49609271361464</v>
      </c>
      <c r="L881" s="12">
        <f t="shared" ca="1" si="85"/>
        <v>85.147746338422422</v>
      </c>
      <c r="M881" s="12">
        <f t="shared" ca="1" si="86"/>
        <v>0.2497225082435065</v>
      </c>
      <c r="N881" s="13">
        <f t="shared" ca="1" si="82"/>
        <v>97.348346375192222</v>
      </c>
      <c r="O881" s="13">
        <f t="shared" ca="1" si="83"/>
        <v>-50.02096839222034</v>
      </c>
      <c r="P881" s="12">
        <f t="shared" ca="1" si="87"/>
        <v>1.1000927927433022</v>
      </c>
    </row>
    <row r="882" spans="1:16" x14ac:dyDescent="0.25">
      <c r="A882">
        <v>35</v>
      </c>
      <c r="B882">
        <v>25</v>
      </c>
      <c r="C882" s="2" t="s">
        <v>34</v>
      </c>
      <c r="D882" s="2" t="s">
        <v>24</v>
      </c>
      <c r="E882" s="11" cm="1">
        <f t="array" aca="1" ref="E882" ca="1">INDEX('OD flujo mercancia multimodal'!E$45:E$1645,MATCH(C882&amp;D882,'OD flujo mercancia multimodal'!C$45:C$1645&amp;'OD flujo mercancia multimodal'!D$45:D$1645,0))</f>
        <v>14934.000000000002</v>
      </c>
      <c r="F882" s="11" cm="1">
        <f t="array" aca="1" ref="F882" ca="1">INDEX('OD flujo mercancia carretera'!E$45:E$1646,MATCH(C882&amp;D882,'OD flujo mercancia carretera'!C$45:C$1646&amp;'OD flujo mercancia carretera'!D$45:D$1646,0))</f>
        <v>74682.717948717909</v>
      </c>
      <c r="G882" s="11" cm="1">
        <f t="array" aca="1" ref="G882" ca="1">INDEX('Coste Carretera'!E$46:E$1646,MATCH(C882&amp;D882,'Coste Carretera'!C$46:C$1646&amp;'Coste Carretera'!D$46:D$1646,0))</f>
        <v>6349770502.8800011</v>
      </c>
      <c r="H882" s="11" cm="1">
        <f t="array" aca="1" ref="H882" ca="1">INDEX('Coste multimodal'!E$46:E$1646,MATCH(C882&amp;D882,'Coste multimodal'!C$46:C$1646&amp;'Coste multimodal'!D$46:D$1646,0))</f>
        <v>2281612461.0577269</v>
      </c>
      <c r="I882" s="12" cm="1">
        <f t="array" aca="1" ref="I882" ca="1">INDEX('Tiempos intermodal (horas)'!E$45:E$1645,MATCH(C882&amp;D882,'Tiempos intermodal (horas)'!C$45:C$1645&amp;'Tiempos intermodal (horas)'!D$45:D$1645,0))</f>
        <v>59.870968392220341</v>
      </c>
      <c r="J882" s="2" cm="1">
        <f t="array" aca="1" ref="J882" ca="1">INDEX('Tiempos carretera (horas)'!E$45:E$1645,MATCH(C882&amp;D882,'Tiempos carretera (horas)'!C$45:C$1645&amp;'Tiempos carretera (horas)'!D$45:D$1645,0))</f>
        <v>9.85</v>
      </c>
      <c r="K882" s="12">
        <f t="shared" ca="1" si="84"/>
        <v>85.023291563118704</v>
      </c>
      <c r="L882" s="12">
        <f t="shared" ca="1" si="85"/>
        <v>152.77972820796347</v>
      </c>
      <c r="M882" s="12">
        <f t="shared" ca="1" si="86"/>
        <v>0.1666430141811911</v>
      </c>
      <c r="N882" s="13">
        <f t="shared" ca="1" si="82"/>
        <v>-67.756436644844769</v>
      </c>
      <c r="O882" s="13">
        <f t="shared" ca="1" si="83"/>
        <v>-50.02096839222034</v>
      </c>
      <c r="P882" s="12">
        <f t="shared" ca="1" si="87"/>
        <v>1.6096082199976094</v>
      </c>
    </row>
    <row r="883" spans="1:16" x14ac:dyDescent="0.25">
      <c r="A883">
        <v>30</v>
      </c>
      <c r="B883">
        <v>10</v>
      </c>
      <c r="C883" s="2" t="s">
        <v>146</v>
      </c>
      <c r="D883" s="2" t="s">
        <v>9</v>
      </c>
      <c r="E883" s="11" cm="1">
        <f t="array" aca="1" ref="E883" ca="1">INDEX('OD flujo mercancia multimodal'!E$45:E$1645,MATCH(C883&amp;D883,'OD flujo mercancia multimodal'!C$45:C$1645&amp;'OD flujo mercancia multimodal'!D$45:D$1645,0))</f>
        <v>22915.521978021992</v>
      </c>
      <c r="F883" s="11" cm="1">
        <f t="array" aca="1" ref="F883" ca="1">INDEX('OD flujo mercancia carretera'!E$45:E$1646,MATCH(C883&amp;D883,'OD flujo mercancia carretera'!C$45:C$1646&amp;'OD flujo mercancia carretera'!D$45:D$1646,0))</f>
        <v>319298.72307692317</v>
      </c>
      <c r="G883" s="11" cm="1">
        <f t="array" aca="1" ref="G883" ca="1">INDEX('Coste Carretera'!E$46:E$1646,MATCH(C883&amp;D883,'Coste Carretera'!C$46:C$1646&amp;'Coste Carretera'!D$46:D$1646,0))</f>
        <v>2690564179.0114303</v>
      </c>
      <c r="H883" s="11" cm="1">
        <f t="array" aca="1" ref="H883" ca="1">INDEX('Coste multimodal'!E$46:E$1646,MATCH(C883&amp;D883,'Coste multimodal'!C$46:C$1646&amp;'Coste multimodal'!D$46:D$1646,0))</f>
        <v>424333633.8471452</v>
      </c>
      <c r="I883" s="12" cm="1">
        <f t="array" aca="1" ref="I883" ca="1">INDEX('Tiempos intermodal (horas)'!E$45:E$1645,MATCH(C883&amp;D883,'Tiempos intermodal (horas)'!C$45:C$1645&amp;'Tiempos intermodal (horas)'!D$45:D$1645,0))</f>
        <v>65.732932661176804</v>
      </c>
      <c r="J883" s="2" cm="1">
        <f t="array" aca="1" ref="J883" ca="1">INDEX('Tiempos carretera (horas)'!E$45:E$1645,MATCH(C883&amp;D883,'Tiempos carretera (horas)'!C$45:C$1645&amp;'Tiempos carretera (horas)'!D$45:D$1645,0))</f>
        <v>15.71</v>
      </c>
      <c r="K883" s="12">
        <f t="shared" ca="1" si="84"/>
        <v>8.4264796084487905</v>
      </c>
      <c r="L883" s="12">
        <f t="shared" ca="1" si="85"/>
        <v>18.517301689837947</v>
      </c>
      <c r="M883" s="12">
        <f t="shared" ca="1" si="86"/>
        <v>6.6962501734381993E-2</v>
      </c>
      <c r="N883" s="13">
        <f t="shared" ca="1" si="82"/>
        <v>-10.090822081389156</v>
      </c>
      <c r="O883" s="13">
        <f t="shared" ca="1" si="83"/>
        <v>-50.022932661176803</v>
      </c>
      <c r="P883" s="12">
        <f t="shared" ca="1" si="87"/>
        <v>2.6343126039989455</v>
      </c>
    </row>
    <row r="884" spans="1:16" x14ac:dyDescent="0.25">
      <c r="A884">
        <v>10</v>
      </c>
      <c r="B884">
        <v>30</v>
      </c>
      <c r="C884" s="2" t="s">
        <v>9</v>
      </c>
      <c r="D884" s="2" t="s">
        <v>146</v>
      </c>
      <c r="E884" s="11" cm="1">
        <f t="array" aca="1" ref="E884" ca="1">INDEX('OD flujo mercancia multimodal'!E$45:E$1645,MATCH(C884&amp;D884,'OD flujo mercancia multimodal'!C$45:C$1645&amp;'OD flujo mercancia multimodal'!D$45:D$1645,0))</f>
        <v>21806.87142857143</v>
      </c>
      <c r="F884" s="11" cm="1">
        <f t="array" aca="1" ref="F884" ca="1">INDEX('OD flujo mercancia carretera'!E$45:E$1646,MATCH(C884&amp;D884,'OD flujo mercancia carretera'!C$45:C$1646&amp;'OD flujo mercancia carretera'!D$45:D$1646,0))</f>
        <v>320159.0230769231</v>
      </c>
      <c r="G884" s="11" cm="1">
        <f t="array" aca="1" ref="G884" ca="1">INDEX('Coste Carretera'!E$46:E$1646,MATCH(C884&amp;D884,'Coste Carretera'!C$46:C$1646&amp;'Coste Carretera'!D$46:D$1646,0))</f>
        <v>3682205999.7171426</v>
      </c>
      <c r="H884" s="11" cm="1">
        <f t="array" aca="1" ref="H884" ca="1">INDEX('Coste multimodal'!E$46:E$1646,MATCH(C884&amp;D884,'Coste multimodal'!C$46:C$1646&amp;'Coste multimodal'!D$46:D$1646,0))</f>
        <v>424333633.8471452</v>
      </c>
      <c r="I884" s="12" cm="1">
        <f t="array" aca="1" ref="I884" ca="1">INDEX('Tiempos intermodal (horas)'!E$45:E$1645,MATCH(C884&amp;D884,'Tiempos intermodal (horas)'!C$45:C$1645&amp;'Tiempos intermodal (horas)'!D$45:D$1645,0))</f>
        <v>65.732932661176804</v>
      </c>
      <c r="J884" s="2" cm="1">
        <f t="array" aca="1" ref="J884" ca="1">INDEX('Tiempos carretera (horas)'!E$45:E$1645,MATCH(C884&amp;D884,'Tiempos carretera (horas)'!C$45:C$1645&amp;'Tiempos carretera (horas)'!D$45:D$1645,0))</f>
        <v>15.71</v>
      </c>
      <c r="K884" s="12">
        <f t="shared" ca="1" si="84"/>
        <v>11.501178271750399</v>
      </c>
      <c r="L884" s="12">
        <f t="shared" ca="1" si="85"/>
        <v>19.458712142044455</v>
      </c>
      <c r="M884" s="12">
        <f t="shared" ca="1" si="86"/>
        <v>6.3769141247566871E-2</v>
      </c>
      <c r="N884" s="13">
        <f t="shared" ca="1" si="82"/>
        <v>-7.9575338702940552</v>
      </c>
      <c r="O884" s="13">
        <f t="shared" ca="1" si="83"/>
        <v>-50.022932661176803</v>
      </c>
      <c r="P884" s="12">
        <f t="shared" ca="1" si="87"/>
        <v>2.6865926961973852</v>
      </c>
    </row>
    <row r="885" spans="1:16" x14ac:dyDescent="0.25">
      <c r="A885">
        <v>25</v>
      </c>
      <c r="B885">
        <v>10</v>
      </c>
      <c r="C885" s="2" t="s">
        <v>24</v>
      </c>
      <c r="D885" s="2" t="s">
        <v>9</v>
      </c>
      <c r="E885" s="11" cm="1">
        <f t="array" aca="1" ref="E885" ca="1">INDEX('OD flujo mercancia multimodal'!E$45:E$1645,MATCH(C885&amp;D885,'OD flujo mercancia multimodal'!C$45:C$1645&amp;'OD flujo mercancia multimodal'!D$45:D$1645,0))</f>
        <v>24780.521978021992</v>
      </c>
      <c r="F885" s="11" cm="1">
        <f t="array" aca="1" ref="F885" ca="1">INDEX('OD flujo mercancia carretera'!E$45:E$1646,MATCH(C885&amp;D885,'OD flujo mercancia carretera'!C$45:C$1646&amp;'OD flujo mercancia carretera'!D$45:D$1646,0))</f>
        <v>159536.25641025644</v>
      </c>
      <c r="G885" s="11" cm="1">
        <f t="array" aca="1" ref="G885" ca="1">INDEX('Coste Carretera'!E$46:E$1646,MATCH(C885&amp;D885,'Coste Carretera'!C$46:C$1646&amp;'Coste Carretera'!D$46:D$1646,0))</f>
        <v>1867613775.5000007</v>
      </c>
      <c r="H885" s="11" cm="1">
        <f t="array" aca="1" ref="H885" ca="1">INDEX('Coste multimodal'!E$46:E$1646,MATCH(C885&amp;D885,'Coste multimodal'!C$46:C$1646&amp;'Coste multimodal'!D$46:D$1646,0))</f>
        <v>393058932.53914523</v>
      </c>
      <c r="I885" s="12" cm="1">
        <f t="array" aca="1" ref="I885" ca="1">INDEX('Tiempos intermodal (horas)'!E$45:E$1645,MATCH(C885&amp;D885,'Tiempos intermodal (horas)'!C$45:C$1645&amp;'Tiempos intermodal (horas)'!D$45:D$1645,0))</f>
        <v>65.205154883399018</v>
      </c>
      <c r="J885" s="2" cm="1">
        <f t="array" aca="1" ref="J885" ca="1">INDEX('Tiempos carretera (horas)'!E$45:E$1645,MATCH(C885&amp;D885,'Tiempos carretera (horas)'!C$45:C$1645&amp;'Tiempos carretera (horas)'!D$45:D$1645,0))</f>
        <v>15.16</v>
      </c>
      <c r="K885" s="12">
        <f t="shared" ca="1" si="84"/>
        <v>11.706516233509497</v>
      </c>
      <c r="L885" s="12">
        <f t="shared" ca="1" si="85"/>
        <v>15.861608277975412</v>
      </c>
      <c r="M885" s="12">
        <f t="shared" ca="1" si="86"/>
        <v>0.13444528596208311</v>
      </c>
      <c r="N885" s="13">
        <f t="shared" ca="1" si="82"/>
        <v>-4.1550920444659152</v>
      </c>
      <c r="O885" s="13">
        <f t="shared" ca="1" si="83"/>
        <v>-50.045154883399022</v>
      </c>
      <c r="P885" s="12">
        <f t="shared" ca="1" si="87"/>
        <v>1.8622132688426802</v>
      </c>
    </row>
    <row r="886" spans="1:16" x14ac:dyDescent="0.25">
      <c r="A886">
        <v>10</v>
      </c>
      <c r="B886">
        <v>25</v>
      </c>
      <c r="C886" s="2" t="s">
        <v>9</v>
      </c>
      <c r="D886" s="2" t="s">
        <v>24</v>
      </c>
      <c r="E886" s="11" cm="1">
        <f t="array" aca="1" ref="E886" ca="1">INDEX('OD flujo mercancia multimodal'!E$45:E$1645,MATCH(C886&amp;D886,'OD flujo mercancia multimodal'!C$45:C$1645&amp;'OD flujo mercancia multimodal'!D$45:D$1645,0))</f>
        <v>19241.26373626374</v>
      </c>
      <c r="F886" s="11" cm="1">
        <f t="array" aca="1" ref="F886" ca="1">INDEX('OD flujo mercancia carretera'!E$45:E$1646,MATCH(C886&amp;D886,'OD flujo mercancia carretera'!C$45:C$1646&amp;'OD flujo mercancia carretera'!D$45:D$1646,0))</f>
        <v>151224.25641025638</v>
      </c>
      <c r="G886" s="11" cm="1">
        <f t="array" aca="1" ref="G886" ca="1">INDEX('Coste Carretera'!E$46:E$1646,MATCH(C886&amp;D886,'Coste Carretera'!C$46:C$1646&amp;'Coste Carretera'!D$46:D$1646,0))</f>
        <v>1450140931.0000002</v>
      </c>
      <c r="H886" s="11" cm="1">
        <f t="array" aca="1" ref="H886" ca="1">INDEX('Coste multimodal'!E$46:E$1646,MATCH(C886&amp;D886,'Coste multimodal'!C$46:C$1646&amp;'Coste multimodal'!D$46:D$1646,0))</f>
        <v>393058932.53914523</v>
      </c>
      <c r="I886" s="12" cm="1">
        <f t="array" aca="1" ref="I886" ca="1">INDEX('Tiempos intermodal (horas)'!E$45:E$1645,MATCH(C886&amp;D886,'Tiempos intermodal (horas)'!C$45:C$1645&amp;'Tiempos intermodal (horas)'!D$45:D$1645,0))</f>
        <v>65.205154883399018</v>
      </c>
      <c r="J886" s="2" cm="1">
        <f t="array" aca="1" ref="J886" ca="1">INDEX('Tiempos carretera (horas)'!E$45:E$1645,MATCH(C886&amp;D886,'Tiempos carretera (horas)'!C$45:C$1645&amp;'Tiempos carretera (horas)'!D$45:D$1645,0))</f>
        <v>15.16</v>
      </c>
      <c r="K886" s="12">
        <f t="shared" ca="1" si="84"/>
        <v>9.5893407937540918</v>
      </c>
      <c r="L886" s="12">
        <f t="shared" ca="1" si="85"/>
        <v>20.427916686072574</v>
      </c>
      <c r="M886" s="12">
        <f t="shared" ca="1" si="86"/>
        <v>0.11287481315708485</v>
      </c>
      <c r="N886" s="13">
        <f t="shared" ca="1" si="82"/>
        <v>-10.838575892318483</v>
      </c>
      <c r="O886" s="13">
        <f t="shared" ca="1" si="83"/>
        <v>-50.045154883399022</v>
      </c>
      <c r="P886" s="12">
        <f t="shared" ca="1" si="87"/>
        <v>2.061706751033785</v>
      </c>
    </row>
    <row r="887" spans="1:16" x14ac:dyDescent="0.25">
      <c r="A887">
        <v>19</v>
      </c>
      <c r="B887">
        <v>38</v>
      </c>
      <c r="C887" s="2" t="s">
        <v>18</v>
      </c>
      <c r="D887" s="2" t="s">
        <v>37</v>
      </c>
      <c r="E887" s="11" cm="1">
        <f t="array" aca="1" ref="E887" ca="1">INDEX('OD flujo mercancia multimodal'!E$45:E$1645,MATCH(C887&amp;D887,'OD flujo mercancia multimodal'!C$45:C$1645&amp;'OD flujo mercancia multimodal'!D$45:D$1645,0))</f>
        <v>1914.9230769230769</v>
      </c>
      <c r="F887" s="11" cm="1">
        <f t="array" aca="1" ref="F887" ca="1">INDEX('OD flujo mercancia carretera'!E$45:E$1646,MATCH(C887&amp;D887,'OD flujo mercancia carretera'!C$45:C$1646&amp;'OD flujo mercancia carretera'!D$45:D$1646,0))</f>
        <v>47143.384615384617</v>
      </c>
      <c r="G887" s="11" cm="1">
        <f t="array" aca="1" ref="G887" ca="1">INDEX('Coste Carretera'!E$46:E$1646,MATCH(C887&amp;D887,'Coste Carretera'!C$46:C$1646&amp;'Coste Carretera'!D$46:D$1646,0))</f>
        <v>1212222426.2400045</v>
      </c>
      <c r="H887" s="11" cm="1">
        <f t="array" aca="1" ref="H887" ca="1">INDEX('Coste multimodal'!E$46:E$1646,MATCH(C887&amp;D887,'Coste multimodal'!C$46:C$1646&amp;'Coste multimodal'!D$46:D$1646,0))</f>
        <v>26096331.723872628</v>
      </c>
      <c r="I887" s="12" cm="1">
        <f t="array" aca="1" ref="I887" ca="1">INDEX('Tiempos intermodal (horas)'!E$45:E$1645,MATCH(C887&amp;D887,'Tiempos intermodal (horas)'!C$45:C$1645&amp;'Tiempos intermodal (horas)'!D$45:D$1645,0))</f>
        <v>69.345939561631937</v>
      </c>
      <c r="J887" s="2" cm="1">
        <f t="array" aca="1" ref="J887" ca="1">INDEX('Tiempos carretera (horas)'!E$45:E$1645,MATCH(C887&amp;D887,'Tiempos carretera (horas)'!C$45:C$1645&amp;'Tiempos carretera (horas)'!D$45:D$1645,0))</f>
        <v>19.16</v>
      </c>
      <c r="K887" s="12">
        <f t="shared" ca="1" si="84"/>
        <v>25.713521337719396</v>
      </c>
      <c r="L887" s="12">
        <f t="shared" ca="1" si="85"/>
        <v>13.627874685078499</v>
      </c>
      <c r="M887" s="12">
        <f t="shared" ca="1" si="86"/>
        <v>3.9033614631255112E-2</v>
      </c>
      <c r="N887" s="13">
        <f t="shared" ca="1" si="82"/>
        <v>12.085646652640897</v>
      </c>
      <c r="O887" s="13">
        <f t="shared" ca="1" si="83"/>
        <v>-50.18593956163194</v>
      </c>
      <c r="P887" s="12">
        <f t="shared" ca="1" si="87"/>
        <v>3.2035162410365583</v>
      </c>
    </row>
    <row r="888" spans="1:16" x14ac:dyDescent="0.25">
      <c r="A888">
        <v>38</v>
      </c>
      <c r="B888">
        <v>19</v>
      </c>
      <c r="C888" s="2" t="s">
        <v>37</v>
      </c>
      <c r="D888" s="2" t="s">
        <v>18</v>
      </c>
      <c r="E888" s="11" cm="1">
        <f t="array" aca="1" ref="E888" ca="1">INDEX('OD flujo mercancia multimodal'!E$45:E$1645,MATCH(C888&amp;D888,'OD flujo mercancia multimodal'!C$45:C$1645&amp;'OD flujo mercancia multimodal'!D$45:D$1645,0))</f>
        <v>1309.9230769230801</v>
      </c>
      <c r="F888" s="11" cm="1">
        <f t="array" aca="1" ref="F888" ca="1">INDEX('OD flujo mercancia carretera'!E$45:E$1646,MATCH(C888&amp;D888,'OD flujo mercancia carretera'!C$45:C$1646&amp;'OD flujo mercancia carretera'!D$45:D$1646,0))</f>
        <v>96697.076923076907</v>
      </c>
      <c r="G888" s="11" cm="1">
        <f t="array" aca="1" ref="G888" ca="1">INDEX('Coste Carretera'!E$46:E$1646,MATCH(C888&amp;D888,'Coste Carretera'!C$46:C$1646&amp;'Coste Carretera'!D$46:D$1646,0))</f>
        <v>698619391.68000031</v>
      </c>
      <c r="H888" s="11" cm="1">
        <f t="array" aca="1" ref="H888" ca="1">INDEX('Coste multimodal'!E$46:E$1646,MATCH(C888&amp;D888,'Coste multimodal'!C$46:C$1646&amp;'Coste multimodal'!D$46:D$1646,0))</f>
        <v>26096331.723872628</v>
      </c>
      <c r="I888" s="12" cm="1">
        <f t="array" aca="1" ref="I888" ca="1">INDEX('Tiempos intermodal (horas)'!E$45:E$1645,MATCH(C888&amp;D888,'Tiempos intermodal (horas)'!C$45:C$1645&amp;'Tiempos intermodal (horas)'!D$45:D$1645,0))</f>
        <v>69.345939561631937</v>
      </c>
      <c r="J888" s="2" cm="1">
        <f t="array" aca="1" ref="J888" ca="1">INDEX('Tiempos carretera (horas)'!E$45:E$1645,MATCH(C888&amp;D888,'Tiempos carretera (horas)'!C$45:C$1645&amp;'Tiempos carretera (horas)'!D$45:D$1645,0))</f>
        <v>19.16</v>
      </c>
      <c r="K888" s="12">
        <f t="shared" ca="1" si="84"/>
        <v>7.2248243060724171</v>
      </c>
      <c r="L888" s="12">
        <f t="shared" ca="1" si="85"/>
        <v>19.922033731302093</v>
      </c>
      <c r="M888" s="12">
        <f t="shared" ca="1" si="86"/>
        <v>1.3365607323181816E-2</v>
      </c>
      <c r="N888" s="13">
        <f t="shared" ca="1" si="82"/>
        <v>-12.697209425229676</v>
      </c>
      <c r="O888" s="13">
        <f t="shared" ca="1" si="83"/>
        <v>-50.18593956163194</v>
      </c>
      <c r="P888" s="12">
        <f t="shared" ca="1" si="87"/>
        <v>4.3016147581161928</v>
      </c>
    </row>
    <row r="889" spans="1:16" x14ac:dyDescent="0.25">
      <c r="A889">
        <v>14</v>
      </c>
      <c r="B889">
        <v>6</v>
      </c>
      <c r="C889" s="2" t="s">
        <v>13</v>
      </c>
      <c r="D889" s="2" t="s">
        <v>5</v>
      </c>
      <c r="E889" s="11" cm="1">
        <f t="array" aca="1" ref="E889" ca="1">INDEX('OD flujo mercancia multimodal'!E$45:E$1645,MATCH(C889&amp;D889,'OD flujo mercancia multimodal'!C$45:C$1645&amp;'OD flujo mercancia multimodal'!D$45:D$1645,0))</f>
        <v>24758.862637362625</v>
      </c>
      <c r="F889" s="11" cm="1">
        <f t="array" aca="1" ref="F889" ca="1">INDEX('OD flujo mercancia carretera'!E$45:E$1646,MATCH(C889&amp;D889,'OD flujo mercancia carretera'!C$45:C$1646&amp;'OD flujo mercancia carretera'!D$45:D$1646,0))</f>
        <v>232787.38827838836</v>
      </c>
      <c r="G889" s="11" cm="1">
        <f t="array" aca="1" ref="G889" ca="1">INDEX('Coste Carretera'!E$46:E$1646,MATCH(C889&amp;D889,'Coste Carretera'!C$46:C$1646&amp;'Coste Carretera'!D$46:D$1646,0))</f>
        <v>2665687704.7142844</v>
      </c>
      <c r="H889" s="11" cm="1">
        <f t="array" aca="1" ref="H889" ca="1">INDEX('Coste multimodal'!E$46:E$1646,MATCH(C889&amp;D889,'Coste multimodal'!C$46:C$1646&amp;'Coste multimodal'!D$46:D$1646,0))</f>
        <v>531847882.36280584</v>
      </c>
      <c r="I889" s="12" cm="1">
        <f t="array" aca="1" ref="I889" ca="1">INDEX('Tiempos intermodal (horas)'!E$45:E$1645,MATCH(C889&amp;D889,'Tiempos intermodal (horas)'!C$45:C$1645&amp;'Tiempos intermodal (horas)'!D$45:D$1645,0))</f>
        <v>70.997477254598351</v>
      </c>
      <c r="J889" s="2" cm="1">
        <f t="array" aca="1" ref="J889" ca="1">INDEX('Tiempos carretera (horas)'!E$45:E$1645,MATCH(C889&amp;D889,'Tiempos carretera (horas)'!C$45:C$1645&amp;'Tiempos carretera (horas)'!D$45:D$1645,0))</f>
        <v>21.05</v>
      </c>
      <c r="K889" s="12">
        <f t="shared" ca="1" si="84"/>
        <v>11.451168916103017</v>
      </c>
      <c r="L889" s="12">
        <f t="shared" ca="1" si="85"/>
        <v>21.481111234900393</v>
      </c>
      <c r="M889" s="12">
        <f t="shared" ca="1" si="86"/>
        <v>9.6133655797077749E-2</v>
      </c>
      <c r="N889" s="13">
        <f t="shared" ca="1" si="82"/>
        <v>-10.029942318797376</v>
      </c>
      <c r="O889" s="13">
        <f t="shared" ca="1" si="83"/>
        <v>-49.947477254598354</v>
      </c>
      <c r="P889" s="12">
        <f t="shared" ca="1" si="87"/>
        <v>2.2409420290527433</v>
      </c>
    </row>
    <row r="890" spans="1:16" x14ac:dyDescent="0.25">
      <c r="A890">
        <v>3</v>
      </c>
      <c r="B890">
        <v>37</v>
      </c>
      <c r="C890" s="2" t="s">
        <v>2</v>
      </c>
      <c r="D890" s="2" t="s">
        <v>36</v>
      </c>
      <c r="E890" s="11" cm="1">
        <f t="array" aca="1" ref="E890" ca="1">INDEX('OD flujo mercancia multimodal'!E$45:E$1645,MATCH(C890&amp;D890,'OD flujo mercancia multimodal'!C$45:C$1645&amp;'OD flujo mercancia multimodal'!D$45:D$1645,0))</f>
        <v>25116.417582417627</v>
      </c>
      <c r="F890" s="11" cm="1">
        <f t="array" aca="1" ref="F890" ca="1">INDEX('OD flujo mercancia carretera'!E$45:E$1646,MATCH(C890&amp;D890,'OD flujo mercancia carretera'!C$45:C$1646&amp;'OD flujo mercancia carretera'!D$45:D$1646,0))</f>
        <v>123681.19597069593</v>
      </c>
      <c r="G890" s="11" cm="1">
        <f t="array" aca="1" ref="G890" ca="1">INDEX('Coste Carretera'!E$46:E$1646,MATCH(C890&amp;D890,'Coste Carretera'!C$46:C$1646&amp;'Coste Carretera'!D$46:D$1646,0))</f>
        <v>1674290173.2857141</v>
      </c>
      <c r="H890" s="11" cm="1">
        <f t="array" aca="1" ref="H890" ca="1">INDEX('Coste multimodal'!E$46:E$1646,MATCH(C890&amp;D890,'Coste multimodal'!C$46:C$1646&amp;'Coste multimodal'!D$46:D$1646,0))</f>
        <v>632711690.55923593</v>
      </c>
      <c r="I890" s="12" cm="1">
        <f t="array" aca="1" ref="I890" ca="1">INDEX('Tiempos intermodal (horas)'!E$45:E$1645,MATCH(C890&amp;D890,'Tiempos intermodal (horas)'!C$45:C$1645&amp;'Tiempos intermodal (horas)'!D$45:D$1645,0))</f>
        <v>65.307741184543914</v>
      </c>
      <c r="J890" s="2" cm="1">
        <f t="array" aca="1" ref="J890" ca="1">INDEX('Tiempos carretera (horas)'!E$45:E$1645,MATCH(C890&amp;D890,'Tiempos carretera (horas)'!C$45:C$1645&amp;'Tiempos carretera (horas)'!D$45:D$1645,0))</f>
        <v>17.11</v>
      </c>
      <c r="K890" s="12">
        <f t="shared" ca="1" si="84"/>
        <v>13.537144107843261</v>
      </c>
      <c r="L890" s="12">
        <f t="shared" ca="1" si="85"/>
        <v>25.191159865177443</v>
      </c>
      <c r="M890" s="12">
        <f t="shared" ca="1" si="86"/>
        <v>0.16879583605319234</v>
      </c>
      <c r="N890" s="13">
        <f t="shared" ca="1" si="82"/>
        <v>-11.654015757334182</v>
      </c>
      <c r="O890" s="13">
        <f t="shared" ca="1" si="83"/>
        <v>-48.197741184543915</v>
      </c>
      <c r="P890" s="12">
        <f t="shared" ca="1" si="87"/>
        <v>1.594185535406841</v>
      </c>
    </row>
    <row r="891" spans="1:16" x14ac:dyDescent="0.25">
      <c r="A891">
        <v>7</v>
      </c>
      <c r="B891">
        <v>29</v>
      </c>
      <c r="C891" s="2" t="s">
        <v>6</v>
      </c>
      <c r="D891" s="2" t="s">
        <v>147</v>
      </c>
      <c r="E891" s="11" cm="1">
        <f t="array" aca="1" ref="E891" ca="1">INDEX('OD flujo mercancia multimodal'!E$45:E$1645,MATCH(C891&amp;D891,'OD flujo mercancia multimodal'!C$45:C$1645&amp;'OD flujo mercancia multimodal'!D$45:D$1645,0))</f>
        <v>39351.442857142858</v>
      </c>
      <c r="F891" s="11" cm="1">
        <f t="array" aca="1" ref="F891" ca="1">INDEX('OD flujo mercancia carretera'!E$45:E$1646,MATCH(C891&amp;D891,'OD flujo mercancia carretera'!C$45:C$1646&amp;'OD flujo mercancia carretera'!D$45:D$1646,0))</f>
        <v>417468.09230769234</v>
      </c>
      <c r="G891" s="11" cm="1">
        <f t="array" aca="1" ref="G891" ca="1">INDEX('Coste Carretera'!E$46:E$1646,MATCH(C891&amp;D891,'Coste Carretera'!C$46:C$1646&amp;'Coste Carretera'!D$46:D$1646,0))</f>
        <v>2265144605.6274285</v>
      </c>
      <c r="H891" s="11" cm="1">
        <f t="array" aca="1" ref="H891" ca="1">INDEX('Coste multimodal'!E$46:E$1646,MATCH(C891&amp;D891,'Coste multimodal'!C$46:C$1646&amp;'Coste multimodal'!D$46:D$1646,0))</f>
        <v>2498727810.0327516</v>
      </c>
      <c r="I891" s="12" cm="1">
        <f t="array" aca="1" ref="I891" ca="1">INDEX('Tiempos intermodal (horas)'!E$45:E$1645,MATCH(C891&amp;D891,'Tiempos intermodal (horas)'!C$45:C$1645&amp;'Tiempos intermodal (horas)'!D$45:D$1645,0))</f>
        <v>84.819599413710591</v>
      </c>
      <c r="J891" s="2" cm="1">
        <f t="array" aca="1" ref="J891" ca="1">INDEX('Tiempos carretera (horas)'!E$45:E$1645,MATCH(C891&amp;D891,'Tiempos carretera (horas)'!C$45:C$1645&amp;'Tiempos carretera (horas)'!D$45:D$1645,0))</f>
        <v>11.56</v>
      </c>
      <c r="K891" s="12">
        <f t="shared" ca="1" si="84"/>
        <v>5.4259107399228901</v>
      </c>
      <c r="L891" s="12">
        <f t="shared" ca="1" si="85"/>
        <v>63.497743122249865</v>
      </c>
      <c r="M891" s="12">
        <f t="shared" ca="1" si="86"/>
        <v>8.6142206775250085E-2</v>
      </c>
      <c r="N891" s="13">
        <f t="shared" ca="1" si="82"/>
        <v>-58.071832382326974</v>
      </c>
      <c r="O891" s="13">
        <f t="shared" ca="1" si="83"/>
        <v>-73.259599413710589</v>
      </c>
      <c r="P891" s="12">
        <f t="shared" ca="1" si="87"/>
        <v>2.3616754742970851</v>
      </c>
    </row>
    <row r="892" spans="1:16" x14ac:dyDescent="0.25">
      <c r="A892">
        <v>29</v>
      </c>
      <c r="B892">
        <v>7</v>
      </c>
      <c r="C892" s="2" t="s">
        <v>147</v>
      </c>
      <c r="D892" s="2" t="s">
        <v>6</v>
      </c>
      <c r="E892" s="11" cm="1">
        <f t="array" aca="1" ref="E892" ca="1">INDEX('OD flujo mercancia multimodal'!E$45:E$1645,MATCH(C892&amp;D892,'OD flujo mercancia multimodal'!C$45:C$1645&amp;'OD flujo mercancia multimodal'!D$45:D$1645,0))</f>
        <v>28232.585714285709</v>
      </c>
      <c r="F892" s="11" cm="1">
        <f t="array" aca="1" ref="F892" ca="1">INDEX('OD flujo mercancia carretera'!E$45:E$1646,MATCH(C892&amp;D892,'OD flujo mercancia carretera'!C$45:C$1646&amp;'OD flujo mercancia carretera'!D$45:D$1646,0))</f>
        <v>424898.17692307686</v>
      </c>
      <c r="G892" s="11" cm="1">
        <f t="array" aca="1" ref="G892" ca="1">INDEX('Coste Carretera'!E$46:E$1646,MATCH(C892&amp;D892,'Coste Carretera'!C$46:C$1646&amp;'Coste Carretera'!D$46:D$1646,0))</f>
        <v>1625121840.278857</v>
      </c>
      <c r="H892" s="11" cm="1">
        <f t="array" aca="1" ref="H892" ca="1">INDEX('Coste multimodal'!E$46:E$1646,MATCH(C892&amp;D892,'Coste multimodal'!C$46:C$1646&amp;'Coste multimodal'!D$46:D$1646,0))</f>
        <v>2498727810.0327516</v>
      </c>
      <c r="I892" s="12" cm="1">
        <f t="array" aca="1" ref="I892" ca="1">INDEX('Tiempos intermodal (horas)'!E$45:E$1645,MATCH(C892&amp;D892,'Tiempos intermodal (horas)'!C$45:C$1645&amp;'Tiempos intermodal (horas)'!D$45:D$1645,0))</f>
        <v>84.819599413710591</v>
      </c>
      <c r="J892" s="2" cm="1">
        <f t="array" aca="1" ref="J892" ca="1">INDEX('Tiempos carretera (horas)'!E$45:E$1645,MATCH(C892&amp;D892,'Tiempos carretera (horas)'!C$45:C$1645&amp;'Tiempos carretera (horas)'!D$45:D$1645,0))</f>
        <v>11.56</v>
      </c>
      <c r="K892" s="12">
        <f t="shared" ca="1" si="84"/>
        <v>3.8247324383626795</v>
      </c>
      <c r="L892" s="12">
        <f t="shared" ca="1" si="85"/>
        <v>88.505099579610714</v>
      </c>
      <c r="M892" s="12">
        <f t="shared" ca="1" si="86"/>
        <v>6.2305603684824316E-2</v>
      </c>
      <c r="N892" s="13">
        <f t="shared" ca="1" si="82"/>
        <v>-84.680367141248041</v>
      </c>
      <c r="O892" s="13">
        <f t="shared" ca="1" si="83"/>
        <v>-73.259599413710589</v>
      </c>
      <c r="P892" s="12">
        <f t="shared" ca="1" si="87"/>
        <v>2.7113727238834433</v>
      </c>
    </row>
    <row r="893" spans="1:16" x14ac:dyDescent="0.25">
      <c r="A893">
        <v>31</v>
      </c>
      <c r="B893">
        <v>30</v>
      </c>
      <c r="C893" s="2" t="s">
        <v>30</v>
      </c>
      <c r="D893" s="2" t="s">
        <v>146</v>
      </c>
      <c r="E893" s="11" cm="1">
        <f t="array" aca="1" ref="E893" ca="1">INDEX('OD flujo mercancia multimodal'!E$45:E$1645,MATCH(C893&amp;D893,'OD flujo mercancia multimodal'!C$45:C$1645&amp;'OD flujo mercancia multimodal'!D$45:D$1645,0))</f>
        <v>9590.6076923076926</v>
      </c>
      <c r="F893" s="11" cm="1">
        <f t="array" aca="1" ref="F893" ca="1">INDEX('OD flujo mercancia carretera'!E$45:E$1646,MATCH(C893&amp;D893,'OD flujo mercancia carretera'!C$45:C$1646&amp;'OD flujo mercancia carretera'!D$45:D$1646,0))</f>
        <v>249657.40769230769</v>
      </c>
      <c r="G893" s="11" cm="1">
        <f t="array" aca="1" ref="G893" ca="1">INDEX('Coste Carretera'!E$46:E$1646,MATCH(C893&amp;D893,'Coste Carretera'!C$46:C$1646&amp;'Coste Carretera'!D$46:D$1646,0))</f>
        <v>2142842633.7</v>
      </c>
      <c r="H893" s="11" cm="1">
        <f t="array" aca="1" ref="H893" ca="1">INDEX('Coste multimodal'!E$46:E$1646,MATCH(C893&amp;D893,'Coste multimodal'!C$46:C$1646&amp;'Coste multimodal'!D$46:D$1646,0))</f>
        <v>302708299.02570373</v>
      </c>
      <c r="I893" s="12" cm="1">
        <f t="array" aca="1" ref="I893" ca="1">INDEX('Tiempos intermodal (horas)'!E$45:E$1645,MATCH(C893&amp;D893,'Tiempos intermodal (horas)'!C$45:C$1645&amp;'Tiempos intermodal (horas)'!D$45:D$1645,0))</f>
        <v>69.299458723371799</v>
      </c>
      <c r="J893" s="2" cm="1">
        <f t="array" aca="1" ref="J893" ca="1">INDEX('Tiempos carretera (horas)'!E$45:E$1645,MATCH(C893&amp;D893,'Tiempos carretera (horas)'!C$45:C$1645&amp;'Tiempos carretera (horas)'!D$45:D$1645,0))</f>
        <v>11.8</v>
      </c>
      <c r="K893" s="12">
        <f t="shared" ca="1" si="84"/>
        <v>8.583132595612641</v>
      </c>
      <c r="L893" s="12">
        <f t="shared" ca="1" si="85"/>
        <v>31.562994623218298</v>
      </c>
      <c r="M893" s="12">
        <f t="shared" ca="1" si="86"/>
        <v>3.6993948355127232E-2</v>
      </c>
      <c r="N893" s="13">
        <f t="shared" ca="1" si="82"/>
        <v>-22.979862027605655</v>
      </c>
      <c r="O893" s="13">
        <f t="shared" ca="1" si="83"/>
        <v>-57.499458723371802</v>
      </c>
      <c r="P893" s="12">
        <f t="shared" ca="1" si="87"/>
        <v>3.2593053546394999</v>
      </c>
    </row>
    <row r="894" spans="1:16" x14ac:dyDescent="0.25">
      <c r="A894">
        <v>30</v>
      </c>
      <c r="B894">
        <v>31</v>
      </c>
      <c r="C894" s="2" t="s">
        <v>146</v>
      </c>
      <c r="D894" s="2" t="s">
        <v>30</v>
      </c>
      <c r="E894" s="11" cm="1">
        <f t="array" aca="1" ref="E894" ca="1">INDEX('OD flujo mercancia multimodal'!E$45:E$1645,MATCH(C894&amp;D894,'OD flujo mercancia multimodal'!C$45:C$1645&amp;'OD flujo mercancia multimodal'!D$45:D$1645,0))</f>
        <v>4479.7692307692323</v>
      </c>
      <c r="F894" s="11" cm="1">
        <f t="array" aca="1" ref="F894" ca="1">INDEX('OD flujo mercancia carretera'!E$45:E$1646,MATCH(C894&amp;D894,'OD flujo mercancia carretera'!C$45:C$1646&amp;'OD flujo mercancia carretera'!D$45:D$1646,0))</f>
        <v>249040.49230769236</v>
      </c>
      <c r="G894" s="11" cm="1">
        <f t="array" aca="1" ref="G894" ca="1">INDEX('Coste Carretera'!E$46:E$1646,MATCH(C894&amp;D894,'Coste Carretera'!C$46:C$1646&amp;'Coste Carretera'!D$46:D$1646,0))</f>
        <v>1292011064.76</v>
      </c>
      <c r="H894" s="11" cm="1">
        <f t="array" aca="1" ref="H894" ca="1">INDEX('Coste multimodal'!E$46:E$1646,MATCH(C894&amp;D894,'Coste multimodal'!C$46:C$1646&amp;'Coste multimodal'!D$46:D$1646,0))</f>
        <v>302708299.02570373</v>
      </c>
      <c r="I894" s="12" cm="1">
        <f t="array" aca="1" ref="I894" ca="1">INDEX('Tiempos intermodal (horas)'!E$45:E$1645,MATCH(C894&amp;D894,'Tiempos intermodal (horas)'!C$45:C$1645&amp;'Tiempos intermodal (horas)'!D$45:D$1645,0))</f>
        <v>69.299458723371799</v>
      </c>
      <c r="J894" s="2" cm="1">
        <f t="array" aca="1" ref="J894" ca="1">INDEX('Tiempos carretera (horas)'!E$45:E$1645,MATCH(C894&amp;D894,'Tiempos carretera (horas)'!C$45:C$1645&amp;'Tiempos carretera (horas)'!D$45:D$1645,0))</f>
        <v>11.8</v>
      </c>
      <c r="K894" s="12">
        <f t="shared" ca="1" si="84"/>
        <v>5.1879557930029536</v>
      </c>
      <c r="L894" s="12">
        <f t="shared" ca="1" si="85"/>
        <v>67.572297462680893</v>
      </c>
      <c r="M894" s="12">
        <f t="shared" ca="1" si="86"/>
        <v>1.7670261160130613E-2</v>
      </c>
      <c r="N894" s="13">
        <f t="shared" ca="1" si="82"/>
        <v>-62.384341669677937</v>
      </c>
      <c r="O894" s="13">
        <f t="shared" ca="1" si="83"/>
        <v>-57.499458723371802</v>
      </c>
      <c r="P894" s="12">
        <f t="shared" ca="1" si="87"/>
        <v>4.0180439688420169</v>
      </c>
    </row>
    <row r="895" spans="1:16" x14ac:dyDescent="0.25">
      <c r="A895">
        <v>6</v>
      </c>
      <c r="B895">
        <v>24</v>
      </c>
      <c r="C895" s="2" t="s">
        <v>5</v>
      </c>
      <c r="D895" s="2" t="s">
        <v>23</v>
      </c>
      <c r="E895" s="11" cm="1">
        <f t="array" aca="1" ref="E895" ca="1">INDEX('OD flujo mercancia multimodal'!E$45:E$1645,MATCH(C895&amp;D895,'OD flujo mercancia multimodal'!C$45:C$1645&amp;'OD flujo mercancia multimodal'!D$45:D$1645,0))</f>
        <v>19093.291208791205</v>
      </c>
      <c r="F895" s="11" cm="1">
        <f t="array" aca="1" ref="F895" ca="1">INDEX('OD flujo mercancia carretera'!E$45:E$1646,MATCH(C895&amp;D895,'OD flujo mercancia carretera'!C$45:C$1646&amp;'OD flujo mercancia carretera'!D$45:D$1646,0))</f>
        <v>195428.36630036632</v>
      </c>
      <c r="G895" s="11" cm="1">
        <f t="array" aca="1" ref="G895" ca="1">INDEX('Coste Carretera'!E$46:E$1646,MATCH(C895&amp;D895,'Coste Carretera'!C$46:C$1646&amp;'Coste Carretera'!D$46:D$1646,0))</f>
        <v>1745839378.111428</v>
      </c>
      <c r="H895" s="11" cm="1">
        <f t="array" aca="1" ref="H895" ca="1">INDEX('Coste multimodal'!E$46:E$1646,MATCH(C895&amp;D895,'Coste multimodal'!C$46:C$1646&amp;'Coste multimodal'!D$46:D$1646,0))</f>
        <v>523891542.34200239</v>
      </c>
      <c r="I895" s="12" cm="1">
        <f t="array" aca="1" ref="I895" ca="1">INDEX('Tiempos intermodal (horas)'!E$45:E$1645,MATCH(C895&amp;D895,'Tiempos intermodal (horas)'!C$45:C$1645&amp;'Tiempos intermodal (horas)'!D$45:D$1645,0))</f>
        <v>68.100710438954579</v>
      </c>
      <c r="J895" s="2" cm="1">
        <f t="array" aca="1" ref="J895" ca="1">INDEX('Tiempos carretera (horas)'!E$45:E$1645,MATCH(C895&amp;D895,'Tiempos carretera (horas)'!C$45:C$1645&amp;'Tiempos carretera (horas)'!D$45:D$1645,0))</f>
        <v>17.75</v>
      </c>
      <c r="K895" s="12">
        <f t="shared" ca="1" si="84"/>
        <v>8.9333980074731638</v>
      </c>
      <c r="L895" s="12">
        <f t="shared" ca="1" si="85"/>
        <v>27.438514220156282</v>
      </c>
      <c r="M895" s="12">
        <f t="shared" ca="1" si="86"/>
        <v>8.9004026122519342E-2</v>
      </c>
      <c r="N895" s="13">
        <f t="shared" ca="1" si="82"/>
        <v>-18.50511621268312</v>
      </c>
      <c r="O895" s="13">
        <f t="shared" ca="1" si="83"/>
        <v>-50.350710438954579</v>
      </c>
      <c r="P895" s="12">
        <f t="shared" ca="1" si="87"/>
        <v>2.3258568717556338</v>
      </c>
    </row>
    <row r="896" spans="1:16" x14ac:dyDescent="0.25">
      <c r="A896">
        <v>6</v>
      </c>
      <c r="B896">
        <v>29</v>
      </c>
      <c r="C896" s="2" t="s">
        <v>5</v>
      </c>
      <c r="D896" s="2" t="s">
        <v>147</v>
      </c>
      <c r="E896" s="11" cm="1">
        <f t="array" aca="1" ref="E896" ca="1">INDEX('OD flujo mercancia multimodal'!E$45:E$1645,MATCH(C896&amp;D896,'OD flujo mercancia multimodal'!C$45:C$1645&amp;'OD flujo mercancia multimodal'!D$45:D$1645,0))</f>
        <v>48056.514285714293</v>
      </c>
      <c r="F896" s="11" cm="1">
        <f t="array" aca="1" ref="F896" ca="1">INDEX('OD flujo mercancia carretera'!E$45:E$1646,MATCH(C896&amp;D896,'OD flujo mercancia carretera'!C$45:C$1646&amp;'OD flujo mercancia carretera'!D$45:D$1646,0))</f>
        <v>489161.09963369963</v>
      </c>
      <c r="G896" s="11" cm="1">
        <f t="array" aca="1" ref="G896" ca="1">INDEX('Coste Carretera'!E$46:E$1646,MATCH(C896&amp;D896,'Coste Carretera'!C$46:C$1646&amp;'Coste Carretera'!D$46:D$1646,0))</f>
        <v>3389635478.9737144</v>
      </c>
      <c r="H896" s="11" cm="1">
        <f t="array" aca="1" ref="H896" ca="1">INDEX('Coste multimodal'!E$46:E$1646,MATCH(C896&amp;D896,'Coste multimodal'!C$46:C$1646&amp;'Coste multimodal'!D$46:D$1646,0))</f>
        <v>2637416807.5670371</v>
      </c>
      <c r="I896" s="12" cm="1">
        <f t="array" aca="1" ref="I896" ca="1">INDEX('Tiempos intermodal (horas)'!E$45:E$1645,MATCH(C896&amp;D896,'Tiempos intermodal (horas)'!C$45:C$1645&amp;'Tiempos intermodal (horas)'!D$45:D$1645,0))</f>
        <v>86.925154969266146</v>
      </c>
      <c r="J896" s="2" cm="1">
        <f t="array" aca="1" ref="J896" ca="1">INDEX('Tiempos carretera (horas)'!E$45:E$1645,MATCH(C896&amp;D896,'Tiempos carretera (horas)'!C$45:C$1645&amp;'Tiempos carretera (horas)'!D$45:D$1645,0))</f>
        <v>13.56</v>
      </c>
      <c r="K896" s="12">
        <f t="shared" ca="1" si="84"/>
        <v>6.9294869962308692</v>
      </c>
      <c r="L896" s="12">
        <f t="shared" ca="1" si="85"/>
        <v>54.881566979381589</v>
      </c>
      <c r="M896" s="12">
        <f t="shared" ca="1" si="86"/>
        <v>8.9454465081859877E-2</v>
      </c>
      <c r="N896" s="13">
        <f t="shared" ref="N896:N959" ca="1" si="88">K896-L896</f>
        <v>-47.952079983150718</v>
      </c>
      <c r="O896" s="13">
        <f t="shared" ref="O896:O959" ca="1" si="89">J896-I896</f>
        <v>-73.365154969266143</v>
      </c>
      <c r="P896" s="12">
        <f t="shared" ca="1" si="87"/>
        <v>2.3203141830318939</v>
      </c>
    </row>
    <row r="897" spans="1:16" x14ac:dyDescent="0.25">
      <c r="A897">
        <v>4</v>
      </c>
      <c r="B897">
        <v>22</v>
      </c>
      <c r="C897" s="2" t="s">
        <v>3</v>
      </c>
      <c r="D897" s="2" t="s">
        <v>21</v>
      </c>
      <c r="E897" s="11" cm="1">
        <f t="array" aca="1" ref="E897" ca="1">INDEX('OD flujo mercancia multimodal'!E$45:E$1645,MATCH(C897&amp;D897,'OD flujo mercancia multimodal'!C$45:C$1645&amp;'OD flujo mercancia multimodal'!D$45:D$1645,0))</f>
        <v>51361.296703296655</v>
      </c>
      <c r="F897" s="11" cm="1">
        <f t="array" aca="1" ref="F897" ca="1">INDEX('OD flujo mercancia carretera'!E$45:E$1646,MATCH(C897&amp;D897,'OD flujo mercancia carretera'!C$45:C$1646&amp;'OD flujo mercancia carretera'!D$45:D$1646,0))</f>
        <v>157575.48717948684</v>
      </c>
      <c r="G897" s="11" cm="1">
        <f t="array" aca="1" ref="G897" ca="1">INDEX('Coste Carretera'!E$46:E$1646,MATCH(C897&amp;D897,'Coste Carretera'!C$46:C$1646&amp;'Coste Carretera'!D$46:D$1646,0))</f>
        <v>2791907638.45714</v>
      </c>
      <c r="H897" s="11" cm="1">
        <f t="array" aca="1" ref="H897" ca="1">INDEX('Coste multimodal'!E$46:E$1646,MATCH(C897&amp;D897,'Coste multimodal'!C$46:C$1646&amp;'Coste multimodal'!D$46:D$1646,0))</f>
        <v>2976503483.6880198</v>
      </c>
      <c r="I897" s="12" cm="1">
        <f t="array" aca="1" ref="I897" ca="1">INDEX('Tiempos intermodal (horas)'!E$45:E$1645,MATCH(C897&amp;D897,'Tiempos intermodal (horas)'!C$45:C$1645&amp;'Tiempos intermodal (horas)'!D$45:D$1645,0))</f>
        <v>84.476017452843465</v>
      </c>
      <c r="J897" s="2" cm="1">
        <f t="array" aca="1" ref="J897" ca="1">INDEX('Tiempos carretera (horas)'!E$45:E$1645,MATCH(C897&amp;D897,'Tiempos carretera (horas)'!C$45:C$1645&amp;'Tiempos carretera (horas)'!D$45:D$1645,0))</f>
        <v>11.11</v>
      </c>
      <c r="K897" s="12">
        <f t="shared" ca="1" si="84"/>
        <v>17.717905801408115</v>
      </c>
      <c r="L897" s="12">
        <f t="shared" ca="1" si="85"/>
        <v>57.95226512450904</v>
      </c>
      <c r="M897" s="12">
        <f t="shared" ca="1" si="86"/>
        <v>0.24582218481984039</v>
      </c>
      <c r="N897" s="13">
        <f t="shared" ca="1" si="88"/>
        <v>-40.234359323100925</v>
      </c>
      <c r="O897" s="13">
        <f t="shared" ca="1" si="89"/>
        <v>-73.366017452843465</v>
      </c>
      <c r="P897" s="12">
        <f t="shared" ca="1" si="87"/>
        <v>1.1210197207239052</v>
      </c>
    </row>
    <row r="898" spans="1:16" x14ac:dyDescent="0.25">
      <c r="A898">
        <v>7</v>
      </c>
      <c r="B898">
        <v>24</v>
      </c>
      <c r="C898" s="2" t="s">
        <v>6</v>
      </c>
      <c r="D898" s="2" t="s">
        <v>23</v>
      </c>
      <c r="E898" s="11" cm="1">
        <f t="array" aca="1" ref="E898" ca="1">INDEX('OD flujo mercancia multimodal'!E$45:E$1645,MATCH(C898&amp;D898,'OD flujo mercancia multimodal'!C$45:C$1645&amp;'OD flujo mercancia multimodal'!D$45:D$1645,0))</f>
        <v>10388.219780219777</v>
      </c>
      <c r="F898" s="11" cm="1">
        <f t="array" aca="1" ref="F898" ca="1">INDEX('OD flujo mercancia carretera'!E$45:E$1646,MATCH(C898&amp;D898,'OD flujo mercancia carretera'!C$45:C$1646&amp;'OD flujo mercancia carretera'!D$45:D$1646,0))</f>
        <v>123735.35897435901</v>
      </c>
      <c r="G898" s="11" cm="1">
        <f t="array" aca="1" ref="G898" ca="1">INDEX('Coste Carretera'!E$46:E$1646,MATCH(C898&amp;D898,'Coste Carretera'!C$46:C$1646&amp;'Coste Carretera'!D$46:D$1646,0))</f>
        <v>814564829.16571403</v>
      </c>
      <c r="H898" s="11" cm="1">
        <f t="array" aca="1" ref="H898" ca="1">INDEX('Coste multimodal'!E$46:E$1646,MATCH(C898&amp;D898,'Coste multimodal'!C$46:C$1646&amp;'Coste multimodal'!D$46:D$1646,0))</f>
        <v>385202544.80771661</v>
      </c>
      <c r="I898" s="12" cm="1">
        <f t="array" aca="1" ref="I898" ca="1">INDEX('Tiempos intermodal (horas)'!E$45:E$1645,MATCH(C898&amp;D898,'Tiempos intermodal (horas)'!C$45:C$1645&amp;'Tiempos intermodal (horas)'!D$45:D$1645,0))</f>
        <v>65.995154883399024</v>
      </c>
      <c r="J898" s="2" cm="1">
        <f t="array" aca="1" ref="J898" ca="1">INDEX('Tiempos carretera (horas)'!E$45:E$1645,MATCH(C898&amp;D898,'Tiempos carretera (horas)'!C$45:C$1645&amp;'Tiempos carretera (horas)'!D$45:D$1645,0))</f>
        <v>15.62</v>
      </c>
      <c r="K898" s="12">
        <f t="shared" ca="1" si="84"/>
        <v>6.5831209115780061</v>
      </c>
      <c r="L898" s="12">
        <f t="shared" ca="1" si="85"/>
        <v>37.080708047896842</v>
      </c>
      <c r="M898" s="12">
        <f t="shared" ca="1" si="86"/>
        <v>7.7452599137906156E-2</v>
      </c>
      <c r="N898" s="13">
        <f t="shared" ca="1" si="88"/>
        <v>-30.497587136318835</v>
      </c>
      <c r="O898" s="13">
        <f t="shared" ca="1" si="89"/>
        <v>-50.375154883399027</v>
      </c>
      <c r="P898" s="12">
        <f t="shared" ca="1" si="87"/>
        <v>2.4774726324289511</v>
      </c>
    </row>
    <row r="899" spans="1:16" x14ac:dyDescent="0.25">
      <c r="A899">
        <v>24</v>
      </c>
      <c r="B899">
        <v>7</v>
      </c>
      <c r="C899" s="2" t="s">
        <v>23</v>
      </c>
      <c r="D899" s="2" t="s">
        <v>6</v>
      </c>
      <c r="E899" s="11" cm="1">
        <f t="array" aca="1" ref="E899" ca="1">INDEX('OD flujo mercancia multimodal'!E$45:E$1645,MATCH(C899&amp;D899,'OD flujo mercancia multimodal'!C$45:C$1645&amp;'OD flujo mercancia multimodal'!D$45:D$1645,0))</f>
        <v>8693.2472527472491</v>
      </c>
      <c r="F899" s="11" cm="1">
        <f t="array" aca="1" ref="F899" ca="1">INDEX('OD flujo mercancia carretera'!E$45:E$1646,MATCH(C899&amp;D899,'OD flujo mercancia carretera'!C$45:C$1646&amp;'OD flujo mercancia carretera'!D$45:D$1646,0))</f>
        <v>144275.07692307691</v>
      </c>
      <c r="G899" s="11" cm="1">
        <f t="array" aca="1" ref="G899" ca="1">INDEX('Coste Carretera'!E$46:E$1646,MATCH(C899&amp;D899,'Coste Carretera'!C$46:C$1646&amp;'Coste Carretera'!D$46:D$1646,0))</f>
        <v>681658033.15142822</v>
      </c>
      <c r="H899" s="11" cm="1">
        <f t="array" aca="1" ref="H899" ca="1">INDEX('Coste multimodal'!E$46:E$1646,MATCH(C899&amp;D899,'Coste multimodal'!C$46:C$1646&amp;'Coste multimodal'!D$46:D$1646,0))</f>
        <v>385202544.80771661</v>
      </c>
      <c r="I899" s="12" cm="1">
        <f t="array" aca="1" ref="I899" ca="1">INDEX('Tiempos intermodal (horas)'!E$45:E$1645,MATCH(C899&amp;D899,'Tiempos intermodal (horas)'!C$45:C$1645&amp;'Tiempos intermodal (horas)'!D$45:D$1645,0))</f>
        <v>65.995154883399024</v>
      </c>
      <c r="J899" s="2" cm="1">
        <f t="array" aca="1" ref="J899" ca="1">INDEX('Tiempos carretera (horas)'!E$45:E$1645,MATCH(C899&amp;D899,'Tiempos carretera (horas)'!C$45:C$1645&amp;'Tiempos carretera (horas)'!D$45:D$1645,0))</f>
        <v>15.62</v>
      </c>
      <c r="K899" s="12">
        <f t="shared" ca="1" si="84"/>
        <v>4.724710931984931</v>
      </c>
      <c r="L899" s="12">
        <f t="shared" ca="1" si="85"/>
        <v>44.310547440829374</v>
      </c>
      <c r="M899" s="12">
        <f t="shared" ca="1" si="86"/>
        <v>5.683037517463483E-2</v>
      </c>
      <c r="N899" s="13">
        <f t="shared" ca="1" si="88"/>
        <v>-39.585836508844444</v>
      </c>
      <c r="O899" s="13">
        <f t="shared" ca="1" si="89"/>
        <v>-50.375154883399027</v>
      </c>
      <c r="P899" s="12">
        <f t="shared" ca="1" si="87"/>
        <v>2.809175187333306</v>
      </c>
    </row>
    <row r="900" spans="1:16" x14ac:dyDescent="0.25">
      <c r="A900">
        <v>6</v>
      </c>
      <c r="B900">
        <v>25</v>
      </c>
      <c r="C900" s="2" t="s">
        <v>5</v>
      </c>
      <c r="D900" s="2" t="s">
        <v>24</v>
      </c>
      <c r="E900" s="11" cm="1">
        <f t="array" aca="1" ref="E900" ca="1">INDEX('OD flujo mercancia multimodal'!E$45:E$1645,MATCH(C900&amp;D900,'OD flujo mercancia multimodal'!C$45:C$1645&amp;'OD flujo mercancia multimodal'!D$45:D$1645,0))</f>
        <v>16697.906593406595</v>
      </c>
      <c r="F900" s="11" cm="1">
        <f t="array" aca="1" ref="F900" ca="1">INDEX('OD flujo mercancia carretera'!E$45:E$1646,MATCH(C900&amp;D900,'OD flujo mercancia carretera'!C$45:C$1646&amp;'OD flujo mercancia carretera'!D$45:D$1646,0))</f>
        <v>188376.03296703292</v>
      </c>
      <c r="G900" s="11" cm="1">
        <f t="array" aca="1" ref="G900" ca="1">INDEX('Coste Carretera'!E$46:E$1646,MATCH(C900&amp;D900,'Coste Carretera'!C$46:C$1646&amp;'Coste Carretera'!D$46:D$1646,0))</f>
        <v>1404035460.9114287</v>
      </c>
      <c r="H900" s="11" cm="1">
        <f t="array" aca="1" ref="H900" ca="1">INDEX('Coste multimodal'!E$46:E$1646,MATCH(C900&amp;D900,'Coste multimodal'!C$46:C$1646&amp;'Coste multimodal'!D$46:D$1646,0))</f>
        <v>465179929.24200237</v>
      </c>
      <c r="I900" s="12" cm="1">
        <f t="array" aca="1" ref="I900" ca="1">INDEX('Tiempos intermodal (horas)'!E$45:E$1645,MATCH(C900&amp;D900,'Tiempos intermodal (horas)'!C$45:C$1645&amp;'Tiempos intermodal (horas)'!D$45:D$1645,0))</f>
        <v>66.76182155006569</v>
      </c>
      <c r="J900" s="2" cm="1">
        <f t="array" aca="1" ref="J900" ca="1">INDEX('Tiempos carretera (horas)'!E$45:E$1645,MATCH(C900&amp;D900,'Tiempos carretera (horas)'!C$45:C$1645&amp;'Tiempos carretera (horas)'!D$45:D$1645,0))</f>
        <v>16.3</v>
      </c>
      <c r="K900" s="12">
        <f t="shared" ca="1" si="84"/>
        <v>7.4533656898759748</v>
      </c>
      <c r="L900" s="12">
        <f t="shared" ca="1" si="85"/>
        <v>27.858577758824286</v>
      </c>
      <c r="M900" s="12">
        <f t="shared" ca="1" si="86"/>
        <v>8.1423834882176124E-2</v>
      </c>
      <c r="N900" s="13">
        <f t="shared" ca="1" si="88"/>
        <v>-20.405212068948309</v>
      </c>
      <c r="O900" s="13">
        <f t="shared" ca="1" si="89"/>
        <v>-50.461821550065693</v>
      </c>
      <c r="P900" s="12">
        <f t="shared" ca="1" si="87"/>
        <v>2.4231567826221005</v>
      </c>
    </row>
    <row r="901" spans="1:16" x14ac:dyDescent="0.25">
      <c r="A901">
        <v>7</v>
      </c>
      <c r="B901">
        <v>30</v>
      </c>
      <c r="C901" s="2" t="s">
        <v>6</v>
      </c>
      <c r="D901" s="2" t="s">
        <v>146</v>
      </c>
      <c r="E901" s="11" cm="1">
        <f t="array" aca="1" ref="E901" ca="1">INDEX('OD flujo mercancia multimodal'!E$45:E$1645,MATCH(C901&amp;D901,'OD flujo mercancia multimodal'!C$45:C$1645&amp;'OD flujo mercancia multimodal'!D$45:D$1645,0))</f>
        <v>10558.442857142858</v>
      </c>
      <c r="F901" s="11" cm="1">
        <f t="array" aca="1" ref="F901" ca="1">INDEX('OD flujo mercancia carretera'!E$45:E$1646,MATCH(C901&amp;D901,'OD flujo mercancia carretera'!C$45:C$1646&amp;'OD flujo mercancia carretera'!D$45:D$1646,0))</f>
        <v>285617.79230769235</v>
      </c>
      <c r="G901" s="11" cm="1">
        <f t="array" aca="1" ref="G901" ca="1">INDEX('Coste Carretera'!E$46:E$1646,MATCH(C901&amp;D901,'Coste Carretera'!C$46:C$1646&amp;'Coste Carretera'!D$46:D$1646,0))</f>
        <v>2643692419.9028573</v>
      </c>
      <c r="H901" s="11" cm="1">
        <f t="array" aca="1" ref="H901" ca="1">INDEX('Coste multimodal'!E$46:E$1646,MATCH(C901&amp;D901,'Coste multimodal'!C$46:C$1646&amp;'Coste multimodal'!D$46:D$1646,0))</f>
        <v>357765633.01571667</v>
      </c>
      <c r="I901" s="12" cm="1">
        <f t="array" aca="1" ref="I901" ca="1">INDEX('Tiempos intermodal (horas)'!E$45:E$1645,MATCH(C901&amp;D901,'Tiempos intermodal (horas)'!C$45:C$1645&amp;'Tiempos intermodal (horas)'!D$45:D$1645,0))</f>
        <v>65.184043772287907</v>
      </c>
      <c r="J901" s="2" cm="1">
        <f t="array" aca="1" ref="J901" ca="1">INDEX('Tiempos carretera (horas)'!E$45:E$1645,MATCH(C901&amp;D901,'Tiempos carretera (horas)'!C$45:C$1645&amp;'Tiempos carretera (horas)'!D$45:D$1645,0))</f>
        <v>14.72</v>
      </c>
      <c r="K901" s="12">
        <f t="shared" ca="1" si="84"/>
        <v>9.2560494867730156</v>
      </c>
      <c r="L901" s="12">
        <f t="shared" ca="1" si="85"/>
        <v>33.884317778325219</v>
      </c>
      <c r="M901" s="12">
        <f t="shared" ca="1" si="86"/>
        <v>3.564918991986854E-2</v>
      </c>
      <c r="N901" s="13">
        <f t="shared" ca="1" si="88"/>
        <v>-24.628268291552203</v>
      </c>
      <c r="O901" s="13">
        <f t="shared" ca="1" si="89"/>
        <v>-50.464043772287908</v>
      </c>
      <c r="P901" s="12">
        <f t="shared" ca="1" si="87"/>
        <v>3.2977287158257624</v>
      </c>
    </row>
    <row r="902" spans="1:16" x14ac:dyDescent="0.25">
      <c r="A902">
        <v>30</v>
      </c>
      <c r="B902">
        <v>7</v>
      </c>
      <c r="C902" s="2" t="s">
        <v>146</v>
      </c>
      <c r="D902" s="2" t="s">
        <v>6</v>
      </c>
      <c r="E902" s="11" cm="1">
        <f t="array" aca="1" ref="E902" ca="1">INDEX('OD flujo mercancia multimodal'!E$45:E$1645,MATCH(C902&amp;D902,'OD flujo mercancia multimodal'!C$45:C$1645&amp;'OD flujo mercancia multimodal'!D$45:D$1645,0))</f>
        <v>6790.0934065934025</v>
      </c>
      <c r="F902" s="11" cm="1">
        <f t="array" aca="1" ref="F902" ca="1">INDEX('OD flujo mercancia carretera'!E$45:E$1646,MATCH(C902&amp;D902,'OD flujo mercancia carretera'!C$45:C$1646&amp;'OD flujo mercancia carretera'!D$45:D$1646,0))</f>
        <v>286991.87692307692</v>
      </c>
      <c r="G902" s="11" cm="1">
        <f t="array" aca="1" ref="G902" ca="1">INDEX('Coste Carretera'!E$46:E$1646,MATCH(C902&amp;D902,'Coste Carretera'!C$46:C$1646&amp;'Coste Carretera'!D$46:D$1646,0))</f>
        <v>1341261237.0857141</v>
      </c>
      <c r="H902" s="11" cm="1">
        <f t="array" aca="1" ref="H902" ca="1">INDEX('Coste multimodal'!E$46:E$1646,MATCH(C902&amp;D902,'Coste multimodal'!C$46:C$1646&amp;'Coste multimodal'!D$46:D$1646,0))</f>
        <v>357765633.01571667</v>
      </c>
      <c r="I902" s="12" cm="1">
        <f t="array" aca="1" ref="I902" ca="1">INDEX('Tiempos intermodal (horas)'!E$45:E$1645,MATCH(C902&amp;D902,'Tiempos intermodal (horas)'!C$45:C$1645&amp;'Tiempos intermodal (horas)'!D$45:D$1645,0))</f>
        <v>65.184043772287907</v>
      </c>
      <c r="J902" s="2" cm="1">
        <f t="array" aca="1" ref="J902" ca="1">INDEX('Tiempos carretera (horas)'!E$45:E$1645,MATCH(C902&amp;D902,'Tiempos carretera (horas)'!C$45:C$1645&amp;'Tiempos carretera (horas)'!D$45:D$1645,0))</f>
        <v>14.72</v>
      </c>
      <c r="K902" s="12">
        <f t="shared" ca="1" si="84"/>
        <v>4.6735163777656865</v>
      </c>
      <c r="L902" s="12">
        <f t="shared" ca="1" si="85"/>
        <v>52.689353679334445</v>
      </c>
      <c r="M902" s="12">
        <f t="shared" ca="1" si="86"/>
        <v>2.3112696122821397E-2</v>
      </c>
      <c r="N902" s="13">
        <f t="shared" ca="1" si="88"/>
        <v>-48.015837301568759</v>
      </c>
      <c r="O902" s="13">
        <f t="shared" ca="1" si="89"/>
        <v>-50.464043772287908</v>
      </c>
      <c r="P902" s="12">
        <f t="shared" ca="1" si="87"/>
        <v>3.7439892139853002</v>
      </c>
    </row>
    <row r="903" spans="1:16" x14ac:dyDescent="0.25">
      <c r="A903">
        <v>25</v>
      </c>
      <c r="B903">
        <v>7</v>
      </c>
      <c r="C903" s="2" t="s">
        <v>24</v>
      </c>
      <c r="D903" s="2" t="s">
        <v>6</v>
      </c>
      <c r="E903" s="11" cm="1">
        <f t="array" aca="1" ref="E903" ca="1">INDEX('OD flujo mercancia multimodal'!E$45:E$1645,MATCH(C903&amp;D903,'OD flujo mercancia multimodal'!C$45:C$1645&amp;'OD flujo mercancia multimodal'!D$45:D$1645,0))</f>
        <v>8655.0934065934016</v>
      </c>
      <c r="F903" s="11" cm="1">
        <f t="array" aca="1" ref="F903" ca="1">INDEX('OD flujo mercancia carretera'!E$45:E$1646,MATCH(C903&amp;D903,'OD flujo mercancia carretera'!C$45:C$1646&amp;'OD flujo mercancia carretera'!D$45:D$1646,0))</f>
        <v>127229.41025641022</v>
      </c>
      <c r="G903" s="11" cm="1">
        <f t="array" aca="1" ref="G903" ca="1">INDEX('Coste Carretera'!E$46:E$1646,MATCH(C903&amp;D903,'Coste Carretera'!C$46:C$1646&amp;'Coste Carretera'!D$46:D$1646,0))</f>
        <v>615027129.23142815</v>
      </c>
      <c r="H903" s="11" cm="1">
        <f t="array" aca="1" ref="H903" ca="1">INDEX('Coste multimodal'!E$46:E$1646,MATCH(C903&amp;D903,'Coste multimodal'!C$46:C$1646&amp;'Coste multimodal'!D$46:D$1646,0))</f>
        <v>326490931.70771664</v>
      </c>
      <c r="I903" s="12" cm="1">
        <f t="array" aca="1" ref="I903" ca="1">INDEX('Tiempos intermodal (horas)'!E$45:E$1645,MATCH(C903&amp;D903,'Tiempos intermodal (horas)'!C$45:C$1645&amp;'Tiempos intermodal (horas)'!D$45:D$1645,0))</f>
        <v>64.656265994510136</v>
      </c>
      <c r="J903" s="2" cm="1">
        <f t="array" aca="1" ref="J903" ca="1">INDEX('Tiempos carretera (horas)'!E$45:E$1645,MATCH(C903&amp;D903,'Tiempos carretera (horas)'!C$45:C$1645&amp;'Tiempos carretera (horas)'!D$45:D$1645,0))</f>
        <v>14.18</v>
      </c>
      <c r="K903" s="12">
        <f t="shared" ca="1" si="84"/>
        <v>4.834001257979117</v>
      </c>
      <c r="L903" s="12">
        <f t="shared" ca="1" si="85"/>
        <v>37.722404180987546</v>
      </c>
      <c r="M903" s="12">
        <f t="shared" ca="1" si="86"/>
        <v>6.3694484457611236E-2</v>
      </c>
      <c r="N903" s="13">
        <f t="shared" ca="1" si="88"/>
        <v>-32.888402923008428</v>
      </c>
      <c r="O903" s="13">
        <f t="shared" ca="1" si="89"/>
        <v>-50.476265994510136</v>
      </c>
      <c r="P903" s="12">
        <f t="shared" ca="1" si="87"/>
        <v>2.6878438561063422</v>
      </c>
    </row>
    <row r="904" spans="1:16" x14ac:dyDescent="0.25">
      <c r="A904">
        <v>7</v>
      </c>
      <c r="B904">
        <v>25</v>
      </c>
      <c r="C904" s="2" t="s">
        <v>6</v>
      </c>
      <c r="D904" s="2" t="s">
        <v>24</v>
      </c>
      <c r="E904" s="11" cm="1">
        <f t="array" aca="1" ref="E904" ca="1">INDEX('OD flujo mercancia multimodal'!E$45:E$1645,MATCH(C904&amp;D904,'OD flujo mercancia multimodal'!C$45:C$1645&amp;'OD flujo mercancia multimodal'!D$45:D$1645,0))</f>
        <v>7992.8351648351672</v>
      </c>
      <c r="F904" s="11" cm="1">
        <f t="array" aca="1" ref="F904" ca="1">INDEX('OD flujo mercancia carretera'!E$45:E$1646,MATCH(C904&amp;D904,'OD flujo mercancia carretera'!C$45:C$1646&amp;'OD flujo mercancia carretera'!D$45:D$1646,0))</f>
        <v>116683.02564102561</v>
      </c>
      <c r="G904" s="11" cm="1">
        <f t="array" aca="1" ref="G904" ca="1">INDEX('Coste Carretera'!E$46:E$1646,MATCH(C904&amp;D904,'Coste Carretera'!C$46:C$1646&amp;'Coste Carretera'!D$46:D$1646,0))</f>
        <v>567967349.96571445</v>
      </c>
      <c r="H904" s="11" cm="1">
        <f t="array" aca="1" ref="H904" ca="1">INDEX('Coste multimodal'!E$46:E$1646,MATCH(C904&amp;D904,'Coste multimodal'!C$46:C$1646&amp;'Coste multimodal'!D$46:D$1646,0))</f>
        <v>326490931.70771664</v>
      </c>
      <c r="I904" s="12" cm="1">
        <f t="array" aca="1" ref="I904" ca="1">INDEX('Tiempos intermodal (horas)'!E$45:E$1645,MATCH(C904&amp;D904,'Tiempos intermodal (horas)'!C$45:C$1645&amp;'Tiempos intermodal (horas)'!D$45:D$1645,0))</f>
        <v>64.656265994510136</v>
      </c>
      <c r="J904" s="2" cm="1">
        <f t="array" aca="1" ref="J904" ca="1">INDEX('Tiempos carretera (horas)'!E$45:E$1645,MATCH(C904&amp;D904,'Tiempos carretera (horas)'!C$45:C$1645&amp;'Tiempos carretera (horas)'!D$45:D$1645,0))</f>
        <v>14.18</v>
      </c>
      <c r="K904" s="12">
        <f t="shared" ca="1" si="84"/>
        <v>4.8676090360654634</v>
      </c>
      <c r="L904" s="12">
        <f t="shared" ca="1" si="85"/>
        <v>40.847950067096086</v>
      </c>
      <c r="M904" s="12">
        <f t="shared" ca="1" si="86"/>
        <v>6.4108923035881213E-2</v>
      </c>
      <c r="N904" s="13">
        <f t="shared" ca="1" si="88"/>
        <v>-35.980341031030619</v>
      </c>
      <c r="O904" s="13">
        <f t="shared" ca="1" si="89"/>
        <v>-50.476265994510136</v>
      </c>
      <c r="P904" s="12">
        <f t="shared" ca="1" si="87"/>
        <v>2.6809155397746975</v>
      </c>
    </row>
    <row r="905" spans="1:16" x14ac:dyDescent="0.25">
      <c r="A905">
        <v>6</v>
      </c>
      <c r="B905">
        <v>30</v>
      </c>
      <c r="C905" s="2" t="s">
        <v>5</v>
      </c>
      <c r="D905" s="2" t="s">
        <v>146</v>
      </c>
      <c r="E905" s="11" cm="1">
        <f t="array" aca="1" ref="E905" ca="1">INDEX('OD flujo mercancia multimodal'!E$45:E$1645,MATCH(C905&amp;D905,'OD flujo mercancia multimodal'!C$45:C$1645&amp;'OD flujo mercancia multimodal'!D$45:D$1645,0))</f>
        <v>19263.514285714286</v>
      </c>
      <c r="F905" s="11" cm="1">
        <f t="array" aca="1" ref="F905" ca="1">INDEX('OD flujo mercancia carretera'!E$45:E$1646,MATCH(C905&amp;D905,'OD flujo mercancia carretera'!C$45:C$1646&amp;'OD flujo mercancia carretera'!D$45:D$1646,0))</f>
        <v>357310.79963369964</v>
      </c>
      <c r="G905" s="11" cm="1">
        <f t="array" aca="1" ref="G905" ca="1">INDEX('Coste Carretera'!E$46:E$1646,MATCH(C905&amp;D905,'Coste Carretera'!C$46:C$1646&amp;'Coste Carretera'!D$46:D$1646,0))</f>
        <v>3865949886.9828572</v>
      </c>
      <c r="H905" s="11" cm="1">
        <f t="array" aca="1" ref="H905" ca="1">INDEX('Coste multimodal'!E$46:E$1646,MATCH(C905&amp;D905,'Coste multimodal'!C$46:C$1646&amp;'Coste multimodal'!D$46:D$1646,0))</f>
        <v>496454630.55000234</v>
      </c>
      <c r="I905" s="12" cm="1">
        <f t="array" aca="1" ref="I905" ca="1">INDEX('Tiempos intermodal (horas)'!E$45:E$1645,MATCH(C905&amp;D905,'Tiempos intermodal (horas)'!C$45:C$1645&amp;'Tiempos intermodal (horas)'!D$45:D$1645,0))</f>
        <v>67.289599327843462</v>
      </c>
      <c r="J905" s="2" cm="1">
        <f t="array" aca="1" ref="J905" ca="1">INDEX('Tiempos carretera (horas)'!E$45:E$1645,MATCH(C905&amp;D905,'Tiempos carretera (horas)'!C$45:C$1645&amp;'Tiempos carretera (horas)'!D$45:D$1645,0))</f>
        <v>16.809999999999999</v>
      </c>
      <c r="K905" s="12">
        <f t="shared" ca="1" si="84"/>
        <v>10.819571899159136</v>
      </c>
      <c r="L905" s="12">
        <f t="shared" ca="1" si="85"/>
        <v>25.771758111559649</v>
      </c>
      <c r="M905" s="12">
        <f t="shared" ca="1" si="86"/>
        <v>5.1154615632750339E-2</v>
      </c>
      <c r="N905" s="13">
        <f t="shared" ca="1" si="88"/>
        <v>-14.952186212400512</v>
      </c>
      <c r="O905" s="13">
        <f t="shared" ca="1" si="89"/>
        <v>-50.479599327843459</v>
      </c>
      <c r="P905" s="12">
        <f t="shared" ca="1" si="87"/>
        <v>2.920393135012898</v>
      </c>
    </row>
    <row r="906" spans="1:16" x14ac:dyDescent="0.25">
      <c r="A906">
        <v>10</v>
      </c>
      <c r="B906">
        <v>14</v>
      </c>
      <c r="C906" s="2" t="s">
        <v>9</v>
      </c>
      <c r="D906" s="2" t="s">
        <v>13</v>
      </c>
      <c r="E906" s="11" cm="1">
        <f t="array" aca="1" ref="E906" ca="1">INDEX('OD flujo mercancia multimodal'!E$45:E$1645,MATCH(C906&amp;D906,'OD flujo mercancia multimodal'!C$45:C$1645&amp;'OD flujo mercancia multimodal'!D$45:D$1645,0))</f>
        <v>37970.95604395603</v>
      </c>
      <c r="F906" s="11" cm="1">
        <f t="array" aca="1" ref="F906" ca="1">INDEX('OD flujo mercancia carretera'!E$45:E$1646,MATCH(C906&amp;D906,'OD flujo mercancia carretera'!C$45:C$1646&amp;'OD flujo mercancia carretera'!D$45:D$1646,0))</f>
        <v>260811.69230769208</v>
      </c>
      <c r="G906" s="11" cm="1">
        <f t="array" aca="1" ref="G906" ca="1">INDEX('Coste Carretera'!E$46:E$1646,MATCH(C906&amp;D906,'Coste Carretera'!C$46:C$1646&amp;'Coste Carretera'!D$46:D$1646,0))</f>
        <v>3757138007.931427</v>
      </c>
      <c r="H906" s="11" cm="1">
        <f t="array" aca="1" ref="H906" ca="1">INDEX('Coste multimodal'!E$46:E$1646,MATCH(C906&amp;D906,'Coste multimodal'!C$46:C$1646&amp;'Coste multimodal'!D$46:D$1646,0))</f>
        <v>459726885.65994883</v>
      </c>
      <c r="I906" s="12" cm="1">
        <f t="array" aca="1" ref="I906" ca="1">INDEX('Tiempos intermodal (horas)'!E$45:E$1645,MATCH(C906&amp;D906,'Tiempos intermodal (horas)'!C$45:C$1645&amp;'Tiempos intermodal (horas)'!D$45:D$1645,0))</f>
        <v>69.440810587931679</v>
      </c>
      <c r="J906" s="2" cm="1">
        <f t="array" aca="1" ref="J906" ca="1">INDEX('Tiempos carretera (horas)'!E$45:E$1645,MATCH(C906&amp;D906,'Tiempos carretera (horas)'!C$45:C$1645&amp;'Tiempos carretera (horas)'!D$45:D$1645,0))</f>
        <v>18.829999999999998</v>
      </c>
      <c r="K906" s="12">
        <f t="shared" ca="1" si="84"/>
        <v>14.405558181413703</v>
      </c>
      <c r="L906" s="12">
        <f t="shared" ca="1" si="85"/>
        <v>12.107329747709242</v>
      </c>
      <c r="M906" s="12">
        <f t="shared" ca="1" si="86"/>
        <v>0.12708554614345152</v>
      </c>
      <c r="N906" s="13">
        <f t="shared" ca="1" si="88"/>
        <v>2.2982284337044607</v>
      </c>
      <c r="O906" s="13">
        <f t="shared" ca="1" si="89"/>
        <v>-50.610810587931681</v>
      </c>
      <c r="P906" s="12">
        <f t="shared" ca="1" si="87"/>
        <v>1.9269771086593936</v>
      </c>
    </row>
    <row r="907" spans="1:16" x14ac:dyDescent="0.25">
      <c r="A907">
        <v>14</v>
      </c>
      <c r="B907">
        <v>10</v>
      </c>
      <c r="C907" s="2" t="s">
        <v>13</v>
      </c>
      <c r="D907" s="2" t="s">
        <v>9</v>
      </c>
      <c r="E907" s="11" cm="1">
        <f t="array" aca="1" ref="E907" ca="1">INDEX('OD flujo mercancia multimodal'!E$45:E$1645,MATCH(C907&amp;D907,'OD flujo mercancia multimodal'!C$45:C$1645&amp;'OD flujo mercancia multimodal'!D$45:D$1645,0))</f>
        <v>32634.291208791226</v>
      </c>
      <c r="F907" s="11" cm="1">
        <f t="array" aca="1" ref="F907" ca="1">INDEX('OD flujo mercancia carretera'!E$45:E$1646,MATCH(C907&amp;D907,'OD flujo mercancia carretera'!C$45:C$1646&amp;'OD flujo mercancia carretera'!D$45:D$1646,0))</f>
        <v>198640.5384615385</v>
      </c>
      <c r="G907" s="11" cm="1">
        <f t="array" aca="1" ref="G907" ca="1">INDEX('Coste Carretera'!E$46:E$1646,MATCH(C907&amp;D907,'Coste Carretera'!C$46:C$1646&amp;'Coste Carretera'!D$46:D$1646,0))</f>
        <v>3229087403.5542874</v>
      </c>
      <c r="H907" s="11" cm="1">
        <f t="array" aca="1" ref="H907" ca="1">INDEX('Coste multimodal'!E$46:E$1646,MATCH(C907&amp;D907,'Coste multimodal'!C$46:C$1646&amp;'Coste multimodal'!D$46:D$1646,0))</f>
        <v>459726885.65994883</v>
      </c>
      <c r="I907" s="12" cm="1">
        <f t="array" aca="1" ref="I907" ca="1">INDEX('Tiempos intermodal (horas)'!E$45:E$1645,MATCH(C907&amp;D907,'Tiempos intermodal (horas)'!C$45:C$1645&amp;'Tiempos intermodal (horas)'!D$45:D$1645,0))</f>
        <v>69.440810587931679</v>
      </c>
      <c r="J907" s="2" cm="1">
        <f t="array" aca="1" ref="J907" ca="1">INDEX('Tiempos carretera (horas)'!E$45:E$1645,MATCH(C907&amp;D907,'Tiempos carretera (horas)'!C$45:C$1645&amp;'Tiempos carretera (horas)'!D$45:D$1645,0))</f>
        <v>18.829999999999998</v>
      </c>
      <c r="K907" s="12">
        <f t="shared" ca="1" si="84"/>
        <v>16.255933600278247</v>
      </c>
      <c r="L907" s="12">
        <f t="shared" ca="1" si="85"/>
        <v>14.087233662243744</v>
      </c>
      <c r="M907" s="12">
        <f t="shared" ca="1" si="86"/>
        <v>0.1411061085000461</v>
      </c>
      <c r="N907" s="13">
        <f t="shared" ca="1" si="88"/>
        <v>2.1686999380345036</v>
      </c>
      <c r="O907" s="13">
        <f t="shared" ca="1" si="89"/>
        <v>-50.610810587931681</v>
      </c>
      <c r="P907" s="12">
        <f t="shared" ca="1" si="87"/>
        <v>1.8061332388295901</v>
      </c>
    </row>
    <row r="908" spans="1:16" x14ac:dyDescent="0.25">
      <c r="A908">
        <v>39</v>
      </c>
      <c r="B908">
        <v>27</v>
      </c>
      <c r="C908" s="2" t="s">
        <v>38</v>
      </c>
      <c r="D908" s="2" t="s">
        <v>145</v>
      </c>
      <c r="E908" s="11" cm="1">
        <f t="array" aca="1" ref="E908" ca="1">INDEX('OD flujo mercancia multimodal'!E$45:E$1645,MATCH(C908&amp;D908,'OD flujo mercancia multimodal'!C$45:C$1645&amp;'OD flujo mercancia multimodal'!D$45:D$1645,0))</f>
        <v>59506</v>
      </c>
      <c r="F908" s="11" cm="1">
        <f t="array" aca="1" ref="F908" ca="1">INDEX('OD flujo mercancia carretera'!E$45:E$1646,MATCH(C908&amp;D908,'OD flujo mercancia carretera'!C$45:C$1646&amp;'OD flujo mercancia carretera'!D$45:D$1646,0))</f>
        <v>421953.79230769229</v>
      </c>
      <c r="G908" s="11" cm="1">
        <f t="array" aca="1" ref="G908" ca="1">INDEX('Coste Carretera'!E$46:E$1646,MATCH(C908&amp;D908,'Coste Carretera'!C$46:C$1646&amp;'Coste Carretera'!D$46:D$1646,0))</f>
        <v>6586605859.3999987</v>
      </c>
      <c r="H908" s="11" cm="1">
        <f t="array" aca="1" ref="H908" ca="1">INDEX('Coste multimodal'!E$46:E$1646,MATCH(C908&amp;D908,'Coste multimodal'!C$46:C$1646&amp;'Coste multimodal'!D$46:D$1646,0))</f>
        <v>217716747.17372608</v>
      </c>
      <c r="I908" s="12" cm="1">
        <f t="array" aca="1" ref="I908" ca="1">INDEX('Tiempos intermodal (horas)'!E$45:E$1645,MATCH(C908&amp;D908,'Tiempos intermodal (horas)'!C$45:C$1645&amp;'Tiempos intermodal (horas)'!D$45:D$1645,0))</f>
        <v>73.794895809872372</v>
      </c>
      <c r="J908" s="2" cm="1">
        <f t="array" aca="1" ref="J908" ca="1">INDEX('Tiempos carretera (horas)'!E$45:E$1645,MATCH(C908&amp;D908,'Tiempos carretera (horas)'!C$45:C$1645&amp;'Tiempos carretera (horas)'!D$45:D$1645,0))</f>
        <v>18.93</v>
      </c>
      <c r="K908" s="12">
        <f t="shared" ca="1" si="84"/>
        <v>15.609779979408243</v>
      </c>
      <c r="L908" s="12">
        <f t="shared" ca="1" si="85"/>
        <v>3.6587360463436642</v>
      </c>
      <c r="M908" s="12">
        <f t="shared" ca="1" si="86"/>
        <v>0.12359495216574759</v>
      </c>
      <c r="N908" s="13">
        <f t="shared" ca="1" si="88"/>
        <v>11.951043933064579</v>
      </c>
      <c r="O908" s="13">
        <f t="shared" ca="1" si="89"/>
        <v>-54.864895809872372</v>
      </c>
      <c r="P908" s="12">
        <f t="shared" ca="1" si="87"/>
        <v>1.9588186633359119</v>
      </c>
    </row>
    <row r="909" spans="1:16" x14ac:dyDescent="0.25">
      <c r="A909">
        <v>27</v>
      </c>
      <c r="B909">
        <v>39</v>
      </c>
      <c r="C909" s="2" t="s">
        <v>145</v>
      </c>
      <c r="D909" s="2" t="s">
        <v>38</v>
      </c>
      <c r="E909" s="11" cm="1">
        <f t="array" aca="1" ref="E909" ca="1">INDEX('OD flujo mercancia multimodal'!E$45:E$1645,MATCH(C909&amp;D909,'OD flujo mercancia multimodal'!C$45:C$1645&amp;'OD flujo mercancia multimodal'!D$45:D$1645,0))</f>
        <v>36442.384615384617</v>
      </c>
      <c r="F909" s="11" cm="1">
        <f t="array" aca="1" ref="F909" ca="1">INDEX('OD flujo mercancia carretera'!E$45:E$1646,MATCH(C909&amp;D909,'OD flujo mercancia carretera'!C$45:C$1646&amp;'OD flujo mercancia carretera'!D$45:D$1646,0))</f>
        <v>511050.04249084246</v>
      </c>
      <c r="G909" s="11" cm="1">
        <f t="array" aca="1" ref="G909" ca="1">INDEX('Coste Carretera'!E$46:E$1646,MATCH(C909&amp;D909,'Coste Carretera'!C$46:C$1646&amp;'Coste Carretera'!D$46:D$1646,0))</f>
        <v>2678121688.3199997</v>
      </c>
      <c r="H909" s="11" cm="1">
        <f t="array" aca="1" ref="H909" ca="1">INDEX('Coste multimodal'!E$46:E$1646,MATCH(C909&amp;D909,'Coste multimodal'!C$46:C$1646&amp;'Coste multimodal'!D$46:D$1646,0))</f>
        <v>259052082.00325841</v>
      </c>
      <c r="I909" s="12" cm="1">
        <f t="array" aca="1" ref="I909" ca="1">INDEX('Tiempos intermodal (horas)'!E$45:E$1645,MATCH(C909&amp;D909,'Tiempos intermodal (horas)'!C$45:C$1645&amp;'Tiempos intermodal (horas)'!D$45:D$1645,0))</f>
        <v>65.722131721565319</v>
      </c>
      <c r="J909" s="2" cm="1">
        <f t="array" aca="1" ref="J909" ca="1">INDEX('Tiempos carretera (horas)'!E$45:E$1645,MATCH(C909&amp;D909,'Tiempos carretera (horas)'!C$45:C$1645&amp;'Tiempos carretera (horas)'!D$45:D$1645,0))</f>
        <v>15</v>
      </c>
      <c r="K909" s="12">
        <f t="shared" ca="1" si="84"/>
        <v>5.2404294406608702</v>
      </c>
      <c r="L909" s="12">
        <f t="shared" ca="1" si="85"/>
        <v>7.1085381688742801</v>
      </c>
      <c r="M909" s="12">
        <f t="shared" ca="1" si="86"/>
        <v>6.6562353762591675E-2</v>
      </c>
      <c r="N909" s="13">
        <f t="shared" ca="1" si="88"/>
        <v>-1.8681087282134099</v>
      </c>
      <c r="O909" s="13">
        <f t="shared" ca="1" si="89"/>
        <v>-50.722131721565319</v>
      </c>
      <c r="P909" s="12">
        <f t="shared" ca="1" si="87"/>
        <v>2.640735006168466</v>
      </c>
    </row>
    <row r="910" spans="1:16" x14ac:dyDescent="0.25">
      <c r="A910">
        <v>25</v>
      </c>
      <c r="B910">
        <v>6</v>
      </c>
      <c r="C910" s="2" t="s">
        <v>24</v>
      </c>
      <c r="D910" s="2" t="s">
        <v>5</v>
      </c>
      <c r="E910" s="11" cm="1">
        <f t="array" aca="1" ref="E910" ca="1">INDEX('OD flujo mercancia multimodal'!E$45:E$1645,MATCH(C910&amp;D910,'OD flujo mercancia multimodal'!C$45:C$1645&amp;'OD flujo mercancia multimodal'!D$45:D$1645,0))</f>
        <v>16905.093406593391</v>
      </c>
      <c r="F910" s="11" cm="1">
        <f t="array" aca="1" ref="F910" ca="1">INDEX('OD flujo mercancia carretera'!E$45:E$1646,MATCH(C910&amp;D910,'OD flujo mercancia carretera'!C$45:C$1646&amp;'OD flujo mercancia carretera'!D$45:D$1646,0))</f>
        <v>193683.10622710633</v>
      </c>
      <c r="G910" s="11" cm="1">
        <f t="array" aca="1" ref="G910" ca="1">INDEX('Coste Carretera'!E$46:E$1646,MATCH(C910&amp;D910,'Coste Carretera'!C$46:C$1646&amp;'Coste Carretera'!D$46:D$1646,0))</f>
        <v>1421456664.6485698</v>
      </c>
      <c r="H910" s="11" cm="1">
        <f t="array" aca="1" ref="H910" ca="1">INDEX('Coste multimodal'!E$46:E$1646,MATCH(C910&amp;D910,'Coste multimodal'!C$46:C$1646&amp;'Coste multimodal'!D$46:D$1646,0))</f>
        <v>465179929.24200237</v>
      </c>
      <c r="I910" s="12" cm="1">
        <f t="array" aca="1" ref="I910" ca="1">INDEX('Tiempos intermodal (horas)'!E$45:E$1645,MATCH(C910&amp;D910,'Tiempos intermodal (horas)'!C$45:C$1645&amp;'Tiempos intermodal (horas)'!D$45:D$1645,0))</f>
        <v>66.76182155006569</v>
      </c>
      <c r="J910" s="2" cm="1">
        <f t="array" aca="1" ref="J910" ca="1">INDEX('Tiempos carretera (horas)'!E$45:E$1645,MATCH(C910&amp;D910,'Tiempos carretera (horas)'!C$45:C$1645&amp;'Tiempos carretera (horas)'!D$45:D$1645,0))</f>
        <v>16.3</v>
      </c>
      <c r="K910" s="12">
        <f t="shared" ca="1" si="84"/>
        <v>7.3390844061630096</v>
      </c>
      <c r="L910" s="12">
        <f t="shared" ca="1" si="85"/>
        <v>27.517146344815291</v>
      </c>
      <c r="M910" s="12">
        <f t="shared" ca="1" si="86"/>
        <v>8.0275596809310137E-2</v>
      </c>
      <c r="N910" s="13">
        <f t="shared" ca="1" si="88"/>
        <v>-20.178061938652281</v>
      </c>
      <c r="O910" s="13">
        <f t="shared" ca="1" si="89"/>
        <v>-50.461821550065693</v>
      </c>
      <c r="P910" s="12">
        <f t="shared" ca="1" si="87"/>
        <v>2.4386083889082344</v>
      </c>
    </row>
    <row r="911" spans="1:16" x14ac:dyDescent="0.25">
      <c r="A911">
        <v>31</v>
      </c>
      <c r="B911">
        <v>13</v>
      </c>
      <c r="C911" s="2" t="s">
        <v>30</v>
      </c>
      <c r="D911" s="2" t="s">
        <v>12</v>
      </c>
      <c r="E911" s="11" cm="1">
        <f t="array" aca="1" ref="E911" ca="1">INDEX('OD flujo mercancia multimodal'!E$45:E$1645,MATCH(C911&amp;D911,'OD flujo mercancia multimodal'!C$45:C$1645&amp;'OD flujo mercancia multimodal'!D$45:D$1645,0))</f>
        <v>5129.6923076923122</v>
      </c>
      <c r="F911" s="11" cm="1">
        <f t="array" aca="1" ref="F911" ca="1">INDEX('OD flujo mercancia carretera'!E$45:E$1646,MATCH(C911&amp;D911,'OD flujo mercancia carretera'!C$45:C$1646&amp;'OD flujo mercancia carretera'!D$45:D$1646,0))</f>
        <v>43845.846153846192</v>
      </c>
      <c r="G911" s="11" cm="1">
        <f t="array" aca="1" ref="G911" ca="1">INDEX('Coste Carretera'!E$46:E$1646,MATCH(C911&amp;D911,'Coste Carretera'!C$46:C$1646&amp;'Coste Carretera'!D$46:D$1646,0))</f>
        <v>459615916.64000034</v>
      </c>
      <c r="H911" s="11" cm="1">
        <f t="array" aca="1" ref="H911" ca="1">INDEX('Coste multimodal'!E$46:E$1646,MATCH(C911&amp;D911,'Coste multimodal'!C$46:C$1646&amp;'Coste multimodal'!D$46:D$1646,0))</f>
        <v>268161369.98290011</v>
      </c>
      <c r="I911" s="12" cm="1">
        <f t="array" aca="1" ref="I911" ca="1">INDEX('Tiempos intermodal (horas)'!E$45:E$1645,MATCH(C911&amp;D911,'Tiempos intermodal (horas)'!C$45:C$1645&amp;'Tiempos intermodal (horas)'!D$45:D$1645,0))</f>
        <v>72.602831400736676</v>
      </c>
      <c r="J911" s="2" cm="1">
        <f t="array" aca="1" ref="J911" ca="1">INDEX('Tiempos carretera (horas)'!E$45:E$1645,MATCH(C911&amp;D911,'Tiempos carretera (horas)'!C$45:C$1645&amp;'Tiempos carretera (horas)'!D$45:D$1645,0))</f>
        <v>17.600000000000001</v>
      </c>
      <c r="K911" s="12">
        <f t="shared" ca="1" si="84"/>
        <v>10.482541835942708</v>
      </c>
      <c r="L911" s="12">
        <f t="shared" ca="1" si="85"/>
        <v>52.276307017630366</v>
      </c>
      <c r="M911" s="12">
        <f t="shared" ca="1" si="86"/>
        <v>0.1047398858456812</v>
      </c>
      <c r="N911" s="13">
        <f t="shared" ca="1" si="88"/>
        <v>-41.793765181687661</v>
      </c>
      <c r="O911" s="13">
        <f t="shared" ca="1" si="89"/>
        <v>-55.002831400736675</v>
      </c>
      <c r="P911" s="12">
        <f t="shared" ca="1" si="87"/>
        <v>2.1456343074220583</v>
      </c>
    </row>
    <row r="912" spans="1:16" x14ac:dyDescent="0.25">
      <c r="A912">
        <v>13</v>
      </c>
      <c r="B912">
        <v>31</v>
      </c>
      <c r="C912" s="2" t="s">
        <v>12</v>
      </c>
      <c r="D912" s="2" t="s">
        <v>30</v>
      </c>
      <c r="E912" s="11" cm="1">
        <f t="array" aca="1" ref="E912" ca="1">INDEX('OD flujo mercancia multimodal'!E$45:E$1645,MATCH(C912&amp;D912,'OD flujo mercancia multimodal'!C$45:C$1645&amp;'OD flujo mercancia multimodal'!D$45:D$1645,0))</f>
        <v>4453.3076923076933</v>
      </c>
      <c r="F912" s="11" cm="1">
        <f t="array" aca="1" ref="F912" ca="1">INDEX('OD flujo mercancia carretera'!E$45:E$1646,MATCH(C912&amp;D912,'OD flujo mercancia carretera'!C$45:C$1646&amp;'OD flujo mercancia carretera'!D$45:D$1646,0))</f>
        <v>47334.999999999993</v>
      </c>
      <c r="G912" s="11" cm="1">
        <f t="array" aca="1" ref="G912" ca="1">INDEX('Coste Carretera'!E$46:E$1646,MATCH(C912&amp;D912,'Coste Carretera'!C$46:C$1646&amp;'Coste Carretera'!D$46:D$1646,0))</f>
        <v>856939078.93600011</v>
      </c>
      <c r="H912" s="11" cm="1">
        <f t="array" aca="1" ref="H912" ca="1">INDEX('Coste multimodal'!E$46:E$1646,MATCH(C912&amp;D912,'Coste multimodal'!C$46:C$1646&amp;'Coste multimodal'!D$46:D$1646,0))</f>
        <v>268161369.98290011</v>
      </c>
      <c r="I912" s="12" cm="1">
        <f t="array" aca="1" ref="I912" ca="1">INDEX('Tiempos intermodal (horas)'!E$45:E$1645,MATCH(C912&amp;D912,'Tiempos intermodal (horas)'!C$45:C$1645&amp;'Tiempos intermodal (horas)'!D$45:D$1645,0))</f>
        <v>72.602831400736676</v>
      </c>
      <c r="J912" s="2" cm="1">
        <f t="array" aca="1" ref="J912" ca="1">INDEX('Tiempos carretera (horas)'!E$45:E$1645,MATCH(C912&amp;D912,'Tiempos carretera (horas)'!C$45:C$1645&amp;'Tiempos carretera (horas)'!D$45:D$1645,0))</f>
        <v>17.600000000000001</v>
      </c>
      <c r="K912" s="12">
        <f t="shared" ca="1" si="84"/>
        <v>18.103709283532275</v>
      </c>
      <c r="L912" s="12">
        <f t="shared" ca="1" si="85"/>
        <v>60.21622320103814</v>
      </c>
      <c r="M912" s="12">
        <f t="shared" ca="1" si="86"/>
        <v>8.5990600789010913E-2</v>
      </c>
      <c r="N912" s="13">
        <f t="shared" ca="1" si="88"/>
        <v>-42.112513917505865</v>
      </c>
      <c r="O912" s="13">
        <f t="shared" ca="1" si="89"/>
        <v>-55.002831400736675</v>
      </c>
      <c r="P912" s="12">
        <f t="shared" ca="1" si="87"/>
        <v>2.3636028578723782</v>
      </c>
    </row>
    <row r="913" spans="1:16" x14ac:dyDescent="0.25">
      <c r="A913">
        <v>22</v>
      </c>
      <c r="B913">
        <v>8</v>
      </c>
      <c r="C913" s="2" t="s">
        <v>21</v>
      </c>
      <c r="D913" s="2" t="s">
        <v>7</v>
      </c>
      <c r="E913" s="11" cm="1">
        <f t="array" aca="1" ref="E913" ca="1">INDEX('OD flujo mercancia multimodal'!E$45:E$1645,MATCH(C913&amp;D913,'OD flujo mercancia multimodal'!C$45:C$1645&amp;'OD flujo mercancia multimodal'!D$45:D$1645,0))</f>
        <v>43266.395604395562</v>
      </c>
      <c r="F913" s="11" cm="1">
        <f t="array" aca="1" ref="F913" ca="1">INDEX('OD flujo mercancia carretera'!E$45:E$1646,MATCH(C913&amp;D913,'OD flujo mercancia carretera'!C$45:C$1646&amp;'OD flujo mercancia carretera'!D$45:D$1646,0))</f>
        <v>246951.51282051264</v>
      </c>
      <c r="G913" s="11" cm="1">
        <f t="array" aca="1" ref="G913" ca="1">INDEX('Coste Carretera'!E$46:E$1646,MATCH(C913&amp;D913,'Coste Carretera'!C$46:C$1646&amp;'Coste Carretera'!D$46:D$1646,0))</f>
        <v>2320070470.1828547</v>
      </c>
      <c r="H913" s="11" cm="1">
        <f t="array" aca="1" ref="H913" ca="1">INDEX('Coste multimodal'!E$46:E$1646,MATCH(C913&amp;D913,'Coste multimodal'!C$46:C$1646&amp;'Coste multimodal'!D$46:D$1646,0))</f>
        <v>2893567296.2314482</v>
      </c>
      <c r="I913" s="12" cm="1">
        <f t="array" aca="1" ref="I913" ca="1">INDEX('Tiempos intermodal (horas)'!E$45:E$1645,MATCH(C913&amp;D913,'Tiempos intermodal (horas)'!C$45:C$1645&amp;'Tiempos intermodal (horas)'!D$45:D$1645,0))</f>
        <v>84.629350786176801</v>
      </c>
      <c r="J913" s="2" cm="1">
        <f t="array" aca="1" ref="J913" ca="1">INDEX('Tiempos carretera (horas)'!E$45:E$1645,MATCH(C913&amp;D913,'Tiempos carretera (horas)'!C$45:C$1645&amp;'Tiempos carretera (horas)'!D$45:D$1645,0))</f>
        <v>10.81</v>
      </c>
      <c r="K913" s="12">
        <f t="shared" ca="1" si="84"/>
        <v>9.3948421035554048</v>
      </c>
      <c r="L913" s="12">
        <f t="shared" ca="1" si="85"/>
        <v>66.877937387913178</v>
      </c>
      <c r="M913" s="12">
        <f t="shared" ca="1" si="86"/>
        <v>0.14908244580499563</v>
      </c>
      <c r="N913" s="13">
        <f t="shared" ca="1" si="88"/>
        <v>-57.483095284357773</v>
      </c>
      <c r="O913" s="13">
        <f t="shared" ca="1" si="89"/>
        <v>-73.819350786176798</v>
      </c>
      <c r="P913" s="12">
        <f t="shared" ca="1" si="87"/>
        <v>1.7418157623266231</v>
      </c>
    </row>
    <row r="914" spans="1:16" x14ac:dyDescent="0.25">
      <c r="A914">
        <v>8</v>
      </c>
      <c r="B914">
        <v>22</v>
      </c>
      <c r="C914" s="2" t="s">
        <v>7</v>
      </c>
      <c r="D914" s="2" t="s">
        <v>21</v>
      </c>
      <c r="E914" s="11" cm="1">
        <f t="array" aca="1" ref="E914" ca="1">INDEX('OD flujo mercancia multimodal'!E$45:E$1645,MATCH(C914&amp;D914,'OD flujo mercancia multimodal'!C$45:C$1645&amp;'OD flujo mercancia multimodal'!D$45:D$1645,0))</f>
        <v>28703.796703296655</v>
      </c>
      <c r="F914" s="11" cm="1">
        <f t="array" aca="1" ref="F914" ca="1">INDEX('OD flujo mercancia carretera'!E$45:E$1646,MATCH(C914&amp;D914,'OD flujo mercancia carretera'!C$45:C$1646&amp;'OD flujo mercancia carretera'!D$45:D$1646,0))</f>
        <v>243523.25641025609</v>
      </c>
      <c r="G914" s="11" cm="1">
        <f t="array" aca="1" ref="G914" ca="1">INDEX('Coste Carretera'!E$46:E$1646,MATCH(C914&amp;D914,'Coste Carretera'!C$46:C$1646&amp;'Coste Carretera'!D$46:D$1646,0))</f>
        <v>1539181394.3171401</v>
      </c>
      <c r="H914" s="11" cm="1">
        <f t="array" aca="1" ref="H914" ca="1">INDEX('Coste multimodal'!E$46:E$1646,MATCH(C914&amp;D914,'Coste multimodal'!C$46:C$1646&amp;'Coste multimodal'!D$46:D$1646,0))</f>
        <v>2893567296.2314482</v>
      </c>
      <c r="I914" s="12" cm="1">
        <f t="array" aca="1" ref="I914" ca="1">INDEX('Tiempos intermodal (horas)'!E$45:E$1645,MATCH(C914&amp;D914,'Tiempos intermodal (horas)'!C$45:C$1645&amp;'Tiempos intermodal (horas)'!D$45:D$1645,0))</f>
        <v>84.629350786176801</v>
      </c>
      <c r="J914" s="2" cm="1">
        <f t="array" aca="1" ref="J914" ca="1">INDEX('Tiempos carretera (horas)'!E$45:E$1645,MATCH(C914&amp;D914,'Tiempos carretera (horas)'!C$45:C$1645&amp;'Tiempos carretera (horas)'!D$45:D$1645,0))</f>
        <v>10.81</v>
      </c>
      <c r="K914" s="12">
        <f t="shared" ca="1" si="84"/>
        <v>6.3204698270136834</v>
      </c>
      <c r="L914" s="12">
        <f t="shared" ca="1" si="85"/>
        <v>100.80782434956139</v>
      </c>
      <c r="M914" s="12">
        <f t="shared" ca="1" si="86"/>
        <v>0.10544064733832159</v>
      </c>
      <c r="N914" s="13">
        <f t="shared" ca="1" si="88"/>
        <v>-94.487354522547705</v>
      </c>
      <c r="O914" s="13">
        <f t="shared" ca="1" si="89"/>
        <v>-73.819350786176798</v>
      </c>
      <c r="P914" s="12">
        <f t="shared" ca="1" si="87"/>
        <v>2.1381830435040627</v>
      </c>
    </row>
    <row r="915" spans="1:16" x14ac:dyDescent="0.25">
      <c r="A915">
        <v>19</v>
      </c>
      <c r="B915">
        <v>41</v>
      </c>
      <c r="C915" s="2" t="s">
        <v>18</v>
      </c>
      <c r="D915" s="2" t="s">
        <v>40</v>
      </c>
      <c r="E915" s="11" cm="1">
        <f t="array" aca="1" ref="E915" ca="1">INDEX('OD flujo mercancia multimodal'!E$45:E$1645,MATCH(C915&amp;D915,'OD flujo mercancia multimodal'!C$45:C$1645&amp;'OD flujo mercancia multimodal'!D$45:D$1645,0))</f>
        <v>23890.615384615379</v>
      </c>
      <c r="F915" s="11" cm="1">
        <f t="array" aca="1" ref="F915" ca="1">INDEX('OD flujo mercancia carretera'!E$45:E$1646,MATCH(C915&amp;D915,'OD flujo mercancia carretera'!C$45:C$1646&amp;'OD flujo mercancia carretera'!D$45:D$1646,0))</f>
        <v>60811.492673992703</v>
      </c>
      <c r="G915" s="11" cm="1">
        <f t="array" aca="1" ref="G915" ca="1">INDEX('Coste Carretera'!E$46:E$1646,MATCH(C915&amp;D915,'Coste Carretera'!C$46:C$1646&amp;'Coste Carretera'!D$46:D$1646,0))</f>
        <v>1044736727.9999998</v>
      </c>
      <c r="H915" s="11" cm="1">
        <f t="array" aca="1" ref="H915" ca="1">INDEX('Coste multimodal'!E$46:E$1646,MATCH(C915&amp;D915,'Coste multimodal'!C$46:C$1646&amp;'Coste multimodal'!D$46:D$1646,0))</f>
        <v>183062548.68387264</v>
      </c>
      <c r="I915" s="12" cm="1">
        <f t="array" aca="1" ref="I915" ca="1">INDEX('Tiempos intermodal (horas)'!E$45:E$1645,MATCH(C915&amp;D915,'Tiempos intermodal (horas)'!C$45:C$1645&amp;'Tiempos intermodal (horas)'!D$45:D$1645,0))</f>
        <v>68.745939561631943</v>
      </c>
      <c r="J915" s="2" cm="1">
        <f t="array" aca="1" ref="J915" ca="1">INDEX('Tiempos carretera (horas)'!E$45:E$1645,MATCH(C915&amp;D915,'Tiempos carretera (horas)'!C$45:C$1645&amp;'Tiempos carretera (horas)'!D$45:D$1645,0))</f>
        <v>17.86</v>
      </c>
      <c r="K915" s="12">
        <f t="shared" ca="1" si="84"/>
        <v>17.179922446580616</v>
      </c>
      <c r="L915" s="12">
        <f t="shared" ca="1" si="85"/>
        <v>7.6625296475936633</v>
      </c>
      <c r="M915" s="12">
        <f t="shared" ca="1" si="86"/>
        <v>0.2820545548652072</v>
      </c>
      <c r="N915" s="13">
        <f t="shared" ca="1" si="88"/>
        <v>9.5173927989869522</v>
      </c>
      <c r="O915" s="13">
        <f t="shared" ca="1" si="89"/>
        <v>-50.885939561631943</v>
      </c>
      <c r="P915" s="12">
        <f t="shared" ca="1" si="87"/>
        <v>0.93429307525850436</v>
      </c>
    </row>
    <row r="916" spans="1:16" x14ac:dyDescent="0.25">
      <c r="A916">
        <v>41</v>
      </c>
      <c r="B916">
        <v>19</v>
      </c>
      <c r="C916" s="2" t="s">
        <v>40</v>
      </c>
      <c r="D916" s="2" t="s">
        <v>18</v>
      </c>
      <c r="E916" s="11" cm="1">
        <f t="array" aca="1" ref="E916" ca="1">INDEX('OD flujo mercancia multimodal'!E$45:E$1645,MATCH(C916&amp;D916,'OD flujo mercancia multimodal'!C$45:C$1645&amp;'OD flujo mercancia multimodal'!D$45:D$1645,0))</f>
        <v>8967.0769230769256</v>
      </c>
      <c r="F916" s="11" cm="1">
        <f t="array" aca="1" ref="F916" ca="1">INDEX('OD flujo mercancia carretera'!E$45:E$1646,MATCH(C916&amp;D916,'OD flujo mercancia carretera'!C$45:C$1646&amp;'OD flujo mercancia carretera'!D$45:D$1646,0))</f>
        <v>157976.8846153846</v>
      </c>
      <c r="G916" s="11" cm="1">
        <f t="array" aca="1" ref="G916" ca="1">INDEX('Coste Carretera'!E$46:E$1646,MATCH(C916&amp;D916,'Coste Carretera'!C$46:C$1646&amp;'Coste Carretera'!D$46:D$1646,0))</f>
        <v>365121876.08000028</v>
      </c>
      <c r="H916" s="11" cm="1">
        <f t="array" aca="1" ref="H916" ca="1">INDEX('Coste multimodal'!E$46:E$1646,MATCH(C916&amp;D916,'Coste multimodal'!C$46:C$1646&amp;'Coste multimodal'!D$46:D$1646,0))</f>
        <v>143960164.63494378</v>
      </c>
      <c r="I916" s="12" cm="1">
        <f t="array" aca="1" ref="I916" ca="1">INDEX('Tiempos intermodal (horas)'!E$45:E$1645,MATCH(C916&amp;D916,'Tiempos intermodal (horas)'!C$45:C$1645&amp;'Tiempos intermodal (horas)'!D$45:D$1645,0))</f>
        <v>36.325306186362141</v>
      </c>
      <c r="J916" s="2" cm="1">
        <f t="array" aca="1" ref="J916" ca="1">INDEX('Tiempos carretera (horas)'!E$45:E$1645,MATCH(C916&amp;D916,'Tiempos carretera (horas)'!C$45:C$1645&amp;'Tiempos carretera (horas)'!D$45:D$1645,0))</f>
        <v>17.28</v>
      </c>
      <c r="K916" s="12">
        <f t="shared" ca="1" si="84"/>
        <v>2.3112360834873864</v>
      </c>
      <c r="L916" s="12">
        <f t="shared" ca="1" si="85"/>
        <v>16.054302407561583</v>
      </c>
      <c r="M916" s="12">
        <f t="shared" ca="1" si="86"/>
        <v>5.3713095343140262E-2</v>
      </c>
      <c r="N916" s="13">
        <f t="shared" ca="1" si="88"/>
        <v>-13.743066324074196</v>
      </c>
      <c r="O916" s="13">
        <f t="shared" ca="1" si="89"/>
        <v>-19.04530618636214</v>
      </c>
      <c r="P916" s="12">
        <f t="shared" ca="1" si="87"/>
        <v>2.8688889720254362</v>
      </c>
    </row>
    <row r="917" spans="1:16" x14ac:dyDescent="0.25">
      <c r="A917">
        <v>4</v>
      </c>
      <c r="B917">
        <v>12</v>
      </c>
      <c r="C917" s="2" t="s">
        <v>3</v>
      </c>
      <c r="D917" s="2" t="s">
        <v>11</v>
      </c>
      <c r="E917" s="11" cm="1">
        <f t="array" aca="1" ref="E917" ca="1">INDEX('OD flujo mercancia multimodal'!E$45:E$1645,MATCH(C917&amp;D917,'OD flujo mercancia multimodal'!C$45:C$1645&amp;'OD flujo mercancia multimodal'!D$45:D$1645,0))</f>
        <v>47833.142857142855</v>
      </c>
      <c r="F917" s="11" cm="1">
        <f t="array" aca="1" ref="F917" ca="1">INDEX('OD flujo mercancia carretera'!E$45:E$1646,MATCH(C917&amp;D917,'OD flujo mercancia carretera'!C$45:C$1646&amp;'OD flujo mercancia carretera'!D$45:D$1646,0))</f>
        <v>73166.230769230751</v>
      </c>
      <c r="G917" s="11" cm="1">
        <f t="array" aca="1" ref="G917" ca="1">INDEX('Coste Carretera'!E$46:E$1646,MATCH(C917&amp;D917,'Coste Carretera'!C$46:C$1646&amp;'Coste Carretera'!D$46:D$1646,0))</f>
        <v>4969124999.1314287</v>
      </c>
      <c r="H917" s="11" cm="1">
        <f t="array" aca="1" ref="H917" ca="1">INDEX('Coste multimodal'!E$46:E$1646,MATCH(C917&amp;D917,'Coste multimodal'!C$46:C$1646&amp;'Coste multimodal'!D$46:D$1646,0))</f>
        <v>753697170.61151385</v>
      </c>
      <c r="I917" s="12" cm="1">
        <f t="array" aca="1" ref="I917" ca="1">INDEX('Tiempos intermodal (horas)'!E$45:E$1645,MATCH(C917&amp;D917,'Tiempos intermodal (horas)'!C$45:C$1645&amp;'Tiempos intermodal (horas)'!D$45:D$1645,0))</f>
        <v>71.697890821485544</v>
      </c>
      <c r="J917" s="2" cm="1">
        <f t="array" aca="1" ref="J917" ca="1">INDEX('Tiempos carretera (horas)'!E$45:E$1645,MATCH(C917&amp;D917,'Tiempos carretera (horas)'!C$45:C$1645&amp;'Tiempos carretera (horas)'!D$45:D$1645,0))</f>
        <v>20.76</v>
      </c>
      <c r="K917" s="12">
        <f t="shared" ca="1" si="84"/>
        <v>67.915552665330665</v>
      </c>
      <c r="L917" s="12">
        <f t="shared" ca="1" si="85"/>
        <v>15.756798018948597</v>
      </c>
      <c r="M917" s="12">
        <f t="shared" ca="1" si="86"/>
        <v>0.39531727664015703</v>
      </c>
      <c r="N917" s="13">
        <f t="shared" ca="1" si="88"/>
        <v>52.158754646382064</v>
      </c>
      <c r="O917" s="13">
        <f t="shared" ca="1" si="89"/>
        <v>-50.937890821485539</v>
      </c>
      <c r="P917" s="12">
        <f t="shared" ca="1" si="87"/>
        <v>0.42501522179043416</v>
      </c>
    </row>
    <row r="918" spans="1:16" x14ac:dyDescent="0.25">
      <c r="A918">
        <v>7</v>
      </c>
      <c r="B918">
        <v>14</v>
      </c>
      <c r="C918" s="2" t="s">
        <v>6</v>
      </c>
      <c r="D918" s="2" t="s">
        <v>13</v>
      </c>
      <c r="E918" s="11" cm="1">
        <f t="array" aca="1" ref="E918" ca="1">INDEX('OD flujo mercancia multimodal'!E$45:E$1645,MATCH(C918&amp;D918,'OD flujo mercancia multimodal'!C$45:C$1645&amp;'OD flujo mercancia multimodal'!D$45:D$1645,0))</f>
        <v>26722.527472527458</v>
      </c>
      <c r="F918" s="11" cm="1">
        <f t="array" aca="1" ref="F918" ca="1">INDEX('OD flujo mercancia carretera'!E$45:E$1646,MATCH(C918&amp;D918,'OD flujo mercancia carretera'!C$45:C$1646&amp;'OD flujo mercancia carretera'!D$45:D$1646,0))</f>
        <v>226270.4615384613</v>
      </c>
      <c r="G918" s="11" cm="1">
        <f t="array" aca="1" ref="G918" ca="1">INDEX('Coste Carretera'!E$46:E$1646,MATCH(C918&amp;D918,'Coste Carretera'!C$46:C$1646&amp;'Coste Carretera'!D$46:D$1646,0))</f>
        <v>2529047791.4285698</v>
      </c>
      <c r="H918" s="11" cm="1">
        <f t="array" aca="1" ref="H918" ca="1">INDEX('Coste multimodal'!E$46:E$1646,MATCH(C918&amp;D918,'Coste multimodal'!C$46:C$1646&amp;'Coste multimodal'!D$46:D$1646,0))</f>
        <v>393158884.82852018</v>
      </c>
      <c r="I918" s="12" cm="1">
        <f t="array" aca="1" ref="I918" ca="1">INDEX('Tiempos intermodal (horas)'!E$45:E$1645,MATCH(C918&amp;D918,'Tiempos intermodal (horas)'!C$45:C$1645&amp;'Tiempos intermodal (horas)'!D$45:D$1645,0))</f>
        <v>68.891921699042797</v>
      </c>
      <c r="J918" s="2" cm="1">
        <f t="array" aca="1" ref="J918" ca="1">INDEX('Tiempos carretera (horas)'!E$45:E$1645,MATCH(C918&amp;D918,'Tiempos carretera (horas)'!C$45:C$1645&amp;'Tiempos carretera (horas)'!D$45:D$1645,0))</f>
        <v>17.93</v>
      </c>
      <c r="K918" s="12">
        <f t="shared" ca="1" si="84"/>
        <v>11.17710095358021</v>
      </c>
      <c r="L918" s="12">
        <f t="shared" ca="1" si="85"/>
        <v>14.712638437090718</v>
      </c>
      <c r="M918" s="12">
        <f t="shared" ca="1" si="86"/>
        <v>0.10562556526563179</v>
      </c>
      <c r="N918" s="13">
        <f t="shared" ca="1" si="88"/>
        <v>-3.5355374835105078</v>
      </c>
      <c r="O918" s="13">
        <f t="shared" ca="1" si="89"/>
        <v>-50.961921699042797</v>
      </c>
      <c r="P918" s="12">
        <f t="shared" ca="1" si="87"/>
        <v>2.1362240809971462</v>
      </c>
    </row>
    <row r="919" spans="1:16" x14ac:dyDescent="0.25">
      <c r="A919">
        <v>14</v>
      </c>
      <c r="B919">
        <v>7</v>
      </c>
      <c r="C919" s="2" t="s">
        <v>13</v>
      </c>
      <c r="D919" s="2" t="s">
        <v>6</v>
      </c>
      <c r="E919" s="11" cm="1">
        <f t="array" aca="1" ref="E919" ca="1">INDEX('OD flujo mercancia multimodal'!E$45:E$1645,MATCH(C919&amp;D919,'OD flujo mercancia multimodal'!C$45:C$1645&amp;'OD flujo mercancia multimodal'!D$45:D$1645,0))</f>
        <v>16508.862637362632</v>
      </c>
      <c r="F919" s="11" cm="1">
        <f t="array" aca="1" ref="F919" ca="1">INDEX('OD flujo mercancia carretera'!E$45:E$1646,MATCH(C919&amp;D919,'OD flujo mercancia carretera'!C$45:C$1646&amp;'OD flujo mercancia carretera'!D$45:D$1646,0))</f>
        <v>166333.69230769228</v>
      </c>
      <c r="G919" s="11" cm="1">
        <f t="array" aca="1" ref="G919" ca="1">INDEX('Coste Carretera'!E$46:E$1646,MATCH(C919&amp;D919,'Coste Carretera'!C$46:C$1646&amp;'Coste Carretera'!D$46:D$1646,0))</f>
        <v>1562415929.2171423</v>
      </c>
      <c r="H919" s="11" cm="1">
        <f t="array" aca="1" ref="H919" ca="1">INDEX('Coste multimodal'!E$46:E$1646,MATCH(C919&amp;D919,'Coste multimodal'!C$46:C$1646&amp;'Coste multimodal'!D$46:D$1646,0))</f>
        <v>393158884.82852018</v>
      </c>
      <c r="I919" s="12" cm="1">
        <f t="array" aca="1" ref="I919" ca="1">INDEX('Tiempos intermodal (horas)'!E$45:E$1645,MATCH(C919&amp;D919,'Tiempos intermodal (horas)'!C$45:C$1645&amp;'Tiempos intermodal (horas)'!D$45:D$1645,0))</f>
        <v>68.891921699042797</v>
      </c>
      <c r="J919" s="2" cm="1">
        <f t="array" aca="1" ref="J919" ca="1">INDEX('Tiempos carretera (horas)'!E$45:E$1645,MATCH(C919&amp;D919,'Tiempos carretera (horas)'!C$45:C$1645&amp;'Tiempos carretera (horas)'!D$45:D$1645,0))</f>
        <v>17.93</v>
      </c>
      <c r="K919" s="12">
        <f t="shared" ca="1" si="84"/>
        <v>9.3932618673967028</v>
      </c>
      <c r="L919" s="12">
        <f t="shared" ca="1" si="85"/>
        <v>23.815019451353866</v>
      </c>
      <c r="M919" s="12">
        <f t="shared" ca="1" si="86"/>
        <v>9.0290045675218353E-2</v>
      </c>
      <c r="N919" s="13">
        <f t="shared" ca="1" si="88"/>
        <v>-14.421757583957163</v>
      </c>
      <c r="O919" s="13">
        <f t="shared" ca="1" si="89"/>
        <v>-50.961921699042797</v>
      </c>
      <c r="P919" s="12">
        <f t="shared" ca="1" si="87"/>
        <v>2.3100985990023299</v>
      </c>
    </row>
    <row r="920" spans="1:16" x14ac:dyDescent="0.25">
      <c r="A920">
        <v>4</v>
      </c>
      <c r="B920">
        <v>29</v>
      </c>
      <c r="C920" s="2" t="s">
        <v>3</v>
      </c>
      <c r="D920" s="2" t="s">
        <v>147</v>
      </c>
      <c r="E920" s="11" cm="1">
        <f t="array" aca="1" ref="E920" ca="1">INDEX('OD flujo mercancia multimodal'!E$45:E$1645,MATCH(C920&amp;D920,'OD flujo mercancia multimodal'!C$45:C$1645&amp;'OD flujo mercancia multimodal'!D$45:D$1645,0))</f>
        <v>66165.442857142858</v>
      </c>
      <c r="F920" s="11" cm="1">
        <f t="array" aca="1" ref="F920" ca="1">INDEX('OD flujo mercancia carretera'!E$45:E$1646,MATCH(C920&amp;D920,'OD flujo mercancia carretera'!C$45:C$1646&amp;'OD flujo mercancia carretera'!D$45:D$1646,0))</f>
        <v>392516.5538461539</v>
      </c>
      <c r="G920" s="11" cm="1">
        <f t="array" aca="1" ref="G920" ca="1">INDEX('Coste Carretera'!E$46:E$1646,MATCH(C920&amp;D920,'Coste Carretera'!C$46:C$1646&amp;'Coste Carretera'!D$46:D$1646,0))</f>
        <v>3436783959.2097149</v>
      </c>
      <c r="H920" s="11" cm="1">
        <f t="array" aca="1" ref="H920" ca="1">INDEX('Coste multimodal'!E$46:E$1646,MATCH(C920&amp;D920,'Coste multimodal'!C$46:C$1646&amp;'Coste multimodal'!D$46:D$1646,0))</f>
        <v>3156458213.6880198</v>
      </c>
      <c r="I920" s="12" cm="1">
        <f t="array" aca="1" ref="I920" ca="1">INDEX('Tiempos intermodal (horas)'!E$45:E$1645,MATCH(C920&amp;D920,'Tiempos intermodal (horas)'!C$45:C$1645&amp;'Tiempos intermodal (horas)'!D$45:D$1645,0))</f>
        <v>84.920461897287908</v>
      </c>
      <c r="J920" s="2" cm="1">
        <f t="array" aca="1" ref="J920" ca="1">INDEX('Tiempos carretera (horas)'!E$45:E$1645,MATCH(C920&amp;D920,'Tiempos carretera (horas)'!C$45:C$1645&amp;'Tiempos carretera (horas)'!D$45:D$1645,0))</f>
        <v>10.7</v>
      </c>
      <c r="K920" s="12">
        <f t="shared" ca="1" si="84"/>
        <v>8.7557681976306032</v>
      </c>
      <c r="L920" s="12">
        <f t="shared" ca="1" si="85"/>
        <v>47.705540496465758</v>
      </c>
      <c r="M920" s="12">
        <f t="shared" ca="1" si="86"/>
        <v>0.14425123142546767</v>
      </c>
      <c r="N920" s="13">
        <f t="shared" ca="1" si="88"/>
        <v>-38.949772298835157</v>
      </c>
      <c r="O920" s="13">
        <f t="shared" ca="1" si="89"/>
        <v>-74.220461897287905</v>
      </c>
      <c r="P920" s="12">
        <f t="shared" ca="1" si="87"/>
        <v>1.7804203963110554</v>
      </c>
    </row>
    <row r="921" spans="1:16" x14ac:dyDescent="0.25">
      <c r="A921">
        <v>12</v>
      </c>
      <c r="B921">
        <v>5</v>
      </c>
      <c r="C921" s="2" t="s">
        <v>11</v>
      </c>
      <c r="D921" s="2" t="s">
        <v>4</v>
      </c>
      <c r="E921" s="11" cm="1">
        <f t="array" aca="1" ref="E921" ca="1">INDEX('OD flujo mercancia multimodal'!E$45:E$1645,MATCH(C921&amp;D921,'OD flujo mercancia multimodal'!C$45:C$1645&amp;'OD flujo mercancia multimodal'!D$45:D$1645,0))</f>
        <v>70233.027472527509</v>
      </c>
      <c r="F921" s="11" cm="1">
        <f t="array" aca="1" ref="F921" ca="1">INDEX('OD flujo mercancia carretera'!E$45:E$1646,MATCH(C921&amp;D921,'OD flujo mercancia carretera'!C$45:C$1646&amp;'OD flujo mercancia carretera'!D$45:D$1646,0))</f>
        <v>104339.69230769227</v>
      </c>
      <c r="G921" s="11" cm="1">
        <f t="array" aca="1" ref="G921" ca="1">INDEX('Coste Carretera'!E$46:E$1646,MATCH(C921&amp;D921,'Coste Carretera'!C$46:C$1646&amp;'Coste Carretera'!D$46:D$1646,0))</f>
        <v>7701877402.7657166</v>
      </c>
      <c r="H921" s="11" cm="1">
        <f t="array" aca="1" ref="H921" ca="1">INDEX('Coste multimodal'!E$46:E$1646,MATCH(C921&amp;D921,'Coste multimodal'!C$46:C$1646&amp;'Coste multimodal'!D$46:D$1646,0))</f>
        <v>693728566.40237808</v>
      </c>
      <c r="I921" s="12" cm="1">
        <f t="array" aca="1" ref="I921" ca="1">INDEX('Tiempos intermodal (horas)'!E$45:E$1645,MATCH(C921&amp;D921,'Tiempos intermodal (horas)'!C$45:C$1645&amp;'Tiempos intermodal (horas)'!D$45:D$1645,0))</f>
        <v>73.982994944162911</v>
      </c>
      <c r="J921" s="2" cm="1">
        <f t="array" aca="1" ref="J921" ca="1">INDEX('Tiempos carretera (horas)'!E$45:E$1645,MATCH(C921&amp;D921,'Tiempos carretera (horas)'!C$45:C$1645&amp;'Tiempos carretera (horas)'!D$45:D$1645,0))</f>
        <v>22.15</v>
      </c>
      <c r="K921" s="12">
        <f t="shared" ca="1" si="84"/>
        <v>73.815412259921985</v>
      </c>
      <c r="L921" s="12">
        <f t="shared" ca="1" si="85"/>
        <v>9.8775261635095877</v>
      </c>
      <c r="M921" s="12">
        <f t="shared" ca="1" si="86"/>
        <v>0.40231387562127774</v>
      </c>
      <c r="N921" s="13">
        <f t="shared" ca="1" si="88"/>
        <v>63.937886096412399</v>
      </c>
      <c r="O921" s="13">
        <f t="shared" ca="1" si="89"/>
        <v>-51.832994944162913</v>
      </c>
      <c r="P921" s="12">
        <f t="shared" ca="1" si="87"/>
        <v>0.39583317144189883</v>
      </c>
    </row>
    <row r="922" spans="1:16" x14ac:dyDescent="0.25">
      <c r="A922">
        <v>12</v>
      </c>
      <c r="B922">
        <v>6</v>
      </c>
      <c r="C922" s="2" t="s">
        <v>11</v>
      </c>
      <c r="D922" s="2" t="s">
        <v>5</v>
      </c>
      <c r="E922" s="11" cm="1">
        <f t="array" aca="1" ref="E922" ca="1">INDEX('OD flujo mercancia multimodal'!E$45:E$1645,MATCH(C922&amp;D922,'OD flujo mercancia multimodal'!C$45:C$1645&amp;'OD flujo mercancia multimodal'!D$45:D$1645,0))</f>
        <v>18561.170329670313</v>
      </c>
      <c r="F922" s="11" cm="1">
        <f t="array" aca="1" ref="F922" ca="1">INDEX('OD flujo mercancia carretera'!E$45:E$1646,MATCH(C922&amp;D922,'OD flujo mercancia carretera'!C$45:C$1646&amp;'OD flujo mercancia carretera'!D$45:D$1646,0))</f>
        <v>170129.00366300376</v>
      </c>
      <c r="G922" s="11" cm="1">
        <f t="array" aca="1" ref="G922" ca="1">INDEX('Coste Carretera'!E$46:E$1646,MATCH(C922&amp;D922,'Coste Carretera'!C$46:C$1646&amp;'Coste Carretera'!D$46:D$1646,0))</f>
        <v>2273309776.4457121</v>
      </c>
      <c r="H922" s="11" cm="1">
        <f t="array" aca="1" ref="H922" ca="1">INDEX('Coste multimodal'!E$46:E$1646,MATCH(C922&amp;D922,'Coste multimodal'!C$46:C$1646&amp;'Coste multimodal'!D$46:D$1646,0))</f>
        <v>813185340.16523516</v>
      </c>
      <c r="I922" s="12" cm="1">
        <f t="array" aca="1" ref="I922" ca="1">INDEX('Tiempos intermodal (horas)'!E$45:E$1645,MATCH(C922&amp;D922,'Tiempos intermodal (horas)'!C$45:C$1645&amp;'Tiempos intermodal (horas)'!D$45:D$1645,0))</f>
        <v>76.527439388607348</v>
      </c>
      <c r="J922" s="2" cm="1">
        <f t="array" aca="1" ref="J922" ca="1">INDEX('Tiempos carretera (horas)'!E$45:E$1645,MATCH(C922&amp;D922,'Tiempos carretera (horas)'!C$45:C$1645&amp;'Tiempos carretera (horas)'!D$45:D$1645,0))</f>
        <v>22.75</v>
      </c>
      <c r="K922" s="12">
        <f t="shared" ref="K922:K985" ca="1" si="90">G922/(F922*1000)</f>
        <v>13.362270556458126</v>
      </c>
      <c r="L922" s="12">
        <f t="shared" ref="L922:L985" ca="1" si="91">H922/(E922*1000)</f>
        <v>43.811102733395316</v>
      </c>
      <c r="M922" s="12">
        <f t="shared" ref="M922:M985" ca="1" si="92">E922/(E922+F922)</f>
        <v>9.8368505030849956E-2</v>
      </c>
      <c r="N922" s="13">
        <f t="shared" ca="1" si="88"/>
        <v>-30.448832176937188</v>
      </c>
      <c r="O922" s="13">
        <f t="shared" ca="1" si="89"/>
        <v>-53.777439388607348</v>
      </c>
      <c r="P922" s="12">
        <f t="shared" ref="P922:P985" ca="1" si="93">LN(1/M922-1)</f>
        <v>2.2154852124238196</v>
      </c>
    </row>
    <row r="923" spans="1:16" x14ac:dyDescent="0.25">
      <c r="A923">
        <v>29</v>
      </c>
      <c r="B923">
        <v>8</v>
      </c>
      <c r="C923" s="2" t="s">
        <v>147</v>
      </c>
      <c r="D923" s="2" t="s">
        <v>7</v>
      </c>
      <c r="E923" s="11" cm="1">
        <f t="array" aca="1" ref="E923" ca="1">INDEX('OD flujo mercancia multimodal'!E$45:E$1645,MATCH(C923&amp;D923,'OD flujo mercancia multimodal'!C$45:C$1645&amp;'OD flujo mercancia multimodal'!D$45:D$1645,0))</f>
        <v>57879.657142857104</v>
      </c>
      <c r="F923" s="11" cm="1">
        <f t="array" aca="1" ref="F923" ca="1">INDEX('OD flujo mercancia carretera'!E$45:E$1646,MATCH(C923&amp;D923,'OD flujo mercancia carretera'!C$45:C$1646&amp;'OD flujo mercancia carretera'!D$45:D$1646,0))</f>
        <v>482495.94615384599</v>
      </c>
      <c r="G923" s="11" cm="1">
        <f t="array" aca="1" ref="G923" ca="1">INDEX('Coste Carretera'!E$46:E$1646,MATCH(C923&amp;D923,'Coste Carretera'!C$46:C$1646&amp;'Coste Carretera'!D$46:D$1646,0))</f>
        <v>2963843603.3142834</v>
      </c>
      <c r="H923" s="11" cm="1">
        <f t="array" aca="1" ref="H923" ca="1">INDEX('Coste multimodal'!E$46:E$1646,MATCH(C923&amp;D923,'Coste multimodal'!C$46:C$1646&amp;'Coste multimodal'!D$46:D$1646,0))</f>
        <v>3073522026.2314482</v>
      </c>
      <c r="I923" s="12" cm="1">
        <f t="array" aca="1" ref="I923" ca="1">INDEX('Tiempos intermodal (horas)'!E$45:E$1645,MATCH(C923&amp;D923,'Tiempos intermodal (horas)'!C$45:C$1645&amp;'Tiempos intermodal (horas)'!D$45:D$1645,0))</f>
        <v>85.073795230621243</v>
      </c>
      <c r="J923" s="2" cm="1">
        <f t="array" aca="1" ref="J923" ca="1">INDEX('Tiempos carretera (horas)'!E$45:E$1645,MATCH(C923&amp;D923,'Tiempos carretera (horas)'!C$45:C$1645&amp;'Tiempos carretera (horas)'!D$45:D$1645,0))</f>
        <v>10.36</v>
      </c>
      <c r="K923" s="12">
        <f t="shared" ca="1" si="90"/>
        <v>6.142732652865126</v>
      </c>
      <c r="L923" s="12">
        <f t="shared" ca="1" si="91"/>
        <v>53.101939056851336</v>
      </c>
      <c r="M923" s="12">
        <f t="shared" ca="1" si="92"/>
        <v>0.10711004862126838</v>
      </c>
      <c r="N923" s="13">
        <f t="shared" ca="1" si="88"/>
        <v>-46.959206403986208</v>
      </c>
      <c r="O923" s="13">
        <f t="shared" ca="1" si="89"/>
        <v>-74.713795230621244</v>
      </c>
      <c r="P923" s="12">
        <f t="shared" ca="1" si="93"/>
        <v>2.1206065408300647</v>
      </c>
    </row>
    <row r="924" spans="1:16" x14ac:dyDescent="0.25">
      <c r="A924">
        <v>8</v>
      </c>
      <c r="B924">
        <v>29</v>
      </c>
      <c r="C924" s="2" t="s">
        <v>7</v>
      </c>
      <c r="D924" s="2" t="s">
        <v>147</v>
      </c>
      <c r="E924" s="11" cm="1">
        <f t="array" aca="1" ref="E924" ca="1">INDEX('OD flujo mercancia multimodal'!E$45:E$1645,MATCH(C924&amp;D924,'OD flujo mercancia multimodal'!C$45:C$1645&amp;'OD flujo mercancia multimodal'!D$45:D$1645,0))</f>
        <v>43507.942857142858</v>
      </c>
      <c r="F924" s="11" cm="1">
        <f t="array" aca="1" ref="F924" ca="1">INDEX('OD flujo mercancia carretera'!E$45:E$1646,MATCH(C924&amp;D924,'OD flujo mercancia carretera'!C$45:C$1646&amp;'OD flujo mercancia carretera'!D$45:D$1646,0))</f>
        <v>478464.32307692309</v>
      </c>
      <c r="G924" s="11" cm="1">
        <f t="array" aca="1" ref="G924" ca="1">INDEX('Coste Carretera'!E$46:E$1646,MATCH(C924&amp;D924,'Coste Carretera'!C$46:C$1646&amp;'Coste Carretera'!D$46:D$1646,0))</f>
        <v>2227911229.8857141</v>
      </c>
      <c r="H924" s="11" cm="1">
        <f t="array" aca="1" ref="H924" ca="1">INDEX('Coste multimodal'!E$46:E$1646,MATCH(C924&amp;D924,'Coste multimodal'!C$46:C$1646&amp;'Coste multimodal'!D$46:D$1646,0))</f>
        <v>3073522026.2314482</v>
      </c>
      <c r="I924" s="12" cm="1">
        <f t="array" aca="1" ref="I924" ca="1">INDEX('Tiempos intermodal (horas)'!E$45:E$1645,MATCH(C924&amp;D924,'Tiempos intermodal (horas)'!C$45:C$1645&amp;'Tiempos intermodal (horas)'!D$45:D$1645,0))</f>
        <v>85.073795230621243</v>
      </c>
      <c r="J924" s="2" cm="1">
        <f t="array" aca="1" ref="J924" ca="1">INDEX('Tiempos carretera (horas)'!E$45:E$1645,MATCH(C924&amp;D924,'Tiempos carretera (horas)'!C$45:C$1645&amp;'Tiempos carretera (horas)'!D$45:D$1645,0))</f>
        <v>10.36</v>
      </c>
      <c r="K924" s="12">
        <f t="shared" ca="1" si="90"/>
        <v>4.6563790076518012</v>
      </c>
      <c r="L924" s="12">
        <f t="shared" ca="1" si="91"/>
        <v>70.642779786745464</v>
      </c>
      <c r="M924" s="12">
        <f t="shared" ca="1" si="92"/>
        <v>8.3352978111367049E-2</v>
      </c>
      <c r="N924" s="13">
        <f t="shared" ca="1" si="88"/>
        <v>-65.986400779093657</v>
      </c>
      <c r="O924" s="13">
        <f t="shared" ca="1" si="89"/>
        <v>-74.713795230621244</v>
      </c>
      <c r="P924" s="12">
        <f t="shared" ca="1" si="93"/>
        <v>2.3976381323470601</v>
      </c>
    </row>
    <row r="925" spans="1:16" x14ac:dyDescent="0.25">
      <c r="A925">
        <v>39</v>
      </c>
      <c r="B925">
        <v>34</v>
      </c>
      <c r="C925" s="2" t="s">
        <v>38</v>
      </c>
      <c r="D925" s="2" t="s">
        <v>33</v>
      </c>
      <c r="E925" s="11" cm="1">
        <f t="array" aca="1" ref="E925" ca="1">INDEX('OD flujo mercancia multimodal'!E$45:E$1645,MATCH(C925&amp;D925,'OD flujo mercancia multimodal'!C$45:C$1645&amp;'OD flujo mercancia multimodal'!D$45:D$1645,0))</f>
        <v>296799.30769230798</v>
      </c>
      <c r="F925" s="11" cm="1">
        <f t="array" aca="1" ref="F925" ca="1">INDEX('OD flujo mercancia carretera'!E$45:E$1646,MATCH(C925&amp;D925,'OD flujo mercancia carretera'!C$45:C$1646&amp;'OD flujo mercancia carretera'!D$45:D$1646,0))</f>
        <v>272452.0811965813</v>
      </c>
      <c r="G925" s="11" cm="1">
        <f t="array" aca="1" ref="G925" ca="1">INDEX('Coste Carretera'!E$46:E$1646,MATCH(C925&amp;D925,'Coste Carretera'!C$46:C$1646&amp;'Coste Carretera'!D$46:D$1646,0))</f>
        <v>8702002944.9999962</v>
      </c>
      <c r="H925" s="11" cm="1">
        <f t="array" aca="1" ref="H925" ca="1">INDEX('Coste multimodal'!E$46:E$1646,MATCH(C925&amp;D925,'Coste multimodal'!C$46:C$1646&amp;'Coste multimodal'!D$46:D$1646,0))</f>
        <v>856544431.30206549</v>
      </c>
      <c r="I925" s="12" cm="1">
        <f t="array" aca="1" ref="I925" ca="1">INDEX('Tiempos intermodal (horas)'!E$45:E$1645,MATCH(C925&amp;D925,'Tiempos intermodal (horas)'!C$45:C$1645&amp;'Tiempos intermodal (horas)'!D$45:D$1645,0))</f>
        <v>84.885747155358501</v>
      </c>
      <c r="J925" s="2" cm="1">
        <f t="array" aca="1" ref="J925" ca="1">INDEX('Tiempos carretera (horas)'!E$45:E$1645,MATCH(C925&amp;D925,'Tiempos carretera (horas)'!C$45:C$1645&amp;'Tiempos carretera (horas)'!D$45:D$1645,0))</f>
        <v>24</v>
      </c>
      <c r="K925" s="12">
        <f t="shared" ca="1" si="90"/>
        <v>31.939572297564037</v>
      </c>
      <c r="L925" s="12">
        <f t="shared" ca="1" si="91"/>
        <v>2.8859381039730918</v>
      </c>
      <c r="M925" s="12">
        <f t="shared" ca="1" si="92"/>
        <v>0.52138530267203176</v>
      </c>
      <c r="N925" s="13">
        <f t="shared" ca="1" si="88"/>
        <v>29.053634193590945</v>
      </c>
      <c r="O925" s="13">
        <f t="shared" ca="1" si="89"/>
        <v>-60.885747155358501</v>
      </c>
      <c r="P925" s="12">
        <f t="shared" ca="1" si="93"/>
        <v>-8.559342889722156E-2</v>
      </c>
    </row>
    <row r="926" spans="1:16" x14ac:dyDescent="0.25">
      <c r="A926">
        <v>34</v>
      </c>
      <c r="B926">
        <v>39</v>
      </c>
      <c r="C926" s="2" t="s">
        <v>33</v>
      </c>
      <c r="D926" s="2" t="s">
        <v>38</v>
      </c>
      <c r="E926" s="11" cm="1">
        <f t="array" aca="1" ref="E926" ca="1">INDEX('OD flujo mercancia multimodal'!E$45:E$1645,MATCH(C926&amp;D926,'OD flujo mercancia multimodal'!C$45:C$1645&amp;'OD flujo mercancia multimodal'!D$45:D$1645,0))</f>
        <v>127850.15384615386</v>
      </c>
      <c r="F926" s="11" cm="1">
        <f t="array" aca="1" ref="F926" ca="1">INDEX('OD flujo mercancia carretera'!E$45:E$1646,MATCH(C926&amp;D926,'OD flujo mercancia carretera'!C$45:C$1646&amp;'OD flujo mercancia carretera'!D$45:D$1646,0))</f>
        <v>365909.06898656901</v>
      </c>
      <c r="G926" s="11" cm="1">
        <f t="array" aca="1" ref="G926" ca="1">INDEX('Coste Carretera'!E$46:E$1646,MATCH(C926&amp;D926,'Coste Carretera'!C$46:C$1646&amp;'Coste Carretera'!D$46:D$1646,0))</f>
        <v>3140743478.0799994</v>
      </c>
      <c r="H926" s="11" cm="1">
        <f t="array" aca="1" ref="H926" ca="1">INDEX('Coste multimodal'!E$46:E$1646,MATCH(C926&amp;D926,'Coste multimodal'!C$46:C$1646&amp;'Coste multimodal'!D$46:D$1646,0))</f>
        <v>746220644.06924891</v>
      </c>
      <c r="I926" s="12" cm="1">
        <f t="array" aca="1" ref="I926" ca="1">INDEX('Tiempos intermodal (horas)'!E$45:E$1645,MATCH(C926&amp;D926,'Tiempos intermodal (horas)'!C$45:C$1645&amp;'Tiempos intermodal (horas)'!D$45:D$1645,0))</f>
        <v>71.785824300863368</v>
      </c>
      <c r="J926" s="2" cm="1">
        <f t="array" aca="1" ref="J926" ca="1">INDEX('Tiempos carretera (horas)'!E$45:E$1645,MATCH(C926&amp;D926,'Tiempos carretera (horas)'!C$45:C$1645&amp;'Tiempos carretera (horas)'!D$45:D$1645,0))</f>
        <v>20.05</v>
      </c>
      <c r="K926" s="12">
        <f t="shared" ca="1" si="90"/>
        <v>8.5833988394403065</v>
      </c>
      <c r="L926" s="12">
        <f t="shared" ca="1" si="91"/>
        <v>5.8366816278312807</v>
      </c>
      <c r="M926" s="12">
        <f t="shared" ca="1" si="92"/>
        <v>0.25893218381354122</v>
      </c>
      <c r="N926" s="13">
        <f t="shared" ca="1" si="88"/>
        <v>2.7467172116090257</v>
      </c>
      <c r="O926" s="13">
        <f t="shared" ca="1" si="89"/>
        <v>-51.735824300863371</v>
      </c>
      <c r="P926" s="12">
        <f t="shared" ca="1" si="93"/>
        <v>1.0515259520721045</v>
      </c>
    </row>
    <row r="927" spans="1:16" x14ac:dyDescent="0.25">
      <c r="A927">
        <v>37</v>
      </c>
      <c r="B927">
        <v>27</v>
      </c>
      <c r="C927" s="2" t="s">
        <v>36</v>
      </c>
      <c r="D927" s="2" t="s">
        <v>145</v>
      </c>
      <c r="E927" s="11" cm="1">
        <f t="array" aca="1" ref="E927" ca="1">INDEX('OD flujo mercancia multimodal'!E$45:E$1645,MATCH(C927&amp;D927,'OD flujo mercancia multimodal'!C$45:C$1645&amp;'OD flujo mercancia multimodal'!D$45:D$1645,0))</f>
        <v>65081.153846153844</v>
      </c>
      <c r="F927" s="11" cm="1">
        <f t="array" aca="1" ref="F927" ca="1">INDEX('OD flujo mercancia carretera'!E$45:E$1646,MATCH(C927&amp;D927,'OD flujo mercancia carretera'!C$45:C$1646&amp;'OD flujo mercancia carretera'!D$45:D$1646,0))</f>
        <v>498620.67509157507</v>
      </c>
      <c r="G927" s="11" cm="1">
        <f t="array" aca="1" ref="G927" ca="1">INDEX('Coste Carretera'!E$46:E$1646,MATCH(C927&amp;D927,'Coste Carretera'!C$46:C$1646&amp;'Coste Carretera'!D$46:D$1646,0))</f>
        <v>4654911678.4399996</v>
      </c>
      <c r="H927" s="11" cm="1">
        <f t="array" aca="1" ref="H927" ca="1">INDEX('Coste multimodal'!E$46:E$1646,MATCH(C927&amp;D927,'Coste multimodal'!C$46:C$1646&amp;'Coste multimodal'!D$46:D$1646,0))</f>
        <v>311710419.68325841</v>
      </c>
      <c r="I927" s="12" cm="1">
        <f t="array" aca="1" ref="I927" ca="1">INDEX('Tiempos intermodal (horas)'!E$45:E$1645,MATCH(C927&amp;D927,'Tiempos intermodal (horas)'!C$45:C$1645&amp;'Tiempos intermodal (horas)'!D$45:D$1645,0))</f>
        <v>65.99990949934309</v>
      </c>
      <c r="J927" s="2" cm="1">
        <f t="array" aca="1" ref="J927" ca="1">INDEX('Tiempos carretera (horas)'!E$45:E$1645,MATCH(C927&amp;D927,'Tiempos carretera (horas)'!C$45:C$1645&amp;'Tiempos carretera (horas)'!D$45:D$1645,0))</f>
        <v>14.23</v>
      </c>
      <c r="K927" s="12">
        <f t="shared" ca="1" si="90"/>
        <v>9.3355769445081549</v>
      </c>
      <c r="L927" s="12">
        <f t="shared" ca="1" si="91"/>
        <v>4.7895650470505577</v>
      </c>
      <c r="M927" s="12">
        <f t="shared" ca="1" si="92"/>
        <v>0.11545315360923415</v>
      </c>
      <c r="N927" s="13">
        <f t="shared" ca="1" si="88"/>
        <v>4.5460118974575972</v>
      </c>
      <c r="O927" s="13">
        <f t="shared" ca="1" si="89"/>
        <v>-51.769909499343086</v>
      </c>
      <c r="P927" s="12">
        <f t="shared" ca="1" si="93"/>
        <v>2.0362106246666727</v>
      </c>
    </row>
    <row r="928" spans="1:16" x14ac:dyDescent="0.25">
      <c r="A928">
        <v>27</v>
      </c>
      <c r="B928">
        <v>37</v>
      </c>
      <c r="C928" s="2" t="s">
        <v>145</v>
      </c>
      <c r="D928" s="2" t="s">
        <v>36</v>
      </c>
      <c r="E928" s="11" cm="1">
        <f t="array" aca="1" ref="E928" ca="1">INDEX('OD flujo mercancia multimodal'!E$45:E$1645,MATCH(C928&amp;D928,'OD flujo mercancia multimodal'!C$45:C$1645&amp;'OD flujo mercancia multimodal'!D$45:D$1645,0))</f>
        <v>43403.8461538462</v>
      </c>
      <c r="F928" s="11" cm="1">
        <f t="array" aca="1" ref="F928" ca="1">INDEX('OD flujo mercancia carretera'!E$45:E$1646,MATCH(C928&amp;D928,'OD flujo mercancia carretera'!C$45:C$1646&amp;'OD flujo mercancia carretera'!D$45:D$1646,0))</f>
        <v>505902.62673992664</v>
      </c>
      <c r="G928" s="11" cm="1">
        <f t="array" aca="1" ref="G928" ca="1">INDEX('Coste Carretera'!E$46:E$1646,MATCH(C928&amp;D928,'Coste Carretera'!C$46:C$1646&amp;'Coste Carretera'!D$46:D$1646,0))</f>
        <v>2795177088.6799998</v>
      </c>
      <c r="H928" s="11" cm="1">
        <f t="array" aca="1" ref="H928" ca="1">INDEX('Coste multimodal'!E$46:E$1646,MATCH(C928&amp;D928,'Coste multimodal'!C$46:C$1646&amp;'Coste multimodal'!D$46:D$1646,0))</f>
        <v>311710419.68325841</v>
      </c>
      <c r="I928" s="12" cm="1">
        <f t="array" aca="1" ref="I928" ca="1">INDEX('Tiempos intermodal (horas)'!E$45:E$1645,MATCH(C928&amp;D928,'Tiempos intermodal (horas)'!C$45:C$1645&amp;'Tiempos intermodal (horas)'!D$45:D$1645,0))</f>
        <v>65.99990949934309</v>
      </c>
      <c r="J928" s="2" cm="1">
        <f t="array" aca="1" ref="J928" ca="1">INDEX('Tiempos carretera (horas)'!E$45:E$1645,MATCH(C928&amp;D928,'Tiempos carretera (horas)'!C$45:C$1645&amp;'Tiempos carretera (horas)'!D$45:D$1645,0))</f>
        <v>14.23</v>
      </c>
      <c r="K928" s="12">
        <f t="shared" ca="1" si="90"/>
        <v>5.5251286333346883</v>
      </c>
      <c r="L928" s="12">
        <f t="shared" ca="1" si="91"/>
        <v>7.1816312908858757</v>
      </c>
      <c r="M928" s="12">
        <f t="shared" ca="1" si="92"/>
        <v>7.9015719449276933E-2</v>
      </c>
      <c r="N928" s="13">
        <f t="shared" ca="1" si="88"/>
        <v>-1.6565026575511874</v>
      </c>
      <c r="O928" s="13">
        <f t="shared" ca="1" si="89"/>
        <v>-51.769909499343086</v>
      </c>
      <c r="P928" s="12">
        <f t="shared" ca="1" si="93"/>
        <v>2.4557961552600562</v>
      </c>
    </row>
    <row r="929" spans="1:16" x14ac:dyDescent="0.25">
      <c r="A929">
        <v>5</v>
      </c>
      <c r="B929">
        <v>12</v>
      </c>
      <c r="C929" s="2" t="s">
        <v>4</v>
      </c>
      <c r="D929" s="2" t="s">
        <v>11</v>
      </c>
      <c r="E929" s="11" cm="1">
        <f t="array" aca="1" ref="E929" ca="1">INDEX('OD flujo mercancia multimodal'!E$45:E$1645,MATCH(C929&amp;D929,'OD flujo mercancia multimodal'!C$45:C$1645&amp;'OD flujo mercancia multimodal'!D$45:D$1645,0))</f>
        <v>64759.071428571428</v>
      </c>
      <c r="F929" s="11" cm="1">
        <f t="array" aca="1" ref="F929" ca="1">INDEX('OD flujo mercancia carretera'!E$45:E$1646,MATCH(C929&amp;D929,'OD flujo mercancia carretera'!C$45:C$1646&amp;'OD flujo mercancia carretera'!D$45:D$1646,0))</f>
        <v>107256.15384615381</v>
      </c>
      <c r="G929" s="11" cm="1">
        <f t="array" aca="1" ref="G929" ca="1">INDEX('Coste Carretera'!E$46:E$1646,MATCH(C929&amp;D929,'Coste Carretera'!C$46:C$1646&amp;'Coste Carretera'!D$46:D$1646,0))</f>
        <v>7101593748.8228559</v>
      </c>
      <c r="H929" s="11" cm="1">
        <f t="array" aca="1" ref="H929" ca="1">INDEX('Coste multimodal'!E$46:E$1646,MATCH(C929&amp;D929,'Coste multimodal'!C$46:C$1646&amp;'Coste multimodal'!D$46:D$1646,0))</f>
        <v>693728566.40237808</v>
      </c>
      <c r="I929" s="12" cm="1">
        <f t="array" aca="1" ref="I929" ca="1">INDEX('Tiempos intermodal (horas)'!E$45:E$1645,MATCH(C929&amp;D929,'Tiempos intermodal (horas)'!C$45:C$1645&amp;'Tiempos intermodal (horas)'!D$45:D$1645,0))</f>
        <v>73.982994944162911</v>
      </c>
      <c r="J929" s="2" cm="1">
        <f t="array" aca="1" ref="J929" ca="1">INDEX('Tiempos carretera (horas)'!E$45:E$1645,MATCH(C929&amp;D929,'Tiempos carretera (horas)'!C$45:C$1645&amp;'Tiempos carretera (horas)'!D$45:D$1645,0))</f>
        <v>22.15</v>
      </c>
      <c r="K929" s="12">
        <f t="shared" ca="1" si="90"/>
        <v>66.211527209984126</v>
      </c>
      <c r="L929" s="12">
        <f t="shared" ca="1" si="91"/>
        <v>10.712453886364838</v>
      </c>
      <c r="M929" s="12">
        <f t="shared" ca="1" si="92"/>
        <v>0.37647290421615193</v>
      </c>
      <c r="N929" s="13">
        <f t="shared" ca="1" si="88"/>
        <v>55.499073323619285</v>
      </c>
      <c r="O929" s="13">
        <f t="shared" ca="1" si="89"/>
        <v>-51.832994944162913</v>
      </c>
      <c r="P929" s="12">
        <f t="shared" ca="1" si="93"/>
        <v>0.50454614463134317</v>
      </c>
    </row>
    <row r="930" spans="1:16" x14ac:dyDescent="0.25">
      <c r="A930">
        <v>31</v>
      </c>
      <c r="B930">
        <v>14</v>
      </c>
      <c r="C930" s="2" t="s">
        <v>30</v>
      </c>
      <c r="D930" s="2" t="s">
        <v>13</v>
      </c>
      <c r="E930" s="11" cm="1">
        <f t="array" aca="1" ref="E930" ca="1">INDEX('OD flujo mercancia multimodal'!E$45:E$1645,MATCH(C930&amp;D930,'OD flujo mercancia multimodal'!C$45:C$1645&amp;'OD flujo mercancia multimodal'!D$45:D$1645,0))</f>
        <v>25754.69230769229</v>
      </c>
      <c r="F930" s="11" cm="1">
        <f t="array" aca="1" ref="F930" ca="1">INDEX('OD flujo mercancia carretera'!E$45:E$1646,MATCH(C930&amp;D930,'OD flujo mercancia carretera'!C$45:C$1646&amp;'OD flujo mercancia carretera'!D$45:D$1646,0))</f>
        <v>190310.07692307667</v>
      </c>
      <c r="G930" s="11" cm="1">
        <f t="array" aca="1" ref="G930" ca="1">INDEX('Coste Carretera'!E$46:E$1646,MATCH(C930&amp;D930,'Coste Carretera'!C$46:C$1646&amp;'Coste Carretera'!D$46:D$1646,0))</f>
        <v>2119581301.4799984</v>
      </c>
      <c r="H930" s="11" cm="1">
        <f t="array" aca="1" ref="H930" ca="1">INDEX('Coste multimodal'!E$46:E$1646,MATCH(C930&amp;D930,'Coste multimodal'!C$46:C$1646&amp;'Coste multimodal'!D$46:D$1646,0))</f>
        <v>308284245.3749001</v>
      </c>
      <c r="I930" s="12" cm="1">
        <f t="array" aca="1" ref="I930" ca="1">INDEX('Tiempos intermodal (horas)'!E$45:E$1645,MATCH(C930&amp;D930,'Tiempos intermodal (horas)'!C$45:C$1645&amp;'Tiempos intermodal (horas)'!D$45:D$1645,0))</f>
        <v>72.105053622958891</v>
      </c>
      <c r="J930" s="2" cm="1">
        <f t="array" aca="1" ref="J930" ca="1">INDEX('Tiempos carretera (horas)'!E$45:E$1645,MATCH(C930&amp;D930,'Tiempos carretera (horas)'!C$45:C$1645&amp;'Tiempos carretera (horas)'!D$45:D$1645,0))</f>
        <v>15.86</v>
      </c>
      <c r="K930" s="12">
        <f t="shared" ca="1" si="90"/>
        <v>11.137514816604972</v>
      </c>
      <c r="L930" s="12">
        <f t="shared" ca="1" si="91"/>
        <v>11.970022460055686</v>
      </c>
      <c r="M930" s="12">
        <f t="shared" ca="1" si="92"/>
        <v>0.11919894390642129</v>
      </c>
      <c r="N930" s="13">
        <f t="shared" ca="1" si="88"/>
        <v>-0.8325076434507146</v>
      </c>
      <c r="O930" s="13">
        <f t="shared" ca="1" si="89"/>
        <v>-56.245053622958892</v>
      </c>
      <c r="P930" s="12">
        <f t="shared" ca="1" si="93"/>
        <v>2.0000378896775342</v>
      </c>
    </row>
    <row r="931" spans="1:16" x14ac:dyDescent="0.25">
      <c r="A931">
        <v>14</v>
      </c>
      <c r="B931">
        <v>31</v>
      </c>
      <c r="C931" s="2" t="s">
        <v>13</v>
      </c>
      <c r="D931" s="2" t="s">
        <v>30</v>
      </c>
      <c r="E931" s="11" cm="1">
        <f t="array" aca="1" ref="E931" ca="1">INDEX('OD flujo mercancia multimodal'!E$45:E$1645,MATCH(C931&amp;D931,'OD flujo mercancia multimodal'!C$45:C$1645&amp;'OD flujo mercancia multimodal'!D$45:D$1645,0))</f>
        <v>14198.538461538465</v>
      </c>
      <c r="F931" s="11" cm="1">
        <f t="array" aca="1" ref="F931" ca="1">INDEX('OD flujo mercancia carretera'!E$45:E$1646,MATCH(C931&amp;D931,'OD flujo mercancia carretera'!C$45:C$1646&amp;'OD flujo mercancia carretera'!D$45:D$1646,0))</f>
        <v>128382.30769230767</v>
      </c>
      <c r="G931" s="11" cm="1">
        <f t="array" aca="1" ref="G931" ca="1">INDEX('Coste Carretera'!E$46:E$1646,MATCH(C931&amp;D931,'Coste Carretera'!C$46:C$1646&amp;'Coste Carretera'!D$46:D$1646,0))</f>
        <v>1589139321.8920002</v>
      </c>
      <c r="H931" s="11" cm="1">
        <f t="array" aca="1" ref="H931" ca="1">INDEX('Coste multimodal'!E$46:E$1646,MATCH(C931&amp;D931,'Coste multimodal'!C$46:C$1646&amp;'Coste multimodal'!D$46:D$1646,0))</f>
        <v>308284245.3749001</v>
      </c>
      <c r="I931" s="12" cm="1">
        <f t="array" aca="1" ref="I931" ca="1">INDEX('Tiempos intermodal (horas)'!E$45:E$1645,MATCH(C931&amp;D931,'Tiempos intermodal (horas)'!C$45:C$1645&amp;'Tiempos intermodal (horas)'!D$45:D$1645,0))</f>
        <v>72.105053622958891</v>
      </c>
      <c r="J931" s="2" cm="1">
        <f t="array" aca="1" ref="J931" ca="1">INDEX('Tiempos carretera (horas)'!E$45:E$1645,MATCH(C931&amp;D931,'Tiempos carretera (horas)'!C$45:C$1645&amp;'Tiempos carretera (horas)'!D$45:D$1645,0))</f>
        <v>15.86</v>
      </c>
      <c r="K931" s="12">
        <f t="shared" ca="1" si="90"/>
        <v>12.378180065906522</v>
      </c>
      <c r="L931" s="12">
        <f t="shared" ca="1" si="91"/>
        <v>21.712392878322799</v>
      </c>
      <c r="M931" s="12">
        <f t="shared" ca="1" si="92"/>
        <v>9.9582369192970727E-2</v>
      </c>
      <c r="N931" s="13">
        <f t="shared" ca="1" si="88"/>
        <v>-9.3342128124162773</v>
      </c>
      <c r="O931" s="13">
        <f t="shared" ca="1" si="89"/>
        <v>-56.245053622958892</v>
      </c>
      <c r="P931" s="12">
        <f t="shared" ca="1" si="93"/>
        <v>2.2018735571372394</v>
      </c>
    </row>
    <row r="932" spans="1:16" x14ac:dyDescent="0.25">
      <c r="A932">
        <v>39</v>
      </c>
      <c r="B932">
        <v>5</v>
      </c>
      <c r="C932" s="2" t="s">
        <v>38</v>
      </c>
      <c r="D932" s="2" t="s">
        <v>4</v>
      </c>
      <c r="E932" s="11" cm="1">
        <f t="array" aca="1" ref="E932" ca="1">INDEX('OD flujo mercancia multimodal'!E$45:E$1645,MATCH(C932&amp;D932,'OD flujo mercancia multimodal'!C$45:C$1645&amp;'OD flujo mercancia multimodal'!D$45:D$1645,0))</f>
        <v>64898.642857142899</v>
      </c>
      <c r="F932" s="11" cm="1">
        <f t="array" aca="1" ref="F932" ca="1">INDEX('OD flujo mercancia carretera'!E$45:E$1646,MATCH(C932&amp;D932,'OD flujo mercancia carretera'!C$45:C$1646&amp;'OD flujo mercancia carretera'!D$45:D$1646,0))</f>
        <v>68249.153846153815</v>
      </c>
      <c r="G932" s="11" cm="1">
        <f t="array" aca="1" ref="G932" ca="1">INDEX('Coste Carretera'!E$46:E$1646,MATCH(C932&amp;D932,'Coste Carretera'!C$46:C$1646&amp;'Coste Carretera'!D$46:D$1646,0))</f>
        <v>10478334445.888577</v>
      </c>
      <c r="H932" s="11" cm="1">
        <f t="array" aca="1" ref="H932" ca="1">INDEX('Coste multimodal'!E$46:E$1646,MATCH(C932&amp;D932,'Coste multimodal'!C$46:C$1646&amp;'Coste multimodal'!D$46:D$1646,0))</f>
        <v>340813824.21482909</v>
      </c>
      <c r="I932" s="12" cm="1">
        <f t="array" aca="1" ref="I932" ca="1">INDEX('Tiempos intermodal (horas)'!E$45:E$1645,MATCH(C932&amp;D932,'Tiempos intermodal (horas)'!C$45:C$1645&amp;'Tiempos intermodal (horas)'!D$45:D$1645,0))</f>
        <v>89.791150707347967</v>
      </c>
      <c r="J932" s="2" cm="1">
        <f t="array" aca="1" ref="J932" ca="1">INDEX('Tiempos carretera (horas)'!E$45:E$1645,MATCH(C932&amp;D932,'Tiempos carretera (horas)'!C$45:C$1645&amp;'Tiempos carretera (horas)'!D$45:D$1645,0))</f>
        <v>27</v>
      </c>
      <c r="K932" s="12">
        <f t="shared" ca="1" si="90"/>
        <v>153.53061328069614</v>
      </c>
      <c r="L932" s="12">
        <f t="shared" ca="1" si="91"/>
        <v>5.2514784471693821</v>
      </c>
      <c r="M932" s="12">
        <f t="shared" ca="1" si="92"/>
        <v>0.48741807573249929</v>
      </c>
      <c r="N932" s="13">
        <f t="shared" ca="1" si="88"/>
        <v>148.27913483352677</v>
      </c>
      <c r="O932" s="13">
        <f t="shared" ca="1" si="89"/>
        <v>-62.791150707347967</v>
      </c>
      <c r="P932" s="12">
        <f t="shared" ca="1" si="93"/>
        <v>5.0338323930359953E-2</v>
      </c>
    </row>
    <row r="933" spans="1:16" x14ac:dyDescent="0.25">
      <c r="A933">
        <v>12</v>
      </c>
      <c r="B933">
        <v>8</v>
      </c>
      <c r="C933" s="2" t="s">
        <v>11</v>
      </c>
      <c r="D933" s="2" t="s">
        <v>7</v>
      </c>
      <c r="E933" s="11" cm="1">
        <f t="array" aca="1" ref="E933" ca="1">INDEX('OD flujo mercancia multimodal'!E$45:E$1645,MATCH(C933&amp;D933,'OD flujo mercancia multimodal'!C$45:C$1645&amp;'OD flujo mercancia multimodal'!D$45:D$1645,0))</f>
        <v>39958.241758241718</v>
      </c>
      <c r="F933" s="11" cm="1">
        <f t="array" aca="1" ref="F933" ca="1">INDEX('OD flujo mercancia carretera'!E$45:E$1646,MATCH(C933&amp;D933,'OD flujo mercancia carretera'!C$45:C$1646&amp;'OD flujo mercancia carretera'!D$45:D$1646,0))</f>
        <v>161273.07692307676</v>
      </c>
      <c r="G933" s="11" cm="1">
        <f t="array" aca="1" ref="G933" ca="1">INDEX('Coste Carretera'!E$46:E$1646,MATCH(C933&amp;D933,'Coste Carretera'!C$46:C$1646&amp;'Coste Carretera'!D$46:D$1646,0))</f>
        <v>4121663867.4285674</v>
      </c>
      <c r="H933" s="11" cm="1">
        <f t="array" aca="1" ref="H933" ca="1">INDEX('Coste multimodal'!E$46:E$1646,MATCH(C933&amp;D933,'Coste multimodal'!C$46:C$1646&amp;'Coste multimodal'!D$46:D$1646,0))</f>
        <v>670760983.15494251</v>
      </c>
      <c r="I933" s="12" cm="1">
        <f t="array" aca="1" ref="I933" ca="1">INDEX('Tiempos intermodal (horas)'!E$45:E$1645,MATCH(C933&amp;D933,'Tiempos intermodal (horas)'!C$45:C$1645&amp;'Tiempos intermodal (horas)'!D$45:D$1645,0))</f>
        <v>71.85122415481888</v>
      </c>
      <c r="J933" s="2" cm="1">
        <f t="array" aca="1" ref="J933" ca="1">INDEX('Tiempos carretera (horas)'!E$45:E$1645,MATCH(C933&amp;D933,'Tiempos carretera (horas)'!C$45:C$1645&amp;'Tiempos carretera (horas)'!D$45:D$1645,0))</f>
        <v>19.5</v>
      </c>
      <c r="K933" s="12">
        <f t="shared" ca="1" si="90"/>
        <v>25.557048616332278</v>
      </c>
      <c r="L933" s="12">
        <f t="shared" ca="1" si="91"/>
        <v>16.786548998157368</v>
      </c>
      <c r="M933" s="12">
        <f t="shared" ca="1" si="92"/>
        <v>0.19856870202953791</v>
      </c>
      <c r="N933" s="13">
        <f t="shared" ca="1" si="88"/>
        <v>8.7704996181749095</v>
      </c>
      <c r="O933" s="13">
        <f t="shared" ca="1" si="89"/>
        <v>-52.35122415481888</v>
      </c>
      <c r="P933" s="12">
        <f t="shared" ca="1" si="93"/>
        <v>1.3952641053691661</v>
      </c>
    </row>
    <row r="934" spans="1:16" x14ac:dyDescent="0.25">
      <c r="A934">
        <v>8</v>
      </c>
      <c r="B934">
        <v>12</v>
      </c>
      <c r="C934" s="2" t="s">
        <v>7</v>
      </c>
      <c r="D934" s="2" t="s">
        <v>11</v>
      </c>
      <c r="E934" s="11" cm="1">
        <f t="array" aca="1" ref="E934" ca="1">INDEX('OD flujo mercancia multimodal'!E$45:E$1645,MATCH(C934&amp;D934,'OD flujo mercancia multimodal'!C$45:C$1645&amp;'OD flujo mercancia multimodal'!D$45:D$1645,0))</f>
        <v>25175.642857142855</v>
      </c>
      <c r="F934" s="11" cm="1">
        <f t="array" aca="1" ref="F934" ca="1">INDEX('OD flujo mercancia carretera'!E$45:E$1646,MATCH(C934&amp;D934,'OD flujo mercancia carretera'!C$45:C$1646&amp;'OD flujo mercancia carretera'!D$45:D$1646,0))</f>
        <v>159113.99999999997</v>
      </c>
      <c r="G934" s="11" cm="1">
        <f t="array" aca="1" ref="G934" ca="1">INDEX('Coste Carretera'!E$46:E$1646,MATCH(C934&amp;D934,'Coste Carretera'!C$46:C$1646&amp;'Coste Carretera'!D$46:D$1646,0))</f>
        <v>2596849434.2514281</v>
      </c>
      <c r="H934" s="11" cm="1">
        <f t="array" aca="1" ref="H934" ca="1">INDEX('Coste multimodal'!E$46:E$1646,MATCH(C934&amp;D934,'Coste multimodal'!C$46:C$1646&amp;'Coste multimodal'!D$46:D$1646,0))</f>
        <v>670760983.15494251</v>
      </c>
      <c r="I934" s="12" cm="1">
        <f t="array" aca="1" ref="I934" ca="1">INDEX('Tiempos intermodal (horas)'!E$45:E$1645,MATCH(C934&amp;D934,'Tiempos intermodal (horas)'!C$45:C$1645&amp;'Tiempos intermodal (horas)'!D$45:D$1645,0))</f>
        <v>71.85122415481888</v>
      </c>
      <c r="J934" s="2" cm="1">
        <f t="array" aca="1" ref="J934" ca="1">INDEX('Tiempos carretera (horas)'!E$45:E$1645,MATCH(C934&amp;D934,'Tiempos carretera (horas)'!C$45:C$1645&amp;'Tiempos carretera (horas)'!D$45:D$1645,0))</f>
        <v>19.5</v>
      </c>
      <c r="K934" s="12">
        <f t="shared" ca="1" si="90"/>
        <v>16.320684755907266</v>
      </c>
      <c r="L934" s="12">
        <f t="shared" ca="1" si="91"/>
        <v>26.643251453840577</v>
      </c>
      <c r="M934" s="12">
        <f t="shared" ca="1" si="92"/>
        <v>0.13660910329430961</v>
      </c>
      <c r="N934" s="13">
        <f t="shared" ca="1" si="88"/>
        <v>-10.322566697933311</v>
      </c>
      <c r="O934" s="13">
        <f t="shared" ca="1" si="89"/>
        <v>-52.35122415481888</v>
      </c>
      <c r="P934" s="12">
        <f t="shared" ca="1" si="93"/>
        <v>1.8437439526285713</v>
      </c>
    </row>
    <row r="935" spans="1:16" x14ac:dyDescent="0.25">
      <c r="A935">
        <v>13</v>
      </c>
      <c r="B935">
        <v>4</v>
      </c>
      <c r="C935" s="2" t="s">
        <v>12</v>
      </c>
      <c r="D935" s="2" t="s">
        <v>3</v>
      </c>
      <c r="E935" s="11" cm="1">
        <f t="array" aca="1" ref="E935" ca="1">INDEX('OD flujo mercancia multimodal'!E$45:E$1645,MATCH(C935&amp;D935,'OD flujo mercancia multimodal'!C$45:C$1645&amp;'OD flujo mercancia multimodal'!D$45:D$1645,0))</f>
        <v>32948.917582417555</v>
      </c>
      <c r="F935" s="11" cm="1">
        <f t="array" aca="1" ref="F935" ca="1">INDEX('OD flujo mercancia carretera'!E$45:E$1646,MATCH(C935&amp;D935,'OD flujo mercancia carretera'!C$45:C$1646&amp;'OD flujo mercancia carretera'!D$45:D$1646,0))</f>
        <v>54150.69230769229</v>
      </c>
      <c r="G935" s="11" cm="1">
        <f t="array" aca="1" ref="G935" ca="1">INDEX('Coste Carretera'!E$46:E$1646,MATCH(C935&amp;D935,'Coste Carretera'!C$46:C$1646&amp;'Coste Carretera'!D$46:D$1646,0))</f>
        <v>3175425572.8714256</v>
      </c>
      <c r="H935" s="11" cm="1">
        <f t="array" aca="1" ref="H935" ca="1">INDEX('Coste multimodal'!E$46:E$1646,MATCH(C935&amp;D935,'Coste multimodal'!C$46:C$1646&amp;'Coste multimodal'!D$46:D$1646,0))</f>
        <v>367577756.35432869</v>
      </c>
      <c r="I935" s="12" cm="1">
        <f t="array" aca="1" ref="I935" ca="1">INDEX('Tiempos intermodal (horas)'!E$45:E$1645,MATCH(C935&amp;D935,'Tiempos intermodal (horas)'!C$45:C$1645&amp;'Tiempos intermodal (horas)'!D$45:D$1645,0))</f>
        <v>67.109263792112415</v>
      </c>
      <c r="J935" s="2" cm="1">
        <f t="array" aca="1" ref="J935" ca="1">INDEX('Tiempos carretera (horas)'!E$45:E$1645,MATCH(C935&amp;D935,'Tiempos carretera (horas)'!C$45:C$1645&amp;'Tiempos carretera (horas)'!D$45:D$1645,0))</f>
        <v>19.36</v>
      </c>
      <c r="K935" s="12">
        <f t="shared" ca="1" si="90"/>
        <v>58.640535098391453</v>
      </c>
      <c r="L935" s="12">
        <f t="shared" ca="1" si="91"/>
        <v>11.155988825274134</v>
      </c>
      <c r="M935" s="12">
        <f t="shared" ca="1" si="92"/>
        <v>0.37829007069018916</v>
      </c>
      <c r="N935" s="13">
        <f t="shared" ca="1" si="88"/>
        <v>47.484546273117317</v>
      </c>
      <c r="O935" s="13">
        <f t="shared" ca="1" si="89"/>
        <v>-47.749263792112416</v>
      </c>
      <c r="P935" s="12">
        <f t="shared" ca="1" si="93"/>
        <v>0.49681234826126586</v>
      </c>
    </row>
    <row r="936" spans="1:16" x14ac:dyDescent="0.25">
      <c r="A936">
        <v>38</v>
      </c>
      <c r="B936">
        <v>20</v>
      </c>
      <c r="C936" s="2" t="s">
        <v>37</v>
      </c>
      <c r="D936" s="2" t="s">
        <v>19</v>
      </c>
      <c r="E936" s="11" cm="1">
        <f t="array" aca="1" ref="E936" ca="1">INDEX('OD flujo mercancia multimodal'!E$45:E$1645,MATCH(C936&amp;D936,'OD flujo mercancia multimodal'!C$45:C$1645&amp;'OD flujo mercancia multimodal'!D$45:D$1645,0))</f>
        <v>58481.692307692298</v>
      </c>
      <c r="F936" s="11" cm="1">
        <f t="array" aca="1" ref="F936" ca="1">INDEX('OD flujo mercancia carretera'!E$45:E$1646,MATCH(C936&amp;D936,'OD flujo mercancia carretera'!C$45:C$1646&amp;'OD flujo mercancia carretera'!D$45:D$1646,0))</f>
        <v>68512.358974359013</v>
      </c>
      <c r="G936" s="11" cm="1">
        <f t="array" aca="1" ref="G936" ca="1">INDEX('Coste Carretera'!E$46:E$1646,MATCH(C936&amp;D936,'Coste Carretera'!C$46:C$1646&amp;'Coste Carretera'!D$46:D$1646,0))</f>
        <v>6725166854.4399996</v>
      </c>
      <c r="H936" s="11" cm="1">
        <f t="array" aca="1" ref="H936" ca="1">INDEX('Coste multimodal'!E$46:E$1646,MATCH(C936&amp;D936,'Coste multimodal'!C$46:C$1646&amp;'Coste multimodal'!D$46:D$1646,0))</f>
        <v>326218076.56172609</v>
      </c>
      <c r="I936" s="12" cm="1">
        <f t="array" aca="1" ref="I936" ca="1">INDEX('Tiempos intermodal (horas)'!E$45:E$1645,MATCH(C936&amp;D936,'Tiempos intermodal (horas)'!C$45:C$1645&amp;'Tiempos intermodal (horas)'!D$45:D$1645,0))</f>
        <v>72.3482291432057</v>
      </c>
      <c r="J936" s="2" cm="1">
        <f t="array" aca="1" ref="J936" ca="1">INDEX('Tiempos carretera (horas)'!E$45:E$1645,MATCH(C936&amp;D936,'Tiempos carretera (horas)'!C$45:C$1645&amp;'Tiempos carretera (horas)'!D$45:D$1645,0))</f>
        <v>19.95</v>
      </c>
      <c r="K936" s="12">
        <f t="shared" ca="1" si="90"/>
        <v>98.159908009544921</v>
      </c>
      <c r="L936" s="12">
        <f t="shared" ca="1" si="91"/>
        <v>5.578123061921338</v>
      </c>
      <c r="M936" s="12">
        <f t="shared" ca="1" si="92"/>
        <v>0.46050733650354692</v>
      </c>
      <c r="N936" s="13">
        <f t="shared" ca="1" si="88"/>
        <v>92.581784947623589</v>
      </c>
      <c r="O936" s="13">
        <f t="shared" ca="1" si="89"/>
        <v>-52.398229143205697</v>
      </c>
      <c r="P936" s="12">
        <f t="shared" ca="1" si="93"/>
        <v>0.15830039872440085</v>
      </c>
    </row>
    <row r="937" spans="1:16" x14ac:dyDescent="0.25">
      <c r="A937">
        <v>20</v>
      </c>
      <c r="B937">
        <v>38</v>
      </c>
      <c r="C937" s="2" t="s">
        <v>19</v>
      </c>
      <c r="D937" s="2" t="s">
        <v>37</v>
      </c>
      <c r="E937" s="11" cm="1">
        <f t="array" aca="1" ref="E937" ca="1">INDEX('OD flujo mercancia multimodal'!E$45:E$1645,MATCH(C937&amp;D937,'OD flujo mercancia multimodal'!C$45:C$1645&amp;'OD flujo mercancia multimodal'!D$45:D$1645,0))</f>
        <v>32077.76923076923</v>
      </c>
      <c r="F937" s="11" cm="1">
        <f t="array" aca="1" ref="F937" ca="1">INDEX('OD flujo mercancia carretera'!E$45:E$1646,MATCH(C937&amp;D937,'OD flujo mercancia carretera'!C$45:C$1646&amp;'OD flujo mercancia carretera'!D$45:D$1646,0))</f>
        <v>68709.717948717953</v>
      </c>
      <c r="G937" s="11" cm="1">
        <f t="array" aca="1" ref="G937" ca="1">INDEX('Coste Carretera'!E$46:E$1646,MATCH(C937&amp;D937,'Coste Carretera'!C$46:C$1646&amp;'Coste Carretera'!D$46:D$1646,0))</f>
        <v>4420982403.0000048</v>
      </c>
      <c r="H937" s="11" cm="1">
        <f t="array" aca="1" ref="H937" ca="1">INDEX('Coste multimodal'!E$46:E$1646,MATCH(C937&amp;D937,'Coste multimodal'!C$46:C$1646&amp;'Coste multimodal'!D$46:D$1646,0))</f>
        <v>326218076.56172609</v>
      </c>
      <c r="I937" s="12" cm="1">
        <f t="array" aca="1" ref="I937" ca="1">INDEX('Tiempos intermodal (horas)'!E$45:E$1645,MATCH(C937&amp;D937,'Tiempos intermodal (horas)'!C$45:C$1645&amp;'Tiempos intermodal (horas)'!D$45:D$1645,0))</f>
        <v>72.3482291432057</v>
      </c>
      <c r="J937" s="2" cm="1">
        <f t="array" aca="1" ref="J937" ca="1">INDEX('Tiempos carretera (horas)'!E$45:E$1645,MATCH(C937&amp;D937,'Tiempos carretera (horas)'!C$45:C$1645&amp;'Tiempos carretera (horas)'!D$45:D$1645,0))</f>
        <v>19.95</v>
      </c>
      <c r="K937" s="12">
        <f t="shared" ca="1" si="90"/>
        <v>64.342898428132685</v>
      </c>
      <c r="L937" s="12">
        <f t="shared" ca="1" si="91"/>
        <v>10.169599831425163</v>
      </c>
      <c r="M937" s="12">
        <f t="shared" ca="1" si="92"/>
        <v>0.31827134625991421</v>
      </c>
      <c r="N937" s="13">
        <f t="shared" ca="1" si="88"/>
        <v>54.173298596707525</v>
      </c>
      <c r="O937" s="13">
        <f t="shared" ca="1" si="89"/>
        <v>-52.398229143205697</v>
      </c>
      <c r="P937" s="12">
        <f t="shared" ca="1" si="93"/>
        <v>0.76172740119589055</v>
      </c>
    </row>
    <row r="938" spans="1:16" x14ac:dyDescent="0.25">
      <c r="A938">
        <v>39</v>
      </c>
      <c r="B938">
        <v>35</v>
      </c>
      <c r="C938" s="2" t="s">
        <v>38</v>
      </c>
      <c r="D938" s="2" t="s">
        <v>34</v>
      </c>
      <c r="E938" s="11" cm="1">
        <f t="array" aca="1" ref="E938" ca="1">INDEX('OD flujo mercancia multimodal'!E$45:E$1645,MATCH(C938&amp;D938,'OD flujo mercancia multimodal'!C$45:C$1645&amp;'OD flujo mercancia multimodal'!D$45:D$1645,0))</f>
        <v>23117.615384615401</v>
      </c>
      <c r="F938" s="11" cm="1">
        <f t="array" aca="1" ref="F938" ca="1">INDEX('OD flujo mercancia carretera'!E$45:E$1646,MATCH(C938&amp;D938,'OD flujo mercancia carretera'!C$45:C$1646&amp;'OD flujo mercancia carretera'!D$45:D$1646,0))</f>
        <v>20862.230769230806</v>
      </c>
      <c r="G938" s="11" cm="1">
        <f t="array" aca="1" ref="G938" ca="1">INDEX('Coste Carretera'!E$46:E$1646,MATCH(C938&amp;D938,'Coste Carretera'!C$46:C$1646&amp;'Coste Carretera'!D$46:D$1646,0))</f>
        <v>37923127647.360039</v>
      </c>
      <c r="H938" s="11" cm="1">
        <f t="array" aca="1" ref="H938" ca="1">INDEX('Coste multimodal'!E$46:E$1646,MATCH(C938&amp;D938,'Coste multimodal'!C$46:C$1646&amp;'Coste multimodal'!D$46:D$1646,0))</f>
        <v>1049027983.4460654</v>
      </c>
      <c r="I938" s="12" cm="1">
        <f t="array" aca="1" ref="I938" ca="1">INDEX('Tiempos intermodal (horas)'!E$45:E$1645,MATCH(C938&amp;D938,'Tiempos intermodal (horas)'!C$45:C$1645&amp;'Tiempos intermodal (horas)'!D$45:D$1645,0))</f>
        <v>85.810191599802934</v>
      </c>
      <c r="J938" s="2" cm="1">
        <f t="array" aca="1" ref="J938" ca="1">INDEX('Tiempos carretera (horas)'!E$45:E$1645,MATCH(C938&amp;D938,'Tiempos carretera (horas)'!C$45:C$1645&amp;'Tiempos carretera (horas)'!D$45:D$1645,0))</f>
        <v>24</v>
      </c>
      <c r="K938" s="12">
        <f t="shared" ca="1" si="90"/>
        <v>1817.7887142966481</v>
      </c>
      <c r="L938" s="12">
        <f t="shared" ca="1" si="91"/>
        <v>45.37786298426721</v>
      </c>
      <c r="M938" s="12">
        <f t="shared" ca="1" si="92"/>
        <v>0.52564111533604529</v>
      </c>
      <c r="N938" s="13">
        <f t="shared" ca="1" si="88"/>
        <v>1772.4108513123808</v>
      </c>
      <c r="O938" s="13">
        <f t="shared" ca="1" si="89"/>
        <v>-61.810191599802934</v>
      </c>
      <c r="P938" s="12">
        <f t="shared" ca="1" si="93"/>
        <v>-0.10265451378619046</v>
      </c>
    </row>
    <row r="939" spans="1:16" x14ac:dyDescent="0.25">
      <c r="A939">
        <v>35</v>
      </c>
      <c r="B939">
        <v>39</v>
      </c>
      <c r="C939" s="2" t="s">
        <v>34</v>
      </c>
      <c r="D939" s="2" t="s">
        <v>38</v>
      </c>
      <c r="E939" s="11" cm="1">
        <f t="array" aca="1" ref="E939" ca="1">INDEX('OD flujo mercancia multimodal'!E$45:E$1645,MATCH(C939&amp;D939,'OD flujo mercancia multimodal'!C$45:C$1645&amp;'OD flujo mercancia multimodal'!D$45:D$1645,0))</f>
        <v>12921.692307692312</v>
      </c>
      <c r="F939" s="11" cm="1">
        <f t="array" aca="1" ref="F939" ca="1">INDEX('OD flujo mercancia carretera'!E$45:E$1646,MATCH(C939&amp;D939,'OD flujo mercancia carretera'!C$45:C$1646&amp;'OD flujo mercancia carretera'!D$45:D$1646,0))</f>
        <v>105407.2271062271</v>
      </c>
      <c r="G939" s="11" cm="1">
        <f t="array" aca="1" ref="G939" ca="1">INDEX('Coste Carretera'!E$46:E$1646,MATCH(C939&amp;D939,'Coste Carretera'!C$46:C$1646&amp;'Coste Carretera'!D$46:D$1646,0))</f>
        <v>13034779191.719999</v>
      </c>
      <c r="H939" s="11" cm="1">
        <f t="array" aca="1" ref="H939" ca="1">INDEX('Coste multimodal'!E$46:E$1646,MATCH(C939&amp;D939,'Coste multimodal'!C$46:C$1646&amp;'Coste multimodal'!D$46:D$1646,0))</f>
        <v>938704196.21324885</v>
      </c>
      <c r="I939" s="12" cm="1">
        <f t="array" aca="1" ref="I939" ca="1">INDEX('Tiempos intermodal (horas)'!E$45:E$1645,MATCH(C939&amp;D939,'Tiempos intermodal (horas)'!C$45:C$1645&amp;'Tiempos intermodal (horas)'!D$45:D$1645,0))</f>
        <v>72.7102687453078</v>
      </c>
      <c r="J939" s="2" cm="1">
        <f t="array" aca="1" ref="J939" ca="1">INDEX('Tiempos carretera (horas)'!E$45:E$1645,MATCH(C939&amp;D939,'Tiempos carretera (horas)'!C$45:C$1645&amp;'Tiempos carretera (horas)'!D$45:D$1645,0))</f>
        <v>20.18</v>
      </c>
      <c r="K939" s="12">
        <f t="shared" ca="1" si="90"/>
        <v>123.66115255630274</v>
      </c>
      <c r="L939" s="12">
        <f t="shared" ca="1" si="91"/>
        <v>72.645608164995238</v>
      </c>
      <c r="M939" s="12">
        <f t="shared" ca="1" si="92"/>
        <v>0.1092014730776988</v>
      </c>
      <c r="N939" s="13">
        <f t="shared" ca="1" si="88"/>
        <v>51.0155443913075</v>
      </c>
      <c r="O939" s="13">
        <f t="shared" ca="1" si="89"/>
        <v>-52.530268745307801</v>
      </c>
      <c r="P939" s="12">
        <f t="shared" ca="1" si="93"/>
        <v>2.0989237287824611</v>
      </c>
    </row>
    <row r="940" spans="1:16" x14ac:dyDescent="0.25">
      <c r="A940">
        <v>14</v>
      </c>
      <c r="B940">
        <v>3</v>
      </c>
      <c r="C940" s="2" t="s">
        <v>13</v>
      </c>
      <c r="D940" s="2" t="s">
        <v>2</v>
      </c>
      <c r="E940" s="11" cm="1">
        <f t="array" aca="1" ref="E940" ca="1">INDEX('OD flujo mercancia multimodal'!E$45:E$1645,MATCH(C940&amp;D940,'OD flujo mercancia multimodal'!C$45:C$1645&amp;'OD flujo mercancia multimodal'!D$45:D$1645,0))</f>
        <v>28037.791208791226</v>
      </c>
      <c r="F940" s="11" cm="1">
        <f t="array" aca="1" ref="F940" ca="1">INDEX('OD flujo mercancia carretera'!E$45:E$1646,MATCH(C940&amp;D940,'OD flujo mercancia carretera'!C$45:C$1646&amp;'OD flujo mercancia carretera'!D$45:D$1646,0))</f>
        <v>146091.07692307688</v>
      </c>
      <c r="G940" s="11" cm="1">
        <f t="array" aca="1" ref="G940" ca="1">INDEX('Coste Carretera'!E$46:E$1646,MATCH(C940&amp;D940,'Coste Carretera'!C$46:C$1646&amp;'Coste Carretera'!D$46:D$1646,0))</f>
        <v>1746438126.0228581</v>
      </c>
      <c r="H940" s="11" cm="1">
        <f t="array" aca="1" ref="H940" ca="1">INDEX('Coste multimodal'!E$46:E$1646,MATCH(C940&amp;D940,'Coste multimodal'!C$46:C$1646&amp;'Coste multimodal'!D$46:D$1646,0))</f>
        <v>351276787.67795336</v>
      </c>
      <c r="I940" s="12" cm="1">
        <f t="array" aca="1" ref="I940" ca="1">INDEX('Tiempos intermodal (horas)'!E$45:E$1645,MATCH(C940&amp;D940,'Tiempos intermodal (horas)'!C$45:C$1645&amp;'Tiempos intermodal (horas)'!D$45:D$1645,0))</f>
        <v>52.595543552341404</v>
      </c>
      <c r="J940" s="2" cm="1">
        <f t="array" aca="1" ref="J940" ca="1">INDEX('Tiempos carretera (horas)'!E$45:E$1645,MATCH(C940&amp;D940,'Tiempos carretera (horas)'!C$45:C$1645&amp;'Tiempos carretera (horas)'!D$45:D$1645,0))</f>
        <v>12.03</v>
      </c>
      <c r="K940" s="12">
        <f t="shared" ca="1" si="90"/>
        <v>11.954447614500314</v>
      </c>
      <c r="L940" s="12">
        <f t="shared" ca="1" si="91"/>
        <v>12.528689762402211</v>
      </c>
      <c r="M940" s="12">
        <f t="shared" ca="1" si="92"/>
        <v>0.16101747808731035</v>
      </c>
      <c r="N940" s="13">
        <f t="shared" ca="1" si="88"/>
        <v>-0.57424214790189687</v>
      </c>
      <c r="O940" s="13">
        <f t="shared" ca="1" si="89"/>
        <v>-40.565543552341403</v>
      </c>
      <c r="P940" s="12">
        <f t="shared" ca="1" si="93"/>
        <v>1.6506769555625491</v>
      </c>
    </row>
    <row r="941" spans="1:16" x14ac:dyDescent="0.25">
      <c r="A941">
        <v>37</v>
      </c>
      <c r="B941">
        <v>34</v>
      </c>
      <c r="C941" s="2" t="s">
        <v>36</v>
      </c>
      <c r="D941" s="2" t="s">
        <v>33</v>
      </c>
      <c r="E941" s="11" cm="1">
        <f t="array" aca="1" ref="E941" ca="1">INDEX('OD flujo mercancia multimodal'!E$45:E$1645,MATCH(C941&amp;D941,'OD flujo mercancia multimodal'!C$45:C$1645&amp;'OD flujo mercancia multimodal'!D$45:D$1645,0))</f>
        <v>302374.46153846185</v>
      </c>
      <c r="F941" s="11" cm="1">
        <f t="array" aca="1" ref="F941" ca="1">INDEX('OD flujo mercancia carretera'!E$45:E$1646,MATCH(C941&amp;D941,'OD flujo mercancia carretera'!C$45:C$1646&amp;'OD flujo mercancia carretera'!D$45:D$1646,0))</f>
        <v>349118.96398046409</v>
      </c>
      <c r="G941" s="11" cm="1">
        <f t="array" aca="1" ref="G941" ca="1">INDEX('Coste Carretera'!E$46:E$1646,MATCH(C941&amp;D941,'Coste Carretera'!C$46:C$1646&amp;'Coste Carretera'!D$46:D$1646,0))</f>
        <v>6568199780.9999962</v>
      </c>
      <c r="H941" s="11" cm="1">
        <f t="array" aca="1" ref="H941" ca="1">INDEX('Coste multimodal'!E$46:E$1646,MATCH(C941&amp;D941,'Coste multimodal'!C$46:C$1646&amp;'Coste multimodal'!D$46:D$1646,0))</f>
        <v>798878981.74924898</v>
      </c>
      <c r="I941" s="12" cm="1">
        <f t="array" aca="1" ref="I941" ca="1">INDEX('Tiempos intermodal (horas)'!E$45:E$1645,MATCH(C941&amp;D941,'Tiempos intermodal (horas)'!C$45:C$1645&amp;'Tiempos intermodal (horas)'!D$45:D$1645,0))</f>
        <v>72.063602078641139</v>
      </c>
      <c r="J941" s="2" cm="1">
        <f t="array" aca="1" ref="J941" ca="1">INDEX('Tiempos carretera (horas)'!E$45:E$1645,MATCH(C941&amp;D941,'Tiempos carretera (horas)'!C$45:C$1645&amp;'Tiempos carretera (horas)'!D$45:D$1645,0))</f>
        <v>19.399999999999999</v>
      </c>
      <c r="K941" s="12">
        <f t="shared" ca="1" si="90"/>
        <v>18.813643653478351</v>
      </c>
      <c r="L941" s="12">
        <f t="shared" ca="1" si="91"/>
        <v>2.6420186998749959</v>
      </c>
      <c r="M941" s="12">
        <f t="shared" ca="1" si="92"/>
        <v>0.46412511576400828</v>
      </c>
      <c r="N941" s="13">
        <f t="shared" ca="1" si="88"/>
        <v>16.171624953603356</v>
      </c>
      <c r="O941" s="13">
        <f t="shared" ca="1" si="89"/>
        <v>-52.663602078641141</v>
      </c>
      <c r="P941" s="12">
        <f t="shared" ca="1" si="93"/>
        <v>0.14374654696869466</v>
      </c>
    </row>
    <row r="942" spans="1:16" x14ac:dyDescent="0.25">
      <c r="A942">
        <v>34</v>
      </c>
      <c r="B942">
        <v>37</v>
      </c>
      <c r="C942" s="2" t="s">
        <v>33</v>
      </c>
      <c r="D942" s="2" t="s">
        <v>36</v>
      </c>
      <c r="E942" s="11" cm="1">
        <f t="array" aca="1" ref="E942" ca="1">INDEX('OD flujo mercancia multimodal'!E$45:E$1645,MATCH(C942&amp;D942,'OD flujo mercancia multimodal'!C$45:C$1645&amp;'OD flujo mercancia multimodal'!D$45:D$1645,0))</f>
        <v>134811.61538461543</v>
      </c>
      <c r="F942" s="11" cm="1">
        <f t="array" aca="1" ref="F942" ca="1">INDEX('OD flujo mercancia carretera'!E$45:E$1646,MATCH(C942&amp;D942,'OD flujo mercancia carretera'!C$45:C$1646&amp;'OD flujo mercancia carretera'!D$45:D$1646,0))</f>
        <v>360761.65323565318</v>
      </c>
      <c r="G942" s="11" cm="1">
        <f t="array" aca="1" ref="G942" ca="1">INDEX('Coste Carretera'!E$46:E$1646,MATCH(C942&amp;D942,'Coste Carretera'!C$46:C$1646&amp;'Coste Carretera'!D$46:D$1646,0))</f>
        <v>3357334851.1199985</v>
      </c>
      <c r="H942" s="11" cm="1">
        <f t="array" aca="1" ref="H942" ca="1">INDEX('Coste multimodal'!E$46:E$1646,MATCH(C942&amp;D942,'Coste multimodal'!C$46:C$1646&amp;'Coste multimodal'!D$46:D$1646,0))</f>
        <v>798878981.74924898</v>
      </c>
      <c r="I942" s="12" cm="1">
        <f t="array" aca="1" ref="I942" ca="1">INDEX('Tiempos intermodal (horas)'!E$45:E$1645,MATCH(C942&amp;D942,'Tiempos intermodal (horas)'!C$45:C$1645&amp;'Tiempos intermodal (horas)'!D$45:D$1645,0))</f>
        <v>72.063602078641139</v>
      </c>
      <c r="J942" s="2" cm="1">
        <f t="array" aca="1" ref="J942" ca="1">INDEX('Tiempos carretera (horas)'!E$45:E$1645,MATCH(C942&amp;D942,'Tiempos carretera (horas)'!C$45:C$1645&amp;'Tiempos carretera (horas)'!D$45:D$1645,0))</f>
        <v>19.399999999999999</v>
      </c>
      <c r="K942" s="12">
        <f t="shared" ca="1" si="90"/>
        <v>9.306240896193458</v>
      </c>
      <c r="L942" s="12">
        <f t="shared" ca="1" si="91"/>
        <v>5.9258913222726379</v>
      </c>
      <c r="M942" s="12">
        <f t="shared" ca="1" si="92"/>
        <v>0.2720316528773758</v>
      </c>
      <c r="N942" s="13">
        <f t="shared" ca="1" si="88"/>
        <v>3.38034957392082</v>
      </c>
      <c r="O942" s="13">
        <f t="shared" ca="1" si="89"/>
        <v>-52.663602078641141</v>
      </c>
      <c r="P942" s="12">
        <f t="shared" ca="1" si="93"/>
        <v>0.98433913762613467</v>
      </c>
    </row>
    <row r="943" spans="1:16" x14ac:dyDescent="0.25">
      <c r="A943">
        <v>29</v>
      </c>
      <c r="B943">
        <v>5</v>
      </c>
      <c r="C943" s="2" t="s">
        <v>147</v>
      </c>
      <c r="D943" s="2" t="s">
        <v>4</v>
      </c>
      <c r="E943" s="11" cm="1">
        <f t="array" aca="1" ref="E943" ca="1">INDEX('OD flujo mercancia multimodal'!E$45:E$1645,MATCH(C943&amp;D943,'OD flujo mercancia multimodal'!C$45:C$1645&amp;'OD flujo mercancia multimodal'!D$45:D$1645,0))</f>
        <v>88154.442857142902</v>
      </c>
      <c r="F943" s="11" cm="1">
        <f t="array" aca="1" ref="F943" ca="1">INDEX('OD flujo mercancia carretera'!E$45:E$1646,MATCH(C943&amp;D943,'OD flujo mercancia carretera'!C$45:C$1646&amp;'OD flujo mercancia carretera'!D$45:D$1646,0))</f>
        <v>425562.56153846148</v>
      </c>
      <c r="G943" s="11" cm="1">
        <f t="array" aca="1" ref="G943" ca="1">INDEX('Coste Carretera'!E$46:E$1646,MATCH(C943&amp;D943,'Coste Carretera'!C$46:C$1646&amp;'Coste Carretera'!D$46:D$1646,0))</f>
        <v>5171566285.5034304</v>
      </c>
      <c r="H943" s="11" cm="1">
        <f t="array" aca="1" ref="H943" ca="1">INDEX('Coste multimodal'!E$46:E$1646,MATCH(C943&amp;D943,'Coste multimodal'!C$46:C$1646&amp;'Coste multimodal'!D$46:D$1646,0))</f>
        <v>2517960033.8041797</v>
      </c>
      <c r="I943" s="12" cm="1">
        <f t="array" aca="1" ref="I943" ca="1">INDEX('Tiempos intermodal (horas)'!E$45:E$1645,MATCH(C943&amp;D943,'Tiempos intermodal (horas)'!C$45:C$1645&amp;'Tiempos intermodal (horas)'!D$45:D$1645,0))</f>
        <v>84.380710524821694</v>
      </c>
      <c r="J943" s="2" cm="1">
        <f t="array" aca="1" ref="J943" ca="1">INDEX('Tiempos carretera (horas)'!E$45:E$1645,MATCH(C943&amp;D943,'Tiempos carretera (horas)'!C$45:C$1645&amp;'Tiempos carretera (horas)'!D$45:D$1645,0))</f>
        <v>11.86</v>
      </c>
      <c r="K943" s="12">
        <f t="shared" ca="1" si="90"/>
        <v>12.152305566560122</v>
      </c>
      <c r="L943" s="12">
        <f t="shared" ca="1" si="91"/>
        <v>28.563053116728497</v>
      </c>
      <c r="M943" s="12">
        <f t="shared" ca="1" si="92"/>
        <v>0.17160117750211112</v>
      </c>
      <c r="N943" s="13">
        <f t="shared" ca="1" si="88"/>
        <v>-16.410747550168374</v>
      </c>
      <c r="O943" s="13">
        <f t="shared" ca="1" si="89"/>
        <v>-72.520710524821695</v>
      </c>
      <c r="P943" s="12">
        <f t="shared" ca="1" si="93"/>
        <v>1.5743216591723614</v>
      </c>
    </row>
    <row r="944" spans="1:16" x14ac:dyDescent="0.25">
      <c r="A944">
        <v>9</v>
      </c>
      <c r="B944">
        <v>39</v>
      </c>
      <c r="C944" s="2" t="s">
        <v>148</v>
      </c>
      <c r="D944" s="2" t="s">
        <v>38</v>
      </c>
      <c r="E944" s="11" cm="1">
        <f t="array" aca="1" ref="E944" ca="1">INDEX('OD flujo mercancia multimodal'!E$45:E$1645,MATCH(C944&amp;D944,'OD flujo mercancia multimodal'!C$45:C$1645&amp;'OD flujo mercancia multimodal'!D$45:D$1645,0))</f>
        <v>4094.8846153846198</v>
      </c>
      <c r="F944" s="11" cm="1">
        <f t="array" aca="1" ref="F944" ca="1">INDEX('OD flujo mercancia carretera'!E$45:E$1646,MATCH(C944&amp;D944,'OD flujo mercancia carretera'!C$45:C$1646&amp;'OD flujo mercancia carretera'!D$45:D$1646,0))</f>
        <v>666456.13949938957</v>
      </c>
      <c r="G944" s="11" cm="1">
        <f t="array" aca="1" ref="G944" ca="1">INDEX('Coste Carretera'!E$46:E$1646,MATCH(C944&amp;D944,'Coste Carretera'!C$46:C$1646&amp;'Coste Carretera'!D$46:D$1646,0))</f>
        <v>112778927.03999999</v>
      </c>
      <c r="H944" s="11" cm="1">
        <f t="array" aca="1" ref="H944" ca="1">INDEX('Coste multimodal'!E$46:E$1646,MATCH(C944&amp;D944,'Coste multimodal'!C$46:C$1646&amp;'Coste multimodal'!D$46:D$1646,0))</f>
        <v>472486487.18310153</v>
      </c>
      <c r="I944" s="12" cm="1">
        <f t="array" aca="1" ref="I944" ca="1">INDEX('Tiempos intermodal (horas)'!E$45:E$1645,MATCH(C944&amp;D944,'Tiempos intermodal (horas)'!C$45:C$1645&amp;'Tiempos intermodal (horas)'!D$45:D$1645,0))</f>
        <v>74.976228151980123</v>
      </c>
      <c r="J944" s="2" cm="1">
        <f t="array" aca="1" ref="J944" ca="1">INDEX('Tiempos carretera (horas)'!E$45:E$1645,MATCH(C944&amp;D944,'Tiempos carretera (horas)'!C$45:C$1645&amp;'Tiempos carretera (horas)'!D$45:D$1645,0))</f>
        <v>22.1</v>
      </c>
      <c r="K944" s="12">
        <f t="shared" ca="1" si="90"/>
        <v>0.16922182924852971</v>
      </c>
      <c r="L944" s="12">
        <f t="shared" ca="1" si="91"/>
        <v>115.38456673674122</v>
      </c>
      <c r="M944" s="12">
        <f t="shared" ca="1" si="92"/>
        <v>6.1067457480815405E-3</v>
      </c>
      <c r="N944" s="13">
        <f t="shared" ca="1" si="88"/>
        <v>-115.21534490749269</v>
      </c>
      <c r="O944" s="13">
        <f t="shared" ca="1" si="89"/>
        <v>-52.876228151980122</v>
      </c>
      <c r="P944" s="12">
        <f t="shared" ca="1" si="93"/>
        <v>5.0922357902938558</v>
      </c>
    </row>
    <row r="945" spans="1:16" x14ac:dyDescent="0.25">
      <c r="A945">
        <v>39</v>
      </c>
      <c r="B945">
        <v>9</v>
      </c>
      <c r="C945" s="2" t="s">
        <v>38</v>
      </c>
      <c r="D945" s="2" t="s">
        <v>148</v>
      </c>
      <c r="E945" s="11" cm="1">
        <f t="array" aca="1" ref="E945" ca="1">INDEX('OD flujo mercancia multimodal'!E$45:E$1645,MATCH(C945&amp;D945,'OD flujo mercancia multimodal'!C$45:C$1645&amp;'OD flujo mercancia multimodal'!D$45:D$1645,0))</f>
        <v>619.45454545454504</v>
      </c>
      <c r="F945" s="11" cm="1">
        <f t="array" aca="1" ref="F945" ca="1">INDEX('OD flujo mercancia carretera'!E$45:E$1646,MATCH(C945&amp;D945,'OD flujo mercancia carretera'!C$45:C$1646&amp;'OD flujo mercancia carretera'!D$45:D$1646,0))</f>
        <v>575515.31410256424</v>
      </c>
      <c r="G945" s="11" cm="1">
        <f t="array" aca="1" ref="G945" ca="1">INDEX('Coste Carretera'!E$46:E$1646,MATCH(C945&amp;D945,'Coste Carretera'!C$46:C$1646&amp;'Coste Carretera'!D$46:D$1646,0))</f>
        <v>812050718.48727262</v>
      </c>
      <c r="H945" s="11" cm="1">
        <f t="array" aca="1" ref="H945" ca="1">INDEX('Coste multimodal'!E$46:E$1646,MATCH(C945&amp;D945,'Coste multimodal'!C$46:C$1646&amp;'Coste multimodal'!D$46:D$1646,0))</f>
        <v>480816029.93717259</v>
      </c>
      <c r="I945" s="12" cm="1">
        <f t="array" aca="1" ref="I945" ca="1">INDEX('Tiempos intermodal (horas)'!E$45:E$1645,MATCH(C945&amp;D945,'Tiempos intermodal (horas)'!C$45:C$1645&amp;'Tiempos intermodal (horas)'!D$45:D$1645,0))</f>
        <v>86.880667176942566</v>
      </c>
      <c r="J945" s="2" cm="1">
        <f t="array" aca="1" ref="J945" ca="1">INDEX('Tiempos carretera (horas)'!E$45:E$1645,MATCH(C945&amp;D945,'Tiempos carretera (horas)'!C$45:C$1645&amp;'Tiempos carretera (horas)'!D$45:D$1645,0))</f>
        <v>24</v>
      </c>
      <c r="K945" s="12">
        <f t="shared" ca="1" si="90"/>
        <v>1.4109975852746026</v>
      </c>
      <c r="L945" s="12">
        <f t="shared" ca="1" si="91"/>
        <v>776.19259308906692</v>
      </c>
      <c r="M945" s="12">
        <f t="shared" ca="1" si="92"/>
        <v>1.0751903533060194E-3</v>
      </c>
      <c r="N945" s="13">
        <f t="shared" ca="1" si="88"/>
        <v>-774.78159550379235</v>
      </c>
      <c r="O945" s="13">
        <f t="shared" ca="1" si="89"/>
        <v>-62.880667176942566</v>
      </c>
      <c r="P945" s="12">
        <f t="shared" ca="1" si="93"/>
        <v>6.8341817914501402</v>
      </c>
    </row>
    <row r="946" spans="1:16" x14ac:dyDescent="0.25">
      <c r="A946">
        <v>14</v>
      </c>
      <c r="B946">
        <v>4</v>
      </c>
      <c r="C946" s="2" t="s">
        <v>13</v>
      </c>
      <c r="D946" s="2" t="s">
        <v>3</v>
      </c>
      <c r="E946" s="11" cm="1">
        <f t="array" aca="1" ref="E946" ca="1">INDEX('OD flujo mercancia multimodal'!E$45:E$1645,MATCH(C946&amp;D946,'OD flujo mercancia multimodal'!C$45:C$1645&amp;'OD flujo mercancia multimodal'!D$45:D$1645,0))</f>
        <v>42694.14835164832</v>
      </c>
      <c r="F946" s="11" cm="1">
        <f t="array" aca="1" ref="F946" ca="1">INDEX('OD flujo mercancia carretera'!E$45:E$1646,MATCH(C946&amp;D946,'OD flujo mercancia carretera'!C$45:C$1646&amp;'OD flujo mercancia carretera'!D$45:D$1646,0))</f>
        <v>135197.99999999997</v>
      </c>
      <c r="G946" s="11" cm="1">
        <f t="array" aca="1" ref="G946" ca="1">INDEX('Coste Carretera'!E$46:E$1646,MATCH(C946&amp;D946,'Coste Carretera'!C$46:C$1646&amp;'Coste Carretera'!D$46:D$1646,0))</f>
        <v>3802935154.7428546</v>
      </c>
      <c r="H946" s="11" cm="1">
        <f t="array" aca="1" ref="H946" ca="1">INDEX('Coste multimodal'!E$46:E$1646,MATCH(C946&amp;D946,'Coste multimodal'!C$46:C$1646&amp;'Coste multimodal'!D$46:D$1646,0))</f>
        <v>454535391.84232867</v>
      </c>
      <c r="I946" s="12" cm="1">
        <f t="array" aca="1" ref="I946" ca="1">INDEX('Tiempos intermodal (horas)'!E$45:E$1645,MATCH(C946&amp;D946,'Tiempos intermodal (horas)'!C$45:C$1645&amp;'Tiempos intermodal (horas)'!D$45:D$1645,0))</f>
        <v>66.611486014334631</v>
      </c>
      <c r="J946" s="2" cm="1">
        <f t="array" aca="1" ref="J946" ca="1">INDEX('Tiempos carretera (horas)'!E$45:E$1645,MATCH(C946&amp;D946,'Tiempos carretera (horas)'!C$45:C$1645&amp;'Tiempos carretera (horas)'!D$45:D$1645,0))</f>
        <v>17.649999999999999</v>
      </c>
      <c r="K946" s="12">
        <f t="shared" ca="1" si="90"/>
        <v>28.12863470423272</v>
      </c>
      <c r="L946" s="12">
        <f t="shared" ca="1" si="91"/>
        <v>10.646315933007248</v>
      </c>
      <c r="M946" s="12">
        <f t="shared" ca="1" si="92"/>
        <v>0.24000018408486845</v>
      </c>
      <c r="N946" s="13">
        <f t="shared" ca="1" si="88"/>
        <v>17.482318771225472</v>
      </c>
      <c r="O946" s="13">
        <f t="shared" ca="1" si="89"/>
        <v>-48.961486014334632</v>
      </c>
      <c r="P946" s="12">
        <f t="shared" ca="1" si="93"/>
        <v>1.1526785007014329</v>
      </c>
    </row>
    <row r="947" spans="1:16" x14ac:dyDescent="0.25">
      <c r="A947">
        <v>39</v>
      </c>
      <c r="B947">
        <v>1</v>
      </c>
      <c r="C947" s="2" t="s">
        <v>38</v>
      </c>
      <c r="D947" s="2" t="s">
        <v>0</v>
      </c>
      <c r="E947" s="11" cm="1">
        <f t="array" aca="1" ref="E947" ca="1">INDEX('OD flujo mercancia multimodal'!E$45:E$1645,MATCH(C947&amp;D947,'OD flujo mercancia multimodal'!C$45:C$1645&amp;'OD flujo mercancia multimodal'!D$45:D$1645,0))</f>
        <v>92502.071428571406</v>
      </c>
      <c r="F947" s="11" cm="1">
        <f t="array" aca="1" ref="F947" ca="1">INDEX('OD flujo mercancia carretera'!E$45:E$1646,MATCH(C947&amp;D947,'OD flujo mercancia carretera'!C$45:C$1646&amp;'OD flujo mercancia carretera'!D$45:D$1646,0))</f>
        <v>53919.538461538505</v>
      </c>
      <c r="G947" s="11" cm="1">
        <f t="array" aca="1" ref="G947" ca="1">INDEX('Coste Carretera'!E$46:E$1646,MATCH(C947&amp;D947,'Coste Carretera'!C$46:C$1646&amp;'Coste Carretera'!D$46:D$1646,0))</f>
        <v>11656748917.042854</v>
      </c>
      <c r="H947" s="11" cm="1">
        <f t="array" aca="1" ref="H947" ca="1">INDEX('Coste multimodal'!E$46:E$1646,MATCH(C947&amp;D947,'Coste multimodal'!C$46:C$1646&amp;'Coste multimodal'!D$46:D$1646,0))</f>
        <v>613476656.19860125</v>
      </c>
      <c r="I947" s="12" cm="1">
        <f t="array" aca="1" ref="I947" ca="1">INDEX('Tiempos intermodal (horas)'!E$45:E$1645,MATCH(C947&amp;D947,'Tiempos intermodal (horas)'!C$45:C$1645&amp;'Tiempos intermodal (horas)'!D$45:D$1645,0))</f>
        <v>84.419556065831458</v>
      </c>
      <c r="J947" s="2" cm="1">
        <f t="array" aca="1" ref="J947" ca="1">INDEX('Tiempos carretera (horas)'!E$45:E$1645,MATCH(C947&amp;D947,'Tiempos carretera (horas)'!C$45:C$1645&amp;'Tiempos carretera (horas)'!D$45:D$1645,0))</f>
        <v>23.48</v>
      </c>
      <c r="K947" s="12">
        <f t="shared" ca="1" si="90"/>
        <v>216.18784673681438</v>
      </c>
      <c r="L947" s="12">
        <f t="shared" ca="1" si="91"/>
        <v>6.6320315504752561</v>
      </c>
      <c r="M947" s="12">
        <f t="shared" ca="1" si="92"/>
        <v>0.6317514982794864</v>
      </c>
      <c r="N947" s="13">
        <f t="shared" ca="1" si="88"/>
        <v>209.55581518633912</v>
      </c>
      <c r="O947" s="13">
        <f t="shared" ca="1" si="89"/>
        <v>-60.939556065831454</v>
      </c>
      <c r="P947" s="12">
        <f t="shared" ca="1" si="93"/>
        <v>-0.53973813121218539</v>
      </c>
    </row>
    <row r="948" spans="1:16" x14ac:dyDescent="0.25">
      <c r="A948">
        <v>1</v>
      </c>
      <c r="B948">
        <v>39</v>
      </c>
      <c r="C948" s="2" t="s">
        <v>0</v>
      </c>
      <c r="D948" s="2" t="s">
        <v>38</v>
      </c>
      <c r="E948" s="11" cm="1">
        <f t="array" aca="1" ref="E948" ca="1">INDEX('OD flujo mercancia multimodal'!E$45:E$1645,MATCH(C948&amp;D948,'OD flujo mercancia multimodal'!C$45:C$1645&amp;'OD flujo mercancia multimodal'!D$45:D$1645,0))</f>
        <v>88797.456043956059</v>
      </c>
      <c r="F948" s="11" cm="1">
        <f t="array" aca="1" ref="F948" ca="1">INDEX('OD flujo mercancia carretera'!E$45:E$1646,MATCH(C948&amp;D948,'OD flujo mercancia carretera'!C$45:C$1646&amp;'OD flujo mercancia carretera'!D$45:D$1646,0))</f>
        <v>139309.84249084251</v>
      </c>
      <c r="G948" s="11" cm="1">
        <f t="array" aca="1" ref="G948" ca="1">INDEX('Coste Carretera'!E$46:E$1646,MATCH(C948&amp;D948,'Coste Carretera'!C$46:C$1646&amp;'Coste Carretera'!D$46:D$1646,0))</f>
        <v>8392447115.2228565</v>
      </c>
      <c r="H948" s="11" cm="1">
        <f t="array" aca="1" ref="H948" ca="1">INDEX('Coste multimodal'!E$46:E$1646,MATCH(C948&amp;D948,'Coste multimodal'!C$46:C$1646&amp;'Coste multimodal'!D$46:D$1646,0))</f>
        <v>605147113.44453001</v>
      </c>
      <c r="I948" s="12" cm="1">
        <f t="array" aca="1" ref="I948" ca="1">INDEX('Tiempos intermodal (horas)'!E$45:E$1645,MATCH(C948&amp;D948,'Tiempos intermodal (horas)'!C$45:C$1645&amp;'Tiempos intermodal (horas)'!D$45:D$1645,0))</f>
        <v>72.515117040869015</v>
      </c>
      <c r="J948" s="2" cm="1">
        <f t="array" aca="1" ref="J948" ca="1">INDEX('Tiempos carretera (horas)'!E$45:E$1645,MATCH(C948&amp;D948,'Tiempos carretera (horas)'!C$45:C$1645&amp;'Tiempos carretera (horas)'!D$45:D$1645,0))</f>
        <v>19.46</v>
      </c>
      <c r="K948" s="12">
        <f t="shared" ca="1" si="90"/>
        <v>60.243030680151193</v>
      </c>
      <c r="L948" s="12">
        <f t="shared" ca="1" si="91"/>
        <v>6.8149149807284255</v>
      </c>
      <c r="M948" s="12">
        <f t="shared" ca="1" si="92"/>
        <v>0.38927932869456039</v>
      </c>
      <c r="N948" s="13">
        <f t="shared" ca="1" si="88"/>
        <v>53.428115699422769</v>
      </c>
      <c r="O948" s="13">
        <f t="shared" ca="1" si="89"/>
        <v>-53.055117040869014</v>
      </c>
      <c r="P948" s="12">
        <f t="shared" ca="1" si="93"/>
        <v>0.45034253364554416</v>
      </c>
    </row>
    <row r="949" spans="1:16" x14ac:dyDescent="0.25">
      <c r="A949">
        <v>13</v>
      </c>
      <c r="B949">
        <v>3</v>
      </c>
      <c r="C949" s="2" t="s">
        <v>12</v>
      </c>
      <c r="D949" s="2" t="s">
        <v>2</v>
      </c>
      <c r="E949" s="11" cm="1">
        <f t="array" aca="1" ref="E949" ca="1">INDEX('OD flujo mercancia multimodal'!E$45:E$1645,MATCH(C949&amp;D949,'OD flujo mercancia multimodal'!C$45:C$1645&amp;'OD flujo mercancia multimodal'!D$45:D$1645,0))</f>
        <v>18292.560439560453</v>
      </c>
      <c r="F949" s="11" cm="1">
        <f t="array" aca="1" ref="F949" ca="1">INDEX('OD flujo mercancia carretera'!E$45:E$1646,MATCH(C949&amp;D949,'OD flujo mercancia carretera'!C$45:C$1646&amp;'OD flujo mercancia carretera'!D$45:D$1646,0))</f>
        <v>65043.76923076919</v>
      </c>
      <c r="G949" s="11" cm="1">
        <f t="array" aca="1" ref="G949" ca="1">INDEX('Coste Carretera'!E$46:E$1646,MATCH(C949&amp;D949,'Coste Carretera'!C$46:C$1646&amp;'Coste Carretera'!D$46:D$1646,0))</f>
        <v>1273921713.7028582</v>
      </c>
      <c r="H949" s="11" cm="1">
        <f t="array" aca="1" ref="H949" ca="1">INDEX('Coste multimodal'!E$46:E$1646,MATCH(C949&amp;D949,'Coste multimodal'!C$46:C$1646&amp;'Coste multimodal'!D$46:D$1646,0))</f>
        <v>264319152.18995339</v>
      </c>
      <c r="I949" s="12" cm="1">
        <f t="array" aca="1" ref="I949" ca="1">INDEX('Tiempos intermodal (horas)'!E$45:E$1645,MATCH(C949&amp;D949,'Tiempos intermodal (horas)'!C$45:C$1645&amp;'Tiempos intermodal (horas)'!D$45:D$1645,0))</f>
        <v>53.093321330119181</v>
      </c>
      <c r="J949" s="2" cm="1">
        <f t="array" aca="1" ref="J949" ca="1">INDEX('Tiempos carretera (horas)'!E$45:E$1645,MATCH(C949&amp;D949,'Tiempos carretera (horas)'!C$45:C$1645&amp;'Tiempos carretera (horas)'!D$45:D$1645,0))</f>
        <v>13.56</v>
      </c>
      <c r="K949" s="12">
        <f t="shared" ca="1" si="90"/>
        <v>19.585607180652516</v>
      </c>
      <c r="L949" s="12">
        <f t="shared" ca="1" si="91"/>
        <v>14.449543740105561</v>
      </c>
      <c r="M949" s="12">
        <f t="shared" ca="1" si="92"/>
        <v>0.21950283282122013</v>
      </c>
      <c r="N949" s="13">
        <f t="shared" ca="1" si="88"/>
        <v>5.1360634405469554</v>
      </c>
      <c r="O949" s="13">
        <f t="shared" ca="1" si="89"/>
        <v>-39.533321330119179</v>
      </c>
      <c r="P949" s="12">
        <f t="shared" ca="1" si="93"/>
        <v>1.2685659722300402</v>
      </c>
    </row>
    <row r="950" spans="1:16" x14ac:dyDescent="0.25">
      <c r="A950">
        <v>12</v>
      </c>
      <c r="B950">
        <v>33</v>
      </c>
      <c r="C950" s="2" t="s">
        <v>11</v>
      </c>
      <c r="D950" s="2" t="s">
        <v>32</v>
      </c>
      <c r="E950" s="11" cm="1">
        <f t="array" aca="1" ref="E950" ca="1">INDEX('OD flujo mercancia multimodal'!E$45:E$1645,MATCH(C950&amp;D950,'OD flujo mercancia multimodal'!C$45:C$1645&amp;'OD flujo mercancia multimodal'!D$45:D$1645,0))</f>
        <v>69523.153846153815</v>
      </c>
      <c r="F950" s="11" cm="1">
        <f t="array" aca="1" ref="F950" ca="1">INDEX('OD flujo mercancia carretera'!E$45:E$1646,MATCH(C950&amp;D950,'OD flujo mercancia carretera'!C$45:C$1646&amp;'OD flujo mercancia carretera'!D$45:D$1646,0))</f>
        <v>140980.95384615386</v>
      </c>
      <c r="G950" s="11" cm="1">
        <f t="array" aca="1" ref="G950" ca="1">INDEX('Coste Carretera'!E$46:E$1646,MATCH(C950&amp;D950,'Coste Carretera'!C$46:C$1646&amp;'Coste Carretera'!D$46:D$1646,0))</f>
        <v>528995115.39999992</v>
      </c>
      <c r="H950" s="11" cm="1">
        <f t="array" aca="1" ref="H950" ca="1">INDEX('Coste multimodal'!E$46:E$1646,MATCH(C950&amp;D950,'Coste multimodal'!C$46:C$1646&amp;'Coste multimodal'!D$46:D$1646,0))</f>
        <v>528064953.15894347</v>
      </c>
      <c r="I950" s="12" cm="1">
        <f t="array" aca="1" ref="I950" ca="1">INDEX('Tiempos intermodal (horas)'!E$45:E$1645,MATCH(C950&amp;D950,'Tiempos intermodal (horas)'!C$45:C$1645&amp;'Tiempos intermodal (horas)'!D$45:D$1645,0))</f>
        <v>70.759223682667042</v>
      </c>
      <c r="J950" s="2" cm="1">
        <f t="array" aca="1" ref="J950" ca="1">INDEX('Tiempos carretera (horas)'!E$45:E$1645,MATCH(C950&amp;D950,'Tiempos carretera (horas)'!C$45:C$1645&amp;'Tiempos carretera (horas)'!D$45:D$1645,0))</f>
        <v>17.46</v>
      </c>
      <c r="K950" s="12">
        <f t="shared" ca="1" si="90"/>
        <v>3.7522452570243523</v>
      </c>
      <c r="L950" s="12">
        <f t="shared" ca="1" si="91"/>
        <v>7.5955264389686103</v>
      </c>
      <c r="M950" s="12">
        <f t="shared" ca="1" si="92"/>
        <v>0.33026982042447983</v>
      </c>
      <c r="N950" s="13">
        <f t="shared" ca="1" si="88"/>
        <v>-3.8432811819442581</v>
      </c>
      <c r="O950" s="13">
        <f t="shared" ca="1" si="89"/>
        <v>-53.299223682667041</v>
      </c>
      <c r="P950" s="12">
        <f t="shared" ca="1" si="93"/>
        <v>0.70696495619436461</v>
      </c>
    </row>
    <row r="951" spans="1:16" x14ac:dyDescent="0.25">
      <c r="A951">
        <v>33</v>
      </c>
      <c r="B951">
        <v>12</v>
      </c>
      <c r="C951" s="2" t="s">
        <v>32</v>
      </c>
      <c r="D951" s="2" t="s">
        <v>11</v>
      </c>
      <c r="E951" s="11" cm="1">
        <f t="array" aca="1" ref="E951" ca="1">INDEX('OD flujo mercancia multimodal'!E$45:E$1645,MATCH(C951&amp;D951,'OD flujo mercancia multimodal'!C$45:C$1645&amp;'OD flujo mercancia multimodal'!D$45:D$1645,0))</f>
        <v>48372.615384615383</v>
      </c>
      <c r="F951" s="11" cm="1">
        <f t="array" aca="1" ref="F951" ca="1">INDEX('OD flujo mercancia carretera'!E$45:E$1646,MATCH(C951&amp;D951,'OD flujo mercancia carretera'!C$45:C$1646&amp;'OD flujo mercancia carretera'!D$45:D$1646,0))</f>
        <v>134710.09743589742</v>
      </c>
      <c r="G951" s="11" cm="1">
        <f t="array" aca="1" ref="G951" ca="1">INDEX('Coste Carretera'!E$46:E$1646,MATCH(C951&amp;D951,'Coste Carretera'!C$46:C$1646&amp;'Coste Carretera'!D$46:D$1646,0))</f>
        <v>1658091143.9999995</v>
      </c>
      <c r="H951" s="11" cm="1">
        <f t="array" aca="1" ref="H951" ca="1">INDEX('Coste multimodal'!E$46:E$1646,MATCH(C951&amp;D951,'Coste multimodal'!C$46:C$1646&amp;'Coste multimodal'!D$46:D$1646,0))</f>
        <v>528064953.15894347</v>
      </c>
      <c r="I951" s="12" cm="1">
        <f t="array" aca="1" ref="I951" ca="1">INDEX('Tiempos intermodal (horas)'!E$45:E$1645,MATCH(C951&amp;D951,'Tiempos intermodal (horas)'!C$45:C$1645&amp;'Tiempos intermodal (horas)'!D$45:D$1645,0))</f>
        <v>70.759223682667042</v>
      </c>
      <c r="J951" s="2" cm="1">
        <f t="array" aca="1" ref="J951" ca="1">INDEX('Tiempos carretera (horas)'!E$45:E$1645,MATCH(C951&amp;D951,'Tiempos carretera (horas)'!C$45:C$1645&amp;'Tiempos carretera (horas)'!D$45:D$1645,0))</f>
        <v>17.46</v>
      </c>
      <c r="K951" s="12">
        <f t="shared" ca="1" si="90"/>
        <v>12.30858840992979</v>
      </c>
      <c r="L951" s="12">
        <f t="shared" ca="1" si="91"/>
        <v>10.916609510572201</v>
      </c>
      <c r="M951" s="12">
        <f t="shared" ca="1" si="92"/>
        <v>0.26421181246116898</v>
      </c>
      <c r="N951" s="13">
        <f t="shared" ca="1" si="88"/>
        <v>1.3919788993575892</v>
      </c>
      <c r="O951" s="13">
        <f t="shared" ca="1" si="89"/>
        <v>-53.299223682667041</v>
      </c>
      <c r="P951" s="12">
        <f t="shared" ca="1" si="93"/>
        <v>1.0241911872512988</v>
      </c>
    </row>
    <row r="952" spans="1:16" x14ac:dyDescent="0.25">
      <c r="A952">
        <v>23</v>
      </c>
      <c r="B952">
        <v>34</v>
      </c>
      <c r="C952" s="2" t="s">
        <v>22</v>
      </c>
      <c r="D952" s="2" t="s">
        <v>33</v>
      </c>
      <c r="E952" s="11" cm="1">
        <f t="array" aca="1" ref="E952" ca="1">INDEX('OD flujo mercancia multimodal'!E$45:E$1645,MATCH(C952&amp;D952,'OD flujo mercancia multimodal'!C$45:C$1645&amp;'OD flujo mercancia multimodal'!D$45:D$1645,0))</f>
        <v>297583.84615384642</v>
      </c>
      <c r="F952" s="11" cm="1">
        <f t="array" aca="1" ref="F952" ca="1">INDEX('OD flujo mercancia carretera'!E$45:E$1646,MATCH(C952&amp;D952,'OD flujo mercancia carretera'!C$45:C$1646&amp;'OD flujo mercancia carretera'!D$45:D$1646,0))</f>
        <v>372122.05555555568</v>
      </c>
      <c r="G952" s="11" cm="1">
        <f t="array" aca="1" ref="G952" ca="1">INDEX('Coste Carretera'!E$46:E$1646,MATCH(C952&amp;D952,'Coste Carretera'!C$46:C$1646&amp;'Coste Carretera'!D$46:D$1646,0))</f>
        <v>2398915878.3599987</v>
      </c>
      <c r="H952" s="11" cm="1">
        <f t="array" aca="1" ref="H952" ca="1">INDEX('Coste multimodal'!E$46:E$1646,MATCH(C952&amp;D952,'Coste multimodal'!C$46:C$1646&amp;'Coste multimodal'!D$46:D$1646,0))</f>
        <v>2906444944.0857267</v>
      </c>
      <c r="I952" s="12" cm="1">
        <f t="array" aca="1" ref="I952" ca="1">INDEX('Tiempos intermodal (horas)'!E$45:E$1645,MATCH(C952&amp;D952,'Tiempos intermodal (horas)'!C$45:C$1645&amp;'Tiempos intermodal (horas)'!D$45:D$1645,0))</f>
        <v>60.996523947775891</v>
      </c>
      <c r="J952" s="2" cm="1">
        <f t="array" aca="1" ref="J952" ca="1">INDEX('Tiempos carretera (horas)'!E$45:E$1645,MATCH(C952&amp;D952,'Tiempos carretera (horas)'!C$45:C$1645&amp;'Tiempos carretera (horas)'!D$45:D$1645,0))</f>
        <v>7.68</v>
      </c>
      <c r="K952" s="12">
        <f t="shared" ca="1" si="90"/>
        <v>6.4465834328969365</v>
      </c>
      <c r="L952" s="12">
        <f t="shared" ca="1" si="91"/>
        <v>9.7668102003868107</v>
      </c>
      <c r="M952" s="12">
        <f t="shared" ca="1" si="92"/>
        <v>0.44435004289834318</v>
      </c>
      <c r="N952" s="13">
        <f t="shared" ca="1" si="88"/>
        <v>-3.3202267674898742</v>
      </c>
      <c r="O952" s="13">
        <f t="shared" ca="1" si="89"/>
        <v>-53.316523947775892</v>
      </c>
      <c r="P952" s="12">
        <f t="shared" ca="1" si="93"/>
        <v>0.22352588570149279</v>
      </c>
    </row>
    <row r="953" spans="1:16" x14ac:dyDescent="0.25">
      <c r="A953">
        <v>34</v>
      </c>
      <c r="B953">
        <v>23</v>
      </c>
      <c r="C953" s="2" t="s">
        <v>33</v>
      </c>
      <c r="D953" s="2" t="s">
        <v>22</v>
      </c>
      <c r="E953" s="11" cm="1">
        <f t="array" aca="1" ref="E953" ca="1">INDEX('OD flujo mercancia multimodal'!E$45:E$1645,MATCH(C953&amp;D953,'OD flujo mercancia multimodal'!C$45:C$1645&amp;'OD flujo mercancia multimodal'!D$45:D$1645,0))</f>
        <v>131095.46153846153</v>
      </c>
      <c r="F953" s="11" cm="1">
        <f t="array" aca="1" ref="F953" ca="1">INDEX('OD flujo mercancia carretera'!E$45:E$1646,MATCH(C953&amp;D953,'OD flujo mercancia carretera'!C$45:C$1646&amp;'OD flujo mercancia carretera'!D$45:D$1646,0))</f>
        <v>384764.89316239348</v>
      </c>
      <c r="G953" s="11" cm="1">
        <f t="array" aca="1" ref="G953" ca="1">INDEX('Coste Carretera'!E$46:E$1646,MATCH(C953&amp;D953,'Coste Carretera'!C$46:C$1646&amp;'Coste Carretera'!D$46:D$1646,0))</f>
        <v>1350565103.72</v>
      </c>
      <c r="H953" s="11" cm="1">
        <f t="array" aca="1" ref="H953" ca="1">INDEX('Coste multimodal'!E$46:E$1646,MATCH(C953&amp;D953,'Coste multimodal'!C$46:C$1646&amp;'Coste multimodal'!D$46:D$1646,0))</f>
        <v>2906444944.0857267</v>
      </c>
      <c r="I953" s="12" cm="1">
        <f t="array" aca="1" ref="I953" ca="1">INDEX('Tiempos intermodal (horas)'!E$45:E$1645,MATCH(C953&amp;D953,'Tiempos intermodal (horas)'!C$45:C$1645&amp;'Tiempos intermodal (horas)'!D$45:D$1645,0))</f>
        <v>60.996523947775891</v>
      </c>
      <c r="J953" s="2" cm="1">
        <f t="array" aca="1" ref="J953" ca="1">INDEX('Tiempos carretera (horas)'!E$45:E$1645,MATCH(C953&amp;D953,'Tiempos carretera (horas)'!C$45:C$1645&amp;'Tiempos carretera (horas)'!D$45:D$1645,0))</f>
        <v>7.68</v>
      </c>
      <c r="K953" s="12">
        <f t="shared" ca="1" si="90"/>
        <v>3.510104813928494</v>
      </c>
      <c r="L953" s="12">
        <f t="shared" ca="1" si="91"/>
        <v>22.170446710949008</v>
      </c>
      <c r="M953" s="12">
        <f t="shared" ca="1" si="92"/>
        <v>0.25412974721518033</v>
      </c>
      <c r="N953" s="13">
        <f t="shared" ca="1" si="88"/>
        <v>-18.660341897020515</v>
      </c>
      <c r="O953" s="13">
        <f t="shared" ca="1" si="89"/>
        <v>-53.316523947775892</v>
      </c>
      <c r="P953" s="12">
        <f t="shared" ca="1" si="93"/>
        <v>1.0767067087919588</v>
      </c>
    </row>
    <row r="954" spans="1:16" x14ac:dyDescent="0.25">
      <c r="A954">
        <v>10</v>
      </c>
      <c r="B954">
        <v>12</v>
      </c>
      <c r="C954" s="2" t="s">
        <v>9</v>
      </c>
      <c r="D954" s="2" t="s">
        <v>11</v>
      </c>
      <c r="E954" s="11" cm="1">
        <f t="array" aca="1" ref="E954" ca="1">INDEX('OD flujo mercancia multimodal'!E$45:E$1645,MATCH(C954&amp;D954,'OD flujo mercancia multimodal'!C$45:C$1645&amp;'OD flujo mercancia multimodal'!D$45:D$1645,0))</f>
        <v>32267.571428571428</v>
      </c>
      <c r="F954" s="11" cm="1">
        <f t="array" aca="1" ref="F954" ca="1">INDEX('OD flujo mercancia carretera'!E$45:E$1646,MATCH(C954&amp;D954,'OD flujo mercancia carretera'!C$45:C$1646&amp;'OD flujo mercancia carretera'!D$45:D$1646,0))</f>
        <v>132658.99999999997</v>
      </c>
      <c r="G954" s="11" cm="1">
        <f t="array" aca="1" ref="G954" ca="1">INDEX('Coste Carretera'!E$46:E$1646,MATCH(C954&amp;D954,'Coste Carretera'!C$46:C$1646&amp;'Coste Carretera'!D$46:D$1646,0))</f>
        <v>3670704716.1942863</v>
      </c>
      <c r="H954" s="11" cm="1">
        <f t="array" aca="1" ref="H954" ca="1">INDEX('Coste multimodal'!E$46:E$1646,MATCH(C954&amp;D954,'Coste multimodal'!C$46:C$1646&amp;'Coste multimodal'!D$46:D$1646,0))</f>
        <v>741064343.46237803</v>
      </c>
      <c r="I954" s="12" cm="1">
        <f t="array" aca="1" ref="I954" ca="1">INDEX('Tiempos intermodal (horas)'!E$45:E$1645,MATCH(C954&amp;D954,'Tiempos intermodal (horas)'!C$45:C$1645&amp;'Tiempos intermodal (horas)'!D$45:D$1645,0))</f>
        <v>74.970772721940676</v>
      </c>
      <c r="J954" s="2" cm="1">
        <f t="array" aca="1" ref="J954" ca="1">INDEX('Tiempos carretera (horas)'!E$45:E$1645,MATCH(C954&amp;D954,'Tiempos carretera (horas)'!C$45:C$1645&amp;'Tiempos carretera (horas)'!D$45:D$1645,0))</f>
        <v>21.56</v>
      </c>
      <c r="K954" s="12">
        <f t="shared" ca="1" si="90"/>
        <v>27.670227547277509</v>
      </c>
      <c r="L954" s="12">
        <f t="shared" ca="1" si="91"/>
        <v>22.966226172391771</v>
      </c>
      <c r="M954" s="12">
        <f t="shared" ca="1" si="92"/>
        <v>0.19564810660328497</v>
      </c>
      <c r="N954" s="13">
        <f t="shared" ca="1" si="88"/>
        <v>4.7040013748857383</v>
      </c>
      <c r="O954" s="13">
        <f t="shared" ca="1" si="89"/>
        <v>-53.410772721940674</v>
      </c>
      <c r="P954" s="12">
        <f t="shared" ca="1" si="93"/>
        <v>1.4137191806387779</v>
      </c>
    </row>
    <row r="955" spans="1:16" x14ac:dyDescent="0.25">
      <c r="A955">
        <v>12</v>
      </c>
      <c r="B955">
        <v>10</v>
      </c>
      <c r="C955" s="2" t="s">
        <v>11</v>
      </c>
      <c r="D955" s="2" t="s">
        <v>9</v>
      </c>
      <c r="E955" s="11" cm="1">
        <f t="array" aca="1" ref="E955" ca="1">INDEX('OD flujo mercancia multimodal'!E$45:E$1645,MATCH(C955&amp;D955,'OD flujo mercancia multimodal'!C$45:C$1645&amp;'OD flujo mercancia multimodal'!D$45:D$1645,0))</f>
        <v>26436.598901098914</v>
      </c>
      <c r="F955" s="11" cm="1">
        <f t="array" aca="1" ref="F955" ca="1">INDEX('OD flujo mercancia carretera'!E$45:E$1646,MATCH(C955&amp;D955,'OD flujo mercancia carretera'!C$45:C$1646&amp;'OD flujo mercancia carretera'!D$45:D$1646,0))</f>
        <v>135982.15384615387</v>
      </c>
      <c r="G955" s="11" cm="1">
        <f t="array" aca="1" ref="G955" ca="1">INDEX('Coste Carretera'!E$46:E$1646,MATCH(C955&amp;D955,'Coste Carretera'!C$46:C$1646&amp;'Coste Carretera'!D$46:D$1646,0))</f>
        <v>3007383077.5028586</v>
      </c>
      <c r="H955" s="11" cm="1">
        <f t="array" aca="1" ref="H955" ca="1">INDEX('Coste multimodal'!E$46:E$1646,MATCH(C955&amp;D955,'Coste multimodal'!C$46:C$1646&amp;'Coste multimodal'!D$46:D$1646,0))</f>
        <v>741064343.46237803</v>
      </c>
      <c r="I955" s="12" cm="1">
        <f t="array" aca="1" ref="I955" ca="1">INDEX('Tiempos intermodal (horas)'!E$45:E$1645,MATCH(C955&amp;D955,'Tiempos intermodal (horas)'!C$45:C$1645&amp;'Tiempos intermodal (horas)'!D$45:D$1645,0))</f>
        <v>74.970772721940676</v>
      </c>
      <c r="J955" s="2" cm="1">
        <f t="array" aca="1" ref="J955" ca="1">INDEX('Tiempos carretera (horas)'!E$45:E$1645,MATCH(C955&amp;D955,'Tiempos carretera (horas)'!C$45:C$1645&amp;'Tiempos carretera (horas)'!D$45:D$1645,0))</f>
        <v>21.56</v>
      </c>
      <c r="K955" s="12">
        <f t="shared" ca="1" si="90"/>
        <v>22.116012965240433</v>
      </c>
      <c r="L955" s="12">
        <f t="shared" ca="1" si="91"/>
        <v>28.031758027375204</v>
      </c>
      <c r="M955" s="12">
        <f t="shared" ca="1" si="92"/>
        <v>0.16276814378840915</v>
      </c>
      <c r="N955" s="13">
        <f t="shared" ca="1" si="88"/>
        <v>-5.9157450621347714</v>
      </c>
      <c r="O955" s="13">
        <f t="shared" ca="1" si="89"/>
        <v>-53.410772721940674</v>
      </c>
      <c r="P955" s="12">
        <f t="shared" ca="1" si="93"/>
        <v>1.6377742832998421</v>
      </c>
    </row>
    <row r="956" spans="1:16" x14ac:dyDescent="0.25">
      <c r="A956">
        <v>40</v>
      </c>
      <c r="B956">
        <v>21</v>
      </c>
      <c r="C956" s="2" t="s">
        <v>39</v>
      </c>
      <c r="D956" s="2" t="s">
        <v>20</v>
      </c>
      <c r="E956" s="11" cm="1">
        <f t="array" aca="1" ref="E956" ca="1">INDEX('OD flujo mercancia multimodal'!E$45:E$1645,MATCH(C956&amp;D956,'OD flujo mercancia multimodal'!C$45:C$1645&amp;'OD flujo mercancia multimodal'!D$45:D$1645,0))</f>
        <v>40007.23076923078</v>
      </c>
      <c r="F956" s="11" cm="1">
        <f t="array" aca="1" ref="F956" ca="1">INDEX('OD flujo mercancia carretera'!E$45:E$1646,MATCH(C956&amp;D956,'OD flujo mercancia carretera'!C$45:C$1646&amp;'OD flujo mercancia carretera'!D$45:D$1646,0))</f>
        <v>206946.84615384584</v>
      </c>
      <c r="G956" s="11" cm="1">
        <f t="array" aca="1" ref="G956" ca="1">INDEX('Coste Carretera'!E$46:E$1646,MATCH(C956&amp;D956,'Coste Carretera'!C$46:C$1646&amp;'Coste Carretera'!D$46:D$1646,0))</f>
        <v>3395374141.7600012</v>
      </c>
      <c r="H956" s="11" cm="1">
        <f t="array" aca="1" ref="H956" ca="1">INDEX('Coste multimodal'!E$46:E$1646,MATCH(C956&amp;D956,'Coste multimodal'!C$46:C$1646&amp;'Coste multimodal'!D$46:D$1646,0))</f>
        <v>244835804.3395012</v>
      </c>
      <c r="I956" s="12" cm="1">
        <f t="array" aca="1" ref="I956" ca="1">INDEX('Tiempos intermodal (horas)'!E$45:E$1645,MATCH(C956&amp;D956,'Tiempos intermodal (horas)'!C$45:C$1645&amp;'Tiempos intermodal (horas)'!D$45:D$1645,0))</f>
        <v>66.515316403317371</v>
      </c>
      <c r="J956" s="2" cm="1">
        <f t="array" aca="1" ref="J956" ca="1">INDEX('Tiempos carretera (horas)'!E$45:E$1645,MATCH(C956&amp;D956,'Tiempos carretera (horas)'!C$45:C$1645&amp;'Tiempos carretera (horas)'!D$45:D$1645,0))</f>
        <v>17.809999999999999</v>
      </c>
      <c r="K956" s="12">
        <f t="shared" ca="1" si="90"/>
        <v>16.406986648329273</v>
      </c>
      <c r="L956" s="12">
        <f t="shared" ca="1" si="91"/>
        <v>6.1197888389666382</v>
      </c>
      <c r="M956" s="12">
        <f t="shared" ca="1" si="92"/>
        <v>0.1620027143009774</v>
      </c>
      <c r="N956" s="13">
        <f t="shared" ca="1" si="88"/>
        <v>10.287197809362635</v>
      </c>
      <c r="O956" s="13">
        <f t="shared" ca="1" si="89"/>
        <v>-48.705316403317369</v>
      </c>
      <c r="P956" s="12">
        <f t="shared" ca="1" si="93"/>
        <v>1.6434017714178648</v>
      </c>
    </row>
    <row r="957" spans="1:16" x14ac:dyDescent="0.25">
      <c r="A957">
        <v>21</v>
      </c>
      <c r="B957">
        <v>40</v>
      </c>
      <c r="C957" s="2" t="s">
        <v>20</v>
      </c>
      <c r="D957" s="2" t="s">
        <v>39</v>
      </c>
      <c r="E957" s="11" cm="1">
        <f t="array" aca="1" ref="E957" ca="1">INDEX('OD flujo mercancia multimodal'!E$45:E$1645,MATCH(C957&amp;D957,'OD flujo mercancia multimodal'!C$45:C$1645&amp;'OD flujo mercancia multimodal'!D$45:D$1645,0))</f>
        <v>32913.307692307688</v>
      </c>
      <c r="F957" s="11" cm="1">
        <f t="array" aca="1" ref="F957" ca="1">INDEX('OD flujo mercancia carretera'!E$45:E$1646,MATCH(C957&amp;D957,'OD flujo mercancia carretera'!C$45:C$1646&amp;'OD flujo mercancia carretera'!D$45:D$1646,0))</f>
        <v>182612.1428571429</v>
      </c>
      <c r="G957" s="11" cm="1">
        <f t="array" aca="1" ref="G957" ca="1">INDEX('Coste Carretera'!E$46:E$1646,MATCH(C957&amp;D957,'Coste Carretera'!C$46:C$1646&amp;'Coste Carretera'!D$46:D$1646,0))</f>
        <v>2689263733.6000004</v>
      </c>
      <c r="H957" s="11" cm="1">
        <f t="array" aca="1" ref="H957" ca="1">INDEX('Coste multimodal'!E$46:E$1646,MATCH(C957&amp;D957,'Coste multimodal'!C$46:C$1646&amp;'Coste multimodal'!D$46:D$1646,0))</f>
        <v>441894696.80872822</v>
      </c>
      <c r="I957" s="12" cm="1">
        <f t="array" aca="1" ref="I957" ca="1">INDEX('Tiempos intermodal (horas)'!E$45:E$1645,MATCH(C957&amp;D957,'Tiempos intermodal (horas)'!C$45:C$1645&amp;'Tiempos intermodal (horas)'!D$45:D$1645,0))</f>
        <v>74.706866259618991</v>
      </c>
      <c r="J957" s="2" cm="1">
        <f t="array" aca="1" ref="J957" ca="1">INDEX('Tiempos carretera (horas)'!E$45:E$1645,MATCH(C957&amp;D957,'Tiempos carretera (horas)'!C$45:C$1645&amp;'Tiempos carretera (horas)'!D$45:D$1645,0))</f>
        <v>19.899999999999999</v>
      </c>
      <c r="K957" s="12">
        <f t="shared" ca="1" si="90"/>
        <v>14.726642442960685</v>
      </c>
      <c r="L957" s="12">
        <f t="shared" ca="1" si="91"/>
        <v>13.42601907227955</v>
      </c>
      <c r="M957" s="12">
        <f t="shared" ca="1" si="92"/>
        <v>0.15271193081095541</v>
      </c>
      <c r="N957" s="13">
        <f t="shared" ca="1" si="88"/>
        <v>1.3006233706811354</v>
      </c>
      <c r="O957" s="13">
        <f t="shared" ca="1" si="89"/>
        <v>-54.806866259618992</v>
      </c>
      <c r="P957" s="12">
        <f t="shared" ca="1" si="93"/>
        <v>1.7134874005996068</v>
      </c>
    </row>
    <row r="958" spans="1:16" x14ac:dyDescent="0.25">
      <c r="A958">
        <v>37</v>
      </c>
      <c r="B958">
        <v>35</v>
      </c>
      <c r="C958" s="2" t="s">
        <v>36</v>
      </c>
      <c r="D958" s="2" t="s">
        <v>34</v>
      </c>
      <c r="E958" s="11" cm="1">
        <f t="array" aca="1" ref="E958" ca="1">INDEX('OD flujo mercancia multimodal'!E$45:E$1645,MATCH(C958&amp;D958,'OD flujo mercancia multimodal'!C$45:C$1645&amp;'OD flujo mercancia multimodal'!D$45:D$1645,0))</f>
        <v>28692.769230769249</v>
      </c>
      <c r="F958" s="11" cm="1">
        <f t="array" aca="1" ref="F958" ca="1">INDEX('OD flujo mercancia carretera'!E$45:E$1646,MATCH(C958&amp;D958,'OD flujo mercancia carretera'!C$45:C$1646&amp;'OD flujo mercancia carretera'!D$45:D$1646,0))</f>
        <v>97529.113553113595</v>
      </c>
      <c r="G958" s="11" cm="1">
        <f t="array" aca="1" ref="G958" ca="1">INDEX('Coste Carretera'!E$46:E$1646,MATCH(C958&amp;D958,'Coste Carretera'!C$46:C$1646&amp;'Coste Carretera'!D$46:D$1646,0))</f>
        <v>29825190112.000023</v>
      </c>
      <c r="H958" s="11" cm="1">
        <f t="array" aca="1" ref="H958" ca="1">INDEX('Coste multimodal'!E$46:E$1646,MATCH(C958&amp;D958,'Coste multimodal'!C$46:C$1646&amp;'Coste multimodal'!D$46:D$1646,0))</f>
        <v>991362533.89324892</v>
      </c>
      <c r="I958" s="12" cm="1">
        <f t="array" aca="1" ref="I958" ca="1">INDEX('Tiempos intermodal (horas)'!E$45:E$1645,MATCH(C958&amp;D958,'Tiempos intermodal (horas)'!C$45:C$1645&amp;'Tiempos intermodal (horas)'!D$45:D$1645,0))</f>
        <v>72.988046523085586</v>
      </c>
      <c r="J958" s="2" cm="1">
        <f t="array" aca="1" ref="J958" ca="1">INDEX('Tiempos carretera (horas)'!E$45:E$1645,MATCH(C958&amp;D958,'Tiempos carretera (horas)'!C$45:C$1645&amp;'Tiempos carretera (horas)'!D$45:D$1645,0))</f>
        <v>19.53</v>
      </c>
      <c r="K958" s="12">
        <f t="shared" ca="1" si="90"/>
        <v>305.80807130741999</v>
      </c>
      <c r="L958" s="12">
        <f t="shared" ca="1" si="91"/>
        <v>34.550953444749489</v>
      </c>
      <c r="M958" s="12">
        <f t="shared" ca="1" si="92"/>
        <v>0.22732008585149233</v>
      </c>
      <c r="N958" s="13">
        <f t="shared" ca="1" si="88"/>
        <v>271.2571178626705</v>
      </c>
      <c r="O958" s="13">
        <f t="shared" ca="1" si="89"/>
        <v>-53.458046523085585</v>
      </c>
      <c r="P958" s="12">
        <f t="shared" ca="1" si="93"/>
        <v>1.2235057861324969</v>
      </c>
    </row>
    <row r="959" spans="1:16" x14ac:dyDescent="0.25">
      <c r="A959">
        <v>35</v>
      </c>
      <c r="B959">
        <v>37</v>
      </c>
      <c r="C959" s="2" t="s">
        <v>34</v>
      </c>
      <c r="D959" s="2" t="s">
        <v>36</v>
      </c>
      <c r="E959" s="11" cm="1">
        <f t="array" aca="1" ref="E959" ca="1">INDEX('OD flujo mercancia multimodal'!E$45:E$1645,MATCH(C959&amp;D959,'OD flujo mercancia multimodal'!C$45:C$1645&amp;'OD flujo mercancia multimodal'!D$45:D$1645,0))</f>
        <v>19883.153846153891</v>
      </c>
      <c r="F959" s="11" cm="1">
        <f t="array" aca="1" ref="F959" ca="1">INDEX('OD flujo mercancia carretera'!E$45:E$1646,MATCH(C959&amp;D959,'OD flujo mercancia carretera'!C$45:C$1646&amp;'OD flujo mercancia carretera'!D$45:D$1646,0))</f>
        <v>100259.81135531131</v>
      </c>
      <c r="G959" s="11" cm="1">
        <f t="array" aca="1" ref="G959" ca="1">INDEX('Coste Carretera'!E$46:E$1646,MATCH(C959&amp;D959,'Coste Carretera'!C$46:C$1646&amp;'Coste Carretera'!D$46:D$1646,0))</f>
        <v>12812042304</v>
      </c>
      <c r="H959" s="11" cm="1">
        <f t="array" aca="1" ref="H959" ca="1">INDEX('Coste multimodal'!E$46:E$1646,MATCH(C959&amp;D959,'Coste multimodal'!C$46:C$1646&amp;'Coste multimodal'!D$46:D$1646,0))</f>
        <v>991362533.89324892</v>
      </c>
      <c r="I959" s="12" cm="1">
        <f t="array" aca="1" ref="I959" ca="1">INDEX('Tiempos intermodal (horas)'!E$45:E$1645,MATCH(C959&amp;D959,'Tiempos intermodal (horas)'!C$45:C$1645&amp;'Tiempos intermodal (horas)'!D$45:D$1645,0))</f>
        <v>72.988046523085586</v>
      </c>
      <c r="J959" s="2" cm="1">
        <f t="array" aca="1" ref="J959" ca="1">INDEX('Tiempos carretera (horas)'!E$45:E$1645,MATCH(C959&amp;D959,'Tiempos carretera (horas)'!C$45:C$1645&amp;'Tiempos carretera (horas)'!D$45:D$1645,0))</f>
        <v>19.53</v>
      </c>
      <c r="K959" s="12">
        <f t="shared" ca="1" si="90"/>
        <v>127.78841422906065</v>
      </c>
      <c r="L959" s="12">
        <f t="shared" ca="1" si="91"/>
        <v>49.859420772173607</v>
      </c>
      <c r="M959" s="12">
        <f t="shared" ca="1" si="92"/>
        <v>0.16549578090412745</v>
      </c>
      <c r="N959" s="13">
        <f t="shared" ca="1" si="88"/>
        <v>77.928993456887042</v>
      </c>
      <c r="O959" s="13">
        <f t="shared" ca="1" si="89"/>
        <v>-53.458046523085585</v>
      </c>
      <c r="P959" s="12">
        <f t="shared" ca="1" si="93"/>
        <v>1.6178920974602398</v>
      </c>
    </row>
    <row r="960" spans="1:16" x14ac:dyDescent="0.25">
      <c r="A960">
        <v>31</v>
      </c>
      <c r="B960">
        <v>22</v>
      </c>
      <c r="C960" s="2" t="s">
        <v>30</v>
      </c>
      <c r="D960" s="2" t="s">
        <v>21</v>
      </c>
      <c r="E960" s="11" cm="1">
        <f t="array" aca="1" ref="E960" ca="1">INDEX('OD flujo mercancia multimodal'!E$45:E$1645,MATCH(C960&amp;D960,'OD flujo mercancia multimodal'!C$45:C$1645&amp;'OD flujo mercancia multimodal'!D$45:D$1645,0))</f>
        <v>23579.461538461492</v>
      </c>
      <c r="F960" s="11" cm="1">
        <f t="array" aca="1" ref="F960" ca="1">INDEX('OD flujo mercancia carretera'!E$45:E$1646,MATCH(C960&amp;D960,'OD flujo mercancia carretera'!C$45:C$1646&amp;'OD flujo mercancia carretera'!D$45:D$1646,0))</f>
        <v>146566.64102564068</v>
      </c>
      <c r="G960" s="11" cm="1">
        <f t="array" aca="1" ref="G960" ca="1">INDEX('Coste Carretera'!E$46:E$1646,MATCH(C960&amp;D960,'Coste Carretera'!C$46:C$1646&amp;'Coste Carretera'!D$46:D$1646,0))</f>
        <v>1119507561.2799978</v>
      </c>
      <c r="H960" s="11" cm="1">
        <f t="array" aca="1" ref="H960" ca="1">INDEX('Coste multimodal'!E$46:E$1646,MATCH(C960&amp;D960,'Coste multimodal'!C$46:C$1646&amp;'Coste multimodal'!D$46:D$1646,0))</f>
        <v>2753825033.1798224</v>
      </c>
      <c r="I960" s="12" cm="1">
        <f t="array" aca="1" ref="I960" ca="1">INDEX('Tiempos intermodal (horas)'!E$45:E$1645,MATCH(C960&amp;D960,'Tiempos intermodal (horas)'!C$45:C$1645&amp;'Tiempos intermodal (horas)'!D$45:D$1645,0))</f>
        <v>85.731573008399025</v>
      </c>
      <c r="J960" s="2" cm="1">
        <f t="array" aca="1" ref="J960" ca="1">INDEX('Tiempos carretera (horas)'!E$45:E$1645,MATCH(C960&amp;D960,'Tiempos carretera (horas)'!C$45:C$1645&amp;'Tiempos carretera (horas)'!D$45:D$1645,0))</f>
        <v>9.26</v>
      </c>
      <c r="K960" s="12">
        <f t="shared" ca="1" si="90"/>
        <v>7.638215309063054</v>
      </c>
      <c r="L960" s="12">
        <f t="shared" ca="1" si="91"/>
        <v>116.78913993383343</v>
      </c>
      <c r="M960" s="12">
        <f t="shared" ca="1" si="92"/>
        <v>0.13858361245493694</v>
      </c>
      <c r="N960" s="13">
        <f t="shared" ref="N960:N1023" ca="1" si="94">K960-L960</f>
        <v>-109.15092462477037</v>
      </c>
      <c r="O960" s="13">
        <f t="shared" ref="O960:O1023" ca="1" si="95">J960-I960</f>
        <v>-76.471573008399019</v>
      </c>
      <c r="P960" s="12">
        <f t="shared" ca="1" si="93"/>
        <v>1.8271041532447123</v>
      </c>
    </row>
    <row r="961" spans="1:16" x14ac:dyDescent="0.25">
      <c r="A961">
        <v>22</v>
      </c>
      <c r="B961">
        <v>31</v>
      </c>
      <c r="C961" s="2" t="s">
        <v>21</v>
      </c>
      <c r="D961" s="2" t="s">
        <v>30</v>
      </c>
      <c r="E961" s="11" cm="1">
        <f t="array" aca="1" ref="E961" ca="1">INDEX('OD flujo mercancia multimodal'!E$45:E$1645,MATCH(C961&amp;D961,'OD flujo mercancia multimodal'!C$45:C$1645&amp;'OD flujo mercancia multimodal'!D$45:D$1645,0))</f>
        <v>11309</v>
      </c>
      <c r="F961" s="11" cm="1">
        <f t="array" aca="1" ref="F961" ca="1">INDEX('OD flujo mercancia carretera'!E$45:E$1646,MATCH(C961&amp;D961,'OD flujo mercancia carretera'!C$45:C$1646&amp;'OD flujo mercancia carretera'!D$45:D$1646,0))</f>
        <v>151402.35897435897</v>
      </c>
      <c r="G961" s="11" cm="1">
        <f t="array" aca="1" ref="G961" ca="1">INDEX('Coste Carretera'!E$46:E$1646,MATCH(C961&amp;D961,'Coste Carretera'!C$46:C$1646&amp;'Coste Carretera'!D$46:D$1646,0))</f>
        <v>779582404.06399989</v>
      </c>
      <c r="H961" s="11" cm="1">
        <f t="array" aca="1" ref="H961" ca="1">INDEX('Coste multimodal'!E$46:E$1646,MATCH(C961&amp;D961,'Coste multimodal'!C$46:C$1646&amp;'Coste multimodal'!D$46:D$1646,0))</f>
        <v>2753825033.1798224</v>
      </c>
      <c r="I961" s="12" cm="1">
        <f t="array" aca="1" ref="I961" ca="1">INDEX('Tiempos intermodal (horas)'!E$45:E$1645,MATCH(C961&amp;D961,'Tiempos intermodal (horas)'!C$45:C$1645&amp;'Tiempos intermodal (horas)'!D$45:D$1645,0))</f>
        <v>85.731573008399025</v>
      </c>
      <c r="J961" s="2" cm="1">
        <f t="array" aca="1" ref="J961" ca="1">INDEX('Tiempos carretera (horas)'!E$45:E$1645,MATCH(C961&amp;D961,'Tiempos carretera (horas)'!C$45:C$1645&amp;'Tiempos carretera (horas)'!D$45:D$1645,0))</f>
        <v>9.26</v>
      </c>
      <c r="K961" s="12">
        <f t="shared" ca="1" si="90"/>
        <v>5.149076998172978</v>
      </c>
      <c r="L961" s="12">
        <f t="shared" ca="1" si="91"/>
        <v>243.50738643379808</v>
      </c>
      <c r="M961" s="12">
        <f t="shared" ca="1" si="92"/>
        <v>6.9503445065455693E-2</v>
      </c>
      <c r="N961" s="13">
        <f t="shared" ca="1" si="94"/>
        <v>-238.3583094356251</v>
      </c>
      <c r="O961" s="13">
        <f t="shared" ca="1" si="95"/>
        <v>-76.471573008399019</v>
      </c>
      <c r="P961" s="12">
        <f t="shared" ca="1" si="93"/>
        <v>2.5943420530651591</v>
      </c>
    </row>
    <row r="962" spans="1:16" x14ac:dyDescent="0.25">
      <c r="A962">
        <v>40</v>
      </c>
      <c r="B962">
        <v>20</v>
      </c>
      <c r="C962" s="2" t="s">
        <v>39</v>
      </c>
      <c r="D962" s="2" t="s">
        <v>19</v>
      </c>
      <c r="E962" s="11" cm="1">
        <f t="array" aca="1" ref="E962" ca="1">INDEX('OD flujo mercancia multimodal'!E$45:E$1645,MATCH(C962&amp;D962,'OD flujo mercancia multimodal'!C$45:C$1645&amp;'OD flujo mercancia multimodal'!D$45:D$1645,0))</f>
        <v>61162.615384615376</v>
      </c>
      <c r="F962" s="11" cm="1">
        <f t="array" aca="1" ref="F962" ca="1">INDEX('OD flujo mercancia carretera'!E$45:E$1646,MATCH(C962&amp;D962,'OD flujo mercancia carretera'!C$45:C$1646&amp;'OD flujo mercancia carretera'!D$45:D$1646,0))</f>
        <v>162795.17948717953</v>
      </c>
      <c r="G962" s="11" cm="1">
        <f t="array" aca="1" ref="G962" ca="1">INDEX('Coste Carretera'!E$46:E$1646,MATCH(C962&amp;D962,'Coste Carretera'!C$46:C$1646&amp;'Coste Carretera'!D$46:D$1646,0))</f>
        <v>4914333567.999999</v>
      </c>
      <c r="H962" s="11" cm="1">
        <f t="array" aca="1" ref="H962" ca="1">INDEX('Coste multimodal'!E$46:E$1646,MATCH(C962&amp;D962,'Coste multimodal'!C$46:C$1646&amp;'Coste multimodal'!D$46:D$1646,0))</f>
        <v>367553411.39125842</v>
      </c>
      <c r="I962" s="12" cm="1">
        <f t="array" aca="1" ref="I962" ca="1">INDEX('Tiempos intermodal (horas)'!E$45:E$1645,MATCH(C962&amp;D962,'Tiempos intermodal (horas)'!C$45:C$1645&amp;'Tiempos intermodal (horas)'!D$45:D$1645,0))</f>
        <v>64.275465054898646</v>
      </c>
      <c r="J962" s="2" cm="1">
        <f t="array" aca="1" ref="J962" ca="1">INDEX('Tiempos carretera (horas)'!E$45:E$1645,MATCH(C962&amp;D962,'Tiempos carretera (horas)'!C$45:C$1645&amp;'Tiempos carretera (horas)'!D$45:D$1645,0))</f>
        <v>15.85</v>
      </c>
      <c r="K962" s="12">
        <f t="shared" ca="1" si="90"/>
        <v>30.187217972182118</v>
      </c>
      <c r="L962" s="12">
        <f t="shared" ca="1" si="91"/>
        <v>6.0094456242581069</v>
      </c>
      <c r="M962" s="12">
        <f t="shared" ca="1" si="92"/>
        <v>0.27309884623407743</v>
      </c>
      <c r="N962" s="13">
        <f t="shared" ca="1" si="94"/>
        <v>24.177772347924012</v>
      </c>
      <c r="O962" s="13">
        <f t="shared" ca="1" si="95"/>
        <v>-48.425465054898645</v>
      </c>
      <c r="P962" s="12">
        <f t="shared" ca="1" si="93"/>
        <v>0.9789566999614906</v>
      </c>
    </row>
    <row r="963" spans="1:16" x14ac:dyDescent="0.25">
      <c r="A963">
        <v>20</v>
      </c>
      <c r="B963">
        <v>40</v>
      </c>
      <c r="C963" s="2" t="s">
        <v>19</v>
      </c>
      <c r="D963" s="2" t="s">
        <v>39</v>
      </c>
      <c r="E963" s="11" cm="1">
        <f t="array" aca="1" ref="E963" ca="1">INDEX('OD flujo mercancia multimodal'!E$45:E$1645,MATCH(C963&amp;D963,'OD flujo mercancia multimodal'!C$45:C$1645&amp;'OD flujo mercancia multimodal'!D$45:D$1645,0))</f>
        <v>41694.538461538461</v>
      </c>
      <c r="F963" s="11" cm="1">
        <f t="array" aca="1" ref="F963" ca="1">INDEX('OD flujo mercancia carretera'!E$45:E$1646,MATCH(C963&amp;D963,'OD flujo mercancia carretera'!C$45:C$1646&amp;'OD flujo mercancia carretera'!D$45:D$1646,0))</f>
        <v>134199.47619047624</v>
      </c>
      <c r="G963" s="11" cm="1">
        <f t="array" aca="1" ref="G963" ca="1">INDEX('Coste Carretera'!E$46:E$1646,MATCH(C963&amp;D963,'Coste Carretera'!C$46:C$1646&amp;'Coste Carretera'!D$46:D$1646,0))</f>
        <v>3341225682.4000001</v>
      </c>
      <c r="H963" s="11" cm="1">
        <f t="array" aca="1" ref="H963" ca="1">INDEX('Coste multimodal'!E$46:E$1646,MATCH(C963&amp;D963,'Coste multimodal'!C$46:C$1646&amp;'Coste multimodal'!D$46:D$1646,0))</f>
        <v>554977844.46318543</v>
      </c>
      <c r="I963" s="12" cm="1">
        <f t="array" aca="1" ref="I963" ca="1">INDEX('Tiempos intermodal (horas)'!E$45:E$1645,MATCH(C963&amp;D963,'Tiempos intermodal (horas)'!C$45:C$1645&amp;'Tiempos intermodal (horas)'!D$45:D$1645,0))</f>
        <v>72.871717587509394</v>
      </c>
      <c r="J963" s="2" cm="1">
        <f t="array" aca="1" ref="J963" ca="1">INDEX('Tiempos carretera (horas)'!E$45:E$1645,MATCH(C963&amp;D963,'Tiempos carretera (horas)'!C$45:C$1645&amp;'Tiempos carretera (horas)'!D$45:D$1645,0))</f>
        <v>18</v>
      </c>
      <c r="K963" s="12">
        <f t="shared" ca="1" si="90"/>
        <v>24.897456959203225</v>
      </c>
      <c r="L963" s="12">
        <f t="shared" ca="1" si="91"/>
        <v>13.310564523339913</v>
      </c>
      <c r="M963" s="12">
        <f t="shared" ca="1" si="92"/>
        <v>0.23704353183379276</v>
      </c>
      <c r="N963" s="13">
        <f t="shared" ca="1" si="94"/>
        <v>11.586892435863312</v>
      </c>
      <c r="O963" s="13">
        <f t="shared" ca="1" si="95"/>
        <v>-54.871717587509394</v>
      </c>
      <c r="P963" s="12">
        <f t="shared" ca="1" si="93"/>
        <v>1.168957173247545</v>
      </c>
    </row>
    <row r="964" spans="1:16" x14ac:dyDescent="0.25">
      <c r="A964">
        <v>5</v>
      </c>
      <c r="B964">
        <v>37</v>
      </c>
      <c r="C964" s="2" t="s">
        <v>4</v>
      </c>
      <c r="D964" s="2" t="s">
        <v>36</v>
      </c>
      <c r="E964" s="11" cm="1">
        <f t="array" aca="1" ref="E964" ca="1">INDEX('OD flujo mercancia multimodal'!E$45:E$1645,MATCH(C964&amp;D964,'OD flujo mercancia multimodal'!C$45:C$1645&amp;'OD flujo mercancia multimodal'!D$45:D$1645,0))</f>
        <v>56681.917582417627</v>
      </c>
      <c r="F964" s="11" cm="1">
        <f t="array" aca="1" ref="F964" ca="1">INDEX('OD flujo mercancia carretera'!E$45:E$1646,MATCH(C964&amp;D964,'OD flujo mercancia carretera'!C$45:C$1646&amp;'OD flujo mercancia carretera'!D$45:D$1646,0))</f>
        <v>151398.50366300362</v>
      </c>
      <c r="G964" s="11" cm="1">
        <f t="array" aca="1" ref="G964" ca="1">INDEX('Coste Carretera'!E$46:E$1646,MATCH(C964&amp;D964,'Coste Carretera'!C$46:C$1646&amp;'Coste Carretera'!D$46:D$1646,0))</f>
        <v>6134914794.6399984</v>
      </c>
      <c r="H964" s="11" cm="1">
        <f t="array" aca="1" ref="H964" ca="1">INDEX('Coste multimodal'!E$46:E$1646,MATCH(C964&amp;D964,'Coste multimodal'!C$46:C$1646&amp;'Coste multimodal'!D$46:D$1646,0))</f>
        <v>424627234.21190143</v>
      </c>
      <c r="I964" s="12" cm="1">
        <f t="array" aca="1" ref="I964" ca="1">INDEX('Tiempos intermodal (horas)'!E$45:E$1645,MATCH(C964&amp;D964,'Tiempos intermodal (horas)'!C$45:C$1645&amp;'Tiempos intermodal (horas)'!D$45:D$1645,0))</f>
        <v>78.547071016328829</v>
      </c>
      <c r="J964" s="2" cm="1">
        <f t="array" aca="1" ref="J964" ca="1">INDEX('Tiempos carretera (horas)'!E$45:E$1645,MATCH(C964&amp;D964,'Tiempos carretera (horas)'!C$45:C$1645&amp;'Tiempos carretera (horas)'!D$45:D$1645,0))</f>
        <v>25</v>
      </c>
      <c r="K964" s="12">
        <f t="shared" ca="1" si="90"/>
        <v>40.521634271205492</v>
      </c>
      <c r="L964" s="12">
        <f t="shared" ca="1" si="91"/>
        <v>7.4914055897011167</v>
      </c>
      <c r="M964" s="12">
        <f t="shared" ca="1" si="92"/>
        <v>0.27240389673934734</v>
      </c>
      <c r="N964" s="13">
        <f t="shared" ca="1" si="94"/>
        <v>33.030228681504376</v>
      </c>
      <c r="O964" s="13">
        <f t="shared" ca="1" si="95"/>
        <v>-53.547071016328829</v>
      </c>
      <c r="P964" s="12">
        <f t="shared" ca="1" si="93"/>
        <v>0.98246021163948127</v>
      </c>
    </row>
    <row r="965" spans="1:16" x14ac:dyDescent="0.25">
      <c r="A965">
        <v>39</v>
      </c>
      <c r="B965">
        <v>36</v>
      </c>
      <c r="C965" s="2" t="s">
        <v>38</v>
      </c>
      <c r="D965" s="2" t="s">
        <v>35</v>
      </c>
      <c r="E965" s="11" cm="1">
        <f t="array" aca="1" ref="E965" ca="1">INDEX('OD flujo mercancia multimodal'!E$45:E$1645,MATCH(C965&amp;D965,'OD flujo mercancia multimodal'!C$45:C$1645&amp;'OD flujo mercancia multimodal'!D$45:D$1645,0))</f>
        <v>3741.8461538461502</v>
      </c>
      <c r="F965" s="11" cm="1">
        <f t="array" aca="1" ref="F965" ca="1">INDEX('OD flujo mercancia carretera'!E$45:E$1646,MATCH(C965&amp;D965,'OD flujo mercancia carretera'!C$45:C$1646&amp;'OD flujo mercancia carretera'!D$45:D$1646,0))</f>
        <v>96708.615384615419</v>
      </c>
      <c r="G965" s="11" cm="1">
        <f t="array" aca="1" ref="G965" ca="1">INDEX('Coste Carretera'!E$46:E$1646,MATCH(C965&amp;D965,'Coste Carretera'!C$46:C$1646&amp;'Coste Carretera'!D$46:D$1646,0))</f>
        <v>3538305075.5200024</v>
      </c>
      <c r="H965" s="11" cm="1">
        <f t="array" aca="1" ref="H965" ca="1">INDEX('Coste multimodal'!E$46:E$1646,MATCH(C965&amp;D965,'Coste multimodal'!C$46:C$1646&amp;'Coste multimodal'!D$46:D$1646,0))</f>
        <v>467747357.54117262</v>
      </c>
      <c r="I965" s="12" cm="1">
        <f t="array" aca="1" ref="I965" ca="1">INDEX('Tiempos intermodal (horas)'!E$45:E$1645,MATCH(C965&amp;D965,'Tiempos intermodal (horas)'!C$45:C$1645&amp;'Tiempos intermodal (horas)'!D$45:D$1645,0))</f>
        <v>85.039556065831448</v>
      </c>
      <c r="J965" s="2" cm="1">
        <f t="array" aca="1" ref="J965" ca="1">INDEX('Tiempos carretera (horas)'!E$45:E$1645,MATCH(C965&amp;D965,'Tiempos carretera (horas)'!C$45:C$1645&amp;'Tiempos carretera (horas)'!D$45:D$1645,0))</f>
        <v>23.56</v>
      </c>
      <c r="K965" s="12">
        <f t="shared" ca="1" si="90"/>
        <v>36.587278821519369</v>
      </c>
      <c r="L965" s="12">
        <f t="shared" ca="1" si="91"/>
        <v>125.00443318878484</v>
      </c>
      <c r="M965" s="12">
        <f t="shared" ca="1" si="92"/>
        <v>3.7250661634973481E-2</v>
      </c>
      <c r="N965" s="13">
        <f t="shared" ca="1" si="94"/>
        <v>-88.417154367265482</v>
      </c>
      <c r="O965" s="13">
        <f t="shared" ca="1" si="95"/>
        <v>-61.479556065831446</v>
      </c>
      <c r="P965" s="12">
        <f t="shared" ca="1" si="93"/>
        <v>3.2521233787797885</v>
      </c>
    </row>
    <row r="966" spans="1:16" x14ac:dyDescent="0.25">
      <c r="A966">
        <v>36</v>
      </c>
      <c r="B966">
        <v>39</v>
      </c>
      <c r="C966" s="2" t="s">
        <v>35</v>
      </c>
      <c r="D966" s="2" t="s">
        <v>38</v>
      </c>
      <c r="E966" s="11" cm="1">
        <f t="array" aca="1" ref="E966" ca="1">INDEX('OD flujo mercancia multimodal'!E$45:E$1645,MATCH(C966&amp;D966,'OD flujo mercancia multimodal'!C$45:C$1645&amp;'OD flujo mercancia multimodal'!D$45:D$1645,0))</f>
        <v>5285.6153846153884</v>
      </c>
      <c r="F966" s="11" cm="1">
        <f t="array" aca="1" ref="F966" ca="1">INDEX('OD flujo mercancia carretera'!E$45:E$1646,MATCH(C966&amp;D966,'OD flujo mercancia carretera'!C$45:C$1646&amp;'OD flujo mercancia carretera'!D$45:D$1646,0))</f>
        <v>183906.76556776557</v>
      </c>
      <c r="G966" s="11" cm="1">
        <f t="array" aca="1" ref="G966" ca="1">INDEX('Coste Carretera'!E$46:E$1646,MATCH(C966&amp;D966,'Coste Carretera'!C$46:C$1646&amp;'Coste Carretera'!D$46:D$1646,0))</f>
        <v>1007877044.6399999</v>
      </c>
      <c r="H966" s="11" cm="1">
        <f t="array" aca="1" ref="H966" ca="1">INDEX('Coste multimodal'!E$46:E$1646,MATCH(C966&amp;D966,'Coste multimodal'!C$46:C$1646&amp;'Coste multimodal'!D$46:D$1646,0))</f>
        <v>459417814.78710157</v>
      </c>
      <c r="I966" s="12" cm="1">
        <f t="array" aca="1" ref="I966" ca="1">INDEX('Tiempos intermodal (horas)'!E$45:E$1645,MATCH(C966&amp;D966,'Tiempos intermodal (horas)'!C$45:C$1645&amp;'Tiempos intermodal (horas)'!D$45:D$1645,0))</f>
        <v>73.135117040869005</v>
      </c>
      <c r="J966" s="2" cm="1">
        <f t="array" aca="1" ref="J966" ca="1">INDEX('Tiempos carretera (horas)'!E$45:E$1645,MATCH(C966&amp;D966,'Tiempos carretera (horas)'!C$45:C$1645&amp;'Tiempos carretera (horas)'!D$45:D$1645,0))</f>
        <v>19.53</v>
      </c>
      <c r="K966" s="12">
        <f t="shared" ca="1" si="90"/>
        <v>5.4803695857976447</v>
      </c>
      <c r="L966" s="12">
        <f t="shared" ca="1" si="91"/>
        <v>86.918510212511691</v>
      </c>
      <c r="M966" s="12">
        <f t="shared" ca="1" si="92"/>
        <v>2.7937781415974458E-2</v>
      </c>
      <c r="N966" s="13">
        <f t="shared" ca="1" si="94"/>
        <v>-81.438140626714045</v>
      </c>
      <c r="O966" s="13">
        <f t="shared" ca="1" si="95"/>
        <v>-53.605117040869004</v>
      </c>
      <c r="P966" s="12">
        <f t="shared" ca="1" si="93"/>
        <v>3.549439867922676</v>
      </c>
    </row>
    <row r="967" spans="1:16" x14ac:dyDescent="0.25">
      <c r="A967">
        <v>41</v>
      </c>
      <c r="B967">
        <v>20</v>
      </c>
      <c r="C967" s="2" t="s">
        <v>40</v>
      </c>
      <c r="D967" s="2" t="s">
        <v>19</v>
      </c>
      <c r="E967" s="11" cm="1">
        <f t="array" aca="1" ref="E967" ca="1">INDEX('OD flujo mercancia multimodal'!E$45:E$1645,MATCH(C967&amp;D967,'OD flujo mercancia multimodal'!C$45:C$1645&amp;'OD flujo mercancia multimodal'!D$45:D$1645,0))</f>
        <v>66138.846153846142</v>
      </c>
      <c r="F967" s="11" cm="1">
        <f t="array" aca="1" ref="F967" ca="1">INDEX('OD flujo mercancia carretera'!E$45:E$1646,MATCH(C967&amp;D967,'OD flujo mercancia carretera'!C$45:C$1646&amp;'OD flujo mercancia carretera'!D$45:D$1646,0))</f>
        <v>129792.1666666667</v>
      </c>
      <c r="G967" s="11" cm="1">
        <f t="array" aca="1" ref="G967" ca="1">INDEX('Coste Carretera'!E$46:E$1646,MATCH(C967&amp;D967,'Coste Carretera'!C$46:C$1646&amp;'Coste Carretera'!D$46:D$1646,0))</f>
        <v>5814191613.5999985</v>
      </c>
      <c r="H967" s="11" cm="1">
        <f t="array" aca="1" ref="H967" ca="1">INDEX('Coste multimodal'!E$46:E$1646,MATCH(C967&amp;D967,'Coste multimodal'!C$46:C$1646&amp;'Coste multimodal'!D$46:D$1646,0))</f>
        <v>554977844.46318543</v>
      </c>
      <c r="I967" s="12" cm="1">
        <f t="array" aca="1" ref="I967" ca="1">INDEX('Tiempos intermodal (horas)'!E$45:E$1645,MATCH(C967&amp;D967,'Tiempos intermodal (horas)'!C$45:C$1645&amp;'Tiempos intermodal (horas)'!D$45:D$1645,0))</f>
        <v>72.871717587509394</v>
      </c>
      <c r="J967" s="2" cm="1">
        <f t="array" aca="1" ref="J967" ca="1">INDEX('Tiempos carretera (horas)'!E$45:E$1645,MATCH(C967&amp;D967,'Tiempos carretera (horas)'!C$45:C$1645&amp;'Tiempos carretera (horas)'!D$45:D$1645,0))</f>
        <v>18</v>
      </c>
      <c r="K967" s="12">
        <f t="shared" ca="1" si="90"/>
        <v>44.796167310559291</v>
      </c>
      <c r="L967" s="12">
        <f t="shared" ca="1" si="91"/>
        <v>8.3911026081744247</v>
      </c>
      <c r="M967" s="12">
        <f t="shared" ca="1" si="92"/>
        <v>0.33756190611046433</v>
      </c>
      <c r="N967" s="13">
        <f t="shared" ca="1" si="94"/>
        <v>36.405064702384863</v>
      </c>
      <c r="O967" s="13">
        <f t="shared" ca="1" si="95"/>
        <v>-54.871717587509394</v>
      </c>
      <c r="P967" s="12">
        <f t="shared" ca="1" si="93"/>
        <v>0.67417819130401546</v>
      </c>
    </row>
    <row r="968" spans="1:16" x14ac:dyDescent="0.25">
      <c r="A968">
        <v>20</v>
      </c>
      <c r="B968">
        <v>41</v>
      </c>
      <c r="C968" s="2" t="s">
        <v>19</v>
      </c>
      <c r="D968" s="2" t="s">
        <v>40</v>
      </c>
      <c r="E968" s="11" cm="1">
        <f t="array" aca="1" ref="E968" ca="1">INDEX('OD flujo mercancia multimodal'!E$45:E$1645,MATCH(C968&amp;D968,'OD flujo mercancia multimodal'!C$45:C$1645&amp;'OD flujo mercancia multimodal'!D$45:D$1645,0))</f>
        <v>54053.461538461532</v>
      </c>
      <c r="F968" s="11" cm="1">
        <f t="array" aca="1" ref="F968" ca="1">INDEX('OD flujo mercancia carretera'!E$45:E$1646,MATCH(C968&amp;D968,'OD flujo mercancia carretera'!C$45:C$1646&amp;'OD flujo mercancia carretera'!D$45:D$1646,0))</f>
        <v>82377.826007326032</v>
      </c>
      <c r="G968" s="11" cm="1">
        <f t="array" aca="1" ref="G968" ca="1">INDEX('Coste Carretera'!E$46:E$1646,MATCH(C968&amp;D968,'Coste Carretera'!C$46:C$1646&amp;'Coste Carretera'!D$46:D$1646,0))</f>
        <v>3926306307.8799996</v>
      </c>
      <c r="H968" s="11" cm="1">
        <f t="array" aca="1" ref="H968" ca="1">INDEX('Coste multimodal'!E$46:E$1646,MATCH(C968&amp;D968,'Coste multimodal'!C$46:C$1646&amp;'Coste multimodal'!D$46:D$1646,0))</f>
        <v>483184293.52172613</v>
      </c>
      <c r="I968" s="12" cm="1">
        <f t="array" aca="1" ref="I968" ca="1">INDEX('Tiempos intermodal (horas)'!E$45:E$1645,MATCH(C968&amp;D968,'Tiempos intermodal (horas)'!C$45:C$1645&amp;'Tiempos intermodal (horas)'!D$45:D$1645,0))</f>
        <v>71.748229143205705</v>
      </c>
      <c r="J968" s="2" cm="1">
        <f t="array" aca="1" ref="J968" ca="1">INDEX('Tiempos carretera (horas)'!E$45:E$1645,MATCH(C968&amp;D968,'Tiempos carretera (horas)'!C$45:C$1645&amp;'Tiempos carretera (horas)'!D$45:D$1645,0))</f>
        <v>18.11</v>
      </c>
      <c r="K968" s="12">
        <f t="shared" ca="1" si="90"/>
        <v>47.66217437603688</v>
      </c>
      <c r="L968" s="12">
        <f t="shared" ca="1" si="91"/>
        <v>8.939007415425527</v>
      </c>
      <c r="M968" s="12">
        <f t="shared" ca="1" si="92"/>
        <v>0.39619549526218978</v>
      </c>
      <c r="N968" s="13">
        <f t="shared" ca="1" si="94"/>
        <v>38.723166960611351</v>
      </c>
      <c r="O968" s="13">
        <f t="shared" ca="1" si="95"/>
        <v>-53.638229143205706</v>
      </c>
      <c r="P968" s="12">
        <f t="shared" ca="1" si="93"/>
        <v>0.42134271354886793</v>
      </c>
    </row>
    <row r="969" spans="1:16" x14ac:dyDescent="0.25">
      <c r="A969">
        <v>32</v>
      </c>
      <c r="B969">
        <v>12</v>
      </c>
      <c r="C969" s="2" t="s">
        <v>31</v>
      </c>
      <c r="D969" s="2" t="s">
        <v>11</v>
      </c>
      <c r="E969" s="11" cm="1">
        <f t="array" aca="1" ref="E969" ca="1">INDEX('OD flujo mercancia multimodal'!E$45:E$1645,MATCH(C969&amp;D969,'OD flujo mercancia multimodal'!C$45:C$1645&amp;'OD flujo mercancia multimodal'!D$45:D$1645,0))</f>
        <v>18323.076923076922</v>
      </c>
      <c r="F969" s="11" cm="1">
        <f t="array" aca="1" ref="F969" ca="1">INDEX('OD flujo mercancia carretera'!E$45:E$1646,MATCH(C969&amp;D969,'OD flujo mercancia carretera'!C$45:C$1646&amp;'OD flujo mercancia carretera'!D$45:D$1646,0))</f>
        <v>88599.676923076884</v>
      </c>
      <c r="G969" s="11" cm="1">
        <f t="array" aca="1" ref="G969" ca="1">INDEX('Coste Carretera'!E$46:E$1646,MATCH(C969&amp;D969,'Coste Carretera'!C$46:C$1646&amp;'Coste Carretera'!D$46:D$1646,0))</f>
        <v>1911366844.1999998</v>
      </c>
      <c r="H969" s="11" cm="1">
        <f t="array" aca="1" ref="H969" ca="1">INDEX('Coste multimodal'!E$46:E$1646,MATCH(C969&amp;D969,'Coste multimodal'!C$46:C$1646&amp;'Coste multimodal'!D$46:D$1646,0))</f>
        <v>449161332.79494345</v>
      </c>
      <c r="I969" s="12" cm="1">
        <f t="array" aca="1" ref="I969" ca="1">INDEX('Tiempos intermodal (horas)'!E$45:E$1645,MATCH(C969&amp;D969,'Tiempos intermodal (horas)'!C$45:C$1645&amp;'Tiempos intermodal (horas)'!D$45:D$1645,0))</f>
        <v>72.067001460444814</v>
      </c>
      <c r="J969" s="2" cm="1">
        <f t="array" aca="1" ref="J969" ca="1">INDEX('Tiempos carretera (horas)'!E$45:E$1645,MATCH(C969&amp;D969,'Tiempos carretera (horas)'!C$45:C$1645&amp;'Tiempos carretera (horas)'!D$45:D$1645,0))</f>
        <v>18.38</v>
      </c>
      <c r="K969" s="12">
        <f t="shared" ca="1" si="90"/>
        <v>21.573067877656793</v>
      </c>
      <c r="L969" s="12">
        <f t="shared" ca="1" si="91"/>
        <v>24.513422864543518</v>
      </c>
      <c r="M969" s="12">
        <f t="shared" ca="1" si="92"/>
        <v>0.17136742427567053</v>
      </c>
      <c r="N969" s="13">
        <f t="shared" ca="1" si="94"/>
        <v>-2.9403549868867245</v>
      </c>
      <c r="O969" s="13">
        <f t="shared" ca="1" si="95"/>
        <v>-53.687001460444819</v>
      </c>
      <c r="P969" s="12">
        <f t="shared" ca="1" si="93"/>
        <v>1.575966911678323</v>
      </c>
    </row>
    <row r="970" spans="1:16" x14ac:dyDescent="0.25">
      <c r="A970">
        <v>12</v>
      </c>
      <c r="B970">
        <v>32</v>
      </c>
      <c r="C970" s="2" t="s">
        <v>11</v>
      </c>
      <c r="D970" s="2" t="s">
        <v>31</v>
      </c>
      <c r="E970" s="11" cm="1">
        <f t="array" aca="1" ref="E970" ca="1">INDEX('OD flujo mercancia multimodal'!E$45:E$1645,MATCH(C970&amp;D970,'OD flujo mercancia multimodal'!C$45:C$1645&amp;'OD flujo mercancia multimodal'!D$45:D$1645,0))</f>
        <v>5845.7692307692305</v>
      </c>
      <c r="F970" s="11" cm="1">
        <f t="array" aca="1" ref="F970" ca="1">INDEX('OD flujo mercancia carretera'!E$45:E$1646,MATCH(C970&amp;D970,'OD flujo mercancia carretera'!C$45:C$1646&amp;'OD flujo mercancia carretera'!D$45:D$1646,0))</f>
        <v>91270.730769230766</v>
      </c>
      <c r="G970" s="11" cm="1">
        <f t="array" aca="1" ref="G970" ca="1">INDEX('Coste Carretera'!E$46:E$1646,MATCH(C970&amp;D970,'Coste Carretera'!C$46:C$1646&amp;'Coste Carretera'!D$46:D$1646,0))</f>
        <v>762671058.60000002</v>
      </c>
      <c r="H970" s="11" cm="1">
        <f t="array" aca="1" ref="H970" ca="1">INDEX('Coste multimodal'!E$46:E$1646,MATCH(C970&amp;D970,'Coste multimodal'!C$46:C$1646&amp;'Coste multimodal'!D$46:D$1646,0))</f>
        <v>449161332.79494345</v>
      </c>
      <c r="I970" s="12" cm="1">
        <f t="array" aca="1" ref="I970" ca="1">INDEX('Tiempos intermodal (horas)'!E$45:E$1645,MATCH(C970&amp;D970,'Tiempos intermodal (horas)'!C$45:C$1645&amp;'Tiempos intermodal (horas)'!D$45:D$1645,0))</f>
        <v>72.067001460444814</v>
      </c>
      <c r="J970" s="2" cm="1">
        <f t="array" aca="1" ref="J970" ca="1">INDEX('Tiempos carretera (horas)'!E$45:E$1645,MATCH(C970&amp;D970,'Tiempos carretera (horas)'!C$45:C$1645&amp;'Tiempos carretera (horas)'!D$45:D$1645,0))</f>
        <v>18.38</v>
      </c>
      <c r="K970" s="12">
        <f t="shared" ca="1" si="90"/>
        <v>8.3561405959194097</v>
      </c>
      <c r="L970" s="12">
        <f t="shared" ca="1" si="91"/>
        <v>76.835282930906843</v>
      </c>
      <c r="M970" s="12">
        <f t="shared" ca="1" si="92"/>
        <v>6.0193368076168624E-2</v>
      </c>
      <c r="N970" s="13">
        <f t="shared" ca="1" si="94"/>
        <v>-68.479142334987429</v>
      </c>
      <c r="O970" s="13">
        <f t="shared" ca="1" si="95"/>
        <v>-53.687001460444819</v>
      </c>
      <c r="P970" s="12">
        <f t="shared" ca="1" si="93"/>
        <v>2.7481119619848835</v>
      </c>
    </row>
    <row r="971" spans="1:16" x14ac:dyDescent="0.25">
      <c r="A971">
        <v>7</v>
      </c>
      <c r="B971">
        <v>12</v>
      </c>
      <c r="C971" s="2" t="s">
        <v>6</v>
      </c>
      <c r="D971" s="2" t="s">
        <v>11</v>
      </c>
      <c r="E971" s="11" cm="1">
        <f t="array" aca="1" ref="E971" ca="1">INDEX('OD flujo mercancia multimodal'!E$45:E$1645,MATCH(C971&amp;D971,'OD flujo mercancia multimodal'!C$45:C$1645&amp;'OD flujo mercancia multimodal'!D$45:D$1645,0))</f>
        <v>21019.142857142859</v>
      </c>
      <c r="F971" s="11" cm="1">
        <f t="array" aca="1" ref="F971" ca="1">INDEX('OD flujo mercancia carretera'!E$45:E$1646,MATCH(C971&amp;D971,'OD flujo mercancia carretera'!C$45:C$1646&amp;'OD flujo mercancia carretera'!D$45:D$1646,0))</f>
        <v>98117.76923076922</v>
      </c>
      <c r="G971" s="11" cm="1">
        <f t="array" aca="1" ref="G971" ca="1">INDEX('Coste Carretera'!E$46:E$1646,MATCH(C971&amp;D971,'Coste Carretera'!C$46:C$1646&amp;'Coste Carretera'!D$46:D$1646,0))</f>
        <v>2301684423.257143</v>
      </c>
      <c r="H971" s="11" cm="1">
        <f t="array" aca="1" ref="H971" ca="1">INDEX('Coste multimodal'!E$46:E$1646,MATCH(C971&amp;D971,'Coste multimodal'!C$46:C$1646&amp;'Coste multimodal'!D$46:D$1646,0))</f>
        <v>674496342.6309495</v>
      </c>
      <c r="I971" s="12" cm="1">
        <f t="array" aca="1" ref="I971" ca="1">INDEX('Tiempos intermodal (horas)'!E$45:E$1645,MATCH(C971&amp;D971,'Tiempos intermodal (horas)'!C$45:C$1645&amp;'Tiempos intermodal (horas)'!D$45:D$1645,0))</f>
        <v>74.421883833051794</v>
      </c>
      <c r="J971" s="2" cm="1">
        <f t="array" aca="1" ref="J971" ca="1">INDEX('Tiempos carretera (horas)'!E$45:E$1645,MATCH(C971&amp;D971,'Tiempos carretera (horas)'!C$45:C$1645&amp;'Tiempos carretera (horas)'!D$45:D$1645,0))</f>
        <v>20.68</v>
      </c>
      <c r="K971" s="12">
        <f t="shared" ca="1" si="90"/>
        <v>23.458385176324889</v>
      </c>
      <c r="L971" s="12">
        <f t="shared" ca="1" si="91"/>
        <v>32.089621694622906</v>
      </c>
      <c r="M971" s="12">
        <f t="shared" ca="1" si="92"/>
        <v>0.17642846779201954</v>
      </c>
      <c r="N971" s="13">
        <f t="shared" ca="1" si="94"/>
        <v>-8.6312365182980173</v>
      </c>
      <c r="O971" s="13">
        <f t="shared" ca="1" si="95"/>
        <v>-53.741883833051794</v>
      </c>
      <c r="P971" s="12">
        <f t="shared" ca="1" si="93"/>
        <v>1.5407348968928649</v>
      </c>
    </row>
    <row r="972" spans="1:16" x14ac:dyDescent="0.25">
      <c r="A972">
        <v>12</v>
      </c>
      <c r="B972">
        <v>7</v>
      </c>
      <c r="C972" s="2" t="s">
        <v>11</v>
      </c>
      <c r="D972" s="2" t="s">
        <v>6</v>
      </c>
      <c r="E972" s="11" cm="1">
        <f t="array" aca="1" ref="E972" ca="1">INDEX('OD flujo mercancia multimodal'!E$45:E$1645,MATCH(C972&amp;D972,'OD flujo mercancia multimodal'!C$45:C$1645&amp;'OD flujo mercancia multimodal'!D$45:D$1645,0))</f>
        <v>10311.170329670325</v>
      </c>
      <c r="F972" s="11" cm="1">
        <f t="array" aca="1" ref="F972" ca="1">INDEX('OD flujo mercancia carretera'!E$45:E$1646,MATCH(C972&amp;D972,'OD flujo mercancia carretera'!C$45:C$1646&amp;'OD flujo mercancia carretera'!D$45:D$1646,0))</f>
        <v>103675.30769230766</v>
      </c>
      <c r="G972" s="11" cm="1">
        <f t="array" aca="1" ref="G972" ca="1">INDEX('Coste Carretera'!E$46:E$1646,MATCH(C972&amp;D972,'Coste Carretera'!C$46:C$1646&amp;'Coste Carretera'!D$46:D$1646,0))</f>
        <v>1129116458.0142851</v>
      </c>
      <c r="H972" s="11" cm="1">
        <f t="array" aca="1" ref="H972" ca="1">INDEX('Coste multimodal'!E$46:E$1646,MATCH(C972&amp;D972,'Coste multimodal'!C$46:C$1646&amp;'Coste multimodal'!D$46:D$1646,0))</f>
        <v>674496342.6309495</v>
      </c>
      <c r="I972" s="12" cm="1">
        <f t="array" aca="1" ref="I972" ca="1">INDEX('Tiempos intermodal (horas)'!E$45:E$1645,MATCH(C972&amp;D972,'Tiempos intermodal (horas)'!C$45:C$1645&amp;'Tiempos intermodal (horas)'!D$45:D$1645,0))</f>
        <v>74.421883833051794</v>
      </c>
      <c r="J972" s="2" cm="1">
        <f t="array" aca="1" ref="J972" ca="1">INDEX('Tiempos carretera (horas)'!E$45:E$1645,MATCH(C972&amp;D972,'Tiempos carretera (horas)'!C$45:C$1645&amp;'Tiempos carretera (horas)'!D$45:D$1645,0))</f>
        <v>20.68</v>
      </c>
      <c r="K972" s="12">
        <f t="shared" ca="1" si="90"/>
        <v>10.890890831646516</v>
      </c>
      <c r="L972" s="12">
        <f t="shared" ca="1" si="91"/>
        <v>65.414140302783153</v>
      </c>
      <c r="M972" s="12">
        <f t="shared" ca="1" si="92"/>
        <v>9.0459592300783306E-2</v>
      </c>
      <c r="N972" s="13">
        <f t="shared" ca="1" si="94"/>
        <v>-54.523249471136637</v>
      </c>
      <c r="O972" s="13">
        <f t="shared" ca="1" si="95"/>
        <v>-53.741883833051794</v>
      </c>
      <c r="P972" s="12">
        <f t="shared" ca="1" si="93"/>
        <v>2.3080361683637896</v>
      </c>
    </row>
    <row r="973" spans="1:16" x14ac:dyDescent="0.25">
      <c r="A973">
        <v>5</v>
      </c>
      <c r="B973">
        <v>23</v>
      </c>
      <c r="C973" s="2" t="s">
        <v>4</v>
      </c>
      <c r="D973" s="2" t="s">
        <v>22</v>
      </c>
      <c r="E973" s="11" cm="1">
        <f t="array" aca="1" ref="E973" ca="1">INDEX('OD flujo mercancia multimodal'!E$45:E$1645,MATCH(C973&amp;D973,'OD flujo mercancia multimodal'!C$45:C$1645&amp;'OD flujo mercancia multimodal'!D$45:D$1645,0))</f>
        <v>52965.76373626374</v>
      </c>
      <c r="F973" s="11" cm="1">
        <f t="array" aca="1" ref="F973" ca="1">INDEX('OD flujo mercancia carretera'!E$45:E$1646,MATCH(C973&amp;D973,'OD flujo mercancia carretera'!C$45:C$1646&amp;'OD flujo mercancia carretera'!D$45:D$1646,0))</f>
        <v>175401.74358974391</v>
      </c>
      <c r="G973" s="11" cm="1">
        <f t="array" aca="1" ref="G973" ca="1">INDEX('Coste Carretera'!E$46:E$1646,MATCH(C973&amp;D973,'Coste Carretera'!C$46:C$1646&amp;'Coste Carretera'!D$46:D$1646,0))</f>
        <v>3221280293.4342852</v>
      </c>
      <c r="H973" s="11" cm="1">
        <f t="array" aca="1" ref="H973" ca="1">INDEX('Coste multimodal'!E$46:E$1646,MATCH(C973&amp;D973,'Coste multimodal'!C$46:C$1646&amp;'Coste multimodal'!D$46:D$1646,0))</f>
        <v>412782357.97914523</v>
      </c>
      <c r="I973" s="12" cm="1">
        <f t="array" aca="1" ref="I973" ca="1">INDEX('Tiempos intermodal (horas)'!E$45:E$1645,MATCH(C973&amp;D973,'Tiempos intermodal (horas)'!C$45:C$1645&amp;'Tiempos intermodal (horas)'!D$45:D$1645,0))</f>
        <v>66.26737710562125</v>
      </c>
      <c r="J973" s="2" cm="1">
        <f t="array" aca="1" ref="J973" ca="1">INDEX('Tiempos carretera (horas)'!E$45:E$1645,MATCH(C973&amp;D973,'Tiempos carretera (horas)'!C$45:C$1645&amp;'Tiempos carretera (horas)'!D$45:D$1645,0))</f>
        <v>12.5</v>
      </c>
      <c r="K973" s="12">
        <f t="shared" ca="1" si="90"/>
        <v>18.365155485390737</v>
      </c>
      <c r="L973" s="12">
        <f t="shared" ca="1" si="91"/>
        <v>7.793380645553273</v>
      </c>
      <c r="M973" s="12">
        <f t="shared" ca="1" si="92"/>
        <v>0.23193213586489819</v>
      </c>
      <c r="N973" s="13">
        <f t="shared" ca="1" si="94"/>
        <v>10.571774839837463</v>
      </c>
      <c r="O973" s="13">
        <f t="shared" ca="1" si="95"/>
        <v>-53.76737710562125</v>
      </c>
      <c r="P973" s="12">
        <f t="shared" ca="1" si="93"/>
        <v>1.1974332829520724</v>
      </c>
    </row>
    <row r="974" spans="1:16" x14ac:dyDescent="0.25">
      <c r="A974">
        <v>6</v>
      </c>
      <c r="B974">
        <v>12</v>
      </c>
      <c r="C974" s="2" t="s">
        <v>5</v>
      </c>
      <c r="D974" s="2" t="s">
        <v>11</v>
      </c>
      <c r="E974" s="11" cm="1">
        <f t="array" aca="1" ref="E974" ca="1">INDEX('OD flujo mercancia multimodal'!E$45:E$1645,MATCH(C974&amp;D974,'OD flujo mercancia multimodal'!C$45:C$1645&amp;'OD flujo mercancia multimodal'!D$45:D$1645,0))</f>
        <v>29724.214285714286</v>
      </c>
      <c r="F974" s="11" cm="1">
        <f t="array" aca="1" ref="F974" ca="1">INDEX('OD flujo mercancia carretera'!E$45:E$1646,MATCH(C974&amp;D974,'OD flujo mercancia carretera'!C$45:C$1646&amp;'OD flujo mercancia carretera'!D$45:D$1646,0))</f>
        <v>169810.77655677652</v>
      </c>
      <c r="G974" s="11" cm="1">
        <f t="array" aca="1" ref="G974" ca="1">INDEX('Coste Carretera'!E$46:E$1646,MATCH(C974&amp;D974,'Coste Carretera'!C$46:C$1646&amp;'Coste Carretera'!D$46:D$1646,0))</f>
        <v>3640521892.3542857</v>
      </c>
      <c r="H974" s="11" cm="1">
        <f t="array" aca="1" ref="H974" ca="1">INDEX('Coste multimodal'!E$46:E$1646,MATCH(C974&amp;D974,'Coste multimodal'!C$46:C$1646&amp;'Coste multimodal'!D$46:D$1646,0))</f>
        <v>813185340.16523516</v>
      </c>
      <c r="I974" s="12" cm="1">
        <f t="array" aca="1" ref="I974" ca="1">INDEX('Tiempos intermodal (horas)'!E$45:E$1645,MATCH(C974&amp;D974,'Tiempos intermodal (horas)'!C$45:C$1645&amp;'Tiempos intermodal (horas)'!D$45:D$1645,0))</f>
        <v>76.527439388607348</v>
      </c>
      <c r="J974" s="2" cm="1">
        <f t="array" aca="1" ref="J974" ca="1">INDEX('Tiempos carretera (horas)'!E$45:E$1645,MATCH(C974&amp;D974,'Tiempos carretera (horas)'!C$45:C$1645&amp;'Tiempos carretera (horas)'!D$45:D$1645,0))</f>
        <v>22.75</v>
      </c>
      <c r="K974" s="12">
        <f t="shared" ca="1" si="90"/>
        <v>21.438697626690796</v>
      </c>
      <c r="L974" s="12">
        <f t="shared" ca="1" si="91"/>
        <v>27.357673186875758</v>
      </c>
      <c r="M974" s="12">
        <f t="shared" ca="1" si="92"/>
        <v>0.14896742751840467</v>
      </c>
      <c r="N974" s="13">
        <f t="shared" ca="1" si="94"/>
        <v>-5.9189755601849612</v>
      </c>
      <c r="O974" s="13">
        <f t="shared" ca="1" si="95"/>
        <v>-53.777439388607348</v>
      </c>
      <c r="P974" s="12">
        <f t="shared" ca="1" si="93"/>
        <v>1.7427227285890441</v>
      </c>
    </row>
    <row r="975" spans="1:16" x14ac:dyDescent="0.25">
      <c r="A975">
        <v>39</v>
      </c>
      <c r="B975">
        <v>6</v>
      </c>
      <c r="C975" s="2" t="s">
        <v>38</v>
      </c>
      <c r="D975" s="2" t="s">
        <v>5</v>
      </c>
      <c r="E975" s="11" cm="1">
        <f t="array" aca="1" ref="E975" ca="1">INDEX('OD flujo mercancia multimodal'!E$45:E$1645,MATCH(C975&amp;D975,'OD flujo mercancia multimodal'!C$45:C$1645&amp;'OD flujo mercancia multimodal'!D$45:D$1645,0))</f>
        <v>13226.785714285699</v>
      </c>
      <c r="F975" s="11" cm="1">
        <f t="array" aca="1" ref="F975" ca="1">INDEX('OD flujo mercancia carretera'!E$45:E$1646,MATCH(C975&amp;D975,'OD flujo mercancia carretera'!C$45:C$1646&amp;'OD flujo mercancia carretera'!D$45:D$1646,0))</f>
        <v>134038.4652014653</v>
      </c>
      <c r="G975" s="11" cm="1">
        <f t="array" aca="1" ref="G975" ca="1">INDEX('Coste Carretera'!E$46:E$1646,MATCH(C975&amp;D975,'Coste Carretera'!C$46:C$1646&amp;'Coste Carretera'!D$46:D$1646,0))</f>
        <v>3018719835.4885688</v>
      </c>
      <c r="H975" s="11" cm="1">
        <f t="array" aca="1" ref="H975" ca="1">INDEX('Coste multimodal'!E$46:E$1646,MATCH(C975&amp;D975,'Coste multimodal'!C$46:C$1646&amp;'Coste multimodal'!D$46:D$1646,0))</f>
        <v>460270597.97768617</v>
      </c>
      <c r="I975" s="12" cm="1">
        <f t="array" aca="1" ref="I975" ca="1">INDEX('Tiempos intermodal (horas)'!E$45:E$1645,MATCH(C975&amp;D975,'Tiempos intermodal (horas)'!C$45:C$1645&amp;'Tiempos intermodal (horas)'!D$45:D$1645,0))</f>
        <v>92.335595151792404</v>
      </c>
      <c r="J975" s="2" cm="1">
        <f t="array" aca="1" ref="J975" ca="1">INDEX('Tiempos carretera (horas)'!E$45:E$1645,MATCH(C975&amp;D975,'Tiempos carretera (horas)'!C$45:C$1645&amp;'Tiempos carretera (horas)'!D$45:D$1645,0))</f>
        <v>29</v>
      </c>
      <c r="K975" s="12">
        <f t="shared" ca="1" si="90"/>
        <v>22.521295144280483</v>
      </c>
      <c r="L975" s="12">
        <f t="shared" ca="1" si="91"/>
        <v>34.798371117524574</v>
      </c>
      <c r="M975" s="12">
        <f t="shared" ca="1" si="92"/>
        <v>8.9816067483921319E-2</v>
      </c>
      <c r="N975" s="13">
        <f t="shared" ca="1" si="94"/>
        <v>-12.277075973244092</v>
      </c>
      <c r="O975" s="13">
        <f t="shared" ca="1" si="95"/>
        <v>-63.335595151792404</v>
      </c>
      <c r="P975" s="12">
        <f t="shared" ca="1" si="93"/>
        <v>2.3158828182170539</v>
      </c>
    </row>
    <row r="976" spans="1:16" x14ac:dyDescent="0.25">
      <c r="A976">
        <v>12</v>
      </c>
      <c r="B976">
        <v>4</v>
      </c>
      <c r="C976" s="2" t="s">
        <v>11</v>
      </c>
      <c r="D976" s="2" t="s">
        <v>3</v>
      </c>
      <c r="E976" s="11" cm="1">
        <f t="array" aca="1" ref="E976" ca="1">INDEX('OD flujo mercancia multimodal'!E$45:E$1645,MATCH(C976&amp;D976,'OD flujo mercancia multimodal'!C$45:C$1645&amp;'OD flujo mercancia multimodal'!D$45:D$1645,0))</f>
        <v>36496.456043956015</v>
      </c>
      <c r="F976" s="11" cm="1">
        <f t="array" aca="1" ref="F976" ca="1">INDEX('OD flujo mercancia carretera'!E$45:E$1646,MATCH(C976&amp;D976,'OD flujo mercancia carretera'!C$45:C$1646&amp;'OD flujo mercancia carretera'!D$45:D$1646,0))</f>
        <v>72539.615384615361</v>
      </c>
      <c r="G976" s="11" cm="1">
        <f t="array" aca="1" ref="G976" ca="1">INDEX('Coste Carretera'!E$46:E$1646,MATCH(C976&amp;D976,'Coste Carretera'!C$46:C$1646&amp;'Coste Carretera'!D$46:D$1646,0))</f>
        <v>3791418277.6857119</v>
      </c>
      <c r="H976" s="11" cm="1">
        <f t="array" aca="1" ref="H976" ca="1">INDEX('Coste multimodal'!E$46:E$1646,MATCH(C976&amp;D976,'Coste multimodal'!C$46:C$1646&amp;'Coste multimodal'!D$46:D$1646,0))</f>
        <v>753697170.61151385</v>
      </c>
      <c r="I976" s="12" cm="1">
        <f t="array" aca="1" ref="I976" ca="1">INDEX('Tiempos intermodal (horas)'!E$45:E$1645,MATCH(C976&amp;D976,'Tiempos intermodal (horas)'!C$45:C$1645&amp;'Tiempos intermodal (horas)'!D$45:D$1645,0))</f>
        <v>71.697890821485544</v>
      </c>
      <c r="J976" s="2" cm="1">
        <f t="array" aca="1" ref="J976" ca="1">INDEX('Tiempos carretera (horas)'!E$45:E$1645,MATCH(C976&amp;D976,'Tiempos carretera (horas)'!C$45:C$1645&amp;'Tiempos carretera (horas)'!D$45:D$1645,0))</f>
        <v>20.76</v>
      </c>
      <c r="K976" s="12">
        <f t="shared" ca="1" si="90"/>
        <v>52.26686490661789</v>
      </c>
      <c r="L976" s="12">
        <f t="shared" ca="1" si="91"/>
        <v>20.651242676926422</v>
      </c>
      <c r="M976" s="12">
        <f t="shared" ca="1" si="92"/>
        <v>0.33471910319021847</v>
      </c>
      <c r="N976" s="13">
        <f t="shared" ca="1" si="94"/>
        <v>31.615622229691468</v>
      </c>
      <c r="O976" s="13">
        <f t="shared" ca="1" si="95"/>
        <v>-50.937890821485539</v>
      </c>
      <c r="P976" s="12">
        <f t="shared" ca="1" si="93"/>
        <v>0.68691767053790143</v>
      </c>
    </row>
    <row r="977" spans="1:16" x14ac:dyDescent="0.25">
      <c r="A977">
        <v>31</v>
      </c>
      <c r="B977">
        <v>29</v>
      </c>
      <c r="C977" s="2" t="s">
        <v>30</v>
      </c>
      <c r="D977" s="2" t="s">
        <v>147</v>
      </c>
      <c r="E977" s="11" cm="1">
        <f t="array" aca="1" ref="E977" ca="1">INDEX('OD flujo mercancia multimodal'!E$45:E$1645,MATCH(C977&amp;D977,'OD flujo mercancia multimodal'!C$45:C$1645&amp;'OD flujo mercancia multimodal'!D$45:D$1645,0))</f>
        <v>38383.607692307698</v>
      </c>
      <c r="F977" s="11" cm="1">
        <f t="array" aca="1" ref="F977" ca="1">INDEX('OD flujo mercancia carretera'!E$45:E$1646,MATCH(C977&amp;D977,'OD flujo mercancia carretera'!C$45:C$1646&amp;'OD flujo mercancia carretera'!D$45:D$1646,0))</f>
        <v>381507.70769230771</v>
      </c>
      <c r="G977" s="11" cm="1">
        <f t="array" aca="1" ref="G977" ca="1">INDEX('Coste Carretera'!E$46:E$1646,MATCH(C977&amp;D977,'Coste Carretera'!C$46:C$1646&amp;'Coste Carretera'!D$46:D$1646,0))</f>
        <v>1731664178.2839999</v>
      </c>
      <c r="H977" s="11" cm="1">
        <f t="array" aca="1" ref="H977" ca="1">INDEX('Coste multimodal'!E$46:E$1646,MATCH(C977&amp;D977,'Coste multimodal'!C$46:C$1646&amp;'Coste multimodal'!D$46:D$1646,0))</f>
        <v>2675354841.3878226</v>
      </c>
      <c r="I977" s="12" cm="1">
        <f t="array" aca="1" ref="I977" ca="1">INDEX('Tiempos intermodal (horas)'!E$45:E$1645,MATCH(C977&amp;D977,'Tiempos intermodal (horas)'!C$45:C$1645&amp;'Tiempos intermodal (horas)'!D$45:D$1645,0))</f>
        <v>86.176017452843467</v>
      </c>
      <c r="J977" s="2" cm="1">
        <f t="array" aca="1" ref="J977" ca="1">INDEX('Tiempos carretera (horas)'!E$45:E$1645,MATCH(C977&amp;D977,'Tiempos carretera (horas)'!C$45:C$1645&amp;'Tiempos carretera (horas)'!D$45:D$1645,0))</f>
        <v>9.26</v>
      </c>
      <c r="K977" s="12">
        <f t="shared" ca="1" si="90"/>
        <v>4.5390018166569144</v>
      </c>
      <c r="L977" s="12">
        <f t="shared" ca="1" si="91"/>
        <v>69.700452933817886</v>
      </c>
      <c r="M977" s="12">
        <f t="shared" ca="1" si="92"/>
        <v>9.1413197382157751E-2</v>
      </c>
      <c r="N977" s="13">
        <f t="shared" ca="1" si="94"/>
        <v>-65.161451117160965</v>
      </c>
      <c r="O977" s="13">
        <f t="shared" ca="1" si="95"/>
        <v>-76.916017452843462</v>
      </c>
      <c r="P977" s="12">
        <f t="shared" ca="1" si="93"/>
        <v>2.2965005687296132</v>
      </c>
    </row>
    <row r="978" spans="1:16" x14ac:dyDescent="0.25">
      <c r="A978">
        <v>29</v>
      </c>
      <c r="B978">
        <v>31</v>
      </c>
      <c r="C978" s="2" t="s">
        <v>147</v>
      </c>
      <c r="D978" s="2" t="s">
        <v>30</v>
      </c>
      <c r="E978" s="11" cm="1">
        <f t="array" aca="1" ref="E978" ca="1">INDEX('OD flujo mercancia multimodal'!E$45:E$1645,MATCH(C978&amp;D978,'OD flujo mercancia multimodal'!C$45:C$1645&amp;'OD flujo mercancia multimodal'!D$45:D$1645,0))</f>
        <v>25922.261538461538</v>
      </c>
      <c r="F978" s="11" cm="1">
        <f t="array" aca="1" ref="F978" ca="1">INDEX('OD flujo mercancia carretera'!E$45:E$1646,MATCH(C978&amp;D978,'OD flujo mercancia carretera'!C$45:C$1646&amp;'OD flujo mercancia carretera'!D$45:D$1646,0))</f>
        <v>386946.79230769229</v>
      </c>
      <c r="G978" s="11" cm="1">
        <f t="array" aca="1" ref="G978" ca="1">INDEX('Coste Carretera'!E$46:E$1646,MATCH(C978&amp;D978,'Coste Carretera'!C$46:C$1646&amp;'Coste Carretera'!D$46:D$1646,0))</f>
        <v>1400048375.908</v>
      </c>
      <c r="H978" s="11" cm="1">
        <f t="array" aca="1" ref="H978" ca="1">INDEX('Coste multimodal'!E$46:E$1646,MATCH(C978&amp;D978,'Coste multimodal'!C$46:C$1646&amp;'Coste multimodal'!D$46:D$1646,0))</f>
        <v>2675354841.3878226</v>
      </c>
      <c r="I978" s="12" cm="1">
        <f t="array" aca="1" ref="I978" ca="1">INDEX('Tiempos intermodal (horas)'!E$45:E$1645,MATCH(C978&amp;D978,'Tiempos intermodal (horas)'!C$45:C$1645&amp;'Tiempos intermodal (horas)'!D$45:D$1645,0))</f>
        <v>86.176017452843467</v>
      </c>
      <c r="J978" s="2" cm="1">
        <f t="array" aca="1" ref="J978" ca="1">INDEX('Tiempos carretera (horas)'!E$45:E$1645,MATCH(C978&amp;D978,'Tiempos carretera (horas)'!C$45:C$1645&amp;'Tiempos carretera (horas)'!D$45:D$1645,0))</f>
        <v>9.26</v>
      </c>
      <c r="K978" s="12">
        <f t="shared" ca="1" si="90"/>
        <v>3.6181935184378262</v>
      </c>
      <c r="L978" s="12">
        <f t="shared" ca="1" si="91"/>
        <v>103.20684549140624</v>
      </c>
      <c r="M978" s="12">
        <f t="shared" ca="1" si="92"/>
        <v>6.2785673319368893E-2</v>
      </c>
      <c r="N978" s="13">
        <f t="shared" ca="1" si="94"/>
        <v>-99.588651972968421</v>
      </c>
      <c r="O978" s="13">
        <f t="shared" ca="1" si="95"/>
        <v>-76.916017452843462</v>
      </c>
      <c r="P978" s="12">
        <f t="shared" ca="1" si="93"/>
        <v>2.7031850776102733</v>
      </c>
    </row>
    <row r="979" spans="1:16" x14ac:dyDescent="0.25">
      <c r="A979">
        <v>29</v>
      </c>
      <c r="B979">
        <v>6</v>
      </c>
      <c r="C979" s="2" t="s">
        <v>147</v>
      </c>
      <c r="D979" s="2" t="s">
        <v>5</v>
      </c>
      <c r="E979" s="11" cm="1">
        <f t="array" aca="1" ref="E979" ca="1">INDEX('OD flujo mercancia multimodal'!E$45:E$1645,MATCH(C979&amp;D979,'OD flujo mercancia multimodal'!C$45:C$1645&amp;'OD flujo mercancia multimodal'!D$45:D$1645,0))</f>
        <v>36482.585714285698</v>
      </c>
      <c r="F979" s="11" cm="1">
        <f t="array" aca="1" ref="F979" ca="1">INDEX('OD flujo mercancia carretera'!E$45:E$1646,MATCH(C979&amp;D979,'OD flujo mercancia carretera'!C$45:C$1646&amp;'OD flujo mercancia carretera'!D$45:D$1646,0))</f>
        <v>491351.87289377296</v>
      </c>
      <c r="G979" s="11" cm="1">
        <f t="array" aca="1" ref="G979" ca="1">INDEX('Coste Carretera'!E$46:E$1646,MATCH(C979&amp;D979,'Coste Carretera'!C$46:C$1646&amp;'Coste Carretera'!D$46:D$1646,0))</f>
        <v>2573275834.502285</v>
      </c>
      <c r="H979" s="11" cm="1">
        <f t="array" aca="1" ref="H979" ca="1">INDEX('Coste multimodal'!E$46:E$1646,MATCH(C979&amp;D979,'Coste multimodal'!C$46:C$1646&amp;'Coste multimodal'!D$46:D$1646,0))</f>
        <v>2637416807.5670371</v>
      </c>
      <c r="I979" s="12" cm="1">
        <f t="array" aca="1" ref="I979" ca="1">INDEX('Tiempos intermodal (horas)'!E$45:E$1645,MATCH(C979&amp;D979,'Tiempos intermodal (horas)'!C$45:C$1645&amp;'Tiempos intermodal (horas)'!D$45:D$1645,0))</f>
        <v>86.925154969266146</v>
      </c>
      <c r="J979" s="2" cm="1">
        <f t="array" aca="1" ref="J979" ca="1">INDEX('Tiempos carretera (horas)'!E$45:E$1645,MATCH(C979&amp;D979,'Tiempos carretera (horas)'!C$45:C$1645&amp;'Tiempos carretera (horas)'!D$45:D$1645,0))</f>
        <v>13.56</v>
      </c>
      <c r="K979" s="12">
        <f t="shared" ca="1" si="90"/>
        <v>5.2371344782858094</v>
      </c>
      <c r="L979" s="12">
        <f t="shared" ca="1" si="91"/>
        <v>72.292485741609269</v>
      </c>
      <c r="M979" s="12">
        <f t="shared" ca="1" si="92"/>
        <v>6.9117476358957639E-2</v>
      </c>
      <c r="N979" s="13">
        <f t="shared" ca="1" si="94"/>
        <v>-67.055351263323459</v>
      </c>
      <c r="O979" s="13">
        <f t="shared" ca="1" si="95"/>
        <v>-73.365154969266143</v>
      </c>
      <c r="P979" s="12">
        <f t="shared" ca="1" si="93"/>
        <v>2.6003254735116013</v>
      </c>
    </row>
    <row r="980" spans="1:16" x14ac:dyDescent="0.25">
      <c r="A980">
        <v>37</v>
      </c>
      <c r="B980">
        <v>1</v>
      </c>
      <c r="C980" s="2" t="s">
        <v>36</v>
      </c>
      <c r="D980" s="2" t="s">
        <v>0</v>
      </c>
      <c r="E980" s="11" cm="1">
        <f t="array" aca="1" ref="E980" ca="1">INDEX('OD flujo mercancia multimodal'!E$45:E$1645,MATCH(C980&amp;D980,'OD flujo mercancia multimodal'!C$45:C$1645&amp;'OD flujo mercancia multimodal'!D$45:D$1645,0))</f>
        <v>98077.22527472525</v>
      </c>
      <c r="F980" s="11" cm="1">
        <f t="array" aca="1" ref="F980" ca="1">INDEX('OD flujo mercancia carretera'!E$45:E$1646,MATCH(C980&amp;D980,'OD flujo mercancia carretera'!C$45:C$1646&amp;'OD flujo mercancia carretera'!D$45:D$1646,0))</f>
        <v>130586.4212454213</v>
      </c>
      <c r="G980" s="11" cm="1">
        <f t="array" aca="1" ref="G980" ca="1">INDEX('Coste Carretera'!E$46:E$1646,MATCH(C980&amp;D980,'Coste Carretera'!C$46:C$1646&amp;'Coste Carretera'!D$46:D$1646,0))</f>
        <v>8817805295.7857113</v>
      </c>
      <c r="H980" s="11" cm="1">
        <f t="array" aca="1" ref="H980" ca="1">INDEX('Coste multimodal'!E$46:E$1646,MATCH(C980&amp;D980,'Coste multimodal'!C$46:C$1646&amp;'Coste multimodal'!D$46:D$1646,0))</f>
        <v>657805451.12453008</v>
      </c>
      <c r="I980" s="12" cm="1">
        <f t="array" aca="1" ref="I980" ca="1">INDEX('Tiempos intermodal (horas)'!E$45:E$1645,MATCH(C980&amp;D980,'Tiempos intermodal (horas)'!C$45:C$1645&amp;'Tiempos intermodal (horas)'!D$45:D$1645,0))</f>
        <v>72.792894818646786</v>
      </c>
      <c r="J980" s="2" cm="1">
        <f t="array" aca="1" ref="J980" ca="1">INDEX('Tiempos carretera (horas)'!E$45:E$1645,MATCH(C980&amp;D980,'Tiempos carretera (horas)'!C$45:C$1645&amp;'Tiempos carretera (horas)'!D$45:D$1645,0))</f>
        <v>18.78</v>
      </c>
      <c r="K980" s="12">
        <f t="shared" ca="1" si="90"/>
        <v>67.524672256801637</v>
      </c>
      <c r="L980" s="12">
        <f t="shared" ca="1" si="91"/>
        <v>6.7070153063766194</v>
      </c>
      <c r="M980" s="12">
        <f t="shared" ca="1" si="92"/>
        <v>0.42891481338326376</v>
      </c>
      <c r="N980" s="13">
        <f t="shared" ca="1" si="94"/>
        <v>60.817656950425018</v>
      </c>
      <c r="O980" s="13">
        <f t="shared" ca="1" si="95"/>
        <v>-54.012894818646785</v>
      </c>
      <c r="P980" s="12">
        <f t="shared" ca="1" si="93"/>
        <v>0.28628005799099682</v>
      </c>
    </row>
    <row r="981" spans="1:16" x14ac:dyDescent="0.25">
      <c r="A981">
        <v>1</v>
      </c>
      <c r="B981">
        <v>37</v>
      </c>
      <c r="C981" s="2" t="s">
        <v>0</v>
      </c>
      <c r="D981" s="2" t="s">
        <v>36</v>
      </c>
      <c r="E981" s="11" cm="1">
        <f t="array" aca="1" ref="E981" ca="1">INDEX('OD flujo mercancia multimodal'!E$45:E$1645,MATCH(C981&amp;D981,'OD flujo mercancia multimodal'!C$45:C$1645&amp;'OD flujo mercancia multimodal'!D$45:D$1645,0))</f>
        <v>95758.917582417635</v>
      </c>
      <c r="F981" s="11" cm="1">
        <f t="array" aca="1" ref="F981" ca="1">INDEX('OD flujo mercancia carretera'!E$45:E$1646,MATCH(C981&amp;D981,'OD flujo mercancia carretera'!C$45:C$1646&amp;'OD flujo mercancia carretera'!D$45:D$1646,0))</f>
        <v>134162.42673992668</v>
      </c>
      <c r="G981" s="11" cm="1">
        <f t="array" aca="1" ref="G981" ca="1">INDEX('Coste Carretera'!E$46:E$1646,MATCH(C981&amp;D981,'Coste Carretera'!C$46:C$1646&amp;'Coste Carretera'!D$46:D$1646,0))</f>
        <v>8328535136.7857151</v>
      </c>
      <c r="H981" s="11" cm="1">
        <f t="array" aca="1" ref="H981" ca="1">INDEX('Coste multimodal'!E$46:E$1646,MATCH(C981&amp;D981,'Coste multimodal'!C$46:C$1646&amp;'Coste multimodal'!D$46:D$1646,0))</f>
        <v>657805451.12453008</v>
      </c>
      <c r="I981" s="12" cm="1">
        <f t="array" aca="1" ref="I981" ca="1">INDEX('Tiempos intermodal (horas)'!E$45:E$1645,MATCH(C981&amp;D981,'Tiempos intermodal (horas)'!C$45:C$1645&amp;'Tiempos intermodal (horas)'!D$45:D$1645,0))</f>
        <v>72.792894818646786</v>
      </c>
      <c r="J981" s="2" cm="1">
        <f t="array" aca="1" ref="J981" ca="1">INDEX('Tiempos carretera (horas)'!E$45:E$1645,MATCH(C981&amp;D981,'Tiempos carretera (horas)'!C$45:C$1645&amp;'Tiempos carretera (horas)'!D$45:D$1645,0))</f>
        <v>18.78</v>
      </c>
      <c r="K981" s="12">
        <f t="shared" ca="1" si="90"/>
        <v>62.078000071738018</v>
      </c>
      <c r="L981" s="12">
        <f t="shared" ca="1" si="91"/>
        <v>6.8693910471405557</v>
      </c>
      <c r="M981" s="12">
        <f t="shared" ca="1" si="92"/>
        <v>0.41648555015477767</v>
      </c>
      <c r="N981" s="13">
        <f t="shared" ca="1" si="94"/>
        <v>55.208609024597465</v>
      </c>
      <c r="O981" s="13">
        <f t="shared" ca="1" si="95"/>
        <v>-54.012894818646785</v>
      </c>
      <c r="P981" s="12">
        <f t="shared" ca="1" si="93"/>
        <v>0.3372174480086424</v>
      </c>
    </row>
    <row r="982" spans="1:16" x14ac:dyDescent="0.25">
      <c r="A982">
        <v>22</v>
      </c>
      <c r="B982">
        <v>5</v>
      </c>
      <c r="C982" s="2" t="s">
        <v>21</v>
      </c>
      <c r="D982" s="2" t="s">
        <v>4</v>
      </c>
      <c r="E982" s="11" cm="1">
        <f t="array" aca="1" ref="E982" ca="1">INDEX('OD flujo mercancia multimodal'!E$45:E$1645,MATCH(C982&amp;D982,'OD flujo mercancia multimodal'!C$45:C$1645&amp;'OD flujo mercancia multimodal'!D$45:D$1645,0))</f>
        <v>73541.181318681367</v>
      </c>
      <c r="F982" s="11" cm="1">
        <f t="array" aca="1" ref="F982" ca="1">INDEX('OD flujo mercancia carretera'!E$45:E$1646,MATCH(C982&amp;D982,'OD flujo mercancia carretera'!C$45:C$1646&amp;'OD flujo mercancia carretera'!D$45:D$1646,0))</f>
        <v>190018.12820512816</v>
      </c>
      <c r="G982" s="11" cm="1">
        <f t="array" aca="1" ref="G982" ca="1">INDEX('Coste Carretera'!E$46:E$1646,MATCH(C982&amp;D982,'Coste Carretera'!C$46:C$1646&amp;'Coste Carretera'!D$46:D$1646,0))</f>
        <v>4491951246.2428608</v>
      </c>
      <c r="H982" s="11" cm="1">
        <f t="array" aca="1" ref="H982" ca="1">INDEX('Coste multimodal'!E$46:E$1646,MATCH(C982&amp;D982,'Coste multimodal'!C$46:C$1646&amp;'Coste multimodal'!D$46:D$1646,0))</f>
        <v>2338005303.8041797</v>
      </c>
      <c r="I982" s="12" cm="1">
        <f t="array" aca="1" ref="I982" ca="1">INDEX('Tiempos intermodal (horas)'!E$45:E$1645,MATCH(C982&amp;D982,'Tiempos intermodal (horas)'!C$45:C$1645&amp;'Tiempos intermodal (horas)'!D$45:D$1645,0))</f>
        <v>83.936266080377251</v>
      </c>
      <c r="J982" s="2" cm="1">
        <f t="array" aca="1" ref="J982" ca="1">INDEX('Tiempos carretera (horas)'!E$45:E$1645,MATCH(C982&amp;D982,'Tiempos carretera (horas)'!C$45:C$1645&amp;'Tiempos carretera (horas)'!D$45:D$1645,0))</f>
        <v>12.36</v>
      </c>
      <c r="K982" s="12">
        <f t="shared" ca="1" si="90"/>
        <v>23.639593172887771</v>
      </c>
      <c r="L982" s="12">
        <f t="shared" ca="1" si="91"/>
        <v>31.791783350239243</v>
      </c>
      <c r="M982" s="12">
        <f t="shared" ca="1" si="92"/>
        <v>0.27903086197772031</v>
      </c>
      <c r="N982" s="13">
        <f t="shared" ca="1" si="94"/>
        <v>-8.1521901773514713</v>
      </c>
      <c r="O982" s="13">
        <f t="shared" ca="1" si="95"/>
        <v>-71.576266080377252</v>
      </c>
      <c r="P982" s="12">
        <f t="shared" ca="1" si="93"/>
        <v>0.94927393985001363</v>
      </c>
    </row>
    <row r="983" spans="1:16" x14ac:dyDescent="0.25">
      <c r="A983">
        <v>30</v>
      </c>
      <c r="B983">
        <v>5</v>
      </c>
      <c r="C983" s="2" t="s">
        <v>146</v>
      </c>
      <c r="D983" s="2" t="s">
        <v>4</v>
      </c>
      <c r="E983" s="11" cm="1">
        <f t="array" aca="1" ref="E983" ca="1">INDEX('OD flujo mercancia multimodal'!E$45:E$1645,MATCH(C983&amp;D983,'OD flujo mercancia multimodal'!C$45:C$1645&amp;'OD flujo mercancia multimodal'!D$45:D$1645,0))</f>
        <v>66711.950549450587</v>
      </c>
      <c r="F983" s="11" cm="1">
        <f t="array" aca="1" ref="F983" ca="1">INDEX('OD flujo mercancia carretera'!E$45:E$1646,MATCH(C983&amp;D983,'OD flujo mercancia carretera'!C$45:C$1646&amp;'OD flujo mercancia carretera'!D$45:D$1646,0))</f>
        <v>287656.26153846155</v>
      </c>
      <c r="G983" s="11" cm="1">
        <f t="array" aca="1" ref="G983" ca="1">INDEX('Coste Carretera'!E$46:E$1646,MATCH(C983&amp;D983,'Coste Carretera'!C$46:C$1646&amp;'Coste Carretera'!D$46:D$1646,0))</f>
        <v>5902328329.7828598</v>
      </c>
      <c r="H983" s="11" cm="1">
        <f t="array" aca="1" ref="H983" ca="1">INDEX('Coste multimodal'!E$46:E$1646,MATCH(C983&amp;D983,'Coste multimodal'!C$46:C$1646&amp;'Coste multimodal'!D$46:D$1646,0))</f>
        <v>376997856.78714526</v>
      </c>
      <c r="I983" s="12" cm="1">
        <f t="array" aca="1" ref="I983" ca="1">INDEX('Tiempos intermodal (horas)'!E$45:E$1645,MATCH(C983&amp;D983,'Tiempos intermodal (horas)'!C$45:C$1645&amp;'Tiempos intermodal (horas)'!D$45:D$1645,0))</f>
        <v>64.745154883399024</v>
      </c>
      <c r="J983" s="2" cm="1">
        <f t="array" aca="1" ref="J983" ca="1">INDEX('Tiempos carretera (horas)'!E$45:E$1645,MATCH(C983&amp;D983,'Tiempos carretera (horas)'!C$45:C$1645&amp;'Tiempos carretera (horas)'!D$45:D$1645,0))</f>
        <v>15</v>
      </c>
      <c r="K983" s="12">
        <f t="shared" ca="1" si="90"/>
        <v>20.518685385868714</v>
      </c>
      <c r="L983" s="12">
        <f t="shared" ca="1" si="91"/>
        <v>5.6511292756714351</v>
      </c>
      <c r="M983" s="12">
        <f t="shared" ca="1" si="92"/>
        <v>0.18825602374543854</v>
      </c>
      <c r="N983" s="13">
        <f t="shared" ca="1" si="94"/>
        <v>14.867556110197279</v>
      </c>
      <c r="O983" s="13">
        <f t="shared" ca="1" si="95"/>
        <v>-49.745154883399024</v>
      </c>
      <c r="P983" s="12">
        <f t="shared" ca="1" si="93"/>
        <v>1.461382125449209</v>
      </c>
    </row>
    <row r="984" spans="1:16" x14ac:dyDescent="0.25">
      <c r="A984">
        <v>23</v>
      </c>
      <c r="B984">
        <v>10</v>
      </c>
      <c r="C984" s="2" t="s">
        <v>22</v>
      </c>
      <c r="D984" s="2" t="s">
        <v>9</v>
      </c>
      <c r="E984" s="11" cm="1">
        <f t="array" aca="1" ref="E984" ca="1">INDEX('OD flujo mercancia multimodal'!E$45:E$1645,MATCH(C984&amp;D984,'OD flujo mercancia multimodal'!C$45:C$1645&amp;'OD flujo mercancia multimodal'!D$45:D$1645,0))</f>
        <v>21886.752747252762</v>
      </c>
      <c r="F984" s="11" cm="1">
        <f t="array" aca="1" ref="F984" ca="1">INDEX('OD flujo mercancia carretera'!E$45:E$1646,MATCH(C984&amp;D984,'OD flujo mercancia carretera'!C$45:C$1646&amp;'OD flujo mercancia carretera'!D$45:D$1646,0))</f>
        <v>199561.58974358978</v>
      </c>
      <c r="G984" s="11" cm="1">
        <f t="array" aca="1" ref="G984" ca="1">INDEX('Coste Carretera'!E$46:E$1646,MATCH(C984&amp;D984,'Coste Carretera'!C$46:C$1646&amp;'Coste Carretera'!D$46:D$1646,0))</f>
        <v>1400081565.7200007</v>
      </c>
      <c r="H984" s="11" cm="1">
        <f t="array" aca="1" ref="H984" ca="1">INDEX('Coste multimodal'!E$46:E$1646,MATCH(C984&amp;D984,'Coste multimodal'!C$46:C$1646&amp;'Coste multimodal'!D$46:D$1646,0))</f>
        <v>460118135.03914523</v>
      </c>
      <c r="I984" s="12" cm="1">
        <f t="array" aca="1" ref="I984" ca="1">INDEX('Tiempos intermodal (horas)'!E$45:E$1645,MATCH(C984&amp;D984,'Tiempos intermodal (horas)'!C$45:C$1645&amp;'Tiempos intermodal (horas)'!D$45:D$1645,0))</f>
        <v>67.255154883399015</v>
      </c>
      <c r="J984" s="2" cm="1">
        <f t="array" aca="1" ref="J984" ca="1">INDEX('Tiempos carretera (horas)'!E$45:E$1645,MATCH(C984&amp;D984,'Tiempos carretera (horas)'!C$45:C$1645&amp;'Tiempos carretera (horas)'!D$45:D$1645,0))</f>
        <v>13</v>
      </c>
      <c r="K984" s="12">
        <f t="shared" ca="1" si="90"/>
        <v>7.0157867930342714</v>
      </c>
      <c r="L984" s="12">
        <f t="shared" ca="1" si="91"/>
        <v>21.022677066468873</v>
      </c>
      <c r="M984" s="12">
        <f t="shared" ca="1" si="92"/>
        <v>9.8834574696163441E-2</v>
      </c>
      <c r="N984" s="13">
        <f t="shared" ca="1" si="94"/>
        <v>-14.006890273434601</v>
      </c>
      <c r="O984" s="13">
        <f t="shared" ca="1" si="95"/>
        <v>-54.255154883399015</v>
      </c>
      <c r="P984" s="12">
        <f t="shared" ca="1" si="93"/>
        <v>2.2102413527922895</v>
      </c>
    </row>
    <row r="985" spans="1:16" x14ac:dyDescent="0.25">
      <c r="A985">
        <v>10</v>
      </c>
      <c r="B985">
        <v>23</v>
      </c>
      <c r="C985" s="2" t="s">
        <v>9</v>
      </c>
      <c r="D985" s="2" t="s">
        <v>22</v>
      </c>
      <c r="E985" s="11" cm="1">
        <f t="array" aca="1" ref="E985" ca="1">INDEX('OD flujo mercancia multimodal'!E$45:E$1645,MATCH(C985&amp;D985,'OD flujo mercancia multimodal'!C$45:C$1645&amp;'OD flujo mercancia multimodal'!D$45:D$1645,0))</f>
        <v>20474.26373626374</v>
      </c>
      <c r="F985" s="11" cm="1">
        <f t="array" aca="1" ref="F985" ca="1">INDEX('OD flujo mercancia carretera'!E$45:E$1646,MATCH(C985&amp;D985,'OD flujo mercancia carretera'!C$45:C$1646&amp;'OD flujo mercancia carretera'!D$45:D$1646,0))</f>
        <v>200804.5897435901</v>
      </c>
      <c r="G985" s="11" cm="1">
        <f t="array" aca="1" ref="G985" ca="1">INDEX('Coste Carretera'!E$46:E$1646,MATCH(C985&amp;D985,'Coste Carretera'!C$46:C$1646&amp;'Coste Carretera'!D$46:D$1646,0))</f>
        <v>1309725547.6800003</v>
      </c>
      <c r="H985" s="11" cm="1">
        <f t="array" aca="1" ref="H985" ca="1">INDEX('Coste multimodal'!E$46:E$1646,MATCH(C985&amp;D985,'Coste multimodal'!C$46:C$1646&amp;'Coste multimodal'!D$46:D$1646,0))</f>
        <v>460118135.03914523</v>
      </c>
      <c r="I985" s="12" cm="1">
        <f t="array" aca="1" ref="I985" ca="1">INDEX('Tiempos intermodal (horas)'!E$45:E$1645,MATCH(C985&amp;D985,'Tiempos intermodal (horas)'!C$45:C$1645&amp;'Tiempos intermodal (horas)'!D$45:D$1645,0))</f>
        <v>67.255154883399015</v>
      </c>
      <c r="J985" s="2" cm="1">
        <f t="array" aca="1" ref="J985" ca="1">INDEX('Tiempos carretera (horas)'!E$45:E$1645,MATCH(C985&amp;D985,'Tiempos carretera (horas)'!C$45:C$1645&amp;'Tiempos carretera (horas)'!D$45:D$1645,0))</f>
        <v>13</v>
      </c>
      <c r="K985" s="12">
        <f t="shared" ca="1" si="90"/>
        <v>6.5223885039301415</v>
      </c>
      <c r="L985" s="12">
        <f t="shared" ca="1" si="91"/>
        <v>22.473000297646365</v>
      </c>
      <c r="M985" s="12">
        <f t="shared" ca="1" si="92"/>
        <v>9.2526978580570976E-2</v>
      </c>
      <c r="N985" s="13">
        <f t="shared" ca="1" si="94"/>
        <v>-15.950611793716224</v>
      </c>
      <c r="O985" s="13">
        <f t="shared" ca="1" si="95"/>
        <v>-54.255154883399015</v>
      </c>
      <c r="P985" s="12">
        <f t="shared" ca="1" si="93"/>
        <v>2.2831635749093966</v>
      </c>
    </row>
    <row r="986" spans="1:16" x14ac:dyDescent="0.25">
      <c r="A986">
        <v>39</v>
      </c>
      <c r="B986">
        <v>10</v>
      </c>
      <c r="C986" s="2" t="s">
        <v>38</v>
      </c>
      <c r="D986" s="2" t="s">
        <v>9</v>
      </c>
      <c r="E986" s="11" cm="1">
        <f t="array" aca="1" ref="E986" ca="1">INDEX('OD flujo mercancia multimodal'!E$45:E$1645,MATCH(C986&amp;D986,'OD flujo mercancia multimodal'!C$45:C$1645&amp;'OD flujo mercancia multimodal'!D$45:D$1645,0))</f>
        <v>21102.214285714301</v>
      </c>
      <c r="F986" s="11" cm="1">
        <f t="array" aca="1" ref="F986" ca="1">INDEX('OD flujo mercancia carretera'!E$45:E$1646,MATCH(C986&amp;D986,'OD flujo mercancia carretera'!C$45:C$1646&amp;'OD flujo mercancia carretera'!D$45:D$1646,0))</f>
        <v>99891.615384615419</v>
      </c>
      <c r="G986" s="11" cm="1">
        <f t="array" aca="1" ref="G986" ca="1">INDEX('Coste Carretera'!E$46:E$1646,MATCH(C986&amp;D986,'Coste Carretera'!C$46:C$1646&amp;'Coste Carretera'!D$46:D$1646,0))</f>
        <v>4050566727.0600028</v>
      </c>
      <c r="H986" s="11" cm="1">
        <f t="array" aca="1" ref="H986" ca="1">INDEX('Coste multimodal'!E$46:E$1646,MATCH(C986&amp;D986,'Coste multimodal'!C$46:C$1646&amp;'Coste multimodal'!D$46:D$1646,0))</f>
        <v>388149601.27482909</v>
      </c>
      <c r="I986" s="12" cm="1">
        <f t="array" aca="1" ref="I986" ca="1">INDEX('Tiempos intermodal (horas)'!E$45:E$1645,MATCH(C986&amp;D986,'Tiempos intermodal (horas)'!C$45:C$1645&amp;'Tiempos intermodal (horas)'!D$45:D$1645,0))</f>
        <v>90.778928485125746</v>
      </c>
      <c r="J986" s="2" cm="1">
        <f t="array" aca="1" ref="J986" ca="1">INDEX('Tiempos carretera (horas)'!E$45:E$1645,MATCH(C986&amp;D986,'Tiempos carretera (horas)'!C$45:C$1645&amp;'Tiempos carretera (horas)'!D$45:D$1645,0))</f>
        <v>28</v>
      </c>
      <c r="K986" s="12">
        <f t="shared" ref="K986:K1049" ca="1" si="96">G986/(F986*1000)</f>
        <v>40.54961681682687</v>
      </c>
      <c r="L986" s="12">
        <f t="shared" ref="L986:L1049" ca="1" si="97">H986/(E986*1000)</f>
        <v>18.393785411306204</v>
      </c>
      <c r="M986" s="12">
        <f t="shared" ref="M986:M1049" ca="1" si="98">E986/(E986+F986)</f>
        <v>0.1744073589802986</v>
      </c>
      <c r="N986" s="13">
        <f t="shared" ca="1" si="94"/>
        <v>22.155831405520665</v>
      </c>
      <c r="O986" s="13">
        <f t="shared" ca="1" si="95"/>
        <v>-62.778928485125746</v>
      </c>
      <c r="P986" s="12">
        <f t="shared" ref="P986:P1049" ca="1" si="99">LN(1/M986-1)</f>
        <v>1.5547077746213898</v>
      </c>
    </row>
    <row r="987" spans="1:16" x14ac:dyDescent="0.25">
      <c r="A987">
        <v>10</v>
      </c>
      <c r="B987">
        <v>39</v>
      </c>
      <c r="C987" s="2" t="s">
        <v>9</v>
      </c>
      <c r="D987" s="2" t="s">
        <v>38</v>
      </c>
      <c r="E987" s="11" cm="1">
        <f t="array" aca="1" ref="E987" ca="1">INDEX('OD flujo mercancia multimodal'!E$45:E$1645,MATCH(C987&amp;D987,'OD flujo mercancia multimodal'!C$45:C$1645&amp;'OD flujo mercancia multimodal'!D$45:D$1645,0))</f>
        <v>17228.956043956048</v>
      </c>
      <c r="F987" s="11" cm="1">
        <f t="array" aca="1" ref="F987" ca="1">INDEX('OD flujo mercancia carretera'!E$45:E$1646,MATCH(C987&amp;D987,'OD flujo mercancia carretera'!C$45:C$1646&amp;'OD flujo mercancia carretera'!D$45:D$1646,0))</f>
        <v>181948.76556776557</v>
      </c>
      <c r="G987" s="11" cm="1">
        <f t="array" aca="1" ref="G987" ca="1">INDEX('Coste Carretera'!E$46:E$1646,MATCH(C987&amp;D987,'Coste Carretera'!C$46:C$1646&amp;'Coste Carretera'!D$46:D$1646,0))</f>
        <v>1853071563.1999998</v>
      </c>
      <c r="H987" s="11" cm="1">
        <f t="array" aca="1" ref="H987" ca="1">INDEX('Coste multimodal'!E$46:E$1646,MATCH(C987&amp;D987,'Coste multimodal'!C$46:C$1646&amp;'Coste multimodal'!D$46:D$1646,0))</f>
        <v>419304673.59190142</v>
      </c>
      <c r="I987" s="12" cm="1">
        <f t="array" aca="1" ref="I987" ca="1">INDEX('Tiempos intermodal (horas)'!E$45:E$1645,MATCH(C987&amp;D987,'Tiempos intermodal (horas)'!C$45:C$1645&amp;'Tiempos intermodal (horas)'!D$45:D$1645,0))</f>
        <v>79.257071016328837</v>
      </c>
      <c r="J987" s="2" cm="1">
        <f t="array" aca="1" ref="J987" ca="1">INDEX('Tiempos carretera (horas)'!E$45:E$1645,MATCH(C987&amp;D987,'Tiempos carretera (horas)'!C$45:C$1645&amp;'Tiempos carretera (horas)'!D$45:D$1645,0))</f>
        <v>25</v>
      </c>
      <c r="K987" s="12">
        <f t="shared" ca="1" si="96"/>
        <v>10.184578924828353</v>
      </c>
      <c r="L987" s="12">
        <f t="shared" ca="1" si="97"/>
        <v>24.337207229627492</v>
      </c>
      <c r="M987" s="12">
        <f t="shared" ca="1" si="98"/>
        <v>8.6500417338553001E-2</v>
      </c>
      <c r="N987" s="13">
        <f t="shared" ca="1" si="94"/>
        <v>-14.152628304799139</v>
      </c>
      <c r="O987" s="13">
        <f t="shared" ca="1" si="95"/>
        <v>-54.257071016328837</v>
      </c>
      <c r="P987" s="12">
        <f t="shared" ca="1" si="99"/>
        <v>2.3571336803119527</v>
      </c>
    </row>
    <row r="988" spans="1:16" x14ac:dyDescent="0.25">
      <c r="A988">
        <v>23</v>
      </c>
      <c r="B988">
        <v>35</v>
      </c>
      <c r="C988" s="2" t="s">
        <v>22</v>
      </c>
      <c r="D988" s="2" t="s">
        <v>34</v>
      </c>
      <c r="E988" s="11" cm="1">
        <f t="array" aca="1" ref="E988" ca="1">INDEX('OD flujo mercancia multimodal'!E$45:E$1645,MATCH(C988&amp;D988,'OD flujo mercancia multimodal'!C$45:C$1645&amp;'OD flujo mercancia multimodal'!D$45:D$1645,0))</f>
        <v>23902.153846153862</v>
      </c>
      <c r="F988" s="11" cm="1">
        <f t="array" aca="1" ref="F988" ca="1">INDEX('OD flujo mercancia carretera'!E$45:E$1646,MATCH(C988&amp;D988,'OD flujo mercancia carretera'!C$45:C$1646&amp;'OD flujo mercancia carretera'!D$45:D$1646,0))</f>
        <v>120532.20512820517</v>
      </c>
      <c r="G988" s="11" cm="1">
        <f t="array" aca="1" ref="G988" ca="1">INDEX('Coste Carretera'!E$46:E$1646,MATCH(C988&amp;D988,'Coste Carretera'!C$46:C$1646&amp;'Coste Carretera'!D$46:D$1646,0))</f>
        <v>11315471006.400009</v>
      </c>
      <c r="H988" s="11" cm="1">
        <f t="array" aca="1" ref="H988" ca="1">INDEX('Coste multimodal'!E$46:E$1646,MATCH(C988&amp;D988,'Coste multimodal'!C$46:C$1646&amp;'Coste multimodal'!D$46:D$1646,0))</f>
        <v>2276710335.1577268</v>
      </c>
      <c r="I988" s="12" cm="1">
        <f t="array" aca="1" ref="I988" ca="1">INDEX('Tiempos intermodal (horas)'!E$45:E$1645,MATCH(C988&amp;D988,'Tiempos intermodal (horas)'!C$45:C$1645&amp;'Tiempos intermodal (horas)'!D$45:D$1645,0))</f>
        <v>61.920968392220338</v>
      </c>
      <c r="J988" s="2" cm="1">
        <f t="array" aca="1" ref="J988" ca="1">INDEX('Tiempos carretera (horas)'!E$45:E$1645,MATCH(C988&amp;D988,'Tiempos carretera (horas)'!C$45:C$1645&amp;'Tiempos carretera (horas)'!D$45:D$1645,0))</f>
        <v>7.65</v>
      </c>
      <c r="K988" s="12">
        <f t="shared" ca="1" si="96"/>
        <v>93.879233308344496</v>
      </c>
      <c r="L988" s="12">
        <f t="shared" ca="1" si="97"/>
        <v>95.251262702590139</v>
      </c>
      <c r="M988" s="12">
        <f t="shared" ca="1" si="98"/>
        <v>0.16548800448788736</v>
      </c>
      <c r="N988" s="13">
        <f t="shared" ca="1" si="94"/>
        <v>-1.3720293942456436</v>
      </c>
      <c r="O988" s="13">
        <f t="shared" ca="1" si="95"/>
        <v>-54.27096839222034</v>
      </c>
      <c r="P988" s="12">
        <f t="shared" ca="1" si="99"/>
        <v>1.6179484057342686</v>
      </c>
    </row>
    <row r="989" spans="1:16" x14ac:dyDescent="0.25">
      <c r="A989">
        <v>35</v>
      </c>
      <c r="B989">
        <v>23</v>
      </c>
      <c r="C989" s="2" t="s">
        <v>34</v>
      </c>
      <c r="D989" s="2" t="s">
        <v>22</v>
      </c>
      <c r="E989" s="11" cm="1">
        <f t="array" aca="1" ref="E989" ca="1">INDEX('OD flujo mercancia multimodal'!E$45:E$1645,MATCH(C989&amp;D989,'OD flujo mercancia multimodal'!C$45:C$1645&amp;'OD flujo mercancia multimodal'!D$45:D$1645,0))</f>
        <v>16167.000000000002</v>
      </c>
      <c r="F989" s="11" cm="1">
        <f t="array" aca="1" ref="F989" ca="1">INDEX('OD flujo mercancia carretera'!E$45:E$1646,MATCH(C989&amp;D989,'OD flujo mercancia carretera'!C$45:C$1646&amp;'OD flujo mercancia carretera'!D$45:D$1646,0))</f>
        <v>124263.05128205162</v>
      </c>
      <c r="G989" s="11" cm="1">
        <f t="array" aca="1" ref="G989" ca="1">INDEX('Coste Carretera'!E$46:E$1646,MATCH(C989&amp;D989,'Coste Carretera'!C$46:C$1646&amp;'Coste Carretera'!D$46:D$1646,0))</f>
        <v>4984836755.3599997</v>
      </c>
      <c r="H989" s="11" cm="1">
        <f t="array" aca="1" ref="H989" ca="1">INDEX('Coste multimodal'!E$46:E$1646,MATCH(C989&amp;D989,'Coste multimodal'!C$46:C$1646&amp;'Coste multimodal'!D$46:D$1646,0))</f>
        <v>2276710335.1577268</v>
      </c>
      <c r="I989" s="12" cm="1">
        <f t="array" aca="1" ref="I989" ca="1">INDEX('Tiempos intermodal (horas)'!E$45:E$1645,MATCH(C989&amp;D989,'Tiempos intermodal (horas)'!C$45:C$1645&amp;'Tiempos intermodal (horas)'!D$45:D$1645,0))</f>
        <v>61.920968392220338</v>
      </c>
      <c r="J989" s="2" cm="1">
        <f t="array" aca="1" ref="J989" ca="1">INDEX('Tiempos carretera (horas)'!E$45:E$1645,MATCH(C989&amp;D989,'Tiempos carretera (horas)'!C$45:C$1645&amp;'Tiempos carretera (horas)'!D$45:D$1645,0))</f>
        <v>7.65</v>
      </c>
      <c r="K989" s="12">
        <f t="shared" ca="1" si="96"/>
        <v>40.115196785611225</v>
      </c>
      <c r="L989" s="12">
        <f t="shared" ca="1" si="97"/>
        <v>140.82453981305909</v>
      </c>
      <c r="M989" s="12">
        <f t="shared" ca="1" si="98"/>
        <v>0.11512493125512592</v>
      </c>
      <c r="N989" s="13">
        <f t="shared" ca="1" si="94"/>
        <v>-100.70934302744786</v>
      </c>
      <c r="O989" s="13">
        <f t="shared" ca="1" si="95"/>
        <v>-54.27096839222034</v>
      </c>
      <c r="P989" s="12">
        <f t="shared" ca="1" si="99"/>
        <v>2.0394285723403112</v>
      </c>
    </row>
    <row r="990" spans="1:16" x14ac:dyDescent="0.25">
      <c r="A990">
        <v>4</v>
      </c>
      <c r="B990">
        <v>11</v>
      </c>
      <c r="C990" s="2" t="s">
        <v>3</v>
      </c>
      <c r="D990" s="2" t="s">
        <v>10</v>
      </c>
      <c r="E990" s="11" cm="1">
        <f t="array" aca="1" ref="E990" ca="1">INDEX('OD flujo mercancia multimodal'!E$45:E$1645,MATCH(C990&amp;D990,'OD flujo mercancia multimodal'!C$45:C$1645&amp;'OD flujo mercancia multimodal'!D$45:D$1645,0))</f>
        <v>50864.527472527458</v>
      </c>
      <c r="F990" s="11" cm="1">
        <f t="array" aca="1" ref="F990" ca="1">INDEX('OD flujo mercancia carretera'!E$45:E$1646,MATCH(C990&amp;D990,'OD flujo mercancia carretera'!C$45:C$1646&amp;'OD flujo mercancia carretera'!D$45:D$1646,0))</f>
        <v>128440.15384615384</v>
      </c>
      <c r="G990" s="11" cm="1">
        <f t="array" aca="1" ref="G990" ca="1">INDEX('Coste Carretera'!E$46:E$1646,MATCH(C990&amp;D990,'Coste Carretera'!C$46:C$1646&amp;'Coste Carretera'!D$46:D$1646,0))</f>
        <v>6152245675.5199986</v>
      </c>
      <c r="H990" s="11" cm="1">
        <f t="array" aca="1" ref="H990" ca="1">INDEX('Coste multimodal'!E$46:E$1646,MATCH(C990&amp;D990,'Coste multimodal'!C$46:C$1646&amp;'Coste multimodal'!D$46:D$1646,0))</f>
        <v>662348015.38250303</v>
      </c>
      <c r="I990" s="12" cm="1">
        <f t="array" aca="1" ref="I990" ca="1">INDEX('Tiempos intermodal (horas)'!E$45:E$1645,MATCH(C990&amp;D990,'Tiempos intermodal (horas)'!C$45:C$1645&amp;'Tiempos intermodal (horas)'!D$45:D$1645,0))</f>
        <v>76.857317485454203</v>
      </c>
      <c r="J990" s="2" cm="1">
        <f t="array" aca="1" ref="J990" ca="1">INDEX('Tiempos carretera (horas)'!E$45:E$1645,MATCH(C990&amp;D990,'Tiempos carretera (horas)'!C$45:C$1645&amp;'Tiempos carretera (horas)'!D$45:D$1645,0))</f>
        <v>22.58</v>
      </c>
      <c r="K990" s="12">
        <f t="shared" ca="1" si="96"/>
        <v>47.899706527050604</v>
      </c>
      <c r="L990" s="12">
        <f t="shared" ca="1" si="97"/>
        <v>13.021806124911809</v>
      </c>
      <c r="M990" s="12">
        <f t="shared" ca="1" si="98"/>
        <v>0.28367651696792595</v>
      </c>
      <c r="N990" s="13">
        <f t="shared" ca="1" si="94"/>
        <v>34.877900402138792</v>
      </c>
      <c r="O990" s="13">
        <f t="shared" ca="1" si="95"/>
        <v>-54.277317485454205</v>
      </c>
      <c r="P990" s="12">
        <f t="shared" ca="1" si="99"/>
        <v>0.92629729265895544</v>
      </c>
    </row>
    <row r="991" spans="1:16" x14ac:dyDescent="0.25">
      <c r="A991">
        <v>4</v>
      </c>
      <c r="B991">
        <v>25</v>
      </c>
      <c r="C991" s="2" t="s">
        <v>3</v>
      </c>
      <c r="D991" s="2" t="s">
        <v>24</v>
      </c>
      <c r="E991" s="11" cm="1">
        <f t="array" aca="1" ref="E991" ca="1">INDEX('OD flujo mercancia multimodal'!E$45:E$1645,MATCH(C991&amp;D991,'OD flujo mercancia multimodal'!C$45:C$1645&amp;'OD flujo mercancia multimodal'!D$45:D$1645,0))</f>
        <v>34806.835164835167</v>
      </c>
      <c r="F991" s="11" cm="1">
        <f t="array" aca="1" ref="F991" ca="1">INDEX('OD flujo mercancia carretera'!E$45:E$1646,MATCH(C991&amp;D991,'OD flujo mercancia carretera'!C$45:C$1646&amp;'OD flujo mercancia carretera'!D$45:D$1646,0))</f>
        <v>91731.487179487143</v>
      </c>
      <c r="G991" s="11" cm="1">
        <f t="array" aca="1" ref="G991" ca="1">INDEX('Coste Carretera'!E$46:E$1646,MATCH(C991&amp;D991,'Coste Carretera'!C$46:C$1646&amp;'Coste Carretera'!D$46:D$1646,0))</f>
        <v>2277756508.6399999</v>
      </c>
      <c r="H991" s="11" cm="1">
        <f t="array" aca="1" ref="H991" ca="1">INDEX('Coste multimodal'!E$46:E$1646,MATCH(C991&amp;D991,'Coste multimodal'!C$46:C$1646&amp;'Coste multimodal'!D$46:D$1646,0))</f>
        <v>401839507.85713232</v>
      </c>
      <c r="I991" s="12" cm="1">
        <f t="array" aca="1" ref="I991" ca="1">INDEX('Tiempos intermodal (horas)'!E$45:E$1645,MATCH(C991&amp;D991,'Tiempos intermodal (horas)'!C$45:C$1645&amp;'Tiempos intermodal (horas)'!D$45:D$1645,0))</f>
        <v>67.516125390038468</v>
      </c>
      <c r="J991" s="2" cm="1">
        <f t="array" aca="1" ref="J991" ca="1">INDEX('Tiempos carretera (horas)'!E$45:E$1645,MATCH(C991&amp;D991,'Tiempos carretera (horas)'!C$45:C$1645&amp;'Tiempos carretera (horas)'!D$45:D$1645,0))</f>
        <v>13.18</v>
      </c>
      <c r="K991" s="12">
        <f t="shared" ca="1" si="96"/>
        <v>24.830694221529512</v>
      </c>
      <c r="L991" s="12">
        <f t="shared" ca="1" si="97"/>
        <v>11.544844739664949</v>
      </c>
      <c r="M991" s="12">
        <f t="shared" ca="1" si="98"/>
        <v>0.27506951664905588</v>
      </c>
      <c r="N991" s="13">
        <f t="shared" ca="1" si="94"/>
        <v>13.285849481864563</v>
      </c>
      <c r="O991" s="13">
        <f t="shared" ca="1" si="95"/>
        <v>-54.336125390038468</v>
      </c>
      <c r="P991" s="12">
        <f t="shared" ca="1" si="99"/>
        <v>0.9690519116883668</v>
      </c>
    </row>
    <row r="992" spans="1:16" x14ac:dyDescent="0.25">
      <c r="A992">
        <v>4</v>
      </c>
      <c r="B992">
        <v>24</v>
      </c>
      <c r="C992" s="2" t="s">
        <v>3</v>
      </c>
      <c r="D992" s="2" t="s">
        <v>23</v>
      </c>
      <c r="E992" s="11" cm="1">
        <f t="array" aca="1" ref="E992" ca="1">INDEX('OD flujo mercancia multimodal'!E$45:E$1645,MATCH(C992&amp;D992,'OD flujo mercancia multimodal'!C$45:C$1645&amp;'OD flujo mercancia multimodal'!D$45:D$1645,0))</f>
        <v>37202.219780219777</v>
      </c>
      <c r="F992" s="11" cm="1">
        <f t="array" aca="1" ref="F992" ca="1">INDEX('OD flujo mercancia carretera'!E$45:E$1646,MATCH(C992&amp;D992,'OD flujo mercancia carretera'!C$45:C$1646&amp;'OD flujo mercancia carretera'!D$45:D$1646,0))</f>
        <v>98783.820512820545</v>
      </c>
      <c r="G992" s="11" cm="1">
        <f t="array" aca="1" ref="G992" ca="1">INDEX('Coste Carretera'!E$46:E$1646,MATCH(C992&amp;D992,'Coste Carretera'!C$46:C$1646&amp;'Coste Carretera'!D$46:D$1646,0))</f>
        <v>2708050767.8399997</v>
      </c>
      <c r="H992" s="11" cm="1">
        <f t="array" aca="1" ref="H992" ca="1">INDEX('Coste multimodal'!E$46:E$1646,MATCH(C992&amp;D992,'Coste multimodal'!C$46:C$1646&amp;'Coste multimodal'!D$46:D$1646,0))</f>
        <v>460551120.95713234</v>
      </c>
      <c r="I992" s="12" cm="1">
        <f t="array" aca="1" ref="I992" ca="1">INDEX('Tiempos intermodal (horas)'!E$45:E$1645,MATCH(C992&amp;D992,'Tiempos intermodal (horas)'!C$45:C$1645&amp;'Tiempos intermodal (horas)'!D$45:D$1645,0))</f>
        <v>68.855014278927356</v>
      </c>
      <c r="J992" s="2" cm="1">
        <f t="array" aca="1" ref="J992" ca="1">INDEX('Tiempos carretera (horas)'!E$45:E$1645,MATCH(C992&amp;D992,'Tiempos carretera (horas)'!C$45:C$1645&amp;'Tiempos carretera (horas)'!D$45:D$1645,0))</f>
        <v>14.46</v>
      </c>
      <c r="K992" s="12">
        <f t="shared" ca="1" si="96"/>
        <v>27.413910028804146</v>
      </c>
      <c r="L992" s="12">
        <f t="shared" ca="1" si="97"/>
        <v>12.379667763857599</v>
      </c>
      <c r="M992" s="12">
        <f t="shared" ca="1" si="98"/>
        <v>0.27357381463605834</v>
      </c>
      <c r="N992" s="13">
        <f t="shared" ca="1" si="94"/>
        <v>15.034242264946547</v>
      </c>
      <c r="O992" s="13">
        <f t="shared" ca="1" si="95"/>
        <v>-54.395014278927356</v>
      </c>
      <c r="P992" s="12">
        <f t="shared" ca="1" si="99"/>
        <v>0.97656540034188455</v>
      </c>
    </row>
    <row r="993" spans="1:16" x14ac:dyDescent="0.25">
      <c r="A993">
        <v>24</v>
      </c>
      <c r="B993">
        <v>5</v>
      </c>
      <c r="C993" s="2" t="s">
        <v>23</v>
      </c>
      <c r="D993" s="2" t="s">
        <v>4</v>
      </c>
      <c r="E993" s="11" cm="1">
        <f t="array" aca="1" ref="E993" ca="1">INDEX('OD flujo mercancia multimodal'!E$45:E$1645,MATCH(C993&amp;D993,'OD flujo mercancia multimodal'!C$45:C$1645&amp;'OD flujo mercancia multimodal'!D$45:D$1645,0))</f>
        <v>68615.10439560443</v>
      </c>
      <c r="F993" s="11" cm="1">
        <f t="array" aca="1" ref="F993" ca="1">INDEX('OD flujo mercancia carretera'!E$45:E$1646,MATCH(C993&amp;D993,'OD flujo mercancia carretera'!C$45:C$1646&amp;'OD flujo mercancia carretera'!D$45:D$1646,0))</f>
        <v>144939.4615384615</v>
      </c>
      <c r="G993" s="11" cm="1">
        <f t="array" aca="1" ref="G993" ca="1">INDEX('Coste Carretera'!E$46:E$1646,MATCH(C993&amp;D993,'Coste Carretera'!C$46:C$1646&amp;'Coste Carretera'!D$46:D$1646,0))</f>
        <v>5459552903.5285749</v>
      </c>
      <c r="H993" s="11" cm="1">
        <f t="array" aca="1" ref="H993" ca="1">INDEX('Coste multimodal'!E$46:E$1646,MATCH(C993&amp;D993,'Coste multimodal'!C$46:C$1646&amp;'Coste multimodal'!D$46:D$1646,0))</f>
        <v>404434768.57914519</v>
      </c>
      <c r="I993" s="12" cm="1">
        <f t="array" aca="1" ref="I993" ca="1">INDEX('Tiempos intermodal (horas)'!E$45:E$1645,MATCH(C993&amp;D993,'Tiempos intermodal (horas)'!C$45:C$1645&amp;'Tiempos intermodal (horas)'!D$45:D$1645,0))</f>
        <v>65.556265994510127</v>
      </c>
      <c r="J993" s="2" cm="1">
        <f t="array" aca="1" ref="J993" ca="1">INDEX('Tiempos carretera (horas)'!E$45:E$1645,MATCH(C993&amp;D993,'Tiempos carretera (horas)'!C$45:C$1645&amp;'Tiempos carretera (horas)'!D$45:D$1645,0))</f>
        <v>16</v>
      </c>
      <c r="K993" s="12">
        <f t="shared" ca="1" si="96"/>
        <v>37.66781555263205</v>
      </c>
      <c r="L993" s="12">
        <f t="shared" ca="1" si="97"/>
        <v>5.8942527617148652</v>
      </c>
      <c r="M993" s="12">
        <f t="shared" ca="1" si="98"/>
        <v>0.32130010470855047</v>
      </c>
      <c r="N993" s="13">
        <f t="shared" ca="1" si="94"/>
        <v>31.773562790917182</v>
      </c>
      <c r="O993" s="13">
        <f t="shared" ca="1" si="95"/>
        <v>-49.556265994510127</v>
      </c>
      <c r="P993" s="12">
        <f t="shared" ca="1" si="99"/>
        <v>0.74780345741954435</v>
      </c>
    </row>
    <row r="994" spans="1:16" x14ac:dyDescent="0.25">
      <c r="A994">
        <v>4</v>
      </c>
      <c r="B994">
        <v>30</v>
      </c>
      <c r="C994" s="2" t="s">
        <v>3</v>
      </c>
      <c r="D994" s="2" t="s">
        <v>146</v>
      </c>
      <c r="E994" s="11" cm="1">
        <f t="array" aca="1" ref="E994" ca="1">INDEX('OD flujo mercancia multimodal'!E$45:E$1645,MATCH(C994&amp;D994,'OD flujo mercancia multimodal'!C$45:C$1645&amp;'OD flujo mercancia multimodal'!D$45:D$1645,0))</f>
        <v>37372.442857142858</v>
      </c>
      <c r="F994" s="11" cm="1">
        <f t="array" aca="1" ref="F994" ca="1">INDEX('OD flujo mercancia carretera'!E$45:E$1646,MATCH(C994&amp;D994,'OD flujo mercancia carretera'!C$45:C$1646&amp;'OD flujo mercancia carretera'!D$45:D$1646,0))</f>
        <v>260666.25384615385</v>
      </c>
      <c r="G994" s="11" cm="1">
        <f t="array" aca="1" ref="G994" ca="1">INDEX('Coste Carretera'!E$46:E$1646,MATCH(C994&amp;D994,'Coste Carretera'!C$46:C$1646&amp;'Coste Carretera'!D$46:D$1646,0))</f>
        <v>2558380466.237143</v>
      </c>
      <c r="H994" s="11" cm="1">
        <f t="array" aca="1" ref="H994" ca="1">INDEX('Coste multimodal'!E$46:E$1646,MATCH(C994&amp;D994,'Coste multimodal'!C$46:C$1646&amp;'Coste multimodal'!D$46:D$1646,0))</f>
        <v>433114209.16513228</v>
      </c>
      <c r="I994" s="12" cm="1">
        <f t="array" aca="1" ref="I994" ca="1">INDEX('Tiempos intermodal (horas)'!E$45:E$1645,MATCH(C994&amp;D994,'Tiempos intermodal (horas)'!C$45:C$1645&amp;'Tiempos intermodal (horas)'!D$45:D$1645,0))</f>
        <v>68.043903167816239</v>
      </c>
      <c r="J994" s="2" cm="1">
        <f t="array" aca="1" ref="J994" ca="1">INDEX('Tiempos carretera (horas)'!E$45:E$1645,MATCH(C994&amp;D994,'Tiempos carretera (horas)'!C$45:C$1645&amp;'Tiempos carretera (horas)'!D$45:D$1645,0))</f>
        <v>13.63</v>
      </c>
      <c r="K994" s="12">
        <f t="shared" ca="1" si="96"/>
        <v>9.8147743656419308</v>
      </c>
      <c r="L994" s="12">
        <f t="shared" ca="1" si="97"/>
        <v>11.589132956085388</v>
      </c>
      <c r="M994" s="12">
        <f t="shared" ca="1" si="98"/>
        <v>0.12539459899178074</v>
      </c>
      <c r="N994" s="13">
        <f t="shared" ca="1" si="94"/>
        <v>-1.7743585904434571</v>
      </c>
      <c r="O994" s="13">
        <f t="shared" ca="1" si="95"/>
        <v>-54.413903167816237</v>
      </c>
      <c r="P994" s="12">
        <f t="shared" ca="1" si="99"/>
        <v>1.9423072573333284</v>
      </c>
    </row>
    <row r="995" spans="1:16" x14ac:dyDescent="0.25">
      <c r="A995">
        <v>3</v>
      </c>
      <c r="B995">
        <v>40</v>
      </c>
      <c r="C995" s="2" t="s">
        <v>2</v>
      </c>
      <c r="D995" s="2" t="s">
        <v>39</v>
      </c>
      <c r="E995" s="11" cm="1">
        <f t="array" aca="1" ref="E995" ca="1">INDEX('OD flujo mercancia multimodal'!E$45:E$1645,MATCH(C995&amp;D995,'OD flujo mercancia multimodal'!C$45:C$1645&amp;'OD flujo mercancia multimodal'!D$45:D$1645,0))</f>
        <v>24701.340659340662</v>
      </c>
      <c r="F995" s="11" cm="1">
        <f t="array" aca="1" ref="F995" ca="1">INDEX('OD flujo mercancia carretera'!E$45:E$1646,MATCH(C995&amp;D995,'OD flujo mercancia carretera'!C$45:C$1646&amp;'OD flujo mercancia carretera'!D$45:D$1646,0))</f>
        <v>110147.91208791213</v>
      </c>
      <c r="G995" s="11" cm="1">
        <f t="array" aca="1" ref="G995" ca="1">INDEX('Coste Carretera'!E$46:E$1646,MATCH(C995&amp;D995,'Coste Carretera'!C$46:C$1646&amp;'Coste Carretera'!D$46:D$1646,0))</f>
        <v>1910810576.0228574</v>
      </c>
      <c r="H995" s="11" cm="1">
        <f t="array" aca="1" ref="H995" ca="1">INDEX('Coste multimodal'!E$46:E$1646,MATCH(C995&amp;D995,'Coste multimodal'!C$46:C$1646&amp;'Coste multimodal'!D$46:D$1646,0))</f>
        <v>801586773.67050898</v>
      </c>
      <c r="I995" s="12" cm="1">
        <f t="array" aca="1" ref="I995" ca="1">INDEX('Tiempos intermodal (horas)'!E$45:E$1645,MATCH(C995&amp;D995,'Tiempos intermodal (horas)'!C$45:C$1645&amp;'Tiempos intermodal (horas)'!D$45:D$1645,0))</f>
        <v>73.865783876454572</v>
      </c>
      <c r="J995" s="2" cm="1">
        <f t="array" aca="1" ref="J995" ca="1">INDEX('Tiempos carretera (horas)'!E$45:E$1645,MATCH(C995&amp;D995,'Tiempos carretera (horas)'!C$45:C$1645&amp;'Tiempos carretera (horas)'!D$45:D$1645,0))</f>
        <v>19.98</v>
      </c>
      <c r="K995" s="12">
        <f t="shared" ca="1" si="96"/>
        <v>17.347678587840921</v>
      </c>
      <c r="L995" s="12">
        <f t="shared" ca="1" si="97"/>
        <v>32.451144442939125</v>
      </c>
      <c r="M995" s="12">
        <f t="shared" ca="1" si="98"/>
        <v>0.18317743818453522</v>
      </c>
      <c r="N995" s="13">
        <f t="shared" ca="1" si="94"/>
        <v>-15.103465855098204</v>
      </c>
      <c r="O995" s="13">
        <f t="shared" ca="1" si="95"/>
        <v>-53.885783876454568</v>
      </c>
      <c r="P995" s="12">
        <f t="shared" ca="1" si="99"/>
        <v>1.4949665980306306</v>
      </c>
    </row>
    <row r="996" spans="1:16" x14ac:dyDescent="0.25">
      <c r="A996">
        <v>5</v>
      </c>
      <c r="B996">
        <v>39</v>
      </c>
      <c r="C996" s="2" t="s">
        <v>4</v>
      </c>
      <c r="D996" s="2" t="s">
        <v>38</v>
      </c>
      <c r="E996" s="11" cm="1">
        <f t="array" aca="1" ref="E996" ca="1">INDEX('OD flujo mercancia multimodal'!E$45:E$1645,MATCH(C996&amp;D996,'OD flujo mercancia multimodal'!C$45:C$1645&amp;'OD flujo mercancia multimodal'!D$45:D$1645,0))</f>
        <v>49720.456043956045</v>
      </c>
      <c r="F996" s="11" cm="1">
        <f t="array" aca="1" ref="F996" ca="1">INDEX('OD flujo mercancia carretera'!E$45:E$1646,MATCH(C996&amp;D996,'OD flujo mercancia carretera'!C$45:C$1646&amp;'OD flujo mercancia carretera'!D$45:D$1646,0))</f>
        <v>156545.91941391942</v>
      </c>
      <c r="G996" s="11" cm="1">
        <f t="array" aca="1" ref="G996" ca="1">INDEX('Coste Carretera'!E$46:E$1646,MATCH(C996&amp;D996,'Coste Carretera'!C$46:C$1646&amp;'Coste Carretera'!D$46:D$1646,0))</f>
        <v>5958550179.4742851</v>
      </c>
      <c r="H996" s="11" cm="1">
        <f t="array" aca="1" ref="H996" ca="1">INDEX('Coste multimodal'!E$46:E$1646,MATCH(C996&amp;D996,'Coste multimodal'!C$46:C$1646&amp;'Coste multimodal'!D$46:D$1646,0))</f>
        <v>371968896.53190142</v>
      </c>
      <c r="I996" s="12" cm="1">
        <f t="array" aca="1" ref="I996" ca="1">INDEX('Tiempos intermodal (horas)'!E$45:E$1645,MATCH(C996&amp;D996,'Tiempos intermodal (horas)'!C$45:C$1645&amp;'Tiempos intermodal (horas)'!D$45:D$1645,0))</f>
        <v>78.269293238551057</v>
      </c>
      <c r="J996" s="2" cm="1">
        <f t="array" aca="1" ref="J996" ca="1">INDEX('Tiempos carretera (horas)'!E$45:E$1645,MATCH(C996&amp;D996,'Tiempos carretera (horas)'!C$45:C$1645&amp;'Tiempos carretera (horas)'!D$45:D$1645,0))</f>
        <v>23.76</v>
      </c>
      <c r="K996" s="12">
        <f t="shared" ca="1" si="96"/>
        <v>38.062634923874455</v>
      </c>
      <c r="L996" s="12">
        <f t="shared" ca="1" si="97"/>
        <v>7.4812044403425686</v>
      </c>
      <c r="M996" s="12">
        <f t="shared" ca="1" si="98"/>
        <v>0.24104973936534874</v>
      </c>
      <c r="N996" s="13">
        <f t="shared" ca="1" si="94"/>
        <v>30.581430483531886</v>
      </c>
      <c r="O996" s="13">
        <f t="shared" ca="1" si="95"/>
        <v>-54.509293238551052</v>
      </c>
      <c r="P996" s="12">
        <f t="shared" ca="1" si="99"/>
        <v>1.1469329428838047</v>
      </c>
    </row>
    <row r="997" spans="1:16" x14ac:dyDescent="0.25">
      <c r="A997">
        <v>5</v>
      </c>
      <c r="B997">
        <v>11</v>
      </c>
      <c r="C997" s="2" t="s">
        <v>4</v>
      </c>
      <c r="D997" s="2" t="s">
        <v>10</v>
      </c>
      <c r="E997" s="11" cm="1">
        <f t="array" aca="1" ref="E997" ca="1">INDEX('OD flujo mercancia multimodal'!E$45:E$1645,MATCH(C997&amp;D997,'OD flujo mercancia multimodal'!C$45:C$1645&amp;'OD flujo mercancia multimodal'!D$45:D$1645,0))</f>
        <v>67790.45604395603</v>
      </c>
      <c r="F997" s="11" cm="1">
        <f t="array" aca="1" ref="F997" ca="1">INDEX('OD flujo mercancia carretera'!E$45:E$1646,MATCH(C997&amp;D997,'OD flujo mercancia carretera'!C$45:C$1646&amp;'OD flujo mercancia carretera'!D$45:D$1646,0))</f>
        <v>162530.07692307694</v>
      </c>
      <c r="G997" s="11" cm="1">
        <f t="array" aca="1" ref="G997" ca="1">INDEX('Coste Carretera'!E$46:E$1646,MATCH(C997&amp;D997,'Coste Carretera'!C$46:C$1646&amp;'Coste Carretera'!D$46:D$1646,0))</f>
        <v>8587575660.4457102</v>
      </c>
      <c r="H997" s="11" cm="1">
        <f t="array" aca="1" ref="H997" ca="1">INDEX('Coste multimodal'!E$46:E$1646,MATCH(C997&amp;D997,'Coste multimodal'!C$46:C$1646&amp;'Coste multimodal'!D$46:D$1646,0))</f>
        <v>611398864.31233716</v>
      </c>
      <c r="I997" s="12" cm="1">
        <f t="array" aca="1" ref="I997" ca="1">INDEX('Tiempos intermodal (horas)'!E$45:E$1645,MATCH(C997&amp;D997,'Tiempos intermodal (horas)'!C$45:C$1645&amp;'Tiempos intermodal (horas)'!D$45:D$1645,0))</f>
        <v>79.545309725741376</v>
      </c>
      <c r="J997" s="2" cm="1">
        <f t="array" aca="1" ref="J997" ca="1">INDEX('Tiempos carretera (horas)'!E$45:E$1645,MATCH(C997&amp;D997,'Tiempos carretera (horas)'!C$45:C$1645&amp;'Tiempos carretera (horas)'!D$45:D$1645,0))</f>
        <v>25</v>
      </c>
      <c r="K997" s="12">
        <f t="shared" ca="1" si="96"/>
        <v>52.836839943846712</v>
      </c>
      <c r="L997" s="12">
        <f t="shared" ca="1" si="97"/>
        <v>9.0189519291019362</v>
      </c>
      <c r="M997" s="12">
        <f t="shared" ca="1" si="98"/>
        <v>0.29433092729799842</v>
      </c>
      <c r="N997" s="13">
        <f t="shared" ca="1" si="94"/>
        <v>43.817888014744774</v>
      </c>
      <c r="O997" s="13">
        <f t="shared" ca="1" si="95"/>
        <v>-54.545309725741376</v>
      </c>
      <c r="P997" s="12">
        <f t="shared" ca="1" si="99"/>
        <v>0.87444165467586832</v>
      </c>
    </row>
    <row r="998" spans="1:16" x14ac:dyDescent="0.25">
      <c r="A998">
        <v>24</v>
      </c>
      <c r="B998">
        <v>8</v>
      </c>
      <c r="C998" s="2" t="s">
        <v>23</v>
      </c>
      <c r="D998" s="2" t="s">
        <v>7</v>
      </c>
      <c r="E998" s="11" cm="1">
        <f t="array" aca="1" ref="E998" ca="1">INDEX('OD flujo mercancia multimodal'!E$45:E$1645,MATCH(C998&amp;D998,'OD flujo mercancia multimodal'!C$45:C$1645&amp;'OD flujo mercancia multimodal'!D$45:D$1645,0))</f>
        <v>38340.31868131864</v>
      </c>
      <c r="F998" s="11" cm="1">
        <f t="array" aca="1" ref="F998" ca="1">INDEX('OD flujo mercancia carretera'!E$45:E$1646,MATCH(C998&amp;D998,'OD flujo mercancia carretera'!C$45:C$1646&amp;'OD flujo mercancia carretera'!D$45:D$1646,0))</f>
        <v>201872.84615384601</v>
      </c>
      <c r="G998" s="11" cm="1">
        <f t="array" aca="1" ref="G998" ca="1">INDEX('Coste Carretera'!E$46:E$1646,MATCH(C998&amp;D998,'Coste Carretera'!C$46:C$1646&amp;'Coste Carretera'!D$46:D$1646,0))</f>
        <v>2764718846.4971399</v>
      </c>
      <c r="H998" s="11" cm="1">
        <f t="array" aca="1" ref="H998" ca="1">INDEX('Coste multimodal'!E$46:E$1646,MATCH(C998&amp;D998,'Coste multimodal'!C$46:C$1646&amp;'Coste multimodal'!D$46:D$1646,0))</f>
        <v>377614933.50056088</v>
      </c>
      <c r="I998" s="12" cm="1">
        <f t="array" aca="1" ref="I998" ca="1">INDEX('Tiempos intermodal (horas)'!E$45:E$1645,MATCH(C998&amp;D998,'Tiempos intermodal (horas)'!C$45:C$1645&amp;'Tiempos intermodal (horas)'!D$45:D$1645,0))</f>
        <v>69.008347612260678</v>
      </c>
      <c r="J998" s="2" cm="1">
        <f t="array" aca="1" ref="J998" ca="1">INDEX('Tiempos carretera (horas)'!E$45:E$1645,MATCH(C998&amp;D998,'Tiempos carretera (horas)'!C$45:C$1645&amp;'Tiempos carretera (horas)'!D$45:D$1645,0))</f>
        <v>14.43</v>
      </c>
      <c r="K998" s="12">
        <f t="shared" ca="1" si="96"/>
        <v>13.695347834894868</v>
      </c>
      <c r="L998" s="12">
        <f t="shared" ca="1" si="97"/>
        <v>9.8490295982999783</v>
      </c>
      <c r="M998" s="12">
        <f t="shared" ca="1" si="98"/>
        <v>0.15960956472817775</v>
      </c>
      <c r="N998" s="13">
        <f t="shared" ca="1" si="94"/>
        <v>3.8463182365948896</v>
      </c>
      <c r="O998" s="13">
        <f t="shared" ca="1" si="95"/>
        <v>-54.578347612260679</v>
      </c>
      <c r="P998" s="12">
        <f t="shared" ca="1" si="99"/>
        <v>1.6611359751499537</v>
      </c>
    </row>
    <row r="999" spans="1:16" x14ac:dyDescent="0.25">
      <c r="A999">
        <v>8</v>
      </c>
      <c r="B999">
        <v>24</v>
      </c>
      <c r="C999" s="2" t="s">
        <v>7</v>
      </c>
      <c r="D999" s="2" t="s">
        <v>23</v>
      </c>
      <c r="E999" s="11" cm="1">
        <f t="array" aca="1" ref="E999" ca="1">INDEX('OD flujo mercancia multimodal'!E$45:E$1645,MATCH(C999&amp;D999,'OD flujo mercancia multimodal'!C$45:C$1645&amp;'OD flujo mercancia multimodal'!D$45:D$1645,0))</f>
        <v>14544.719780219777</v>
      </c>
      <c r="F999" s="11" cm="1">
        <f t="array" aca="1" ref="F999" ca="1">INDEX('OD flujo mercancia carretera'!E$45:E$1646,MATCH(C999&amp;D999,'OD flujo mercancia carretera'!C$45:C$1646&amp;'OD flujo mercancia carretera'!D$45:D$1646,0))</f>
        <v>184731.58974358978</v>
      </c>
      <c r="G999" s="11" cm="1">
        <f t="array" aca="1" ref="G999" ca="1">INDEX('Coste Carretera'!E$46:E$1646,MATCH(C999&amp;D999,'Coste Carretera'!C$46:C$1646&amp;'Coste Carretera'!D$46:D$1646,0))</f>
        <v>1048819161.5628569</v>
      </c>
      <c r="H999" s="11" cm="1">
        <f t="array" aca="1" ref="H999" ca="1">INDEX('Coste multimodal'!E$46:E$1646,MATCH(C999&amp;D999,'Coste multimodal'!C$46:C$1646&amp;'Coste multimodal'!D$46:D$1646,0))</f>
        <v>377614933.50056088</v>
      </c>
      <c r="I999" s="12" cm="1">
        <f t="array" aca="1" ref="I999" ca="1">INDEX('Tiempos intermodal (horas)'!E$45:E$1645,MATCH(C999&amp;D999,'Tiempos intermodal (horas)'!C$45:C$1645&amp;'Tiempos intermodal (horas)'!D$45:D$1645,0))</f>
        <v>69.008347612260678</v>
      </c>
      <c r="J999" s="2" cm="1">
        <f t="array" aca="1" ref="J999" ca="1">INDEX('Tiempos carretera (horas)'!E$45:E$1645,MATCH(C999&amp;D999,'Tiempos carretera (horas)'!C$45:C$1645&amp;'Tiempos carretera (horas)'!D$45:D$1645,0))</f>
        <v>14.43</v>
      </c>
      <c r="K999" s="12">
        <f t="shared" ca="1" si="96"/>
        <v>5.6775301020179256</v>
      </c>
      <c r="L999" s="12">
        <f t="shared" ca="1" si="97"/>
        <v>25.962338168529154</v>
      </c>
      <c r="M999" s="12">
        <f t="shared" ca="1" si="98"/>
        <v>7.2987701423093507E-2</v>
      </c>
      <c r="N999" s="13">
        <f t="shared" ca="1" si="94"/>
        <v>-20.284808066511228</v>
      </c>
      <c r="O999" s="13">
        <f t="shared" ca="1" si="95"/>
        <v>-54.578347612260679</v>
      </c>
      <c r="P999" s="12">
        <f t="shared" ca="1" si="99"/>
        <v>2.5416758792522449</v>
      </c>
    </row>
    <row r="1000" spans="1:16" x14ac:dyDescent="0.25">
      <c r="A1000">
        <v>31</v>
      </c>
      <c r="B1000">
        <v>12</v>
      </c>
      <c r="C1000" s="2" t="s">
        <v>30</v>
      </c>
      <c r="D1000" s="2" t="s">
        <v>11</v>
      </c>
      <c r="E1000" s="11" cm="1">
        <f t="array" aca="1" ref="E1000" ca="1">INDEX('OD flujo mercancia multimodal'!E$45:E$1645,MATCH(C1000&amp;D1000,'OD flujo mercancia multimodal'!C$45:C$1645&amp;'OD flujo mercancia multimodal'!D$45:D$1645,0))</f>
        <v>20051.307692307691</v>
      </c>
      <c r="F1000" s="11" cm="1">
        <f t="array" aca="1" ref="F1000" ca="1">INDEX('OD flujo mercancia carretera'!E$45:E$1646,MATCH(C1000&amp;D1000,'OD flujo mercancia carretera'!C$45:C$1646&amp;'OD flujo mercancia carretera'!D$45:D$1646,0))</f>
        <v>62157.384615384595</v>
      </c>
      <c r="G1000" s="11" cm="1">
        <f t="array" aca="1" ref="G1000" ca="1">INDEX('Coste Carretera'!E$46:E$1646,MATCH(C1000&amp;D1000,'Coste Carretera'!C$46:C$1646&amp;'Coste Carretera'!D$46:D$1646,0))</f>
        <v>1945065873.9599998</v>
      </c>
      <c r="H1000" s="11" cm="1">
        <f t="array" aca="1" ref="H1000" ca="1">INDEX('Coste multimodal'!E$46:E$1646,MATCH(C1000&amp;D1000,'Coste multimodal'!C$46:C$1646&amp;'Coste multimodal'!D$46:D$1646,0))</f>
        <v>472485507.00008535</v>
      </c>
      <c r="I1000" s="12" cm="1">
        <f t="array" aca="1" ref="I1000" ca="1">INDEX('Tiempos intermodal (horas)'!E$45:E$1645,MATCH(C1000&amp;D1000,'Tiempos intermodal (horas)'!C$45:C$1645&amp;'Tiempos intermodal (horas)'!D$45:D$1645,0))</f>
        <v>72.953446377041104</v>
      </c>
      <c r="J1000" s="2" cm="1">
        <f t="array" aca="1" ref="J1000" ca="1">INDEX('Tiempos carretera (horas)'!E$45:E$1645,MATCH(C1000&amp;D1000,'Tiempos carretera (horas)'!C$45:C$1645&amp;'Tiempos carretera (horas)'!D$45:D$1645,0))</f>
        <v>18.350000000000001</v>
      </c>
      <c r="K1000" s="12">
        <f t="shared" ca="1" si="96"/>
        <v>31.292595175868708</v>
      </c>
      <c r="L1000" s="12">
        <f t="shared" ca="1" si="97"/>
        <v>23.563825075675517</v>
      </c>
      <c r="M1000" s="12">
        <f t="shared" ca="1" si="98"/>
        <v>0.24390739141378467</v>
      </c>
      <c r="N1000" s="13">
        <f t="shared" ca="1" si="94"/>
        <v>7.7287701001931914</v>
      </c>
      <c r="O1000" s="13">
        <f t="shared" ca="1" si="95"/>
        <v>-54.603446377041102</v>
      </c>
      <c r="P1000" s="12">
        <f t="shared" ca="1" si="99"/>
        <v>1.1313752569449116</v>
      </c>
    </row>
    <row r="1001" spans="1:16" x14ac:dyDescent="0.25">
      <c r="A1001">
        <v>12</v>
      </c>
      <c r="B1001">
        <v>31</v>
      </c>
      <c r="C1001" s="2" t="s">
        <v>11</v>
      </c>
      <c r="D1001" s="2" t="s">
        <v>30</v>
      </c>
      <c r="E1001" s="11" cm="1">
        <f t="array" aca="1" ref="E1001" ca="1">INDEX('OD flujo mercancia multimodal'!E$45:E$1645,MATCH(C1001&amp;D1001,'OD flujo mercancia multimodal'!C$45:C$1645&amp;'OD flujo mercancia multimodal'!D$45:D$1645,0))</f>
        <v>8000.8461538461552</v>
      </c>
      <c r="F1001" s="11" cm="1">
        <f t="array" aca="1" ref="F1001" ca="1">INDEX('OD flujo mercancia carretera'!E$45:E$1646,MATCH(C1001&amp;D1001,'OD flujo mercancia carretera'!C$45:C$1646&amp;'OD flujo mercancia carretera'!D$45:D$1646,0))</f>
        <v>65723.923076923063</v>
      </c>
      <c r="G1001" s="11" cm="1">
        <f t="array" aca="1" ref="G1001" ca="1">INDEX('Coste Carretera'!E$46:E$1646,MATCH(C1001&amp;D1001,'Coste Carretera'!C$46:C$1646&amp;'Coste Carretera'!D$46:D$1646,0))</f>
        <v>1271891623.572</v>
      </c>
      <c r="H1001" s="11" cm="1">
        <f t="array" aca="1" ref="H1001" ca="1">INDEX('Coste multimodal'!E$46:E$1646,MATCH(C1001&amp;D1001,'Coste multimodal'!C$46:C$1646&amp;'Coste multimodal'!D$46:D$1646,0))</f>
        <v>472485507.00008535</v>
      </c>
      <c r="I1001" s="12" cm="1">
        <f t="array" aca="1" ref="I1001" ca="1">INDEX('Tiempos intermodal (horas)'!E$45:E$1645,MATCH(C1001&amp;D1001,'Tiempos intermodal (horas)'!C$45:C$1645&amp;'Tiempos intermodal (horas)'!D$45:D$1645,0))</f>
        <v>72.953446377041104</v>
      </c>
      <c r="J1001" s="2" cm="1">
        <f t="array" aca="1" ref="J1001" ca="1">INDEX('Tiempos carretera (horas)'!E$45:E$1645,MATCH(C1001&amp;D1001,'Tiempos carretera (horas)'!C$45:C$1645&amp;'Tiempos carretera (horas)'!D$45:D$1645,0))</f>
        <v>18.350000000000001</v>
      </c>
      <c r="K1001" s="12">
        <f t="shared" ca="1" si="96"/>
        <v>19.352034449973143</v>
      </c>
      <c r="L1001" s="12">
        <f t="shared" ca="1" si="97"/>
        <v>59.054442232082266</v>
      </c>
      <c r="M1001" s="12">
        <f t="shared" ca="1" si="98"/>
        <v>0.10852317663826586</v>
      </c>
      <c r="N1001" s="13">
        <f t="shared" ca="1" si="94"/>
        <v>-39.70240778210912</v>
      </c>
      <c r="O1001" s="13">
        <f t="shared" ca="1" si="95"/>
        <v>-54.603446377041102</v>
      </c>
      <c r="P1001" s="12">
        <f t="shared" ca="1" si="99"/>
        <v>2.1059156798759178</v>
      </c>
    </row>
    <row r="1002" spans="1:16" x14ac:dyDescent="0.25">
      <c r="A1002">
        <v>36</v>
      </c>
      <c r="B1002">
        <v>37</v>
      </c>
      <c r="C1002" s="2" t="s">
        <v>35</v>
      </c>
      <c r="D1002" s="2" t="s">
        <v>36</v>
      </c>
      <c r="E1002" s="11" cm="1">
        <f t="array" aca="1" ref="E1002" ca="1">INDEX('OD flujo mercancia multimodal'!E$45:E$1645,MATCH(C1002&amp;D1002,'OD flujo mercancia multimodal'!C$45:C$1645&amp;'OD flujo mercancia multimodal'!D$45:D$1645,0))</f>
        <v>12247.076923076969</v>
      </c>
      <c r="F1002" s="11" cm="1">
        <f t="array" aca="1" ref="F1002" ca="1">INDEX('OD flujo mercancia carretera'!E$45:E$1646,MATCH(C1002&amp;D1002,'OD flujo mercancia carretera'!C$45:C$1646&amp;'OD flujo mercancia carretera'!D$45:D$1646,0))</f>
        <v>178759.34981684978</v>
      </c>
      <c r="G1002" s="11" cm="1">
        <f t="array" aca="1" ref="G1002" ca="1">INDEX('Coste Carretera'!E$46:E$1646,MATCH(C1002&amp;D1002,'Coste Carretera'!C$46:C$1646&amp;'Coste Carretera'!D$46:D$1646,0))</f>
        <v>1315275489.5999994</v>
      </c>
      <c r="H1002" s="11" cm="1">
        <f t="array" aca="1" ref="H1002" ca="1">INDEX('Coste multimodal'!E$46:E$1646,MATCH(C1002&amp;D1002,'Coste multimodal'!C$46:C$1646&amp;'Coste multimodal'!D$46:D$1646,0))</f>
        <v>512076152.46710157</v>
      </c>
      <c r="I1002" s="12" cm="1">
        <f t="array" aca="1" ref="I1002" ca="1">INDEX('Tiempos intermodal (horas)'!E$45:E$1645,MATCH(C1002&amp;D1002,'Tiempos intermodal (horas)'!C$45:C$1645&amp;'Tiempos intermodal (horas)'!D$45:D$1645,0))</f>
        <v>73.412894818646791</v>
      </c>
      <c r="J1002" s="2" cm="1">
        <f t="array" aca="1" ref="J1002" ca="1">INDEX('Tiempos carretera (horas)'!E$45:E$1645,MATCH(C1002&amp;D1002,'Tiempos carretera (horas)'!C$45:C$1645&amp;'Tiempos carretera (horas)'!D$45:D$1645,0))</f>
        <v>18.82</v>
      </c>
      <c r="K1002" s="12">
        <f t="shared" ca="1" si="96"/>
        <v>7.3577996952191995</v>
      </c>
      <c r="L1002" s="12">
        <f t="shared" ca="1" si="97"/>
        <v>41.812112039747603</v>
      </c>
      <c r="M1002" s="12">
        <f t="shared" ca="1" si="98"/>
        <v>6.4118664131403907E-2</v>
      </c>
      <c r="N1002" s="13">
        <f t="shared" ca="1" si="94"/>
        <v>-34.454312344528404</v>
      </c>
      <c r="O1002" s="13">
        <f t="shared" ca="1" si="95"/>
        <v>-54.592894818646791</v>
      </c>
      <c r="P1002" s="12">
        <f t="shared" ca="1" si="99"/>
        <v>2.6807531968813847</v>
      </c>
    </row>
    <row r="1003" spans="1:16" x14ac:dyDescent="0.25">
      <c r="A1003">
        <v>37</v>
      </c>
      <c r="B1003">
        <v>36</v>
      </c>
      <c r="C1003" s="2" t="s">
        <v>36</v>
      </c>
      <c r="D1003" s="2" t="s">
        <v>35</v>
      </c>
      <c r="E1003" s="11" cm="1">
        <f t="array" aca="1" ref="E1003" ca="1">INDEX('OD flujo mercancia multimodal'!E$45:E$1645,MATCH(C1003&amp;D1003,'OD flujo mercancia multimodal'!C$45:C$1645&amp;'OD flujo mercancia multimodal'!D$45:D$1645,0))</f>
        <v>9316.9999999999964</v>
      </c>
      <c r="F1003" s="11" cm="1">
        <f t="array" aca="1" ref="F1003" ca="1">INDEX('OD flujo mercancia carretera'!E$45:E$1646,MATCH(C1003&amp;D1003,'OD flujo mercancia carretera'!C$45:C$1646&amp;'OD flujo mercancia carretera'!D$45:D$1646,0))</f>
        <v>173375.49816849822</v>
      </c>
      <c r="G1003" s="11" cm="1">
        <f t="array" aca="1" ref="G1003" ca="1">INDEX('Coste Carretera'!E$46:E$1646,MATCH(C1003&amp;D1003,'Coste Carretera'!C$46:C$1646&amp;'Coste Carretera'!D$46:D$1646,0))</f>
        <v>2462093160.0000014</v>
      </c>
      <c r="H1003" s="11" cm="1">
        <f t="array" aca="1" ref="H1003" ca="1">INDEX('Coste multimodal'!E$46:E$1646,MATCH(C1003&amp;D1003,'Coste multimodal'!C$46:C$1646&amp;'Coste multimodal'!D$46:D$1646,0))</f>
        <v>512076152.46710157</v>
      </c>
      <c r="I1003" s="12" cm="1">
        <f t="array" aca="1" ref="I1003" ca="1">INDEX('Tiempos intermodal (horas)'!E$45:E$1645,MATCH(C1003&amp;D1003,'Tiempos intermodal (horas)'!C$45:C$1645&amp;'Tiempos intermodal (horas)'!D$45:D$1645,0))</f>
        <v>73.412894818646791</v>
      </c>
      <c r="J1003" s="2" cm="1">
        <f t="array" aca="1" ref="J1003" ca="1">INDEX('Tiempos carretera (horas)'!E$45:E$1645,MATCH(C1003&amp;D1003,'Tiempos carretera (horas)'!C$45:C$1645&amp;'Tiempos carretera (horas)'!D$45:D$1645,0))</f>
        <v>18.82</v>
      </c>
      <c r="K1003" s="12">
        <f t="shared" ca="1" si="96"/>
        <v>14.200929116334363</v>
      </c>
      <c r="L1003" s="12">
        <f t="shared" ca="1" si="97"/>
        <v>54.961484648180935</v>
      </c>
      <c r="M1003" s="12">
        <f t="shared" ca="1" si="98"/>
        <v>5.0998262618352726E-2</v>
      </c>
      <c r="N1003" s="13">
        <f t="shared" ca="1" si="94"/>
        <v>-40.76055553184657</v>
      </c>
      <c r="O1003" s="13">
        <f t="shared" ca="1" si="95"/>
        <v>-54.592894818646791</v>
      </c>
      <c r="P1003" s="12">
        <f t="shared" ca="1" si="99"/>
        <v>2.923619063520897</v>
      </c>
    </row>
    <row r="1004" spans="1:16" x14ac:dyDescent="0.25">
      <c r="A1004">
        <v>7</v>
      </c>
      <c r="B1004">
        <v>23</v>
      </c>
      <c r="C1004" s="2" t="s">
        <v>6</v>
      </c>
      <c r="D1004" s="2" t="s">
        <v>22</v>
      </c>
      <c r="E1004" s="11" cm="1">
        <f t="array" aca="1" ref="E1004" ca="1">INDEX('OD flujo mercancia multimodal'!E$45:E$1645,MATCH(C1004&amp;D1004,'OD flujo mercancia multimodal'!C$45:C$1645&amp;'OD flujo mercancia multimodal'!D$45:D$1645,0))</f>
        <v>9225.8351648351672</v>
      </c>
      <c r="F1004" s="11" cm="1">
        <f t="array" aca="1" ref="F1004" ca="1">INDEX('OD flujo mercancia carretera'!E$45:E$1646,MATCH(C1004&amp;D1004,'OD flujo mercancia carretera'!C$45:C$1646&amp;'OD flujo mercancia carretera'!D$45:D$1646,0))</f>
        <v>166263.35897435932</v>
      </c>
      <c r="G1004" s="11" cm="1">
        <f t="array" aca="1" ref="G1004" ca="1">INDEX('Coste Carretera'!E$46:E$1646,MATCH(C1004&amp;D1004,'Coste Carretera'!C$46:C$1646&amp;'Coste Carretera'!D$46:D$1646,0))</f>
        <v>550438420.20571446</v>
      </c>
      <c r="H1004" s="11" cm="1">
        <f t="array" aca="1" ref="H1004" ca="1">INDEX('Coste multimodal'!E$46:E$1646,MATCH(C1004&amp;D1004,'Coste multimodal'!C$46:C$1646&amp;'Coste multimodal'!D$46:D$1646,0))</f>
        <v>393550134.20771664</v>
      </c>
      <c r="I1004" s="12" cm="1">
        <f t="array" aca="1" ref="I1004" ca="1">INDEX('Tiempos intermodal (horas)'!E$45:E$1645,MATCH(C1004&amp;D1004,'Tiempos intermodal (horas)'!C$45:C$1645&amp;'Tiempos intermodal (horas)'!D$45:D$1645,0))</f>
        <v>66.706265994510133</v>
      </c>
      <c r="J1004" s="2" cm="1">
        <f t="array" aca="1" ref="J1004" ca="1">INDEX('Tiempos carretera (horas)'!E$45:E$1645,MATCH(C1004&amp;D1004,'Tiempos carretera (horas)'!C$45:C$1645&amp;'Tiempos carretera (horas)'!D$45:D$1645,0))</f>
        <v>12.06</v>
      </c>
      <c r="K1004" s="12">
        <f t="shared" ca="1" si="96"/>
        <v>3.3106417649760198</v>
      </c>
      <c r="L1004" s="12">
        <f t="shared" ca="1" si="97"/>
        <v>42.657399268063763</v>
      </c>
      <c r="M1004" s="12">
        <f t="shared" ca="1" si="98"/>
        <v>5.2572098299781468E-2</v>
      </c>
      <c r="N1004" s="13">
        <f t="shared" ca="1" si="94"/>
        <v>-39.346757503087744</v>
      </c>
      <c r="O1004" s="13">
        <f t="shared" ca="1" si="95"/>
        <v>-54.646265994510131</v>
      </c>
      <c r="P1004" s="12">
        <f t="shared" ca="1" si="99"/>
        <v>2.8915653124384768</v>
      </c>
    </row>
    <row r="1005" spans="1:16" x14ac:dyDescent="0.25">
      <c r="A1005">
        <v>23</v>
      </c>
      <c r="B1005">
        <v>7</v>
      </c>
      <c r="C1005" s="2" t="s">
        <v>22</v>
      </c>
      <c r="D1005" s="2" t="s">
        <v>6</v>
      </c>
      <c r="E1005" s="11" cm="1">
        <f t="array" aca="1" ref="E1005" ca="1">INDEX('OD flujo mercancia multimodal'!E$45:E$1645,MATCH(C1005&amp;D1005,'OD flujo mercancia multimodal'!C$45:C$1645&amp;'OD flujo mercancia multimodal'!D$45:D$1645,0))</f>
        <v>5761.324175824172</v>
      </c>
      <c r="F1005" s="11" cm="1">
        <f t="array" aca="1" ref="F1005" ca="1">INDEX('OD flujo mercancia carretera'!E$45:E$1646,MATCH(C1005&amp;D1005,'OD flujo mercancia carretera'!C$45:C$1646&amp;'OD flujo mercancia carretera'!D$45:D$1646,0))</f>
        <v>167254.74358974356</v>
      </c>
      <c r="G1005" s="11" cm="1">
        <f t="array" aca="1" ref="G1005" ca="1">INDEX('Coste Carretera'!E$46:E$1646,MATCH(C1005&amp;D1005,'Coste Carretera'!C$46:C$1646&amp;'Coste Carretera'!D$46:D$1646,0))</f>
        <v>343736271.1314283</v>
      </c>
      <c r="H1005" s="11" cm="1">
        <f t="array" aca="1" ref="H1005" ca="1">INDEX('Coste multimodal'!E$46:E$1646,MATCH(C1005&amp;D1005,'Coste multimodal'!C$46:C$1646&amp;'Coste multimodal'!D$46:D$1646,0))</f>
        <v>393550134.20771664</v>
      </c>
      <c r="I1005" s="12" cm="1">
        <f t="array" aca="1" ref="I1005" ca="1">INDEX('Tiempos intermodal (horas)'!E$45:E$1645,MATCH(C1005&amp;D1005,'Tiempos intermodal (horas)'!C$45:C$1645&amp;'Tiempos intermodal (horas)'!D$45:D$1645,0))</f>
        <v>66.706265994510133</v>
      </c>
      <c r="J1005" s="2" cm="1">
        <f t="array" aca="1" ref="J1005" ca="1">INDEX('Tiempos carretera (horas)'!E$45:E$1645,MATCH(C1005&amp;D1005,'Tiempos carretera (horas)'!C$45:C$1645&amp;'Tiempos carretera (horas)'!D$45:D$1645,0))</f>
        <v>12.06</v>
      </c>
      <c r="K1005" s="12">
        <f t="shared" ca="1" si="96"/>
        <v>2.0551660524174635</v>
      </c>
      <c r="L1005" s="12">
        <f t="shared" ca="1" si="97"/>
        <v>68.308972416296697</v>
      </c>
      <c r="M1005" s="12">
        <f t="shared" ca="1" si="98"/>
        <v>3.32993591302203E-2</v>
      </c>
      <c r="N1005" s="13">
        <f t="shared" ca="1" si="94"/>
        <v>-66.253806363879235</v>
      </c>
      <c r="O1005" s="13">
        <f t="shared" ca="1" si="95"/>
        <v>-54.646265994510131</v>
      </c>
      <c r="P1005" s="12">
        <f t="shared" ca="1" si="99"/>
        <v>3.3683507209537429</v>
      </c>
    </row>
    <row r="1006" spans="1:16" x14ac:dyDescent="0.25">
      <c r="A1006">
        <v>30</v>
      </c>
      <c r="B1006">
        <v>8</v>
      </c>
      <c r="C1006" s="2" t="s">
        <v>146</v>
      </c>
      <c r="D1006" s="2" t="s">
        <v>7</v>
      </c>
      <c r="E1006" s="11" cm="1">
        <f t="array" aca="1" ref="E1006" ca="1">INDEX('OD flujo mercancia multimodal'!E$45:E$1645,MATCH(C1006&amp;D1006,'OD flujo mercancia multimodal'!C$45:C$1645&amp;'OD flujo mercancia multimodal'!D$45:D$1645,0))</f>
        <v>36437.164835164796</v>
      </c>
      <c r="F1006" s="11" cm="1">
        <f t="array" aca="1" ref="F1006" ca="1">INDEX('OD flujo mercancia carretera'!E$45:E$1646,MATCH(C1006&amp;D1006,'OD flujo mercancia carretera'!C$45:C$1646&amp;'OD flujo mercancia carretera'!D$45:D$1646,0))</f>
        <v>344589.64615384606</v>
      </c>
      <c r="G1006" s="11" cm="1">
        <f t="array" aca="1" ref="G1006" ca="1">INDEX('Coste Carretera'!E$46:E$1646,MATCH(C1006&amp;D1006,'Coste Carretera'!C$46:C$1646&amp;'Coste Carretera'!D$46:D$1646,0))</f>
        <v>3252871926.1628547</v>
      </c>
      <c r="H1006" s="11" cm="1">
        <f t="array" aca="1" ref="H1006" ca="1">INDEX('Coste multimodal'!E$46:E$1646,MATCH(C1006&amp;D1006,'Coste multimodal'!C$46:C$1646&amp;'Coste multimodal'!D$46:D$1646,0))</f>
        <v>350178021.70856094</v>
      </c>
      <c r="I1006" s="12" cm="1">
        <f t="array" aca="1" ref="I1006" ca="1">INDEX('Tiempos intermodal (horas)'!E$45:E$1645,MATCH(C1006&amp;D1006,'Tiempos intermodal (horas)'!C$45:C$1645&amp;'Tiempos intermodal (horas)'!D$45:D$1645,0))</f>
        <v>68.197236501149575</v>
      </c>
      <c r="J1006" s="2" cm="1">
        <f t="array" aca="1" ref="J1006" ca="1">INDEX('Tiempos carretera (horas)'!E$45:E$1645,MATCH(C1006&amp;D1006,'Tiempos carretera (horas)'!C$45:C$1645&amp;'Tiempos carretera (horas)'!D$45:D$1645,0))</f>
        <v>13.51</v>
      </c>
      <c r="K1006" s="12">
        <f t="shared" ca="1" si="96"/>
        <v>9.4398423239639992</v>
      </c>
      <c r="L1006" s="12">
        <f t="shared" ca="1" si="97"/>
        <v>9.6104629241244091</v>
      </c>
      <c r="M1006" s="12">
        <f t="shared" ca="1" si="98"/>
        <v>9.5628873833279088E-2</v>
      </c>
      <c r="N1006" s="13">
        <f t="shared" ca="1" si="94"/>
        <v>-0.17062060016040981</v>
      </c>
      <c r="O1006" s="13">
        <f t="shared" ca="1" si="95"/>
        <v>-54.687236501149577</v>
      </c>
      <c r="P1006" s="12">
        <f t="shared" ca="1" si="99"/>
        <v>2.2467650119386597</v>
      </c>
    </row>
    <row r="1007" spans="1:16" x14ac:dyDescent="0.25">
      <c r="A1007">
        <v>8</v>
      </c>
      <c r="B1007">
        <v>30</v>
      </c>
      <c r="C1007" s="2" t="s">
        <v>7</v>
      </c>
      <c r="D1007" s="2" t="s">
        <v>146</v>
      </c>
      <c r="E1007" s="11" cm="1">
        <f t="array" aca="1" ref="E1007" ca="1">INDEX('OD flujo mercancia multimodal'!E$45:E$1645,MATCH(C1007&amp;D1007,'OD flujo mercancia multimodal'!C$45:C$1645&amp;'OD flujo mercancia multimodal'!D$45:D$1645,0))</f>
        <v>14714.942857142858</v>
      </c>
      <c r="F1007" s="11" cm="1">
        <f t="array" aca="1" ref="F1007" ca="1">INDEX('OD flujo mercancia carretera'!E$45:E$1646,MATCH(C1007&amp;D1007,'OD flujo mercancia carretera'!C$45:C$1646&amp;'OD flujo mercancia carretera'!D$45:D$1646,0))</f>
        <v>346614.0230769231</v>
      </c>
      <c r="G1007" s="11" cm="1">
        <f t="array" aca="1" ref="G1007" ca="1">INDEX('Coste Carretera'!E$46:E$1646,MATCH(C1007&amp;D1007,'Coste Carretera'!C$46:C$1646&amp;'Coste Carretera'!D$46:D$1646,0))</f>
        <v>2702744369.817143</v>
      </c>
      <c r="H1007" s="11" cm="1">
        <f t="array" aca="1" ref="H1007" ca="1">INDEX('Coste multimodal'!E$46:E$1646,MATCH(C1007&amp;D1007,'Coste multimodal'!C$46:C$1646&amp;'Coste multimodal'!D$46:D$1646,0))</f>
        <v>350178021.70856094</v>
      </c>
      <c r="I1007" s="12" cm="1">
        <f t="array" aca="1" ref="I1007" ca="1">INDEX('Tiempos intermodal (horas)'!E$45:E$1645,MATCH(C1007&amp;D1007,'Tiempos intermodal (horas)'!C$45:C$1645&amp;'Tiempos intermodal (horas)'!D$45:D$1645,0))</f>
        <v>68.197236501149575</v>
      </c>
      <c r="J1007" s="2" cm="1">
        <f t="array" aca="1" ref="J1007" ca="1">INDEX('Tiempos carretera (horas)'!E$45:E$1645,MATCH(C1007&amp;D1007,'Tiempos carretera (horas)'!C$45:C$1645&amp;'Tiempos carretera (horas)'!D$45:D$1645,0))</f>
        <v>13.51</v>
      </c>
      <c r="K1007" s="12">
        <f t="shared" ca="1" si="96"/>
        <v>7.7975621004154538</v>
      </c>
      <c r="L1007" s="12">
        <f t="shared" ca="1" si="97"/>
        <v>23.797443531259056</v>
      </c>
      <c r="M1007" s="12">
        <f t="shared" ca="1" si="98"/>
        <v>4.0724503830196629E-2</v>
      </c>
      <c r="N1007" s="13">
        <f t="shared" ca="1" si="94"/>
        <v>-15.999881430843601</v>
      </c>
      <c r="O1007" s="13">
        <f t="shared" ca="1" si="95"/>
        <v>-54.687236501149577</v>
      </c>
      <c r="P1007" s="12">
        <f t="shared" ca="1" si="99"/>
        <v>3.1593483370558055</v>
      </c>
    </row>
    <row r="1008" spans="1:16" x14ac:dyDescent="0.25">
      <c r="A1008">
        <v>25</v>
      </c>
      <c r="B1008">
        <v>8</v>
      </c>
      <c r="C1008" s="2" t="s">
        <v>24</v>
      </c>
      <c r="D1008" s="2" t="s">
        <v>7</v>
      </c>
      <c r="E1008" s="11" cm="1">
        <f t="array" aca="1" ref="E1008" ca="1">INDEX('OD flujo mercancia multimodal'!E$45:E$1645,MATCH(C1008&amp;D1008,'OD flujo mercancia multimodal'!C$45:C$1645&amp;'OD flujo mercancia multimodal'!D$45:D$1645,0))</f>
        <v>38302.164835164796</v>
      </c>
      <c r="F1008" s="11" cm="1">
        <f t="array" aca="1" ref="F1008" ca="1">INDEX('OD flujo mercancia carretera'!E$45:E$1646,MATCH(C1008&amp;D1008,'OD flujo mercancia carretera'!C$45:C$1646&amp;'OD flujo mercancia carretera'!D$45:D$1646,0))</f>
        <v>184827.17948717932</v>
      </c>
      <c r="G1008" s="11" cm="1">
        <f t="array" aca="1" ref="G1008" ca="1">INDEX('Coste Carretera'!E$46:E$1646,MATCH(C1008&amp;D1008,'Coste Carretera'!C$46:C$1646&amp;'Coste Carretera'!D$46:D$1646,0))</f>
        <v>2478327786.8799973</v>
      </c>
      <c r="H1008" s="11" cm="1">
        <f t="array" aca="1" ref="H1008" ca="1">INDEX('Coste multimodal'!E$46:E$1646,MATCH(C1008&amp;D1008,'Coste multimodal'!C$46:C$1646&amp;'Coste multimodal'!D$46:D$1646,0))</f>
        <v>318903320.40056092</v>
      </c>
      <c r="I1008" s="12" cm="1">
        <f t="array" aca="1" ref="I1008" ca="1">INDEX('Tiempos intermodal (horas)'!E$45:E$1645,MATCH(C1008&amp;D1008,'Tiempos intermodal (horas)'!C$45:C$1645&amp;'Tiempos intermodal (horas)'!D$45:D$1645,0))</f>
        <v>67.66945872337179</v>
      </c>
      <c r="J1008" s="2" cm="1">
        <f t="array" aca="1" ref="J1008" ca="1">INDEX('Tiempos carretera (horas)'!E$45:E$1645,MATCH(C1008&amp;D1008,'Tiempos carretera (horas)'!C$45:C$1645&amp;'Tiempos carretera (horas)'!D$45:D$1645,0))</f>
        <v>12.98</v>
      </c>
      <c r="K1008" s="12">
        <f t="shared" ca="1" si="96"/>
        <v>13.408892532777671</v>
      </c>
      <c r="L1008" s="12">
        <f t="shared" ca="1" si="97"/>
        <v>8.3259868410304403</v>
      </c>
      <c r="M1008" s="12">
        <f t="shared" ca="1" si="98"/>
        <v>0.17165902114529374</v>
      </c>
      <c r="N1008" s="13">
        <f t="shared" ca="1" si="94"/>
        <v>5.0829056917472304</v>
      </c>
      <c r="O1008" s="13">
        <f t="shared" ca="1" si="95"/>
        <v>-54.689458723371786</v>
      </c>
      <c r="P1008" s="12">
        <f t="shared" ca="1" si="99"/>
        <v>1.5739148058395871</v>
      </c>
    </row>
    <row r="1009" spans="1:16" x14ac:dyDescent="0.25">
      <c r="A1009">
        <v>8</v>
      </c>
      <c r="B1009">
        <v>25</v>
      </c>
      <c r="C1009" s="2" t="s">
        <v>7</v>
      </c>
      <c r="D1009" s="2" t="s">
        <v>24</v>
      </c>
      <c r="E1009" s="11" cm="1">
        <f t="array" aca="1" ref="E1009" ca="1">INDEX('OD flujo mercancia multimodal'!E$45:E$1645,MATCH(C1009&amp;D1009,'OD flujo mercancia multimodal'!C$45:C$1645&amp;'OD flujo mercancia multimodal'!D$45:D$1645,0))</f>
        <v>12149.335164835167</v>
      </c>
      <c r="F1009" s="11" cm="1">
        <f t="array" aca="1" ref="F1009" ca="1">INDEX('OD flujo mercancia carretera'!E$45:E$1646,MATCH(C1009&amp;D1009,'OD flujo mercancia carretera'!C$45:C$1646&amp;'OD flujo mercancia carretera'!D$45:D$1646,0))</f>
        <v>177679.25641025638</v>
      </c>
      <c r="G1009" s="11" cm="1">
        <f t="array" aca="1" ref="G1009" ca="1">INDEX('Coste Carretera'!E$46:E$1646,MATCH(C1009&amp;D1009,'Coste Carretera'!C$46:C$1646&amp;'Coste Carretera'!D$46:D$1646,0))</f>
        <v>786118358.08000028</v>
      </c>
      <c r="H1009" s="11" cm="1">
        <f t="array" aca="1" ref="H1009" ca="1">INDEX('Coste multimodal'!E$46:E$1646,MATCH(C1009&amp;D1009,'Coste multimodal'!C$46:C$1646&amp;'Coste multimodal'!D$46:D$1646,0))</f>
        <v>318903320.40056092</v>
      </c>
      <c r="I1009" s="12" cm="1">
        <f t="array" aca="1" ref="I1009" ca="1">INDEX('Tiempos intermodal (horas)'!E$45:E$1645,MATCH(C1009&amp;D1009,'Tiempos intermodal (horas)'!C$45:C$1645&amp;'Tiempos intermodal (horas)'!D$45:D$1645,0))</f>
        <v>67.66945872337179</v>
      </c>
      <c r="J1009" s="2" cm="1">
        <f t="array" aca="1" ref="J1009" ca="1">INDEX('Tiempos carretera (horas)'!E$45:E$1645,MATCH(C1009&amp;D1009,'Tiempos carretera (horas)'!C$45:C$1645&amp;'Tiempos carretera (horas)'!D$45:D$1645,0))</f>
        <v>12.98</v>
      </c>
      <c r="K1009" s="12">
        <f t="shared" ca="1" si="96"/>
        <v>4.4243676721883345</v>
      </c>
      <c r="L1009" s="12">
        <f t="shared" ca="1" si="97"/>
        <v>26.24862316117423</v>
      </c>
      <c r="M1009" s="12">
        <f t="shared" ca="1" si="98"/>
        <v>6.4001608314252223E-2</v>
      </c>
      <c r="N1009" s="13">
        <f t="shared" ca="1" si="94"/>
        <v>-21.824255488985894</v>
      </c>
      <c r="O1009" s="13">
        <f t="shared" ca="1" si="95"/>
        <v>-54.689458723371786</v>
      </c>
      <c r="P1009" s="12">
        <f t="shared" ca="1" si="99"/>
        <v>2.6827055452375461</v>
      </c>
    </row>
    <row r="1010" spans="1:16" x14ac:dyDescent="0.25">
      <c r="A1010">
        <v>11</v>
      </c>
      <c r="B1010">
        <v>8</v>
      </c>
      <c r="C1010" s="2" t="s">
        <v>10</v>
      </c>
      <c r="D1010" s="2" t="s">
        <v>7</v>
      </c>
      <c r="E1010" s="11" cm="1">
        <f t="array" aca="1" ref="E1010" ca="1">INDEX('OD flujo mercancia multimodal'!E$45:E$1645,MATCH(C1010&amp;D1010,'OD flujo mercancia multimodal'!C$45:C$1645&amp;'OD flujo mercancia multimodal'!D$45:D$1645,0))</f>
        <v>45295.626373626335</v>
      </c>
      <c r="F1010" s="11" cm="1">
        <f t="array" aca="1" ref="F1010" ca="1">INDEX('OD flujo mercancia carretera'!E$45:E$1646,MATCH(C1010&amp;D1010,'OD flujo mercancia carretera'!C$45:C$1646&amp;'OD flujo mercancia carretera'!D$45:D$1646,0))</f>
        <v>217518.07692307676</v>
      </c>
      <c r="G1010" s="11" cm="1">
        <f t="array" aca="1" ref="G1010" ca="1">INDEX('Coste Carretera'!E$46:E$1646,MATCH(C1010&amp;D1010,'Coste Carretera'!C$46:C$1646&amp;'Coste Carretera'!D$46:D$1646,0))</f>
        <v>5445362294.1599951</v>
      </c>
      <c r="H1010" s="11" cm="1">
        <f t="array" aca="1" ref="H1010" ca="1">INDEX('Coste multimodal'!E$46:E$1646,MATCH(C1010&amp;D1010,'Coste multimodal'!C$46:C$1646&amp;'Coste multimodal'!D$46:D$1646,0))</f>
        <v>579411827.92593169</v>
      </c>
      <c r="I1010" s="12" cm="1">
        <f t="array" aca="1" ref="I1010" ca="1">INDEX('Tiempos intermodal (horas)'!E$45:E$1645,MATCH(C1010&amp;D1010,'Tiempos intermodal (horas)'!C$45:C$1645&amp;'Tiempos intermodal (horas)'!D$45:D$1645,0))</f>
        <v>77.010650818787525</v>
      </c>
      <c r="J1010" s="2" cm="1">
        <f t="array" aca="1" ref="J1010" ca="1">INDEX('Tiempos carretera (horas)'!E$45:E$1645,MATCH(C1010&amp;D1010,'Tiempos carretera (horas)'!C$45:C$1645&amp;'Tiempos carretera (horas)'!D$45:D$1645,0))</f>
        <v>22.31</v>
      </c>
      <c r="K1010" s="12">
        <f t="shared" ca="1" si="96"/>
        <v>25.034067840190115</v>
      </c>
      <c r="L1010" s="12">
        <f t="shared" ca="1" si="97"/>
        <v>12.791783099467146</v>
      </c>
      <c r="M1010" s="12">
        <f t="shared" ca="1" si="98"/>
        <v>0.17234879995009206</v>
      </c>
      <c r="N1010" s="13">
        <f t="shared" ca="1" si="94"/>
        <v>12.242284740722969</v>
      </c>
      <c r="O1010" s="13">
        <f t="shared" ca="1" si="95"/>
        <v>-54.700650818787523</v>
      </c>
      <c r="P1010" s="12">
        <f t="shared" ca="1" si="99"/>
        <v>1.5690714795807548</v>
      </c>
    </row>
    <row r="1011" spans="1:16" x14ac:dyDescent="0.25">
      <c r="A1011">
        <v>8</v>
      </c>
      <c r="B1011">
        <v>11</v>
      </c>
      <c r="C1011" s="2" t="s">
        <v>7</v>
      </c>
      <c r="D1011" s="2" t="s">
        <v>10</v>
      </c>
      <c r="E1011" s="11" cm="1">
        <f t="array" aca="1" ref="E1011" ca="1">INDEX('OD flujo mercancia multimodal'!E$45:E$1645,MATCH(C1011&amp;D1011,'OD flujo mercancia multimodal'!C$45:C$1645&amp;'OD flujo mercancia multimodal'!D$45:D$1645,0))</f>
        <v>28207.027472527458</v>
      </c>
      <c r="F1011" s="11" cm="1">
        <f t="array" aca="1" ref="F1011" ca="1">INDEX('OD flujo mercancia carretera'!E$45:E$1646,MATCH(C1011&amp;D1011,'OD flujo mercancia carretera'!C$45:C$1646&amp;'OD flujo mercancia carretera'!D$45:D$1646,0))</f>
        <v>214387.92307692306</v>
      </c>
      <c r="G1011" s="11" cm="1">
        <f t="array" aca="1" ref="G1011" ca="1">INDEX('Coste Carretera'!E$46:E$1646,MATCH(C1011&amp;D1011,'Coste Carretera'!C$46:C$1646&amp;'Coste Carretera'!D$46:D$1646,0))</f>
        <v>3391000326.6599984</v>
      </c>
      <c r="H1011" s="11" cm="1">
        <f t="array" aca="1" ref="H1011" ca="1">INDEX('Coste multimodal'!E$46:E$1646,MATCH(C1011&amp;D1011,'Coste multimodal'!C$46:C$1646&amp;'Coste multimodal'!D$46:D$1646,0))</f>
        <v>579411827.92593169</v>
      </c>
      <c r="I1011" s="12" cm="1">
        <f t="array" aca="1" ref="I1011" ca="1">INDEX('Tiempos intermodal (horas)'!E$45:E$1645,MATCH(C1011&amp;D1011,'Tiempos intermodal (horas)'!C$45:C$1645&amp;'Tiempos intermodal (horas)'!D$45:D$1645,0))</f>
        <v>77.010650818787525</v>
      </c>
      <c r="J1011" s="2" cm="1">
        <f t="array" aca="1" ref="J1011" ca="1">INDEX('Tiempos carretera (horas)'!E$45:E$1645,MATCH(C1011&amp;D1011,'Tiempos carretera (horas)'!C$45:C$1645&amp;'Tiempos carretera (horas)'!D$45:D$1645,0))</f>
        <v>22.31</v>
      </c>
      <c r="K1011" s="12">
        <f t="shared" ca="1" si="96"/>
        <v>15.817123828581037</v>
      </c>
      <c r="L1011" s="12">
        <f t="shared" ca="1" si="97"/>
        <v>20.541399780258878</v>
      </c>
      <c r="M1011" s="12">
        <f t="shared" ca="1" si="98"/>
        <v>0.11627211287226583</v>
      </c>
      <c r="N1011" s="13">
        <f t="shared" ca="1" si="94"/>
        <v>-4.724275951677841</v>
      </c>
      <c r="O1011" s="13">
        <f t="shared" ca="1" si="95"/>
        <v>-54.700650818787523</v>
      </c>
      <c r="P1011" s="12">
        <f t="shared" ca="1" si="99"/>
        <v>2.0282159506257771</v>
      </c>
    </row>
    <row r="1012" spans="1:16" x14ac:dyDescent="0.25">
      <c r="A1012">
        <v>6</v>
      </c>
      <c r="B1012">
        <v>23</v>
      </c>
      <c r="C1012" s="2" t="s">
        <v>5</v>
      </c>
      <c r="D1012" s="2" t="s">
        <v>22</v>
      </c>
      <c r="E1012" s="11" cm="1">
        <f t="array" aca="1" ref="E1012" ca="1">INDEX('OD flujo mercancia multimodal'!E$45:E$1645,MATCH(C1012&amp;D1012,'OD flujo mercancia multimodal'!C$45:C$1645&amp;'OD flujo mercancia multimodal'!D$45:D$1645,0))</f>
        <v>17930.906593406595</v>
      </c>
      <c r="F1012" s="11" cm="1">
        <f t="array" aca="1" ref="F1012" ca="1">INDEX('OD flujo mercancia carretera'!E$45:E$1646,MATCH(C1012&amp;D1012,'OD flujo mercancia carretera'!C$45:C$1646&amp;'OD flujo mercancia carretera'!D$45:D$1646,0))</f>
        <v>237956.36630036664</v>
      </c>
      <c r="G1012" s="11" cm="1">
        <f t="array" aca="1" ref="G1012" ca="1">INDEX('Coste Carretera'!E$46:E$1646,MATCH(C1012&amp;D1012,'Coste Carretera'!C$46:C$1646&amp;'Coste Carretera'!D$46:D$1646,0))</f>
        <v>1303356000.5714288</v>
      </c>
      <c r="H1012" s="11" cm="1">
        <f t="array" aca="1" ref="H1012" ca="1">INDEX('Coste multimodal'!E$46:E$1646,MATCH(C1012&amp;D1012,'Coste multimodal'!C$46:C$1646&amp;'Coste multimodal'!D$46:D$1646,0))</f>
        <v>532239131.74200237</v>
      </c>
      <c r="I1012" s="12" cm="1">
        <f t="array" aca="1" ref="I1012" ca="1">INDEX('Tiempos intermodal (horas)'!E$45:E$1645,MATCH(C1012&amp;D1012,'Tiempos intermodal (horas)'!C$45:C$1645&amp;'Tiempos intermodal (horas)'!D$45:D$1645,0))</f>
        <v>68.811821550065687</v>
      </c>
      <c r="J1012" s="2" cm="1">
        <f t="array" aca="1" ref="J1012" ca="1">INDEX('Tiempos carretera (horas)'!E$45:E$1645,MATCH(C1012&amp;D1012,'Tiempos carretera (horas)'!C$45:C$1645&amp;'Tiempos carretera (horas)'!D$45:D$1645,0))</f>
        <v>14.05</v>
      </c>
      <c r="K1012" s="12">
        <f t="shared" ca="1" si="96"/>
        <v>5.4772898949307098</v>
      </c>
      <c r="L1012" s="12">
        <f t="shared" ca="1" si="97"/>
        <v>29.682778668743552</v>
      </c>
      <c r="M1012" s="12">
        <f t="shared" ca="1" si="98"/>
        <v>7.0073460046019054E-2</v>
      </c>
      <c r="N1012" s="13">
        <f t="shared" ca="1" si="94"/>
        <v>-24.205488773812842</v>
      </c>
      <c r="O1012" s="13">
        <f t="shared" ca="1" si="95"/>
        <v>-54.76182155006569</v>
      </c>
      <c r="P1012" s="12">
        <f t="shared" ca="1" si="99"/>
        <v>2.5855614727183958</v>
      </c>
    </row>
    <row r="1013" spans="1:16" x14ac:dyDescent="0.25">
      <c r="A1013">
        <v>6</v>
      </c>
      <c r="B1013">
        <v>39</v>
      </c>
      <c r="C1013" s="2" t="s">
        <v>5</v>
      </c>
      <c r="D1013" s="2" t="s">
        <v>38</v>
      </c>
      <c r="E1013" s="11" cm="1">
        <f t="array" aca="1" ref="E1013" ca="1">INDEX('OD flujo mercancia multimodal'!E$45:E$1645,MATCH(C1013&amp;D1013,'OD flujo mercancia multimodal'!C$45:C$1645&amp;'OD flujo mercancia multimodal'!D$45:D$1645,0))</f>
        <v>14685.598901098907</v>
      </c>
      <c r="F1013" s="11" cm="1">
        <f t="array" aca="1" ref="F1013" ca="1">INDEX('OD flujo mercancia carretera'!E$45:E$1646,MATCH(C1013&amp;D1013,'OD flujo mercancia carretera'!C$45:C$1646&amp;'OD flujo mercancia carretera'!D$45:D$1646,0))</f>
        <v>219100.54212454212</v>
      </c>
      <c r="G1013" s="11" cm="1">
        <f t="array" aca="1" ref="G1013" ca="1">INDEX('Coste Carretera'!E$46:E$1646,MATCH(C1013&amp;D1013,'Coste Carretera'!C$46:C$1646&amp;'Coste Carretera'!D$46:D$1646,0))</f>
        <v>1621462542.2914283</v>
      </c>
      <c r="H1013" s="11" cm="1">
        <f t="array" aca="1" ref="H1013" ca="1">INDEX('Coste multimodal'!E$46:E$1646,MATCH(C1013&amp;D1013,'Coste multimodal'!C$46:C$1646&amp;'Coste multimodal'!D$46:D$1646,0))</f>
        <v>491425670.2947585</v>
      </c>
      <c r="I1013" s="12" cm="1">
        <f t="array" aca="1" ref="I1013" ca="1">INDEX('Tiempos intermodal (horas)'!E$45:E$1645,MATCH(C1013&amp;D1013,'Tiempos intermodal (horas)'!C$45:C$1645&amp;'Tiempos intermodal (horas)'!D$45:D$1645,0))</f>
        <v>80.813737682995495</v>
      </c>
      <c r="J1013" s="2" cm="1">
        <f t="array" aca="1" ref="J1013" ca="1">INDEX('Tiempos carretera (horas)'!E$45:E$1645,MATCH(C1013&amp;D1013,'Tiempos carretera (horas)'!C$45:C$1645&amp;'Tiempos carretera (horas)'!D$45:D$1645,0))</f>
        <v>26</v>
      </c>
      <c r="K1013" s="12">
        <f t="shared" ca="1" si="96"/>
        <v>7.400540987113347</v>
      </c>
      <c r="L1013" s="12">
        <f t="shared" ca="1" si="97"/>
        <v>33.463100388638942</v>
      </c>
      <c r="M1013" s="12">
        <f t="shared" ca="1" si="98"/>
        <v>6.2816379262995881E-2</v>
      </c>
      <c r="N1013" s="13">
        <f t="shared" ca="1" si="94"/>
        <v>-26.062559401525597</v>
      </c>
      <c r="O1013" s="13">
        <f t="shared" ca="1" si="95"/>
        <v>-54.813737682995495</v>
      </c>
      <c r="P1013" s="12">
        <f t="shared" ca="1" si="99"/>
        <v>2.7026633739172383</v>
      </c>
    </row>
    <row r="1014" spans="1:16" x14ac:dyDescent="0.25">
      <c r="A1014">
        <v>38</v>
      </c>
      <c r="B1014">
        <v>27</v>
      </c>
      <c r="C1014" s="2" t="s">
        <v>37</v>
      </c>
      <c r="D1014" s="2" t="s">
        <v>145</v>
      </c>
      <c r="E1014" s="11" cm="1">
        <f t="array" aca="1" ref="E1014" ca="1">INDEX('OD flujo mercancia multimodal'!E$45:E$1645,MATCH(C1014&amp;D1014,'OD flujo mercancia multimodal'!C$45:C$1645&amp;'OD flujo mercancia multimodal'!D$45:D$1645,0))</f>
        <v>59506</v>
      </c>
      <c r="F1014" s="11" cm="1">
        <f t="array" aca="1" ref="F1014" ca="1">INDEX('OD flujo mercancia carretera'!E$45:E$1646,MATCH(C1014&amp;D1014,'OD flujo mercancia carretera'!C$45:C$1646&amp;'OD flujo mercancia carretera'!D$45:D$1646,0))</f>
        <v>421953.79230769229</v>
      </c>
      <c r="G1014" s="11" cm="1">
        <f t="array" aca="1" ref="G1014" ca="1">INDEX('Coste Carretera'!E$46:E$1646,MATCH(C1014&amp;D1014,'Coste Carretera'!C$46:C$1646&amp;'Coste Carretera'!D$46:D$1646,0))</f>
        <v>6586605859.3999987</v>
      </c>
      <c r="H1014" s="11" cm="1">
        <f t="array" aca="1" ref="H1014" ca="1">INDEX('Coste multimodal'!E$46:E$1646,MATCH(C1014&amp;D1014,'Coste multimodal'!C$46:C$1646&amp;'Coste multimodal'!D$46:D$1646,0))</f>
        <v>217716747.17372608</v>
      </c>
      <c r="I1014" s="12" cm="1">
        <f t="array" aca="1" ref="I1014" ca="1">INDEX('Tiempos intermodal (horas)'!E$45:E$1645,MATCH(C1014&amp;D1014,'Tiempos intermodal (horas)'!C$45:C$1645&amp;'Tiempos intermodal (horas)'!D$45:D$1645,0))</f>
        <v>73.794895809872372</v>
      </c>
      <c r="J1014" s="2" cm="1">
        <f t="array" aca="1" ref="J1014" ca="1">INDEX('Tiempos carretera (horas)'!E$45:E$1645,MATCH(C1014&amp;D1014,'Tiempos carretera (horas)'!C$45:C$1645&amp;'Tiempos carretera (horas)'!D$45:D$1645,0))</f>
        <v>18.93</v>
      </c>
      <c r="K1014" s="12">
        <f t="shared" ca="1" si="96"/>
        <v>15.609779979408243</v>
      </c>
      <c r="L1014" s="12">
        <f t="shared" ca="1" si="97"/>
        <v>3.6587360463436642</v>
      </c>
      <c r="M1014" s="12">
        <f t="shared" ca="1" si="98"/>
        <v>0.12359495216574759</v>
      </c>
      <c r="N1014" s="13">
        <f t="shared" ca="1" si="94"/>
        <v>11.951043933064579</v>
      </c>
      <c r="O1014" s="13">
        <f t="shared" ca="1" si="95"/>
        <v>-54.864895809872372</v>
      </c>
      <c r="P1014" s="12">
        <f t="shared" ca="1" si="99"/>
        <v>1.9588186633359119</v>
      </c>
    </row>
    <row r="1015" spans="1:16" x14ac:dyDescent="0.25">
      <c r="A1015">
        <v>27</v>
      </c>
      <c r="B1015">
        <v>38</v>
      </c>
      <c r="C1015" s="2" t="s">
        <v>145</v>
      </c>
      <c r="D1015" s="2" t="s">
        <v>37</v>
      </c>
      <c r="E1015" s="11" cm="1">
        <f t="array" aca="1" ref="E1015" ca="1">INDEX('OD flujo mercancia multimodal'!E$45:E$1645,MATCH(C1015&amp;D1015,'OD flujo mercancia multimodal'!C$45:C$1645&amp;'OD flujo mercancia multimodal'!D$45:D$1645,0))</f>
        <v>33372</v>
      </c>
      <c r="F1015" s="11" cm="1">
        <f t="array" aca="1" ref="F1015" ca="1">INDEX('OD flujo mercancia carretera'!E$45:E$1646,MATCH(C1015&amp;D1015,'OD flujo mercancia carretera'!C$45:C$1646&amp;'OD flujo mercancia carretera'!D$45:D$1646,0))</f>
        <v>426879.58461538458</v>
      </c>
      <c r="G1015" s="11" cm="1">
        <f t="array" aca="1" ref="G1015" ca="1">INDEX('Coste Carretera'!E$46:E$1646,MATCH(C1015&amp;D1015,'Coste Carretera'!C$46:C$1646&amp;'Coste Carretera'!D$46:D$1646,0))</f>
        <v>4392731390.0000038</v>
      </c>
      <c r="H1015" s="11" cm="1">
        <f t="array" aca="1" ref="H1015" ca="1">INDEX('Coste multimodal'!E$46:E$1646,MATCH(C1015&amp;D1015,'Coste multimodal'!C$46:C$1646&amp;'Coste multimodal'!D$46:D$1646,0))</f>
        <v>217716747.17372608</v>
      </c>
      <c r="I1015" s="12" cm="1">
        <f t="array" aca="1" ref="I1015" ca="1">INDEX('Tiempos intermodal (horas)'!E$45:E$1645,MATCH(C1015&amp;D1015,'Tiempos intermodal (horas)'!C$45:C$1645&amp;'Tiempos intermodal (horas)'!D$45:D$1645,0))</f>
        <v>73.794895809872372</v>
      </c>
      <c r="J1015" s="2" cm="1">
        <f t="array" aca="1" ref="J1015" ca="1">INDEX('Tiempos carretera (horas)'!E$45:E$1645,MATCH(C1015&amp;D1015,'Tiempos carretera (horas)'!C$45:C$1645&amp;'Tiempos carretera (horas)'!D$45:D$1645,0))</f>
        <v>18.93</v>
      </c>
      <c r="K1015" s="12">
        <f t="shared" ca="1" si="96"/>
        <v>10.290329049017004</v>
      </c>
      <c r="L1015" s="12">
        <f t="shared" ca="1" si="97"/>
        <v>6.523934651016603</v>
      </c>
      <c r="M1015" s="12">
        <f t="shared" ca="1" si="98"/>
        <v>7.2508169695684507E-2</v>
      </c>
      <c r="N1015" s="13">
        <f t="shared" ca="1" si="94"/>
        <v>3.7663943980004007</v>
      </c>
      <c r="O1015" s="13">
        <f t="shared" ca="1" si="95"/>
        <v>-54.864895809872372</v>
      </c>
      <c r="P1015" s="12">
        <f t="shared" ca="1" si="99"/>
        <v>2.5487847451757459</v>
      </c>
    </row>
    <row r="1016" spans="1:16" x14ac:dyDescent="0.25">
      <c r="A1016">
        <v>39</v>
      </c>
      <c r="B1016">
        <v>2</v>
      </c>
      <c r="C1016" s="2" t="s">
        <v>38</v>
      </c>
      <c r="D1016" s="2" t="s">
        <v>1</v>
      </c>
      <c r="E1016" s="11" cm="1">
        <f t="array" aca="1" ref="E1016" ca="1">INDEX('OD flujo mercancia multimodal'!E$45:E$1645,MATCH(C1016&amp;D1016,'OD flujo mercancia multimodal'!C$45:C$1645&amp;'OD flujo mercancia multimodal'!D$45:D$1645,0))</f>
        <v>21241.071428571398</v>
      </c>
      <c r="F1016" s="11" cm="1">
        <f t="array" aca="1" ref="F1016" ca="1">INDEX('OD flujo mercancia carretera'!E$45:E$1646,MATCH(C1016&amp;D1016,'OD flujo mercancia carretera'!C$45:C$1646&amp;'OD flujo mercancia carretera'!D$45:D$1646,0))</f>
        <v>44307.923076923107</v>
      </c>
      <c r="G1016" s="11" cm="1">
        <f t="array" aca="1" ref="G1016" ca="1">INDEX('Coste Carretera'!E$46:E$1646,MATCH(C1016&amp;D1016,'Coste Carretera'!C$46:C$1646&amp;'Coste Carretera'!D$46:D$1646,0))</f>
        <v>3111129426.5057101</v>
      </c>
      <c r="H1016" s="11" cm="1">
        <f t="array" aca="1" ref="H1016" ca="1">INDEX('Coste multimodal'!E$46:E$1646,MATCH(C1016&amp;D1016,'Coste multimodal'!C$46:C$1646&amp;'Coste multimodal'!D$46:D$1646,0))</f>
        <v>489945187.63717264</v>
      </c>
      <c r="I1016" s="12" cm="1">
        <f t="array" aca="1" ref="I1016" ca="1">INDEX('Tiempos intermodal (horas)'!E$45:E$1645,MATCH(C1016&amp;D1016,'Tiempos intermodal (horas)'!C$45:C$1645&amp;'Tiempos intermodal (horas)'!D$45:D$1645,0))</f>
        <v>84.797333843609223</v>
      </c>
      <c r="J1016" s="2" cm="1">
        <f t="array" aca="1" ref="J1016" ca="1">INDEX('Tiempos carretera (horas)'!E$45:E$1645,MATCH(C1016&amp;D1016,'Tiempos carretera (horas)'!C$45:C$1645&amp;'Tiempos carretera (horas)'!D$45:D$1645,0))</f>
        <v>21.13</v>
      </c>
      <c r="K1016" s="12">
        <f t="shared" ca="1" si="96"/>
        <v>70.216097042158111</v>
      </c>
      <c r="L1016" s="12">
        <f t="shared" ca="1" si="97"/>
        <v>23.065935693721485</v>
      </c>
      <c r="M1016" s="12">
        <f t="shared" ca="1" si="98"/>
        <v>0.32404877586323477</v>
      </c>
      <c r="N1016" s="13">
        <f t="shared" ca="1" si="94"/>
        <v>47.150161348436626</v>
      </c>
      <c r="O1016" s="13">
        <f t="shared" ca="1" si="95"/>
        <v>-63.667333843609228</v>
      </c>
      <c r="P1016" s="12">
        <f t="shared" ca="1" si="99"/>
        <v>0.73522687254626351</v>
      </c>
    </row>
    <row r="1017" spans="1:16" x14ac:dyDescent="0.25">
      <c r="A1017">
        <v>2</v>
      </c>
      <c r="B1017">
        <v>39</v>
      </c>
      <c r="C1017" s="2" t="s">
        <v>1</v>
      </c>
      <c r="D1017" s="2" t="s">
        <v>38</v>
      </c>
      <c r="E1017" s="11" cm="1">
        <f t="array" aca="1" ref="E1017" ca="1">INDEX('OD flujo mercancia multimodal'!E$45:E$1645,MATCH(C1017&amp;D1017,'OD flujo mercancia multimodal'!C$45:C$1645&amp;'OD flujo mercancia multimodal'!D$45:D$1645,0))</f>
        <v>9597.3846153846207</v>
      </c>
      <c r="F1017" s="11" cm="1">
        <f t="array" aca="1" ref="F1017" ca="1">INDEX('OD flujo mercancia carretera'!E$45:E$1646,MATCH(C1017&amp;D1017,'OD flujo mercancia carretera'!C$45:C$1646&amp;'OD flujo mercancia carretera'!D$45:D$1646,0))</f>
        <v>129877.84249084249</v>
      </c>
      <c r="G1017" s="11" cm="1">
        <f t="array" aca="1" ref="G1017" ca="1">INDEX('Coste Carretera'!E$46:E$1646,MATCH(C1017&amp;D1017,'Coste Carretera'!C$46:C$1646&amp;'Coste Carretera'!D$46:D$1646,0))</f>
        <v>620464452.39999998</v>
      </c>
      <c r="H1017" s="11" cm="1">
        <f t="array" aca="1" ref="H1017" ca="1">INDEX('Coste multimodal'!E$46:E$1646,MATCH(C1017&amp;D1017,'Coste multimodal'!C$46:C$1646&amp;'Coste multimodal'!D$46:D$1646,0))</f>
        <v>481615644.88310158</v>
      </c>
      <c r="I1017" s="12" cm="1">
        <f t="array" aca="1" ref="I1017" ca="1">INDEX('Tiempos intermodal (horas)'!E$45:E$1645,MATCH(C1017&amp;D1017,'Tiempos intermodal (horas)'!C$45:C$1645&amp;'Tiempos intermodal (horas)'!D$45:D$1645,0))</f>
        <v>72.892894818646781</v>
      </c>
      <c r="J1017" s="2" cm="1">
        <f t="array" aca="1" ref="J1017" ca="1">INDEX('Tiempos carretera (horas)'!E$45:E$1645,MATCH(C1017&amp;D1017,'Tiempos carretera (horas)'!C$45:C$1645&amp;'Tiempos carretera (horas)'!D$45:D$1645,0))</f>
        <v>18.03</v>
      </c>
      <c r="K1017" s="12">
        <f t="shared" ca="1" si="96"/>
        <v>4.7772925735484719</v>
      </c>
      <c r="L1017" s="12">
        <f t="shared" ca="1" si="97"/>
        <v>50.181967711398272</v>
      </c>
      <c r="M1017" s="12">
        <f t="shared" ca="1" si="98"/>
        <v>6.8810675662675652E-2</v>
      </c>
      <c r="N1017" s="13">
        <f t="shared" ca="1" si="94"/>
        <v>-45.4046751378498</v>
      </c>
      <c r="O1017" s="13">
        <f t="shared" ca="1" si="95"/>
        <v>-54.86289481864678</v>
      </c>
      <c r="P1017" s="12">
        <f t="shared" ca="1" si="99"/>
        <v>2.6051037100796828</v>
      </c>
    </row>
    <row r="1018" spans="1:16" x14ac:dyDescent="0.25">
      <c r="A1018">
        <v>32</v>
      </c>
      <c r="B1018">
        <v>11</v>
      </c>
      <c r="C1018" s="2" t="s">
        <v>31</v>
      </c>
      <c r="D1018" s="2" t="s">
        <v>10</v>
      </c>
      <c r="E1018" s="11" cm="1">
        <f t="array" aca="1" ref="E1018" ca="1">INDEX('OD flujo mercancia multimodal'!E$45:E$1645,MATCH(C1018&amp;D1018,'OD flujo mercancia multimodal'!C$45:C$1645&amp;'OD flujo mercancia multimodal'!D$45:D$1645,0))</f>
        <v>21354.461538461521</v>
      </c>
      <c r="F1018" s="11" cm="1">
        <f t="array" aca="1" ref="F1018" ca="1">INDEX('OD flujo mercancia carretera'!E$45:E$1646,MATCH(C1018&amp;D1018,'OD flujo mercancia carretera'!C$45:C$1646&amp;'OD flujo mercancia carretera'!D$45:D$1646,0))</f>
        <v>143873.59999999998</v>
      </c>
      <c r="G1018" s="11" cm="1">
        <f t="array" aca="1" ref="G1018" ca="1">INDEX('Coste Carretera'!E$46:E$1646,MATCH(C1018&amp;D1018,'Coste Carretera'!C$46:C$1646&amp;'Coste Carretera'!D$46:D$1646,0))</f>
        <v>2595540722.9999976</v>
      </c>
      <c r="H1018" s="11" cm="1">
        <f t="array" aca="1" ref="H1018" ca="1">INDEX('Coste multimodal'!E$46:E$1646,MATCH(C1018&amp;D1018,'Coste multimodal'!C$46:C$1646&amp;'Coste multimodal'!D$46:D$1646,0))</f>
        <v>138250241.39300808</v>
      </c>
      <c r="I1018" s="12" cm="1">
        <f t="array" aca="1" ref="I1018" ca="1">INDEX('Tiempos intermodal (horas)'!E$45:E$1645,MATCH(C1018&amp;D1018,'Tiempos intermodal (horas)'!C$45:C$1645&amp;'Tiempos intermodal (horas)'!D$45:D$1645,0))</f>
        <v>76.582949318459086</v>
      </c>
      <c r="J1018" s="2" cm="1">
        <f t="array" aca="1" ref="J1018" ca="1">INDEX('Tiempos carretera (horas)'!E$45:E$1645,MATCH(C1018&amp;D1018,'Tiempos carretera (horas)'!C$45:C$1645&amp;'Tiempos carretera (horas)'!D$45:D$1645,0))</f>
        <v>21.53</v>
      </c>
      <c r="K1018" s="12">
        <f t="shared" ca="1" si="96"/>
        <v>18.040423837312741</v>
      </c>
      <c r="L1018" s="12">
        <f t="shared" ca="1" si="97"/>
        <v>6.4740682477057812</v>
      </c>
      <c r="M1018" s="12">
        <f t="shared" ca="1" si="98"/>
        <v>0.12924234140149773</v>
      </c>
      <c r="N1018" s="13">
        <f t="shared" ca="1" si="94"/>
        <v>11.56635558960696</v>
      </c>
      <c r="O1018" s="13">
        <f t="shared" ca="1" si="95"/>
        <v>-55.052949318459085</v>
      </c>
      <c r="P1018" s="12">
        <f t="shared" ca="1" si="99"/>
        <v>1.9076744471260474</v>
      </c>
    </row>
    <row r="1019" spans="1:16" x14ac:dyDescent="0.25">
      <c r="A1019">
        <v>11</v>
      </c>
      <c r="B1019">
        <v>32</v>
      </c>
      <c r="C1019" s="2" t="s">
        <v>10</v>
      </c>
      <c r="D1019" s="2" t="s">
        <v>31</v>
      </c>
      <c r="E1019" s="11" cm="1">
        <f t="array" aca="1" ref="E1019" ca="1">INDEX('OD flujo mercancia multimodal'!E$45:E$1645,MATCH(C1019&amp;D1019,'OD flujo mercancia multimodal'!C$45:C$1645&amp;'OD flujo mercancia multimodal'!D$45:D$1645,0))</f>
        <v>11183.153846153846</v>
      </c>
      <c r="F1019" s="11" cm="1">
        <f t="array" aca="1" ref="F1019" ca="1">INDEX('OD flujo mercancia carretera'!E$45:E$1646,MATCH(C1019&amp;D1019,'OD flujo mercancia carretera'!C$45:C$1646&amp;'OD flujo mercancia carretera'!D$45:D$1646,0))</f>
        <v>147515.73076923078</v>
      </c>
      <c r="G1019" s="11" cm="1">
        <f t="array" aca="1" ref="G1019" ca="1">INDEX('Coste Carretera'!E$46:E$1646,MATCH(C1019&amp;D1019,'Coste Carretera'!C$46:C$1646&amp;'Coste Carretera'!D$46:D$1646,0))</f>
        <v>1499821627.0799999</v>
      </c>
      <c r="H1019" s="11" cm="1">
        <f t="array" aca="1" ref="H1019" ca="1">INDEX('Coste multimodal'!E$46:E$1646,MATCH(C1019&amp;D1019,'Coste multimodal'!C$46:C$1646&amp;'Coste multimodal'!D$46:D$1646,0))</f>
        <v>138250241.39300808</v>
      </c>
      <c r="I1019" s="12" cm="1">
        <f t="array" aca="1" ref="I1019" ca="1">INDEX('Tiempos intermodal (horas)'!E$45:E$1645,MATCH(C1019&amp;D1019,'Tiempos intermodal (horas)'!C$45:C$1645&amp;'Tiempos intermodal (horas)'!D$45:D$1645,0))</f>
        <v>76.582949318459086</v>
      </c>
      <c r="J1019" s="2" cm="1">
        <f t="array" aca="1" ref="J1019" ca="1">INDEX('Tiempos carretera (horas)'!E$45:E$1645,MATCH(C1019&amp;D1019,'Tiempos carretera (horas)'!C$45:C$1645&amp;'Tiempos carretera (horas)'!D$45:D$1645,0))</f>
        <v>21.53</v>
      </c>
      <c r="K1019" s="12">
        <f t="shared" ca="1" si="96"/>
        <v>10.167197893126911</v>
      </c>
      <c r="L1019" s="12">
        <f t="shared" ca="1" si="97"/>
        <v>12.362366045832021</v>
      </c>
      <c r="M1019" s="12">
        <f t="shared" ca="1" si="98"/>
        <v>7.0467753275373218E-2</v>
      </c>
      <c r="N1019" s="13">
        <f t="shared" ca="1" si="94"/>
        <v>-2.1951681527051097</v>
      </c>
      <c r="O1019" s="13">
        <f t="shared" ca="1" si="95"/>
        <v>-55.052949318459085</v>
      </c>
      <c r="P1019" s="12">
        <f t="shared" ca="1" si="99"/>
        <v>2.5795262942796247</v>
      </c>
    </row>
    <row r="1020" spans="1:16" x14ac:dyDescent="0.25">
      <c r="A1020">
        <v>39</v>
      </c>
      <c r="B1020">
        <v>7</v>
      </c>
      <c r="C1020" s="2" t="s">
        <v>38</v>
      </c>
      <c r="D1020" s="2" t="s">
        <v>6</v>
      </c>
      <c r="E1020" s="11" cm="1">
        <f t="array" aca="1" ref="E1020" ca="1">INDEX('OD flujo mercancia multimodal'!E$45:E$1645,MATCH(C1020&amp;D1020,'OD flujo mercancia multimodal'!C$45:C$1645&amp;'OD flujo mercancia multimodal'!D$45:D$1645,0))</f>
        <v>4976.7857142857101</v>
      </c>
      <c r="F1020" s="11" cm="1">
        <f t="array" aca="1" ref="F1020" ca="1">INDEX('OD flujo mercancia carretera'!E$45:E$1646,MATCH(C1020&amp;D1020,'OD flujo mercancia carretera'!C$45:C$1646&amp;'OD flujo mercancia carretera'!D$45:D$1646,0))</f>
        <v>67584.769230769205</v>
      </c>
      <c r="G1020" s="11" cm="1">
        <f t="array" aca="1" ref="G1020" ca="1">INDEX('Coste Carretera'!E$46:E$1646,MATCH(C1020&amp;D1020,'Coste Carretera'!C$46:C$1646&amp;'Coste Carretera'!D$46:D$1646,0))</f>
        <v>1557267902.6571419</v>
      </c>
      <c r="H1020" s="11" cm="1">
        <f t="array" aca="1" ref="H1020" ca="1">INDEX('Coste multimodal'!E$46:E$1646,MATCH(C1020&amp;D1020,'Coste multimodal'!C$46:C$1646&amp;'Coste multimodal'!D$46:D$1646,0))</f>
        <v>321581600.4434005</v>
      </c>
      <c r="I1020" s="12" cm="1">
        <f t="array" aca="1" ref="I1020" ca="1">INDEX('Tiempos intermodal (horas)'!E$45:E$1645,MATCH(C1020&amp;D1020,'Tiempos intermodal (horas)'!C$45:C$1645&amp;'Tiempos intermodal (horas)'!D$45:D$1645,0))</f>
        <v>90.23003959623685</v>
      </c>
      <c r="J1020" s="2" cm="1">
        <f t="array" aca="1" ref="J1020" ca="1">INDEX('Tiempos carretera (horas)'!E$45:E$1645,MATCH(C1020&amp;D1020,'Tiempos carretera (horas)'!C$45:C$1645&amp;'Tiempos carretera (horas)'!D$45:D$1645,0))</f>
        <v>27</v>
      </c>
      <c r="K1020" s="12">
        <f t="shared" ca="1" si="96"/>
        <v>23.041698897274138</v>
      </c>
      <c r="L1020" s="12">
        <f t="shared" ca="1" si="97"/>
        <v>64.616324452208261</v>
      </c>
      <c r="M1020" s="12">
        <f t="shared" ca="1" si="98"/>
        <v>6.8587087446709674E-2</v>
      </c>
      <c r="N1020" s="13">
        <f t="shared" ca="1" si="94"/>
        <v>-41.574625554934123</v>
      </c>
      <c r="O1020" s="13">
        <f t="shared" ca="1" si="95"/>
        <v>-63.23003959623685</v>
      </c>
      <c r="P1020" s="12">
        <f t="shared" ca="1" si="99"/>
        <v>2.6085984066735355</v>
      </c>
    </row>
    <row r="1021" spans="1:16" x14ac:dyDescent="0.25">
      <c r="A1021">
        <v>7</v>
      </c>
      <c r="B1021">
        <v>39</v>
      </c>
      <c r="C1021" s="2" t="s">
        <v>6</v>
      </c>
      <c r="D1021" s="2" t="s">
        <v>38</v>
      </c>
      <c r="E1021" s="11" cm="1">
        <f t="array" aca="1" ref="E1021" ca="1">INDEX('OD flujo mercancia multimodal'!E$45:E$1645,MATCH(C1021&amp;D1021,'OD flujo mercancia multimodal'!C$45:C$1645&amp;'OD flujo mercancia multimodal'!D$45:D$1645,0))</f>
        <v>5980.5274725274776</v>
      </c>
      <c r="F1021" s="11" cm="1">
        <f t="array" aca="1" ref="F1021" ca="1">INDEX('OD flujo mercancia carretera'!E$45:E$1646,MATCH(C1021&amp;D1021,'OD flujo mercancia carretera'!C$45:C$1646&amp;'OD flujo mercancia carretera'!D$45:D$1646,0))</f>
        <v>147407.53479853482</v>
      </c>
      <c r="G1021" s="11" cm="1">
        <f t="array" aca="1" ref="G1021" ca="1">INDEX('Coste Carretera'!E$46:E$1646,MATCH(C1021&amp;D1021,'Coste Carretera'!C$46:C$1646&amp;'Coste Carretera'!D$46:D$1646,0))</f>
        <v>368346093.88571429</v>
      </c>
      <c r="H1021" s="11" cm="1">
        <f t="array" aca="1" ref="H1021" ca="1">INDEX('Coste multimodal'!E$46:E$1646,MATCH(C1021&amp;D1021,'Coste multimodal'!C$46:C$1646&amp;'Coste multimodal'!D$46:D$1646,0))</f>
        <v>352736672.76047283</v>
      </c>
      <c r="I1021" s="12" cm="1">
        <f t="array" aca="1" ref="I1021" ca="1">INDEX('Tiempos intermodal (horas)'!E$45:E$1645,MATCH(C1021&amp;D1021,'Tiempos intermodal (horas)'!C$45:C$1645&amp;'Tiempos intermodal (horas)'!D$45:D$1645,0))</f>
        <v>78.70818212743994</v>
      </c>
      <c r="J1021" s="2" cm="1">
        <f t="array" aca="1" ref="J1021" ca="1">INDEX('Tiempos carretera (horas)'!E$45:E$1645,MATCH(C1021&amp;D1021,'Tiempos carretera (horas)'!C$45:C$1645&amp;'Tiempos carretera (horas)'!D$45:D$1645,0))</f>
        <v>23.65</v>
      </c>
      <c r="K1021" s="12">
        <f t="shared" ca="1" si="96"/>
        <v>2.4988281256391756</v>
      </c>
      <c r="L1021" s="12">
        <f t="shared" ca="1" si="97"/>
        <v>58.980863206602749</v>
      </c>
      <c r="M1021" s="12">
        <f t="shared" ca="1" si="98"/>
        <v>3.8989523591209385E-2</v>
      </c>
      <c r="N1021" s="13">
        <f t="shared" ca="1" si="94"/>
        <v>-56.48203508096357</v>
      </c>
      <c r="O1021" s="13">
        <f t="shared" ca="1" si="95"/>
        <v>-55.058182127439942</v>
      </c>
      <c r="P1021" s="12">
        <f t="shared" ca="1" si="99"/>
        <v>3.2046923263040625</v>
      </c>
    </row>
    <row r="1022" spans="1:16" x14ac:dyDescent="0.25">
      <c r="A1022">
        <v>22</v>
      </c>
      <c r="B1022">
        <v>6</v>
      </c>
      <c r="C1022" s="2" t="s">
        <v>21</v>
      </c>
      <c r="D1022" s="2" t="s">
        <v>5</v>
      </c>
      <c r="E1022" s="11" cm="1">
        <f t="array" aca="1" ref="E1022" ca="1">INDEX('OD flujo mercancia multimodal'!E$45:E$1645,MATCH(C1022&amp;D1022,'OD flujo mercancia multimodal'!C$45:C$1645&amp;'OD flujo mercancia multimodal'!D$45:D$1645,0))</f>
        <v>21869.32417582416</v>
      </c>
      <c r="F1022" s="11" cm="1">
        <f t="array" aca="1" ref="F1022" ca="1">INDEX('OD flujo mercancia carretera'!E$45:E$1646,MATCH(C1022&amp;D1022,'OD flujo mercancia carretera'!C$45:C$1646&amp;'OD flujo mercancia carretera'!D$45:D$1646,0))</f>
        <v>255807.43956043967</v>
      </c>
      <c r="G1022" s="11" cm="1">
        <f t="array" aca="1" ref="G1022" ca="1">INDEX('Coste Carretera'!E$46:E$1646,MATCH(C1022&amp;D1022,'Coste Carretera'!C$46:C$1646&amp;'Coste Carretera'!D$46:D$1646,0))</f>
        <v>1595373322.0371416</v>
      </c>
      <c r="H1022" s="11" cm="1">
        <f t="array" aca="1" ref="H1022" ca="1">INDEX('Coste multimodal'!E$46:E$1646,MATCH(C1022&amp;D1022,'Coste multimodal'!C$46:C$1646&amp;'Coste multimodal'!D$46:D$1646,0))</f>
        <v>2457462077.5670371</v>
      </c>
      <c r="I1022" s="12" cm="1">
        <f t="array" aca="1" ref="I1022" ca="1">INDEX('Tiempos intermodal (horas)'!E$45:E$1645,MATCH(C1022&amp;D1022,'Tiempos intermodal (horas)'!C$45:C$1645&amp;'Tiempos intermodal (horas)'!D$45:D$1645,0))</f>
        <v>86.480710524821703</v>
      </c>
      <c r="J1022" s="2" cm="1">
        <f t="array" aca="1" ref="J1022" ca="1">INDEX('Tiempos carretera (horas)'!E$45:E$1645,MATCH(C1022&amp;D1022,'Tiempos carretera (horas)'!C$45:C$1645&amp;'Tiempos carretera (horas)'!D$45:D$1645,0))</f>
        <v>14.05</v>
      </c>
      <c r="K1022" s="12">
        <f t="shared" ca="1" si="96"/>
        <v>6.2366181561353784</v>
      </c>
      <c r="L1022" s="12">
        <f t="shared" ca="1" si="97"/>
        <v>112.37027984082302</v>
      </c>
      <c r="M1022" s="12">
        <f t="shared" ca="1" si="98"/>
        <v>7.8758207498397473E-2</v>
      </c>
      <c r="N1022" s="13">
        <f t="shared" ca="1" si="94"/>
        <v>-106.13366168468764</v>
      </c>
      <c r="O1022" s="13">
        <f t="shared" ca="1" si="95"/>
        <v>-72.430710524821706</v>
      </c>
      <c r="P1022" s="12">
        <f t="shared" ca="1" si="99"/>
        <v>2.4593400398978318</v>
      </c>
    </row>
    <row r="1023" spans="1:16" x14ac:dyDescent="0.25">
      <c r="A1023">
        <v>23</v>
      </c>
      <c r="B1023">
        <v>5</v>
      </c>
      <c r="C1023" s="2" t="s">
        <v>22</v>
      </c>
      <c r="D1023" s="2" t="s">
        <v>4</v>
      </c>
      <c r="E1023" s="11" cm="1">
        <f t="array" aca="1" ref="E1023" ca="1">INDEX('OD flujo mercancia multimodal'!E$45:E$1645,MATCH(C1023&amp;D1023,'OD flujo mercancia multimodal'!C$45:C$1645&amp;'OD flujo mercancia multimodal'!D$45:D$1645,0))</f>
        <v>65683.181318681367</v>
      </c>
      <c r="F1023" s="11" cm="1">
        <f t="array" aca="1" ref="F1023" ca="1">INDEX('OD flujo mercancia carretera'!E$45:E$1646,MATCH(C1023&amp;D1023,'OD flujo mercancia carretera'!C$45:C$1646&amp;'OD flujo mercancia carretera'!D$45:D$1646,0))</f>
        <v>167919.12820512819</v>
      </c>
      <c r="G1023" s="11" cm="1">
        <f t="array" aca="1" ref="G1023" ca="1">INDEX('Coste Carretera'!E$46:E$1646,MATCH(C1023&amp;D1023,'Coste Carretera'!C$46:C$1646&amp;'Coste Carretera'!D$46:D$1646,0))</f>
        <v>3994730230.7485738</v>
      </c>
      <c r="H1023" s="11" cm="1">
        <f t="array" aca="1" ref="H1023" ca="1">INDEX('Coste multimodal'!E$46:E$1646,MATCH(C1023&amp;D1023,'Coste multimodal'!C$46:C$1646&amp;'Coste multimodal'!D$46:D$1646,0))</f>
        <v>412782357.97914523</v>
      </c>
      <c r="I1023" s="12" cm="1">
        <f t="array" aca="1" ref="I1023" ca="1">INDEX('Tiempos intermodal (horas)'!E$45:E$1645,MATCH(C1023&amp;D1023,'Tiempos intermodal (horas)'!C$45:C$1645&amp;'Tiempos intermodal (horas)'!D$45:D$1645,0))</f>
        <v>66.26737710562125</v>
      </c>
      <c r="J1023" s="2" cm="1">
        <f t="array" aca="1" ref="J1023" ca="1">INDEX('Tiempos carretera (horas)'!E$45:E$1645,MATCH(C1023&amp;D1023,'Tiempos carretera (horas)'!C$45:C$1645&amp;'Tiempos carretera (horas)'!D$45:D$1645,0))</f>
        <v>12.5</v>
      </c>
      <c r="K1023" s="12">
        <f t="shared" ca="1" si="96"/>
        <v>23.789607970502647</v>
      </c>
      <c r="L1023" s="12">
        <f t="shared" ca="1" si="97"/>
        <v>6.2844452672961992</v>
      </c>
      <c r="M1023" s="12">
        <f t="shared" ca="1" si="98"/>
        <v>0.28117522233651848</v>
      </c>
      <c r="N1023" s="13">
        <f t="shared" ca="1" si="94"/>
        <v>17.505162703206448</v>
      </c>
      <c r="O1023" s="13">
        <f t="shared" ca="1" si="95"/>
        <v>-53.76737710562125</v>
      </c>
      <c r="P1023" s="12">
        <f t="shared" ca="1" si="99"/>
        <v>0.93863958315777363</v>
      </c>
    </row>
    <row r="1024" spans="1:16" x14ac:dyDescent="0.25">
      <c r="A1024">
        <v>9</v>
      </c>
      <c r="B1024">
        <v>37</v>
      </c>
      <c r="C1024" s="2" t="s">
        <v>148</v>
      </c>
      <c r="D1024" s="2" t="s">
        <v>36</v>
      </c>
      <c r="E1024" s="11" cm="1">
        <f t="array" aca="1" ref="E1024" ca="1">INDEX('OD flujo mercancia multimodal'!E$45:E$1645,MATCH(C1024&amp;D1024,'OD flujo mercancia multimodal'!C$45:C$1645&amp;'OD flujo mercancia multimodal'!D$45:D$1645,0))</f>
        <v>11056.3461538462</v>
      </c>
      <c r="F1024" s="11" cm="1">
        <f t="array" aca="1" ref="F1024" ca="1">INDEX('OD flujo mercancia carretera'!E$45:E$1646,MATCH(C1024&amp;D1024,'OD flujo mercancia carretera'!C$45:C$1646&amp;'OD flujo mercancia carretera'!D$45:D$1646,0))</f>
        <v>661308.7237484738</v>
      </c>
      <c r="G1024" s="11" cm="1">
        <f t="array" aca="1" ref="G1024" ca="1">INDEX('Coste Carretera'!E$46:E$1646,MATCH(C1024&amp;D1024,'Coste Carretera'!C$46:C$1646&amp;'Coste Carretera'!D$46:D$1646,0))</f>
        <v>488811713.93999958</v>
      </c>
      <c r="H1024" s="11" cm="1">
        <f t="array" aca="1" ref="H1024" ca="1">INDEX('Coste multimodal'!E$46:E$1646,MATCH(C1024&amp;D1024,'Coste multimodal'!C$46:C$1646&amp;'Coste multimodal'!D$46:D$1646,0))</f>
        <v>525144824.86310154</v>
      </c>
      <c r="I1024" s="12" cm="1">
        <f t="array" aca="1" ref="I1024" ca="1">INDEX('Tiempos intermodal (horas)'!E$45:E$1645,MATCH(C1024&amp;D1024,'Tiempos intermodal (horas)'!C$45:C$1645&amp;'Tiempos intermodal (horas)'!D$45:D$1645,0))</f>
        <v>75.254005929757895</v>
      </c>
      <c r="J1024" s="2" cm="1">
        <f t="array" aca="1" ref="J1024" ca="1">INDEX('Tiempos carretera (horas)'!E$45:E$1645,MATCH(C1024&amp;D1024,'Tiempos carretera (horas)'!C$45:C$1645&amp;'Tiempos carretera (horas)'!D$45:D$1645,0))</f>
        <v>19.899999999999999</v>
      </c>
      <c r="K1024" s="12">
        <f t="shared" ca="1" si="96"/>
        <v>0.73915812144331738</v>
      </c>
      <c r="L1024" s="12">
        <f t="shared" ca="1" si="97"/>
        <v>47.497140335138475</v>
      </c>
      <c r="M1024" s="12">
        <f t="shared" ca="1" si="98"/>
        <v>1.6443962735084448E-2</v>
      </c>
      <c r="N1024" s="13">
        <f t="shared" ref="N1024:N1087" ca="1" si="100">K1024-L1024</f>
        <v>-46.757982213695158</v>
      </c>
      <c r="O1024" s="13">
        <f t="shared" ref="O1024:O1087" ca="1" si="101">J1024-I1024</f>
        <v>-55.354005929757896</v>
      </c>
      <c r="P1024" s="12">
        <f t="shared" ca="1" si="99"/>
        <v>4.0912162107357588</v>
      </c>
    </row>
    <row r="1025" spans="1:16" x14ac:dyDescent="0.25">
      <c r="A1025">
        <v>37</v>
      </c>
      <c r="B1025">
        <v>9</v>
      </c>
      <c r="C1025" s="2" t="s">
        <v>36</v>
      </c>
      <c r="D1025" s="2" t="s">
        <v>148</v>
      </c>
      <c r="E1025" s="11" cm="1">
        <f t="array" aca="1" ref="E1025" ca="1">INDEX('OD flujo mercancia multimodal'!E$45:E$1645,MATCH(C1025&amp;D1025,'OD flujo mercancia multimodal'!C$45:C$1645&amp;'OD flujo mercancia multimodal'!D$45:D$1645,0))</f>
        <v>6194.6083916083908</v>
      </c>
      <c r="F1025" s="11" cm="1">
        <f t="array" aca="1" ref="F1025" ca="1">INDEX('OD flujo mercancia carretera'!E$45:E$1646,MATCH(C1025&amp;D1025,'OD flujo mercancia carretera'!C$45:C$1646&amp;'OD flujo mercancia carretera'!D$45:D$1646,0))</f>
        <v>652182.19688644703</v>
      </c>
      <c r="G1025" s="11" cm="1">
        <f t="array" aca="1" ref="G1025" ca="1">INDEX('Coste Carretera'!E$46:E$1646,MATCH(C1025&amp;D1025,'Coste Carretera'!C$46:C$1646&amp;'Coste Carretera'!D$46:D$1646,0))</f>
        <v>285199903.60363626</v>
      </c>
      <c r="H1025" s="11" cm="1">
        <f t="array" aca="1" ref="H1025" ca="1">INDEX('Coste multimodal'!E$46:E$1646,MATCH(C1025&amp;D1025,'Coste multimodal'!C$46:C$1646&amp;'Coste multimodal'!D$46:D$1646,0))</f>
        <v>525144824.86310154</v>
      </c>
      <c r="I1025" s="12" cm="1">
        <f t="array" aca="1" ref="I1025" ca="1">INDEX('Tiempos intermodal (horas)'!E$45:E$1645,MATCH(C1025&amp;D1025,'Tiempos intermodal (horas)'!C$45:C$1645&amp;'Tiempos intermodal (horas)'!D$45:D$1645,0))</f>
        <v>75.254005929757895</v>
      </c>
      <c r="J1025" s="2" cm="1">
        <f t="array" aca="1" ref="J1025" ca="1">INDEX('Tiempos carretera (horas)'!E$45:E$1645,MATCH(C1025&amp;D1025,'Tiempos carretera (horas)'!C$45:C$1645&amp;'Tiempos carretera (horas)'!D$45:D$1645,0))</f>
        <v>19.899999999999999</v>
      </c>
      <c r="K1025" s="12">
        <f t="shared" ca="1" si="96"/>
        <v>0.4373009643090473</v>
      </c>
      <c r="L1025" s="12">
        <f t="shared" ca="1" si="97"/>
        <v>84.774499316937607</v>
      </c>
      <c r="M1025" s="12">
        <f t="shared" ca="1" si="98"/>
        <v>9.408910432365844E-3</v>
      </c>
      <c r="N1025" s="13">
        <f t="shared" ca="1" si="100"/>
        <v>-84.337198352628562</v>
      </c>
      <c r="O1025" s="13">
        <f t="shared" ca="1" si="101"/>
        <v>-55.354005929757896</v>
      </c>
      <c r="P1025" s="12">
        <f t="shared" ca="1" si="99"/>
        <v>4.6566446665065762</v>
      </c>
    </row>
    <row r="1026" spans="1:16" x14ac:dyDescent="0.25">
      <c r="A1026">
        <v>11</v>
      </c>
      <c r="B1026">
        <v>33</v>
      </c>
      <c r="C1026" s="2" t="s">
        <v>10</v>
      </c>
      <c r="D1026" s="2" t="s">
        <v>32</v>
      </c>
      <c r="E1026" s="11" cm="1">
        <f t="array" aca="1" ref="E1026" ca="1">INDEX('OD flujo mercancia multimodal'!E$45:E$1645,MATCH(C1026&amp;D1026,'OD flujo mercancia multimodal'!C$45:C$1645&amp;'OD flujo mercancia multimodal'!D$45:D$1645,0))</f>
        <v>74860.538461538425</v>
      </c>
      <c r="F1026" s="11" cm="1">
        <f t="array" aca="1" ref="F1026" ca="1">INDEX('OD flujo mercancia carretera'!E$45:E$1646,MATCH(C1026&amp;D1026,'OD flujo mercancia carretera'!C$45:C$1646&amp;'OD flujo mercancia carretera'!D$45:D$1646,0))</f>
        <v>197225.95384615386</v>
      </c>
      <c r="G1026" s="11" cm="1">
        <f t="array" aca="1" ref="G1026" ca="1">INDEX('Coste Carretera'!E$46:E$1646,MATCH(C1026&amp;D1026,'Coste Carretera'!C$46:C$1646&amp;'Coste Carretera'!D$46:D$1646,0))</f>
        <v>1204045442</v>
      </c>
      <c r="H1026" s="11" cm="1">
        <f t="array" aca="1" ref="H1026" ca="1">INDEX('Coste multimodal'!E$46:E$1646,MATCH(C1026&amp;D1026,'Coste multimodal'!C$46:C$1646&amp;'Coste multimodal'!D$46:D$1646,0))</f>
        <v>217153861.75700808</v>
      </c>
      <c r="I1026" s="12" cm="1">
        <f t="array" aca="1" ref="I1026" ca="1">INDEX('Tiempos intermodal (horas)'!E$45:E$1645,MATCH(C1026&amp;D1026,'Tiempos intermodal (horas)'!C$45:C$1645&amp;'Tiempos intermodal (horas)'!D$45:D$1645,0))</f>
        <v>75.275171540681313</v>
      </c>
      <c r="J1026" s="2" cm="1">
        <f t="array" aca="1" ref="J1026" ca="1">INDEX('Tiempos carretera (horas)'!E$45:E$1645,MATCH(C1026&amp;D1026,'Tiempos carretera (horas)'!C$45:C$1645&amp;'Tiempos carretera (horas)'!D$45:D$1645,0))</f>
        <v>19.899999999999999</v>
      </c>
      <c r="K1026" s="12">
        <f t="shared" ca="1" si="96"/>
        <v>6.1049036322025643</v>
      </c>
      <c r="L1026" s="12">
        <f t="shared" ca="1" si="97"/>
        <v>2.9007787843868718</v>
      </c>
      <c r="M1026" s="12">
        <f t="shared" ca="1" si="98"/>
        <v>0.27513507865315667</v>
      </c>
      <c r="N1026" s="13">
        <f t="shared" ca="1" si="100"/>
        <v>3.2041248478156925</v>
      </c>
      <c r="O1026" s="13">
        <f t="shared" ca="1" si="101"/>
        <v>-55.375171540681315</v>
      </c>
      <c r="P1026" s="12">
        <f t="shared" ca="1" si="99"/>
        <v>0.96872314994000885</v>
      </c>
    </row>
    <row r="1027" spans="1:16" x14ac:dyDescent="0.25">
      <c r="A1027">
        <v>33</v>
      </c>
      <c r="B1027">
        <v>11</v>
      </c>
      <c r="C1027" s="2" t="s">
        <v>32</v>
      </c>
      <c r="D1027" s="2" t="s">
        <v>10</v>
      </c>
      <c r="E1027" s="11" cm="1">
        <f t="array" aca="1" ref="E1027" ca="1">INDEX('OD flujo mercancia multimodal'!E$45:E$1645,MATCH(C1027&amp;D1027,'OD flujo mercancia multimodal'!C$45:C$1645&amp;'OD flujo mercancia multimodal'!D$45:D$1645,0))</f>
        <v>51403.999999999985</v>
      </c>
      <c r="F1027" s="11" cm="1">
        <f t="array" aca="1" ref="F1027" ca="1">INDEX('OD flujo mercancia carretera'!E$45:E$1646,MATCH(C1027&amp;D1027,'OD flujo mercancia carretera'!C$45:C$1646&amp;'OD flujo mercancia carretera'!D$45:D$1646,0))</f>
        <v>189984.02051282051</v>
      </c>
      <c r="G1027" s="11" cm="1">
        <f t="array" aca="1" ref="G1027" ca="1">INDEX('Coste Carretera'!E$46:E$1646,MATCH(C1027&amp;D1027,'Coste Carretera'!C$46:C$1646&amp;'Coste Carretera'!D$46:D$1646,0))</f>
        <v>2299149455.9999981</v>
      </c>
      <c r="H1027" s="11" cm="1">
        <f t="array" aca="1" ref="H1027" ca="1">INDEX('Coste multimodal'!E$46:E$1646,MATCH(C1027&amp;D1027,'Coste multimodal'!C$46:C$1646&amp;'Coste multimodal'!D$46:D$1646,0))</f>
        <v>217153861.75700808</v>
      </c>
      <c r="I1027" s="12" cm="1">
        <f t="array" aca="1" ref="I1027" ca="1">INDEX('Tiempos intermodal (horas)'!E$45:E$1645,MATCH(C1027&amp;D1027,'Tiempos intermodal (horas)'!C$45:C$1645&amp;'Tiempos intermodal (horas)'!D$45:D$1645,0))</f>
        <v>75.275171540681313</v>
      </c>
      <c r="J1027" s="2" cm="1">
        <f t="array" aca="1" ref="J1027" ca="1">INDEX('Tiempos carretera (horas)'!E$45:E$1645,MATCH(C1027&amp;D1027,'Tiempos carretera (horas)'!C$45:C$1645&amp;'Tiempos carretera (horas)'!D$45:D$1645,0))</f>
        <v>19.899999999999999</v>
      </c>
      <c r="K1027" s="12">
        <f t="shared" ca="1" si="96"/>
        <v>12.101804403306891</v>
      </c>
      <c r="L1027" s="12">
        <f t="shared" ca="1" si="97"/>
        <v>4.2244545513385754</v>
      </c>
      <c r="M1027" s="12">
        <f t="shared" ca="1" si="98"/>
        <v>0.21295174421163884</v>
      </c>
      <c r="N1027" s="13">
        <f t="shared" ca="1" si="100"/>
        <v>7.8773498519683161</v>
      </c>
      <c r="O1027" s="13">
        <f t="shared" ca="1" si="101"/>
        <v>-55.375171540681315</v>
      </c>
      <c r="P1027" s="12">
        <f t="shared" ca="1" si="99"/>
        <v>1.3072239756146702</v>
      </c>
    </row>
    <row r="1028" spans="1:16" x14ac:dyDescent="0.25">
      <c r="A1028">
        <v>17</v>
      </c>
      <c r="B1028">
        <v>12</v>
      </c>
      <c r="C1028" s="2" t="s">
        <v>16</v>
      </c>
      <c r="D1028" s="2" t="s">
        <v>11</v>
      </c>
      <c r="E1028" s="11" cm="1">
        <f t="array" aca="1" ref="E1028" ca="1">INDEX('OD flujo mercancia multimodal'!E$45:E$1645,MATCH(C1028&amp;D1028,'OD flujo mercancia multimodal'!C$45:C$1645&amp;'OD flujo mercancia multimodal'!D$45:D$1645,0))</f>
        <v>72428.846153846156</v>
      </c>
      <c r="F1028" s="11" cm="1">
        <f t="array" aca="1" ref="F1028" ca="1">INDEX('OD flujo mercancia carretera'!E$45:E$1646,MATCH(C1028&amp;D1028,'OD flujo mercancia carretera'!C$45:C$1646&amp;'OD flujo mercancia carretera'!D$45:D$1646,0))</f>
        <v>570946.84615384613</v>
      </c>
      <c r="G1028" s="11" cm="1">
        <f t="array" aca="1" ref="G1028" ca="1">INDEX('Coste Carretera'!E$46:E$1646,MATCH(C1028&amp;D1028,'Coste Carretera'!C$46:C$1646&amp;'Coste Carretera'!D$46:D$1646,0))</f>
        <v>3370311218.0000005</v>
      </c>
      <c r="H1028" s="11" cm="1">
        <f t="array" aca="1" ref="H1028" ca="1">INDEX('Coste multimodal'!E$46:E$1646,MATCH(C1028&amp;D1028,'Coste multimodal'!C$46:C$1646&amp;'Coste multimodal'!D$46:D$1646,0))</f>
        <v>912127994.68753684</v>
      </c>
      <c r="I1028" s="12" cm="1">
        <f t="array" aca="1" ref="I1028" ca="1">INDEX('Tiempos intermodal (horas)'!E$45:E$1645,MATCH(C1028&amp;D1028,'Tiempos intermodal (horas)'!C$45:C$1645&amp;'Tiempos intermodal (horas)'!D$45:D$1645,0))</f>
        <v>74.397439388607353</v>
      </c>
      <c r="J1028" s="2" cm="1">
        <f t="array" aca="1" ref="J1028" ca="1">INDEX('Tiempos carretera (horas)'!E$45:E$1645,MATCH(C1028&amp;D1028,'Tiempos carretera (horas)'!C$45:C$1645&amp;'Tiempos carretera (horas)'!D$45:D$1645,0))</f>
        <v>8.52</v>
      </c>
      <c r="K1028" s="12">
        <f t="shared" ca="1" si="96"/>
        <v>5.9030209917156515</v>
      </c>
      <c r="L1028" s="12">
        <f t="shared" ca="1" si="97"/>
        <v>12.59343539382203</v>
      </c>
      <c r="M1028" s="12">
        <f t="shared" ca="1" si="98"/>
        <v>0.11257628632821785</v>
      </c>
      <c r="N1028" s="13">
        <f t="shared" ca="1" si="100"/>
        <v>-6.6904144021063789</v>
      </c>
      <c r="O1028" s="13">
        <f t="shared" ca="1" si="101"/>
        <v>-65.877439388607357</v>
      </c>
      <c r="P1028" s="12">
        <f t="shared" ca="1" si="99"/>
        <v>2.0646914686955942</v>
      </c>
    </row>
    <row r="1029" spans="1:16" x14ac:dyDescent="0.25">
      <c r="A1029">
        <v>12</v>
      </c>
      <c r="B1029">
        <v>17</v>
      </c>
      <c r="C1029" s="2" t="s">
        <v>11</v>
      </c>
      <c r="D1029" s="2" t="s">
        <v>16</v>
      </c>
      <c r="E1029" s="11" cm="1">
        <f t="array" aca="1" ref="E1029" ca="1">INDEX('OD flujo mercancia multimodal'!E$45:E$1645,MATCH(C1029&amp;D1029,'OD flujo mercancia multimodal'!C$45:C$1645&amp;'OD flujo mercancia multimodal'!D$45:D$1645,0))</f>
        <v>69826.692307692312</v>
      </c>
      <c r="F1029" s="11" cm="1">
        <f t="array" aca="1" ref="F1029" ca="1">INDEX('OD flujo mercancia carretera'!E$45:E$1646,MATCH(C1029&amp;D1029,'OD flujo mercancia carretera'!C$45:C$1646&amp;'OD flujo mercancia carretera'!D$45:D$1646,0))</f>
        <v>216897.76923076878</v>
      </c>
      <c r="G1029" s="11" cm="1">
        <f t="array" aca="1" ref="G1029" ca="1">INDEX('Coste Carretera'!E$46:E$1646,MATCH(C1029&amp;D1029,'Coste Carretera'!C$46:C$1646&amp;'Coste Carretera'!D$46:D$1646,0))</f>
        <v>3249225921.6800008</v>
      </c>
      <c r="H1029" s="11" cm="1">
        <f t="array" aca="1" ref="H1029" ca="1">INDEX('Coste multimodal'!E$46:E$1646,MATCH(C1029&amp;D1029,'Coste multimodal'!C$46:C$1646&amp;'Coste multimodal'!D$46:D$1646,0))</f>
        <v>912127994.68753684</v>
      </c>
      <c r="I1029" s="12" cm="1">
        <f t="array" aca="1" ref="I1029" ca="1">INDEX('Tiempos intermodal (horas)'!E$45:E$1645,MATCH(C1029&amp;D1029,'Tiempos intermodal (horas)'!C$45:C$1645&amp;'Tiempos intermodal (horas)'!D$45:D$1645,0))</f>
        <v>74.397439388607353</v>
      </c>
      <c r="J1029" s="2" cm="1">
        <f t="array" aca="1" ref="J1029" ca="1">INDEX('Tiempos carretera (horas)'!E$45:E$1645,MATCH(C1029&amp;D1029,'Tiempos carretera (horas)'!C$45:C$1645&amp;'Tiempos carretera (horas)'!D$45:D$1645,0))</f>
        <v>8.52</v>
      </c>
      <c r="K1029" s="12">
        <f t="shared" ca="1" si="96"/>
        <v>14.980448776414022</v>
      </c>
      <c r="L1029" s="12">
        <f t="shared" ca="1" si="97"/>
        <v>13.062740974013659</v>
      </c>
      <c r="M1029" s="12">
        <f t="shared" ca="1" si="98"/>
        <v>0.24353238622553239</v>
      </c>
      <c r="N1029" s="13">
        <f t="shared" ca="1" si="100"/>
        <v>1.9177078024003631</v>
      </c>
      <c r="O1029" s="13">
        <f t="shared" ca="1" si="101"/>
        <v>-65.877439388607357</v>
      </c>
      <c r="P1029" s="12">
        <f t="shared" ca="1" si="99"/>
        <v>1.1334097850451117</v>
      </c>
    </row>
    <row r="1030" spans="1:16" x14ac:dyDescent="0.25">
      <c r="A1030">
        <v>30</v>
      </c>
      <c r="B1030">
        <v>6</v>
      </c>
      <c r="C1030" s="2" t="s">
        <v>146</v>
      </c>
      <c r="D1030" s="2" t="s">
        <v>5</v>
      </c>
      <c r="E1030" s="11" cm="1">
        <f t="array" aca="1" ref="E1030" ca="1">INDEX('OD flujo mercancia multimodal'!E$45:E$1645,MATCH(C1030&amp;D1030,'OD flujo mercancia multimodal'!C$45:C$1645&amp;'OD flujo mercancia multimodal'!D$45:D$1645,0))</f>
        <v>15040.093406593391</v>
      </c>
      <c r="F1030" s="11" cm="1">
        <f t="array" aca="1" ref="F1030" ca="1">INDEX('OD flujo mercancia carretera'!E$45:E$1646,MATCH(C1030&amp;D1030,'OD flujo mercancia carretera'!C$45:C$1646&amp;'OD flujo mercancia carretera'!D$45:D$1646,0))</f>
        <v>353445.57289377303</v>
      </c>
      <c r="G1030" s="11" cm="1">
        <f t="array" aca="1" ref="G1030" ca="1">INDEX('Coste Carretera'!E$46:E$1646,MATCH(C1030&amp;D1030,'Coste Carretera'!C$46:C$1646&amp;'Coste Carretera'!D$46:D$1646,0))</f>
        <v>2297398003.4571414</v>
      </c>
      <c r="H1030" s="11" cm="1">
        <f t="array" aca="1" ref="H1030" ca="1">INDEX('Coste multimodal'!E$46:E$1646,MATCH(C1030&amp;D1030,'Coste multimodal'!C$46:C$1646&amp;'Coste multimodal'!D$46:D$1646,0))</f>
        <v>496454630.55000234</v>
      </c>
      <c r="I1030" s="12" cm="1">
        <f t="array" aca="1" ref="I1030" ca="1">INDEX('Tiempos intermodal (horas)'!E$45:E$1645,MATCH(C1030&amp;D1030,'Tiempos intermodal (horas)'!C$45:C$1645&amp;'Tiempos intermodal (horas)'!D$45:D$1645,0))</f>
        <v>67.289599327843462</v>
      </c>
      <c r="J1030" s="2" cm="1">
        <f t="array" aca="1" ref="J1030" ca="1">INDEX('Tiempos carretera (horas)'!E$45:E$1645,MATCH(C1030&amp;D1030,'Tiempos carretera (horas)'!C$45:C$1645&amp;'Tiempos carretera (horas)'!D$45:D$1645,0))</f>
        <v>16.809999999999999</v>
      </c>
      <c r="K1030" s="12">
        <f t="shared" ca="1" si="96"/>
        <v>6.5000050351390799</v>
      </c>
      <c r="L1030" s="12">
        <f t="shared" ca="1" si="97"/>
        <v>33.00874649703723</v>
      </c>
      <c r="M1030" s="12">
        <f t="shared" ca="1" si="98"/>
        <v>4.0815952375020337E-2</v>
      </c>
      <c r="N1030" s="13">
        <f t="shared" ca="1" si="100"/>
        <v>-26.508741461898151</v>
      </c>
      <c r="O1030" s="13">
        <f t="shared" ca="1" si="101"/>
        <v>-50.479599327843459</v>
      </c>
      <c r="P1030" s="12">
        <f t="shared" ca="1" si="99"/>
        <v>3.1570099780811609</v>
      </c>
    </row>
    <row r="1031" spans="1:16" x14ac:dyDescent="0.25">
      <c r="A1031">
        <v>24</v>
      </c>
      <c r="B1031">
        <v>6</v>
      </c>
      <c r="C1031" s="2" t="s">
        <v>23</v>
      </c>
      <c r="D1031" s="2" t="s">
        <v>5</v>
      </c>
      <c r="E1031" s="11" cm="1">
        <f t="array" aca="1" ref="E1031" ca="1">INDEX('OD flujo mercancia multimodal'!E$45:E$1645,MATCH(C1031&amp;D1031,'OD flujo mercancia multimodal'!C$45:C$1645&amp;'OD flujo mercancia multimodal'!D$45:D$1645,0))</f>
        <v>16943.247252747238</v>
      </c>
      <c r="F1031" s="11" cm="1">
        <f t="array" aca="1" ref="F1031" ca="1">INDEX('OD flujo mercancia carretera'!E$45:E$1646,MATCH(C1031&amp;D1031,'OD flujo mercancia carretera'!C$45:C$1646&amp;'OD flujo mercancia carretera'!D$45:D$1646,0))</f>
        <v>210728.77289377298</v>
      </c>
      <c r="G1031" s="11" cm="1">
        <f t="array" aca="1" ref="G1031" ca="1">INDEX('Coste Carretera'!E$46:E$1646,MATCH(C1031&amp;D1031,'Coste Carretera'!C$46:C$1646&amp;'Coste Carretera'!D$46:D$1646,0))</f>
        <v>1549245120.8885701</v>
      </c>
      <c r="H1031" s="11" cm="1">
        <f t="array" aca="1" ref="H1031" ca="1">INDEX('Coste multimodal'!E$46:E$1646,MATCH(C1031&amp;D1031,'Coste multimodal'!C$46:C$1646&amp;'Coste multimodal'!D$46:D$1646,0))</f>
        <v>523891542.34200239</v>
      </c>
      <c r="I1031" s="12" cm="1">
        <f t="array" aca="1" ref="I1031" ca="1">INDEX('Tiempos intermodal (horas)'!E$45:E$1645,MATCH(C1031&amp;D1031,'Tiempos intermodal (horas)'!C$45:C$1645&amp;'Tiempos intermodal (horas)'!D$45:D$1645,0))</f>
        <v>68.100710438954579</v>
      </c>
      <c r="J1031" s="2" cm="1">
        <f t="array" aca="1" ref="J1031" ca="1">INDEX('Tiempos carretera (horas)'!E$45:E$1645,MATCH(C1031&amp;D1031,'Tiempos carretera (horas)'!C$45:C$1645&amp;'Tiempos carretera (horas)'!D$45:D$1645,0))</f>
        <v>17.75</v>
      </c>
      <c r="K1031" s="12">
        <f t="shared" ca="1" si="96"/>
        <v>7.3518442669883264</v>
      </c>
      <c r="L1031" s="12">
        <f t="shared" ca="1" si="97"/>
        <v>30.920374030253072</v>
      </c>
      <c r="M1031" s="12">
        <f t="shared" ca="1" si="98"/>
        <v>7.4419541065447001E-2</v>
      </c>
      <c r="N1031" s="13">
        <f t="shared" ca="1" si="100"/>
        <v>-23.568529763264745</v>
      </c>
      <c r="O1031" s="13">
        <f t="shared" ca="1" si="101"/>
        <v>-50.350710438954579</v>
      </c>
      <c r="P1031" s="12">
        <f t="shared" ca="1" si="99"/>
        <v>2.5207025077925467</v>
      </c>
    </row>
    <row r="1032" spans="1:16" x14ac:dyDescent="0.25">
      <c r="A1032">
        <v>37</v>
      </c>
      <c r="B1032">
        <v>10</v>
      </c>
      <c r="C1032" s="2" t="s">
        <v>36</v>
      </c>
      <c r="D1032" s="2" t="s">
        <v>9</v>
      </c>
      <c r="E1032" s="11" cm="1">
        <f t="array" aca="1" ref="E1032" ca="1">INDEX('OD flujo mercancia multimodal'!E$45:E$1645,MATCH(C1032&amp;D1032,'OD flujo mercancia multimodal'!C$45:C$1645&amp;'OD flujo mercancia multimodal'!D$45:D$1645,0))</f>
        <v>26677.368131868148</v>
      </c>
      <c r="F1032" s="11" cm="1">
        <f t="array" aca="1" ref="F1032" ca="1">INDEX('OD flujo mercancia carretera'!E$45:E$1646,MATCH(C1032&amp;D1032,'OD flujo mercancia carretera'!C$45:C$1646&amp;'OD flujo mercancia carretera'!D$45:D$1646,0))</f>
        <v>176558.49816849822</v>
      </c>
      <c r="G1032" s="11" cm="1">
        <f t="array" aca="1" ref="G1032" ca="1">INDEX('Coste Carretera'!E$46:E$1646,MATCH(C1032&amp;D1032,'Coste Carretera'!C$46:C$1646&amp;'Coste Carretera'!D$46:D$1646,0))</f>
        <v>2926510693.6885729</v>
      </c>
      <c r="H1032" s="11" cm="1">
        <f t="array" aca="1" ref="H1032" ca="1">INDEX('Coste multimodal'!E$46:E$1646,MATCH(C1032&amp;D1032,'Coste multimodal'!C$46:C$1646&amp;'Coste multimodal'!D$46:D$1646,0))</f>
        <v>471963011.27190143</v>
      </c>
      <c r="I1032" s="12" cm="1">
        <f t="array" aca="1" ref="I1032" ca="1">INDEX('Tiempos intermodal (horas)'!E$45:E$1645,MATCH(C1032&amp;D1032,'Tiempos intermodal (horas)'!C$45:C$1645&amp;'Tiempos intermodal (horas)'!D$45:D$1645,0))</f>
        <v>79.534848794106608</v>
      </c>
      <c r="J1032" s="2" cm="1">
        <f t="array" aca="1" ref="J1032" ca="1">INDEX('Tiempos carretera (horas)'!E$45:E$1645,MATCH(C1032&amp;D1032,'Tiempos carretera (horas)'!C$45:C$1645&amp;'Tiempos carretera (horas)'!D$45:D$1645,0))</f>
        <v>23.86</v>
      </c>
      <c r="K1032" s="12">
        <f t="shared" ca="1" si="96"/>
        <v>16.575303505899011</v>
      </c>
      <c r="L1032" s="12">
        <f t="shared" ca="1" si="97"/>
        <v>17.691513230951205</v>
      </c>
      <c r="M1032" s="12">
        <f t="shared" ca="1" si="98"/>
        <v>0.13126309158660573</v>
      </c>
      <c r="N1032" s="13">
        <f t="shared" ca="1" si="100"/>
        <v>-1.1162097250521938</v>
      </c>
      <c r="O1032" s="13">
        <f t="shared" ca="1" si="101"/>
        <v>-55.674848794106609</v>
      </c>
      <c r="P1032" s="12">
        <f t="shared" ca="1" si="99"/>
        <v>1.8898366853940012</v>
      </c>
    </row>
    <row r="1033" spans="1:16" x14ac:dyDescent="0.25">
      <c r="A1033">
        <v>10</v>
      </c>
      <c r="B1033">
        <v>37</v>
      </c>
      <c r="C1033" s="2" t="s">
        <v>9</v>
      </c>
      <c r="D1033" s="2" t="s">
        <v>36</v>
      </c>
      <c r="E1033" s="11" cm="1">
        <f t="array" aca="1" ref="E1033" ca="1">INDEX('OD flujo mercancia multimodal'!E$45:E$1645,MATCH(C1033&amp;D1033,'OD flujo mercancia multimodal'!C$45:C$1645&amp;'OD flujo mercancia multimodal'!D$45:D$1645,0))</f>
        <v>24190.417582417627</v>
      </c>
      <c r="F1033" s="11" cm="1">
        <f t="array" aca="1" ref="F1033" ca="1">INDEX('OD flujo mercancia carretera'!E$45:E$1646,MATCH(C1033&amp;D1033,'OD flujo mercancia carretera'!C$45:C$1646&amp;'OD flujo mercancia carretera'!D$45:D$1646,0))</f>
        <v>176801.34981684978</v>
      </c>
      <c r="G1033" s="11" cm="1">
        <f t="array" aca="1" ref="G1033" ca="1">INDEX('Coste Carretera'!E$46:E$1646,MATCH(C1033&amp;D1033,'Coste Carretera'!C$46:C$1646&amp;'Coste Carretera'!D$46:D$1646,0))</f>
        <v>2242851707.9828568</v>
      </c>
      <c r="H1033" s="11" cm="1">
        <f t="array" aca="1" ref="H1033" ca="1">INDEX('Coste multimodal'!E$46:E$1646,MATCH(C1033&amp;D1033,'Coste multimodal'!C$46:C$1646&amp;'Coste multimodal'!D$46:D$1646,0))</f>
        <v>471963011.27190143</v>
      </c>
      <c r="I1033" s="12" cm="1">
        <f t="array" aca="1" ref="I1033" ca="1">INDEX('Tiempos intermodal (horas)'!E$45:E$1645,MATCH(C1033&amp;D1033,'Tiempos intermodal (horas)'!C$45:C$1645&amp;'Tiempos intermodal (horas)'!D$45:D$1645,0))</f>
        <v>79.534848794106608</v>
      </c>
      <c r="J1033" s="2" cm="1">
        <f t="array" aca="1" ref="J1033" ca="1">INDEX('Tiempos carretera (horas)'!E$45:E$1645,MATCH(C1033&amp;D1033,'Tiempos carretera (horas)'!C$45:C$1645&amp;'Tiempos carretera (horas)'!D$45:D$1645,0))</f>
        <v>23.86</v>
      </c>
      <c r="K1033" s="12">
        <f t="shared" ca="1" si="96"/>
        <v>12.685715976185977</v>
      </c>
      <c r="L1033" s="12">
        <f t="shared" ca="1" si="97"/>
        <v>19.510329231147267</v>
      </c>
      <c r="M1033" s="12">
        <f t="shared" ca="1" si="98"/>
        <v>0.12035526576749629</v>
      </c>
      <c r="N1033" s="13">
        <f t="shared" ca="1" si="100"/>
        <v>-6.8246132549612906</v>
      </c>
      <c r="O1033" s="13">
        <f t="shared" ca="1" si="101"/>
        <v>-55.674848794106609</v>
      </c>
      <c r="P1033" s="12">
        <f t="shared" ca="1" si="99"/>
        <v>1.989070197807038</v>
      </c>
    </row>
    <row r="1034" spans="1:16" x14ac:dyDescent="0.25">
      <c r="A1034">
        <v>40</v>
      </c>
      <c r="B1034">
        <v>27</v>
      </c>
      <c r="C1034" s="2" t="s">
        <v>39</v>
      </c>
      <c r="D1034" s="2" t="s">
        <v>145</v>
      </c>
      <c r="E1034" s="11" cm="1">
        <f t="array" aca="1" ref="E1034" ca="1">INDEX('OD flujo mercancia multimodal'!E$45:E$1645,MATCH(C1034&amp;D1034,'OD flujo mercancia multimodal'!C$45:C$1645&amp;'OD flujo mercancia multimodal'!D$45:D$1645,0))</f>
        <v>62186.923076923078</v>
      </c>
      <c r="F1034" s="11" cm="1">
        <f t="array" aca="1" ref="F1034" ca="1">INDEX('OD flujo mercancia carretera'!E$45:E$1646,MATCH(C1034&amp;D1034,'OD flujo mercancia carretera'!C$45:C$1646&amp;'OD flujo mercancia carretera'!D$45:D$1646,0))</f>
        <v>516236.61282051279</v>
      </c>
      <c r="G1034" s="11" cm="1">
        <f t="array" aca="1" ref="G1034" ca="1">INDEX('Coste Carretera'!E$46:E$1646,MATCH(C1034&amp;D1034,'Coste Carretera'!C$46:C$1646&amp;'Coste Carretera'!D$46:D$1646,0))</f>
        <v>4775389823.3599997</v>
      </c>
      <c r="H1034" s="11" cm="1">
        <f t="array" aca="1" ref="H1034" ca="1">INDEX('Coste multimodal'!E$46:E$1646,MATCH(C1034&amp;D1034,'Coste multimodal'!C$46:C$1646&amp;'Coste multimodal'!D$46:D$1646,0))</f>
        <v>259052082.00325841</v>
      </c>
      <c r="I1034" s="12" cm="1">
        <f t="array" aca="1" ref="I1034" ca="1">INDEX('Tiempos intermodal (horas)'!E$45:E$1645,MATCH(C1034&amp;D1034,'Tiempos intermodal (horas)'!C$45:C$1645&amp;'Tiempos intermodal (horas)'!D$45:D$1645,0))</f>
        <v>65.722131721565319</v>
      </c>
      <c r="J1034" s="2" cm="1">
        <f t="array" aca="1" ref="J1034" ca="1">INDEX('Tiempos carretera (horas)'!E$45:E$1645,MATCH(C1034&amp;D1034,'Tiempos carretera (horas)'!C$45:C$1645&amp;'Tiempos carretera (horas)'!D$45:D$1645,0))</f>
        <v>15</v>
      </c>
      <c r="K1034" s="12">
        <f t="shared" ca="1" si="96"/>
        <v>9.2503896561484815</v>
      </c>
      <c r="L1034" s="12">
        <f t="shared" ca="1" si="97"/>
        <v>4.1657002659999742</v>
      </c>
      <c r="M1034" s="12">
        <f t="shared" ca="1" si="98"/>
        <v>0.10751105239941318</v>
      </c>
      <c r="N1034" s="13">
        <f t="shared" ca="1" si="100"/>
        <v>5.0846893901485073</v>
      </c>
      <c r="O1034" s="13">
        <f t="shared" ca="1" si="101"/>
        <v>-50.722131721565319</v>
      </c>
      <c r="P1034" s="12">
        <f t="shared" ca="1" si="99"/>
        <v>2.1164204746356985</v>
      </c>
    </row>
    <row r="1035" spans="1:16" x14ac:dyDescent="0.25">
      <c r="A1035">
        <v>27</v>
      </c>
      <c r="B1035">
        <v>40</v>
      </c>
      <c r="C1035" s="2" t="s">
        <v>145</v>
      </c>
      <c r="D1035" s="2" t="s">
        <v>39</v>
      </c>
      <c r="E1035" s="11" cm="1">
        <f t="array" aca="1" ref="E1035" ca="1">INDEX('OD flujo mercancia multimodal'!E$45:E$1645,MATCH(C1035&amp;D1035,'OD flujo mercancia multimodal'!C$45:C$1645&amp;'OD flujo mercancia multimodal'!D$45:D$1645,0))</f>
        <v>42988.769230769234</v>
      </c>
      <c r="F1035" s="11" cm="1">
        <f t="array" aca="1" ref="F1035" ca="1">INDEX('OD flujo mercancia carretera'!E$45:E$1646,MATCH(C1035&amp;D1035,'OD flujo mercancia carretera'!C$45:C$1646&amp;'OD flujo mercancia carretera'!D$45:D$1646,0))</f>
        <v>492369.34285714285</v>
      </c>
      <c r="G1035" s="11" cm="1">
        <f t="array" aca="1" ref="G1035" ca="1">INDEX('Coste Carretera'!E$46:E$1646,MATCH(C1035&amp;D1035,'Coste Carretera'!C$46:C$1646&amp;'Coste Carretera'!D$46:D$1646,0))</f>
        <v>3324538167.4800005</v>
      </c>
      <c r="H1035" s="11" cm="1">
        <f t="array" aca="1" ref="H1035" ca="1">INDEX('Coste multimodal'!E$46:E$1646,MATCH(C1035&amp;D1035,'Coste multimodal'!C$46:C$1646&amp;'Coste multimodal'!D$46:D$1646,0))</f>
        <v>446476515.07518536</v>
      </c>
      <c r="I1035" s="12" cm="1">
        <f t="array" aca="1" ref="I1035" ca="1">INDEX('Tiempos intermodal (horas)'!E$45:E$1645,MATCH(C1035&amp;D1035,'Tiempos intermodal (horas)'!C$45:C$1645&amp;'Tiempos intermodal (horas)'!D$45:D$1645,0))</f>
        <v>83.998488302599469</v>
      </c>
      <c r="J1035" s="2" cm="1">
        <f t="array" aca="1" ref="J1035" ca="1">INDEX('Tiempos carretera (horas)'!E$45:E$1645,MATCH(C1035&amp;D1035,'Tiempos carretera (horas)'!C$45:C$1645&amp;'Tiempos carretera (horas)'!D$45:D$1645,0))</f>
        <v>17.059999999999999</v>
      </c>
      <c r="K1035" s="12">
        <f t="shared" ca="1" si="96"/>
        <v>6.7521226000551167</v>
      </c>
      <c r="L1035" s="12">
        <f t="shared" ca="1" si="97"/>
        <v>10.38588736231182</v>
      </c>
      <c r="M1035" s="12">
        <f t="shared" ca="1" si="98"/>
        <v>8.0299090011192314E-2</v>
      </c>
      <c r="N1035" s="13">
        <f t="shared" ca="1" si="100"/>
        <v>-3.6337647622567033</v>
      </c>
      <c r="O1035" s="13">
        <f t="shared" ca="1" si="101"/>
        <v>-66.938488302599467</v>
      </c>
      <c r="P1035" s="12">
        <f t="shared" ca="1" si="99"/>
        <v>2.4382902308243035</v>
      </c>
    </row>
    <row r="1036" spans="1:16" x14ac:dyDescent="0.25">
      <c r="A1036">
        <v>38</v>
      </c>
      <c r="B1036">
        <v>21</v>
      </c>
      <c r="C1036" s="2" t="s">
        <v>37</v>
      </c>
      <c r="D1036" s="2" t="s">
        <v>20</v>
      </c>
      <c r="E1036" s="11" cm="1">
        <f t="array" aca="1" ref="E1036" ca="1">INDEX('OD flujo mercancia multimodal'!E$45:E$1645,MATCH(C1036&amp;D1036,'OD flujo mercancia multimodal'!C$45:C$1645&amp;'OD flujo mercancia multimodal'!D$45:D$1645,0))</f>
        <v>37326.307692307702</v>
      </c>
      <c r="F1036" s="11" cm="1">
        <f t="array" aca="1" ref="F1036" ca="1">INDEX('OD flujo mercancia carretera'!E$45:E$1646,MATCH(C1036&amp;D1036,'OD flujo mercancia carretera'!C$45:C$1646&amp;'OD flujo mercancia carretera'!D$45:D$1646,0))</f>
        <v>112664.02564102531</v>
      </c>
      <c r="G1036" s="11" cm="1">
        <f t="array" aca="1" ref="G1036" ca="1">INDEX('Coste Carretera'!E$46:E$1646,MATCH(C1036&amp;D1036,'Coste Carretera'!C$46:C$1646&amp;'Coste Carretera'!D$46:D$1646,0))</f>
        <v>4801536723.5600004</v>
      </c>
      <c r="H1036" s="11" cm="1">
        <f t="array" aca="1" ref="H1036" ca="1">INDEX('Coste multimodal'!E$46:E$1646,MATCH(C1036&amp;D1036,'Coste multimodal'!C$46:C$1646&amp;'Coste multimodal'!D$46:D$1646,0))</f>
        <v>278701413.58029974</v>
      </c>
      <c r="I1036" s="12" cm="1">
        <f t="array" aca="1" ref="I1036" ca="1">INDEX('Tiempos intermodal (horas)'!E$45:E$1645,MATCH(C1036&amp;D1036,'Tiempos intermodal (horas)'!C$45:C$1645&amp;'Tiempos intermodal (horas)'!D$45:D$1645,0))</f>
        <v>77.448329778997746</v>
      </c>
      <c r="J1036" s="2" cm="1">
        <f t="array" aca="1" ref="J1036" ca="1">INDEX('Tiempos carretera (horas)'!E$45:E$1645,MATCH(C1036&amp;D1036,'Tiempos carretera (horas)'!C$45:C$1645&amp;'Tiempos carretera (horas)'!D$45:D$1645,0))</f>
        <v>21.53</v>
      </c>
      <c r="K1036" s="12">
        <f t="shared" ca="1" si="96"/>
        <v>42.618188869434256</v>
      </c>
      <c r="L1036" s="12">
        <f t="shared" ca="1" si="97"/>
        <v>7.4666215549022867</v>
      </c>
      <c r="M1036" s="12">
        <f t="shared" ca="1" si="98"/>
        <v>0.2488580888033303</v>
      </c>
      <c r="N1036" s="13">
        <f t="shared" ca="1" si="100"/>
        <v>35.151567314531967</v>
      </c>
      <c r="O1036" s="13">
        <f t="shared" ca="1" si="101"/>
        <v>-55.918329778997744</v>
      </c>
      <c r="P1036" s="12">
        <f t="shared" ca="1" si="99"/>
        <v>1.104711787379737</v>
      </c>
    </row>
    <row r="1037" spans="1:16" x14ac:dyDescent="0.25">
      <c r="A1037">
        <v>21</v>
      </c>
      <c r="B1037">
        <v>38</v>
      </c>
      <c r="C1037" s="2" t="s">
        <v>20</v>
      </c>
      <c r="D1037" s="2" t="s">
        <v>37</v>
      </c>
      <c r="E1037" s="11" cm="1">
        <f t="array" aca="1" ref="E1037" ca="1">INDEX('OD flujo mercancia multimodal'!E$45:E$1645,MATCH(C1037&amp;D1037,'OD flujo mercancia multimodal'!C$45:C$1645&amp;'OD flujo mercancia multimodal'!D$45:D$1645,0))</f>
        <v>23296.538461538461</v>
      </c>
      <c r="F1037" s="11" cm="1">
        <f t="array" aca="1" ref="F1037" ca="1">INDEX('OD flujo mercancia carretera'!E$45:E$1646,MATCH(C1037&amp;D1037,'OD flujo mercancia carretera'!C$45:C$1646&amp;'OD flujo mercancia carretera'!D$45:D$1646,0))</f>
        <v>117122.38461538462</v>
      </c>
      <c r="G1037" s="11" cm="1">
        <f t="array" aca="1" ref="G1037" ca="1">INDEX('Coste Carretera'!E$46:E$1646,MATCH(C1037&amp;D1037,'Coste Carretera'!C$46:C$1646&amp;'Coste Carretera'!D$46:D$1646,0))</f>
        <v>3730116805.5600047</v>
      </c>
      <c r="H1037" s="11" cm="1">
        <f t="array" aca="1" ref="H1037" ca="1">INDEX('Coste multimodal'!E$46:E$1646,MATCH(C1037&amp;D1037,'Coste multimodal'!C$46:C$1646&amp;'Coste multimodal'!D$46:D$1646,0))</f>
        <v>278701413.58029974</v>
      </c>
      <c r="I1037" s="12" cm="1">
        <f t="array" aca="1" ref="I1037" ca="1">INDEX('Tiempos intermodal (horas)'!E$45:E$1645,MATCH(C1037&amp;D1037,'Tiempos intermodal (horas)'!C$45:C$1645&amp;'Tiempos intermodal (horas)'!D$45:D$1645,0))</f>
        <v>77.448329778997746</v>
      </c>
      <c r="J1037" s="2" cm="1">
        <f t="array" aca="1" ref="J1037" ca="1">INDEX('Tiempos carretera (horas)'!E$45:E$1645,MATCH(C1037&amp;D1037,'Tiempos carretera (horas)'!C$45:C$1645&amp;'Tiempos carretera (horas)'!D$45:D$1645,0))</f>
        <v>21.53</v>
      </c>
      <c r="K1037" s="12">
        <f t="shared" ca="1" si="96"/>
        <v>31.848026470851369</v>
      </c>
      <c r="L1037" s="12">
        <f t="shared" ca="1" si="97"/>
        <v>11.963211360366831</v>
      </c>
      <c r="M1037" s="12">
        <f t="shared" ca="1" si="98"/>
        <v>0.16590740016412425</v>
      </c>
      <c r="N1037" s="13">
        <f t="shared" ca="1" si="100"/>
        <v>19.884815110484539</v>
      </c>
      <c r="O1037" s="13">
        <f t="shared" ca="1" si="101"/>
        <v>-55.918329778997744</v>
      </c>
      <c r="P1037" s="12">
        <f t="shared" ca="1" si="99"/>
        <v>1.6149146247988173</v>
      </c>
    </row>
    <row r="1038" spans="1:16" x14ac:dyDescent="0.25">
      <c r="A1038">
        <v>37</v>
      </c>
      <c r="B1038">
        <v>2</v>
      </c>
      <c r="C1038" s="2" t="s">
        <v>36</v>
      </c>
      <c r="D1038" s="2" t="s">
        <v>1</v>
      </c>
      <c r="E1038" s="11" cm="1">
        <f t="array" aca="1" ref="E1038" ca="1">INDEX('OD flujo mercancia multimodal'!E$45:E$1645,MATCH(C1038&amp;D1038,'OD flujo mercancia multimodal'!C$45:C$1645&amp;'OD flujo mercancia multimodal'!D$45:D$1645,0))</f>
        <v>26816.225274725242</v>
      </c>
      <c r="F1038" s="11" cm="1">
        <f t="array" aca="1" ref="F1038" ca="1">INDEX('OD flujo mercancia carretera'!E$45:E$1646,MATCH(C1038&amp;D1038,'OD flujo mercancia carretera'!C$45:C$1646&amp;'OD flujo mercancia carretera'!D$45:D$1646,0))</f>
        <v>120974.80586080591</v>
      </c>
      <c r="G1038" s="11" cm="1">
        <f t="array" aca="1" ref="G1038" ca="1">INDEX('Coste Carretera'!E$46:E$1646,MATCH(C1038&amp;D1038,'Coste Carretera'!C$46:C$1646&amp;'Coste Carretera'!D$46:D$1646,0))</f>
        <v>2108482997.5685685</v>
      </c>
      <c r="H1038" s="11" cm="1">
        <f t="array" aca="1" ref="H1038" ca="1">INDEX('Coste multimodal'!E$46:E$1646,MATCH(C1038&amp;D1038,'Coste multimodal'!C$46:C$1646&amp;'Coste multimodal'!D$46:D$1646,0))</f>
        <v>534273982.56310159</v>
      </c>
      <c r="I1038" s="12" cm="1">
        <f t="array" aca="1" ref="I1038" ca="1">INDEX('Tiempos intermodal (horas)'!E$45:E$1645,MATCH(C1038&amp;D1038,'Tiempos intermodal (horas)'!C$45:C$1645&amp;'Tiempos intermodal (horas)'!D$45:D$1645,0))</f>
        <v>73.170672596424566</v>
      </c>
      <c r="J1038" s="2" cm="1">
        <f t="array" aca="1" ref="J1038" ca="1">INDEX('Tiempos carretera (horas)'!E$45:E$1645,MATCH(C1038&amp;D1038,'Tiempos carretera (horas)'!C$45:C$1645&amp;'Tiempos carretera (horas)'!D$45:D$1645,0))</f>
        <v>17.260000000000002</v>
      </c>
      <c r="K1038" s="12">
        <f t="shared" ca="1" si="96"/>
        <v>17.429108338430378</v>
      </c>
      <c r="L1038" s="12">
        <f t="shared" ca="1" si="97"/>
        <v>19.923534244272034</v>
      </c>
      <c r="M1038" s="12">
        <f t="shared" ca="1" si="98"/>
        <v>0.18144690559830748</v>
      </c>
      <c r="N1038" s="13">
        <f t="shared" ca="1" si="100"/>
        <v>-2.4944259058416556</v>
      </c>
      <c r="O1038" s="13">
        <f t="shared" ca="1" si="101"/>
        <v>-55.910672596424561</v>
      </c>
      <c r="P1038" s="12">
        <f t="shared" ca="1" si="99"/>
        <v>1.5065751828680389</v>
      </c>
    </row>
    <row r="1039" spans="1:16" x14ac:dyDescent="0.25">
      <c r="A1039">
        <v>2</v>
      </c>
      <c r="B1039">
        <v>37</v>
      </c>
      <c r="C1039" s="2" t="s">
        <v>1</v>
      </c>
      <c r="D1039" s="2" t="s">
        <v>36</v>
      </c>
      <c r="E1039" s="11" cm="1">
        <f t="array" aca="1" ref="E1039" ca="1">INDEX('OD flujo mercancia multimodal'!E$45:E$1645,MATCH(C1039&amp;D1039,'OD flujo mercancia multimodal'!C$45:C$1645&amp;'OD flujo mercancia multimodal'!D$45:D$1645,0))</f>
        <v>16558.8461538462</v>
      </c>
      <c r="F1039" s="11" cm="1">
        <f t="array" aca="1" ref="F1039" ca="1">INDEX('OD flujo mercancia carretera'!E$45:E$1646,MATCH(C1039&amp;D1039,'OD flujo mercancia carretera'!C$45:C$1646&amp;'OD flujo mercancia carretera'!D$45:D$1646,0))</f>
        <v>124730.4267399267</v>
      </c>
      <c r="G1039" s="11" cm="1">
        <f t="array" aca="1" ref="G1039" ca="1">INDEX('Coste Carretera'!E$46:E$1646,MATCH(C1039&amp;D1039,'Coste Carretera'!C$46:C$1646&amp;'Coste Carretera'!D$46:D$1646,0))</f>
        <v>916509463.11999953</v>
      </c>
      <c r="H1039" s="11" cm="1">
        <f t="array" aca="1" ref="H1039" ca="1">INDEX('Coste multimodal'!E$46:E$1646,MATCH(C1039&amp;D1039,'Coste multimodal'!C$46:C$1646&amp;'Coste multimodal'!D$46:D$1646,0))</f>
        <v>534273982.56310159</v>
      </c>
      <c r="I1039" s="12" cm="1">
        <f t="array" aca="1" ref="I1039" ca="1">INDEX('Tiempos intermodal (horas)'!E$45:E$1645,MATCH(C1039&amp;D1039,'Tiempos intermodal (horas)'!C$45:C$1645&amp;'Tiempos intermodal (horas)'!D$45:D$1645,0))</f>
        <v>73.170672596424566</v>
      </c>
      <c r="J1039" s="2" cm="1">
        <f t="array" aca="1" ref="J1039" ca="1">INDEX('Tiempos carretera (horas)'!E$45:E$1645,MATCH(C1039&amp;D1039,'Tiempos carretera (horas)'!C$45:C$1645&amp;'Tiempos carretera (horas)'!D$45:D$1645,0))</f>
        <v>17.260000000000002</v>
      </c>
      <c r="K1039" s="12">
        <f t="shared" ca="1" si="96"/>
        <v>7.3479221315501304</v>
      </c>
      <c r="L1039" s="12">
        <f t="shared" ca="1" si="97"/>
        <v>32.265169782920125</v>
      </c>
      <c r="M1039" s="12">
        <f t="shared" ca="1" si="98"/>
        <v>0.1171981836603818</v>
      </c>
      <c r="N1039" s="13">
        <f t="shared" ca="1" si="100"/>
        <v>-24.917247651369994</v>
      </c>
      <c r="O1039" s="13">
        <f t="shared" ca="1" si="101"/>
        <v>-55.910672596424561</v>
      </c>
      <c r="P1039" s="12">
        <f t="shared" ca="1" si="99"/>
        <v>2.0192343526117362</v>
      </c>
    </row>
    <row r="1040" spans="1:16" x14ac:dyDescent="0.25">
      <c r="A1040">
        <v>41</v>
      </c>
      <c r="B1040">
        <v>27</v>
      </c>
      <c r="C1040" s="2" t="s">
        <v>40</v>
      </c>
      <c r="D1040" s="2" t="s">
        <v>145</v>
      </c>
      <c r="E1040" s="11" cm="1">
        <f t="array" aca="1" ref="E1040" ca="1">INDEX('OD flujo mercancia multimodal'!E$45:E$1645,MATCH(C1040&amp;D1040,'OD flujo mercancia multimodal'!C$45:C$1645&amp;'OD flujo mercancia multimodal'!D$45:D$1645,0))</f>
        <v>67163.153846153844</v>
      </c>
      <c r="F1040" s="11" cm="1">
        <f t="array" aca="1" ref="F1040" ca="1">INDEX('OD flujo mercancia carretera'!E$45:E$1646,MATCH(C1040&amp;D1040,'OD flujo mercancia carretera'!C$45:C$1646&amp;'OD flujo mercancia carretera'!D$45:D$1646,0))</f>
        <v>483233.6</v>
      </c>
      <c r="G1040" s="11" cm="1">
        <f t="array" aca="1" ref="G1040" ca="1">INDEX('Coste Carretera'!E$46:E$1646,MATCH(C1040&amp;D1040,'Coste Carretera'!C$46:C$1646&amp;'Coste Carretera'!D$46:D$1646,0))</f>
        <v>5673141356.3999996</v>
      </c>
      <c r="H1040" s="11" cm="1">
        <f t="array" aca="1" ref="H1040" ca="1">INDEX('Coste multimodal'!E$46:E$1646,MATCH(C1040&amp;D1040,'Coste multimodal'!C$46:C$1646&amp;'Coste multimodal'!D$46:D$1646,0))</f>
        <v>446476515.07518536</v>
      </c>
      <c r="I1040" s="12" cm="1">
        <f t="array" aca="1" ref="I1040" ca="1">INDEX('Tiempos intermodal (horas)'!E$45:E$1645,MATCH(C1040&amp;D1040,'Tiempos intermodal (horas)'!C$45:C$1645&amp;'Tiempos intermodal (horas)'!D$45:D$1645,0))</f>
        <v>83.998488302599469</v>
      </c>
      <c r="J1040" s="2" cm="1">
        <f t="array" aca="1" ref="J1040" ca="1">INDEX('Tiempos carretera (horas)'!E$45:E$1645,MATCH(C1040&amp;D1040,'Tiempos carretera (horas)'!C$45:C$1645&amp;'Tiempos carretera (horas)'!D$45:D$1645,0))</f>
        <v>17.059999999999999</v>
      </c>
      <c r="K1040" s="12">
        <f t="shared" ca="1" si="96"/>
        <v>11.739956320090323</v>
      </c>
      <c r="L1040" s="12">
        <f t="shared" ca="1" si="97"/>
        <v>6.647640700403965</v>
      </c>
      <c r="M1040" s="12">
        <f t="shared" ca="1" si="98"/>
        <v>0.12202679862630003</v>
      </c>
      <c r="N1040" s="13">
        <f t="shared" ca="1" si="100"/>
        <v>5.0923156196863584</v>
      </c>
      <c r="O1040" s="13">
        <f t="shared" ca="1" si="101"/>
        <v>-66.938488302599467</v>
      </c>
      <c r="P1040" s="12">
        <f t="shared" ca="1" si="99"/>
        <v>1.9733753893332318</v>
      </c>
    </row>
    <row r="1041" spans="1:16" x14ac:dyDescent="0.25">
      <c r="A1041">
        <v>27</v>
      </c>
      <c r="B1041">
        <v>41</v>
      </c>
      <c r="C1041" s="2" t="s">
        <v>145</v>
      </c>
      <c r="D1041" s="2" t="s">
        <v>40</v>
      </c>
      <c r="E1041" s="11" cm="1">
        <f t="array" aca="1" ref="E1041" ca="1">INDEX('OD flujo mercancia multimodal'!E$45:E$1645,MATCH(C1041&amp;D1041,'OD flujo mercancia multimodal'!C$45:C$1645&amp;'OD flujo mercancia multimodal'!D$45:D$1645,0))</f>
        <v>55347.692307692298</v>
      </c>
      <c r="F1041" s="11" cm="1">
        <f t="array" aca="1" ref="F1041" ca="1">INDEX('OD flujo mercancia carretera'!E$45:E$1646,MATCH(C1041&amp;D1041,'OD flujo mercancia carretera'!C$45:C$1646&amp;'OD flujo mercancia carretera'!D$45:D$1646,0))</f>
        <v>440547.69267399266</v>
      </c>
      <c r="G1041" s="11" cm="1">
        <f t="array" aca="1" ref="G1041" ca="1">INDEX('Coste Carretera'!E$46:E$1646,MATCH(C1041&amp;D1041,'Coste Carretera'!C$46:C$1646&amp;'Coste Carretera'!D$46:D$1646,0))</f>
        <v>3883364675.2000003</v>
      </c>
      <c r="H1041" s="11" cm="1">
        <f t="array" aca="1" ref="H1041" ca="1">INDEX('Coste multimodal'!E$46:E$1646,MATCH(C1041&amp;D1041,'Coste multimodal'!C$46:C$1646&amp;'Coste multimodal'!D$46:D$1646,0))</f>
        <v>374682964.13372612</v>
      </c>
      <c r="I1041" s="12" cm="1">
        <f t="array" aca="1" ref="I1041" ca="1">INDEX('Tiempos intermodal (horas)'!E$45:E$1645,MATCH(C1041&amp;D1041,'Tiempos intermodal (horas)'!C$45:C$1645&amp;'Tiempos intermodal (horas)'!D$45:D$1645,0))</f>
        <v>73.194895809872378</v>
      </c>
      <c r="J1041" s="2" cm="1">
        <f t="array" aca="1" ref="J1041" ca="1">INDEX('Tiempos carretera (horas)'!E$45:E$1645,MATCH(C1041&amp;D1041,'Tiempos carretera (horas)'!C$45:C$1645&amp;'Tiempos carretera (horas)'!D$45:D$1645,0))</f>
        <v>17.2</v>
      </c>
      <c r="K1041" s="12">
        <f t="shared" ca="1" si="96"/>
        <v>8.8148564611226057</v>
      </c>
      <c r="L1041" s="12">
        <f t="shared" ca="1" si="97"/>
        <v>6.7696221560741057</v>
      </c>
      <c r="M1041" s="12">
        <f t="shared" ca="1" si="98"/>
        <v>0.11161163016214895</v>
      </c>
      <c r="N1041" s="13">
        <f t="shared" ca="1" si="100"/>
        <v>2.0452343050485</v>
      </c>
      <c r="O1041" s="13">
        <f t="shared" ca="1" si="101"/>
        <v>-55.994895809872375</v>
      </c>
      <c r="P1041" s="12">
        <f t="shared" ca="1" si="99"/>
        <v>2.0743837433621395</v>
      </c>
    </row>
    <row r="1042" spans="1:16" x14ac:dyDescent="0.25">
      <c r="A1042">
        <v>7</v>
      </c>
      <c r="B1042">
        <v>37</v>
      </c>
      <c r="C1042" s="2" t="s">
        <v>6</v>
      </c>
      <c r="D1042" s="2" t="s">
        <v>36</v>
      </c>
      <c r="E1042" s="11" cm="1">
        <f t="array" aca="1" ref="E1042" ca="1">INDEX('OD flujo mercancia multimodal'!E$45:E$1645,MATCH(C1042&amp;D1042,'OD flujo mercancia multimodal'!C$45:C$1645&amp;'OD flujo mercancia multimodal'!D$45:D$1645,0))</f>
        <v>12941.989010989057</v>
      </c>
      <c r="F1042" s="11" cm="1">
        <f t="array" aca="1" ref="F1042" ca="1">INDEX('OD flujo mercancia carretera'!E$45:E$1646,MATCH(C1042&amp;D1042,'OD flujo mercancia carretera'!C$45:C$1646&amp;'OD flujo mercancia carretera'!D$45:D$1646,0))</f>
        <v>142260.11904761899</v>
      </c>
      <c r="G1042" s="11" cm="1">
        <f t="array" aca="1" ref="G1042" ca="1">INDEX('Coste Carretera'!E$46:E$1646,MATCH(C1042&amp;D1042,'Coste Carretera'!C$46:C$1646&amp;'Coste Carretera'!D$46:D$1646,0))</f>
        <v>795487902.99428535</v>
      </c>
      <c r="H1042" s="11" cm="1">
        <f t="array" aca="1" ref="H1042" ca="1">INDEX('Coste multimodal'!E$46:E$1646,MATCH(C1042&amp;D1042,'Coste multimodal'!C$46:C$1646&amp;'Coste multimodal'!D$46:D$1646,0))</f>
        <v>405395010.44047284</v>
      </c>
      <c r="I1042" s="12" cm="1">
        <f t="array" aca="1" ref="I1042" ca="1">INDEX('Tiempos intermodal (horas)'!E$45:E$1645,MATCH(C1042&amp;D1042,'Tiempos intermodal (horas)'!C$45:C$1645&amp;'Tiempos intermodal (horas)'!D$45:D$1645,0))</f>
        <v>78.985959905217726</v>
      </c>
      <c r="J1042" s="2" cm="1">
        <f t="array" aca="1" ref="J1042" ca="1">INDEX('Tiempos carretera (horas)'!E$45:E$1645,MATCH(C1042&amp;D1042,'Tiempos carretera (horas)'!C$45:C$1645&amp;'Tiempos carretera (horas)'!D$45:D$1645,0))</f>
        <v>22.98</v>
      </c>
      <c r="K1042" s="12">
        <f t="shared" ca="1" si="96"/>
        <v>5.5917843195956429</v>
      </c>
      <c r="L1042" s="12">
        <f t="shared" ca="1" si="97"/>
        <v>31.324011332126112</v>
      </c>
      <c r="M1042" s="12">
        <f t="shared" ca="1" si="98"/>
        <v>8.3387971805781461E-2</v>
      </c>
      <c r="N1042" s="13">
        <f t="shared" ca="1" si="100"/>
        <v>-25.732227012530469</v>
      </c>
      <c r="O1042" s="13">
        <f t="shared" ca="1" si="101"/>
        <v>-56.005959905217722</v>
      </c>
      <c r="P1042" s="12">
        <f t="shared" ca="1" si="99"/>
        <v>2.3971802185984052</v>
      </c>
    </row>
    <row r="1043" spans="1:16" x14ac:dyDescent="0.25">
      <c r="A1043">
        <v>37</v>
      </c>
      <c r="B1043">
        <v>7</v>
      </c>
      <c r="C1043" s="2" t="s">
        <v>36</v>
      </c>
      <c r="D1043" s="2" t="s">
        <v>6</v>
      </c>
      <c r="E1043" s="11" cm="1">
        <f t="array" aca="1" ref="E1043" ca="1">INDEX('OD flujo mercancia multimodal'!E$45:E$1645,MATCH(C1043&amp;D1043,'OD flujo mercancia multimodal'!C$45:C$1645&amp;'OD flujo mercancia multimodal'!D$45:D$1645,0))</f>
        <v>10551.939560439556</v>
      </c>
      <c r="F1043" s="11" cm="1">
        <f t="array" aca="1" ref="F1043" ca="1">INDEX('OD flujo mercancia carretera'!E$45:E$1646,MATCH(C1043&amp;D1043,'OD flujo mercancia carretera'!C$45:C$1646&amp;'OD flujo mercancia carretera'!D$45:D$1646,0))</f>
        <v>144251.65201465201</v>
      </c>
      <c r="G1043" s="11" cm="1">
        <f t="array" aca="1" ref="G1043" ca="1">INDEX('Coste Carretera'!E$46:E$1646,MATCH(C1043&amp;D1043,'Coste Carretera'!C$46:C$1646&amp;'Coste Carretera'!D$46:D$1646,0))</f>
        <v>861345030.908571</v>
      </c>
      <c r="H1043" s="11" cm="1">
        <f t="array" aca="1" ref="H1043" ca="1">INDEX('Coste multimodal'!E$46:E$1646,MATCH(C1043&amp;D1043,'Coste multimodal'!C$46:C$1646&amp;'Coste multimodal'!D$46:D$1646,0))</f>
        <v>405395010.44047284</v>
      </c>
      <c r="I1043" s="12" cm="1">
        <f t="array" aca="1" ref="I1043" ca="1">INDEX('Tiempos intermodal (horas)'!E$45:E$1645,MATCH(C1043&amp;D1043,'Tiempos intermodal (horas)'!C$45:C$1645&amp;'Tiempos intermodal (horas)'!D$45:D$1645,0))</f>
        <v>78.985959905217726</v>
      </c>
      <c r="J1043" s="2" cm="1">
        <f t="array" aca="1" ref="J1043" ca="1">INDEX('Tiempos carretera (horas)'!E$45:E$1645,MATCH(C1043&amp;D1043,'Tiempos carretera (horas)'!C$45:C$1645&amp;'Tiempos carretera (horas)'!D$45:D$1645,0))</f>
        <v>22.98</v>
      </c>
      <c r="K1043" s="12">
        <f t="shared" ca="1" si="96"/>
        <v>5.9711276708365322</v>
      </c>
      <c r="L1043" s="12">
        <f t="shared" ca="1" si="97"/>
        <v>38.419004214196384</v>
      </c>
      <c r="M1043" s="12">
        <f t="shared" ca="1" si="98"/>
        <v>6.816340275490998E-2</v>
      </c>
      <c r="N1043" s="13">
        <f t="shared" ca="1" si="100"/>
        <v>-32.447876543359854</v>
      </c>
      <c r="O1043" s="13">
        <f t="shared" ca="1" si="101"/>
        <v>-56.005959905217722</v>
      </c>
      <c r="P1043" s="12">
        <f t="shared" ca="1" si="99"/>
        <v>2.6152496701477355</v>
      </c>
    </row>
    <row r="1044" spans="1:16" x14ac:dyDescent="0.25">
      <c r="A1044">
        <v>6</v>
      </c>
      <c r="B1044">
        <v>11</v>
      </c>
      <c r="C1044" s="2" t="s">
        <v>5</v>
      </c>
      <c r="D1044" s="2" t="s">
        <v>10</v>
      </c>
      <c r="E1044" s="11" cm="1">
        <f t="array" aca="1" ref="E1044" ca="1">INDEX('OD flujo mercancia multimodal'!E$45:E$1645,MATCH(C1044&amp;D1044,'OD flujo mercancia multimodal'!C$45:C$1645&amp;'OD flujo mercancia multimodal'!D$45:D$1645,0))</f>
        <v>32755.598901098885</v>
      </c>
      <c r="F1044" s="11" cm="1">
        <f t="array" aca="1" ref="F1044" ca="1">INDEX('OD flujo mercancia carretera'!E$45:E$1646,MATCH(C1044&amp;D1044,'OD flujo mercancia carretera'!C$45:C$1646&amp;'OD flujo mercancia carretera'!D$45:D$1646,0))</f>
        <v>225084.69963369961</v>
      </c>
      <c r="G1044" s="11" cm="1">
        <f t="array" aca="1" ref="G1044" ca="1">INDEX('Coste Carretera'!E$46:E$1646,MATCH(C1044&amp;D1044,'Coste Carretera'!C$46:C$1646&amp;'Coste Carretera'!D$46:D$1646,0))</f>
        <v>4742933417.6657114</v>
      </c>
      <c r="H1044" s="11" cm="1">
        <f t="array" aca="1" ref="H1044" ca="1">INDEX('Coste multimodal'!E$46:E$1646,MATCH(C1044&amp;D1044,'Coste multimodal'!C$46:C$1646&amp;'Coste multimodal'!D$46:D$1646,0))</f>
        <v>730855638.07519436</v>
      </c>
      <c r="I1044" s="12" cm="1">
        <f t="array" aca="1" ref="I1044" ca="1">INDEX('Tiempos intermodal (horas)'!E$45:E$1645,MATCH(C1044&amp;D1044,'Tiempos intermodal (horas)'!C$45:C$1645&amp;'Tiempos intermodal (horas)'!D$45:D$1645,0))</f>
        <v>82.089754170185813</v>
      </c>
      <c r="J1044" s="2" cm="1">
        <f t="array" aca="1" ref="J1044" ca="1">INDEX('Tiempos carretera (horas)'!E$45:E$1645,MATCH(C1044&amp;D1044,'Tiempos carretera (horas)'!C$45:C$1645&amp;'Tiempos carretera (horas)'!D$45:D$1645,0))</f>
        <v>26</v>
      </c>
      <c r="K1044" s="12">
        <f t="shared" ca="1" si="96"/>
        <v>21.071771761404975</v>
      </c>
      <c r="L1044" s="12">
        <f t="shared" ca="1" si="97"/>
        <v>22.312388189937067</v>
      </c>
      <c r="M1044" s="12">
        <f t="shared" ca="1" si="98"/>
        <v>0.12703832212123406</v>
      </c>
      <c r="N1044" s="13">
        <f t="shared" ca="1" si="100"/>
        <v>-1.2406164285320926</v>
      </c>
      <c r="O1044" s="13">
        <f t="shared" ca="1" si="101"/>
        <v>-56.089754170185813</v>
      </c>
      <c r="P1044" s="12">
        <f t="shared" ca="1" si="99"/>
        <v>1.9274028679023945</v>
      </c>
    </row>
    <row r="1045" spans="1:16" x14ac:dyDescent="0.25">
      <c r="A1045">
        <v>6</v>
      </c>
      <c r="B1045">
        <v>37</v>
      </c>
      <c r="C1045" s="2" t="s">
        <v>5</v>
      </c>
      <c r="D1045" s="2" t="s">
        <v>36</v>
      </c>
      <c r="E1045" s="11" cm="1">
        <f t="array" aca="1" ref="E1045" ca="1">INDEX('OD flujo mercancia multimodal'!E$45:E$1645,MATCH(C1045&amp;D1045,'OD flujo mercancia multimodal'!C$45:C$1645&amp;'OD flujo mercancia multimodal'!D$45:D$1645,0))</f>
        <v>21647.060439560486</v>
      </c>
      <c r="F1045" s="11" cm="1">
        <f t="array" aca="1" ref="F1045" ca="1">INDEX('OD flujo mercancia carretera'!E$45:E$1646,MATCH(C1045&amp;D1045,'OD flujo mercancia carretera'!C$45:C$1646&amp;'OD flujo mercancia carretera'!D$45:D$1646,0))</f>
        <v>213953.12637362632</v>
      </c>
      <c r="G1045" s="11" cm="1">
        <f t="array" aca="1" ref="G1045" ca="1">INDEX('Coste Carretera'!E$46:E$1646,MATCH(C1045&amp;D1045,'Coste Carretera'!C$46:C$1646&amp;'Coste Carretera'!D$46:D$1646,0))</f>
        <v>2054628999.3799996</v>
      </c>
      <c r="H1045" s="11" cm="1">
        <f t="array" aca="1" ref="H1045" ca="1">INDEX('Coste multimodal'!E$46:E$1646,MATCH(C1045&amp;D1045,'Coste multimodal'!C$46:C$1646&amp;'Coste multimodal'!D$46:D$1646,0))</f>
        <v>544084007.97475851</v>
      </c>
      <c r="I1045" s="12" cm="1">
        <f t="array" aca="1" ref="I1045" ca="1">INDEX('Tiempos intermodal (horas)'!E$45:E$1645,MATCH(C1045&amp;D1045,'Tiempos intermodal (horas)'!C$45:C$1645&amp;'Tiempos intermodal (horas)'!D$45:D$1645,0))</f>
        <v>81.09151546077328</v>
      </c>
      <c r="J1045" s="2" cm="1">
        <f t="array" aca="1" ref="J1045" ca="1">INDEX('Tiempos carretera (horas)'!E$45:E$1645,MATCH(C1045&amp;D1045,'Tiempos carretera (horas)'!C$45:C$1645&amp;'Tiempos carretera (horas)'!D$45:D$1645,0))</f>
        <v>25</v>
      </c>
      <c r="K1045" s="12">
        <f t="shared" ca="1" si="96"/>
        <v>9.6031735277941266</v>
      </c>
      <c r="L1045" s="12">
        <f t="shared" ca="1" si="97"/>
        <v>25.134313709423239</v>
      </c>
      <c r="M1045" s="12">
        <f t="shared" ca="1" si="98"/>
        <v>9.1880489282994388E-2</v>
      </c>
      <c r="N1045" s="13">
        <f t="shared" ca="1" si="100"/>
        <v>-15.531140181629112</v>
      </c>
      <c r="O1045" s="13">
        <f t="shared" ca="1" si="101"/>
        <v>-56.09151546077328</v>
      </c>
      <c r="P1045" s="12">
        <f t="shared" ca="1" si="99"/>
        <v>2.2908872866264613</v>
      </c>
    </row>
    <row r="1046" spans="1:16" x14ac:dyDescent="0.25">
      <c r="A1046">
        <v>31</v>
      </c>
      <c r="B1046">
        <v>11</v>
      </c>
      <c r="C1046" s="2" t="s">
        <v>30</v>
      </c>
      <c r="D1046" s="2" t="s">
        <v>10</v>
      </c>
      <c r="E1046" s="11" cm="1">
        <f t="array" aca="1" ref="E1046" ca="1">INDEX('OD flujo mercancia multimodal'!E$45:E$1645,MATCH(C1046&amp;D1046,'OD flujo mercancia multimodal'!C$45:C$1645&amp;'OD flujo mercancia multimodal'!D$45:D$1645,0))</f>
        <v>23082.69230769229</v>
      </c>
      <c r="F1046" s="11" cm="1">
        <f t="array" aca="1" ref="F1046" ca="1">INDEX('OD flujo mercancia carretera'!E$45:E$1646,MATCH(C1046&amp;D1046,'OD flujo mercancia carretera'!C$45:C$1646&amp;'OD flujo mercancia carretera'!D$45:D$1646,0))</f>
        <v>117431.30769230769</v>
      </c>
      <c r="G1046" s="11" cm="1">
        <f t="array" aca="1" ref="G1046" ca="1">INDEX('Coste Carretera'!E$46:E$1646,MATCH(C1046&amp;D1046,'Coste Carretera'!C$46:C$1646&amp;'Coste Carretera'!D$46:D$1646,0))</f>
        <v>2635546721.9999976</v>
      </c>
      <c r="H1046" s="11" cm="1">
        <f t="array" aca="1" ref="H1046" ca="1">INDEX('Coste multimodal'!E$46:E$1646,MATCH(C1046&amp;D1046,'Coste multimodal'!C$46:C$1646&amp;'Coste multimodal'!D$46:D$1646,0))</f>
        <v>503324135.81107444</v>
      </c>
      <c r="I1046" s="12" cm="1">
        <f t="array" aca="1" ref="I1046" ca="1">INDEX('Tiempos intermodal (horas)'!E$45:E$1645,MATCH(C1046&amp;D1046,'Tiempos intermodal (horas)'!C$45:C$1645&amp;'Tiempos intermodal (horas)'!D$45:D$1645,0))</f>
        <v>78.112873041009749</v>
      </c>
      <c r="J1046" s="2" cm="1">
        <f t="array" aca="1" ref="J1046" ca="1">INDEX('Tiempos carretera (horas)'!E$45:E$1645,MATCH(C1046&amp;D1046,'Tiempos carretera (horas)'!C$45:C$1645&amp;'Tiempos carretera (horas)'!D$45:D$1645,0))</f>
        <v>21.95</v>
      </c>
      <c r="K1046" s="12">
        <f t="shared" ca="1" si="96"/>
        <v>22.443305569802821</v>
      </c>
      <c r="L1046" s="12">
        <f t="shared" ca="1" si="97"/>
        <v>21.805261236504116</v>
      </c>
      <c r="M1046" s="12">
        <f t="shared" ca="1" si="98"/>
        <v>0.16427325610040491</v>
      </c>
      <c r="N1046" s="13">
        <f t="shared" ca="1" si="100"/>
        <v>0.63804433329870491</v>
      </c>
      <c r="O1046" s="13">
        <f t="shared" ca="1" si="101"/>
        <v>-56.162873041009746</v>
      </c>
      <c r="P1046" s="12">
        <f t="shared" ca="1" si="99"/>
        <v>1.6267704612955216</v>
      </c>
    </row>
    <row r="1047" spans="1:16" x14ac:dyDescent="0.25">
      <c r="A1047">
        <v>11</v>
      </c>
      <c r="B1047">
        <v>31</v>
      </c>
      <c r="C1047" s="2" t="s">
        <v>10</v>
      </c>
      <c r="D1047" s="2" t="s">
        <v>30</v>
      </c>
      <c r="E1047" s="11" cm="1">
        <f t="array" aca="1" ref="E1047" ca="1">INDEX('OD flujo mercancia multimodal'!E$45:E$1645,MATCH(C1047&amp;D1047,'OD flujo mercancia multimodal'!C$45:C$1645&amp;'OD flujo mercancia multimodal'!D$45:D$1645,0))</f>
        <v>13338.23076923077</v>
      </c>
      <c r="F1047" s="11" cm="1">
        <f t="array" aca="1" ref="F1047" ca="1">INDEX('OD flujo mercancia carretera'!E$45:E$1646,MATCH(C1047&amp;D1047,'OD flujo mercancia carretera'!C$45:C$1646&amp;'OD flujo mercancia carretera'!D$45:D$1646,0))</f>
        <v>121968.92307692308</v>
      </c>
      <c r="G1047" s="11" cm="1">
        <f t="array" aca="1" ref="G1047" ca="1">INDEX('Coste Carretera'!E$46:E$1646,MATCH(C1047&amp;D1047,'Coste Carretera'!C$46:C$1646&amp;'Coste Carretera'!D$46:D$1646,0))</f>
        <v>2106486682.1839998</v>
      </c>
      <c r="H1047" s="11" cm="1">
        <f t="array" aca="1" ref="H1047" ca="1">INDEX('Coste multimodal'!E$46:E$1646,MATCH(C1047&amp;D1047,'Coste multimodal'!C$46:C$1646&amp;'Coste multimodal'!D$46:D$1646,0))</f>
        <v>503324135.81107444</v>
      </c>
      <c r="I1047" s="12" cm="1">
        <f t="array" aca="1" ref="I1047" ca="1">INDEX('Tiempos intermodal (horas)'!E$45:E$1645,MATCH(C1047&amp;D1047,'Tiempos intermodal (horas)'!C$45:C$1645&amp;'Tiempos intermodal (horas)'!D$45:D$1645,0))</f>
        <v>78.112873041009749</v>
      </c>
      <c r="J1047" s="2" cm="1">
        <f t="array" aca="1" ref="J1047" ca="1">INDEX('Tiempos carretera (horas)'!E$45:E$1645,MATCH(C1047&amp;D1047,'Tiempos carretera (horas)'!C$45:C$1645&amp;'Tiempos carretera (horas)'!D$45:D$1645,0))</f>
        <v>21.95</v>
      </c>
      <c r="K1047" s="12">
        <f t="shared" ca="1" si="96"/>
        <v>17.270683622052527</v>
      </c>
      <c r="L1047" s="12">
        <f t="shared" ca="1" si="97"/>
        <v>37.735449664895974</v>
      </c>
      <c r="M1047" s="12">
        <f t="shared" ca="1" si="98"/>
        <v>9.8577424696971505E-2</v>
      </c>
      <c r="N1047" s="13">
        <f t="shared" ca="1" si="100"/>
        <v>-20.464766042843447</v>
      </c>
      <c r="O1047" s="13">
        <f t="shared" ca="1" si="101"/>
        <v>-56.162873041009746</v>
      </c>
      <c r="P1047" s="12">
        <f t="shared" ca="1" si="99"/>
        <v>2.2131318777094879</v>
      </c>
    </row>
    <row r="1048" spans="1:16" x14ac:dyDescent="0.25">
      <c r="A1048">
        <v>23</v>
      </c>
      <c r="B1048">
        <v>6</v>
      </c>
      <c r="C1048" s="2" t="s">
        <v>22</v>
      </c>
      <c r="D1048" s="2" t="s">
        <v>5</v>
      </c>
      <c r="E1048" s="11" cm="1">
        <f t="array" aca="1" ref="E1048" ca="1">INDEX('OD flujo mercancia multimodal'!E$45:E$1645,MATCH(C1048&amp;D1048,'OD flujo mercancia multimodal'!C$45:C$1645&amp;'OD flujo mercancia multimodal'!D$45:D$1645,0))</f>
        <v>14011.32417582416</v>
      </c>
      <c r="F1048" s="11" cm="1">
        <f t="array" aca="1" ref="F1048" ca="1">INDEX('OD flujo mercancia carretera'!E$45:E$1646,MATCH(C1048&amp;D1048,'OD flujo mercancia carretera'!C$45:C$1646&amp;'OD flujo mercancia carretera'!D$45:D$1646,0))</f>
        <v>233708.43956043967</v>
      </c>
      <c r="G1048" s="11" cm="1">
        <f t="array" aca="1" ref="G1048" ca="1">INDEX('Coste Carretera'!E$46:E$1646,MATCH(C1048&amp;D1048,'Coste Carretera'!C$46:C$1646&amp;'Coste Carretera'!D$46:D$1646,0))</f>
        <v>1018450648.0685704</v>
      </c>
      <c r="H1048" s="11" cm="1">
        <f t="array" aca="1" ref="H1048" ca="1">INDEX('Coste multimodal'!E$46:E$1646,MATCH(C1048&amp;D1048,'Coste multimodal'!C$46:C$1646&amp;'Coste multimodal'!D$46:D$1646,0))</f>
        <v>532239131.74200237</v>
      </c>
      <c r="I1048" s="12" cm="1">
        <f t="array" aca="1" ref="I1048" ca="1">INDEX('Tiempos intermodal (horas)'!E$45:E$1645,MATCH(C1048&amp;D1048,'Tiempos intermodal (horas)'!C$45:C$1645&amp;'Tiempos intermodal (horas)'!D$45:D$1645,0))</f>
        <v>68.811821550065687</v>
      </c>
      <c r="J1048" s="2" cm="1">
        <f t="array" aca="1" ref="J1048" ca="1">INDEX('Tiempos carretera (horas)'!E$45:E$1645,MATCH(C1048&amp;D1048,'Tiempos carretera (horas)'!C$45:C$1645&amp;'Tiempos carretera (horas)'!D$45:D$1645,0))</f>
        <v>14.05</v>
      </c>
      <c r="K1048" s="12">
        <f t="shared" ca="1" si="96"/>
        <v>4.3577829280965581</v>
      </c>
      <c r="L1048" s="12">
        <f t="shared" ca="1" si="97"/>
        <v>37.98635482721572</v>
      </c>
      <c r="M1048" s="12">
        <f t="shared" ca="1" si="98"/>
        <v>5.6561188193047819E-2</v>
      </c>
      <c r="N1048" s="13">
        <f t="shared" ca="1" si="100"/>
        <v>-33.628571899119166</v>
      </c>
      <c r="O1048" s="13">
        <f t="shared" ca="1" si="101"/>
        <v>-54.76182155006569</v>
      </c>
      <c r="P1048" s="12">
        <f t="shared" ca="1" si="99"/>
        <v>2.8142084813306361</v>
      </c>
    </row>
    <row r="1049" spans="1:16" x14ac:dyDescent="0.25">
      <c r="A1049">
        <v>7</v>
      </c>
      <c r="B1049">
        <v>11</v>
      </c>
      <c r="C1049" s="2" t="s">
        <v>6</v>
      </c>
      <c r="D1049" s="2" t="s">
        <v>10</v>
      </c>
      <c r="E1049" s="11" cm="1">
        <f t="array" aca="1" ref="E1049" ca="1">INDEX('OD flujo mercancia multimodal'!E$45:E$1645,MATCH(C1049&amp;D1049,'OD flujo mercancia multimodal'!C$45:C$1645&amp;'OD flujo mercancia multimodal'!D$45:D$1645,0))</f>
        <v>24050.527472527458</v>
      </c>
      <c r="F1049" s="11" cm="1">
        <f t="array" aca="1" ref="F1049" ca="1">INDEX('OD flujo mercancia carretera'!E$45:E$1646,MATCH(C1049&amp;D1049,'OD flujo mercancia carretera'!C$45:C$1646&amp;'OD flujo mercancia carretera'!D$45:D$1646,0))</f>
        <v>153391.69230769231</v>
      </c>
      <c r="G1049" s="11" cm="1">
        <f t="array" aca="1" ref="G1049" ca="1">INDEX('Coste Carretera'!E$46:E$1646,MATCH(C1049&amp;D1049,'Coste Carretera'!C$46:C$1646&amp;'Coste Carretera'!D$46:D$1646,0))</f>
        <v>3044152223.8857126</v>
      </c>
      <c r="H1049" s="11" cm="1">
        <f t="array" aca="1" ref="H1049" ca="1">INDEX('Coste multimodal'!E$46:E$1646,MATCH(C1049&amp;D1049,'Coste multimodal'!C$46:C$1646&amp;'Coste multimodal'!D$46:D$1646,0))</f>
        <v>592166640.54090858</v>
      </c>
      <c r="I1049" s="12" cm="1">
        <f t="array" aca="1" ref="I1049" ca="1">INDEX('Tiempos intermodal (horas)'!E$45:E$1645,MATCH(C1049&amp;D1049,'Tiempos intermodal (horas)'!C$45:C$1645&amp;'Tiempos intermodal (horas)'!D$45:D$1645,0))</f>
        <v>79.984198614630259</v>
      </c>
      <c r="J1049" s="2" cm="1">
        <f t="array" aca="1" ref="J1049" ca="1">INDEX('Tiempos carretera (horas)'!E$45:E$1645,MATCH(C1049&amp;D1049,'Tiempos carretera (horas)'!C$45:C$1645&amp;'Tiempos carretera (horas)'!D$45:D$1645,0))</f>
        <v>23.5</v>
      </c>
      <c r="K1049" s="12">
        <f t="shared" ca="1" si="96"/>
        <v>19.845613397232555</v>
      </c>
      <c r="L1049" s="12">
        <f t="shared" ca="1" si="97"/>
        <v>24.621773523151674</v>
      </c>
      <c r="M1049" s="12">
        <f t="shared" ca="1" si="98"/>
        <v>0.13554005074055364</v>
      </c>
      <c r="N1049" s="13">
        <f t="shared" ca="1" si="100"/>
        <v>-4.7761601259191195</v>
      </c>
      <c r="O1049" s="13">
        <f t="shared" ca="1" si="101"/>
        <v>-56.484198614630259</v>
      </c>
      <c r="P1049" s="12">
        <f t="shared" ca="1" si="99"/>
        <v>1.8528378017702645</v>
      </c>
    </row>
    <row r="1050" spans="1:16" x14ac:dyDescent="0.25">
      <c r="A1050">
        <v>11</v>
      </c>
      <c r="B1050">
        <v>7</v>
      </c>
      <c r="C1050" s="2" t="s">
        <v>10</v>
      </c>
      <c r="D1050" s="2" t="s">
        <v>6</v>
      </c>
      <c r="E1050" s="11" cm="1">
        <f t="array" aca="1" ref="E1050" ca="1">INDEX('OD flujo mercancia multimodal'!E$45:E$1645,MATCH(C1050&amp;D1050,'OD flujo mercancia multimodal'!C$45:C$1645&amp;'OD flujo mercancia multimodal'!D$45:D$1645,0))</f>
        <v>15648.554945054941</v>
      </c>
      <c r="F1050" s="11" cm="1">
        <f t="array" aca="1" ref="F1050" ca="1">INDEX('OD flujo mercancia carretera'!E$45:E$1646,MATCH(C1050&amp;D1050,'OD flujo mercancia carretera'!C$45:C$1646&amp;'OD flujo mercancia carretera'!D$45:D$1646,0))</f>
        <v>159920.30769230769</v>
      </c>
      <c r="G1050" s="11" cm="1">
        <f t="array" aca="1" ref="G1050" ca="1">INDEX('Coste Carretera'!E$46:E$1646,MATCH(C1050&amp;D1050,'Coste Carretera'!C$46:C$1646&amp;'Coste Carretera'!D$46:D$1646,0))</f>
        <v>1980687674.7714281</v>
      </c>
      <c r="H1050" s="11" cm="1">
        <f t="array" aca="1" ref="H1050" ca="1">INDEX('Coste multimodal'!E$46:E$1646,MATCH(C1050&amp;D1050,'Coste multimodal'!C$46:C$1646&amp;'Coste multimodal'!D$46:D$1646,0))</f>
        <v>592166640.54090858</v>
      </c>
      <c r="I1050" s="12" cm="1">
        <f t="array" aca="1" ref="I1050" ca="1">INDEX('Tiempos intermodal (horas)'!E$45:E$1645,MATCH(C1050&amp;D1050,'Tiempos intermodal (horas)'!C$45:C$1645&amp;'Tiempos intermodal (horas)'!D$45:D$1645,0))</f>
        <v>79.984198614630259</v>
      </c>
      <c r="J1050" s="2" cm="1">
        <f t="array" aca="1" ref="J1050" ca="1">INDEX('Tiempos carretera (horas)'!E$45:E$1645,MATCH(C1050&amp;D1050,'Tiempos carretera (horas)'!C$45:C$1645&amp;'Tiempos carretera (horas)'!D$45:D$1645,0))</f>
        <v>23.5</v>
      </c>
      <c r="K1050" s="12">
        <f t="shared" ref="K1050:K1113" ca="1" si="102">G1050/(F1050*1000)</f>
        <v>12.385466882557163</v>
      </c>
      <c r="L1050" s="12">
        <f t="shared" ref="L1050:L1113" ca="1" si="103">H1050/(E1050*1000)</f>
        <v>37.841618131521955</v>
      </c>
      <c r="M1050" s="12">
        <f t="shared" ref="M1050:M1113" ca="1" si="104">E1050/(E1050+F1050)</f>
        <v>8.9130582211362969E-2</v>
      </c>
      <c r="N1050" s="13">
        <f t="shared" ca="1" si="100"/>
        <v>-25.456151248964794</v>
      </c>
      <c r="O1050" s="13">
        <f t="shared" ca="1" si="101"/>
        <v>-56.484198614630259</v>
      </c>
      <c r="P1050" s="12">
        <f t="shared" ref="P1050:P1113" ca="1" si="105">LN(1/M1050-1)</f>
        <v>2.3242970372855214</v>
      </c>
    </row>
    <row r="1051" spans="1:16" x14ac:dyDescent="0.25">
      <c r="A1051">
        <v>10</v>
      </c>
      <c r="B1051">
        <v>11</v>
      </c>
      <c r="C1051" s="2" t="s">
        <v>9</v>
      </c>
      <c r="D1051" s="2" t="s">
        <v>10</v>
      </c>
      <c r="E1051" s="11" cm="1">
        <f t="array" aca="1" ref="E1051" ca="1">INDEX('OD flujo mercancia multimodal'!E$45:E$1645,MATCH(C1051&amp;D1051,'OD flujo mercancia multimodal'!C$45:C$1645&amp;'OD flujo mercancia multimodal'!D$45:D$1645,0))</f>
        <v>35298.95604395603</v>
      </c>
      <c r="F1051" s="11" cm="1">
        <f t="array" aca="1" ref="F1051" ca="1">INDEX('OD flujo mercancia carretera'!E$45:E$1646,MATCH(C1051&amp;D1051,'OD flujo mercancia carretera'!C$45:C$1646&amp;'OD flujo mercancia carretera'!D$45:D$1646,0))</f>
        <v>187932.92307692306</v>
      </c>
      <c r="G1051" s="11" cm="1">
        <f t="array" aca="1" ref="G1051" ca="1">INDEX('Coste Carretera'!E$46:E$1646,MATCH(C1051&amp;D1051,'Coste Carretera'!C$46:C$1646&amp;'Coste Carretera'!D$46:D$1646,0))</f>
        <v>4618067818.0285692</v>
      </c>
      <c r="H1051" s="11" cm="1">
        <f t="array" aca="1" ref="H1051" ca="1">INDEX('Coste multimodal'!E$46:E$1646,MATCH(C1051&amp;D1051,'Coste multimodal'!C$46:C$1646&amp;'Coste multimodal'!D$46:D$1646,0))</f>
        <v>658734641.37233722</v>
      </c>
      <c r="I1051" s="12" cm="1">
        <f t="array" aca="1" ref="I1051" ca="1">INDEX('Tiempos intermodal (horas)'!E$45:E$1645,MATCH(C1051&amp;D1051,'Tiempos intermodal (horas)'!C$45:C$1645&amp;'Tiempos intermodal (horas)'!D$45:D$1645,0))</f>
        <v>80.533087503519155</v>
      </c>
      <c r="J1051" s="2" cm="1">
        <f t="array" aca="1" ref="J1051" ca="1">INDEX('Tiempos carretera (horas)'!E$45:E$1645,MATCH(C1051&amp;D1051,'Tiempos carretera (horas)'!C$45:C$1645&amp;'Tiempos carretera (horas)'!D$45:D$1645,0))</f>
        <v>24</v>
      </c>
      <c r="K1051" s="12">
        <f t="shared" ca="1" si="102"/>
        <v>24.572957959784098</v>
      </c>
      <c r="L1051" s="12">
        <f t="shared" ca="1" si="103"/>
        <v>18.661589893821446</v>
      </c>
      <c r="M1051" s="12">
        <f t="shared" ca="1" si="104"/>
        <v>0.15812685976110874</v>
      </c>
      <c r="N1051" s="13">
        <f t="shared" ca="1" si="100"/>
        <v>5.9113680659626517</v>
      </c>
      <c r="O1051" s="13">
        <f t="shared" ca="1" si="101"/>
        <v>-56.533087503519155</v>
      </c>
      <c r="P1051" s="12">
        <f t="shared" ca="1" si="105"/>
        <v>1.6722317173441332</v>
      </c>
    </row>
    <row r="1052" spans="1:16" x14ac:dyDescent="0.25">
      <c r="A1052">
        <v>11</v>
      </c>
      <c r="B1052">
        <v>10</v>
      </c>
      <c r="C1052" s="2" t="s">
        <v>10</v>
      </c>
      <c r="D1052" s="2" t="s">
        <v>9</v>
      </c>
      <c r="E1052" s="11" cm="1">
        <f t="array" aca="1" ref="E1052" ca="1">INDEX('OD flujo mercancia multimodal'!E$45:E$1645,MATCH(C1052&amp;D1052,'OD flujo mercancia multimodal'!C$45:C$1645&amp;'OD flujo mercancia multimodal'!D$45:D$1645,0))</f>
        <v>31773.983516483531</v>
      </c>
      <c r="F1052" s="11" cm="1">
        <f t="array" aca="1" ref="F1052" ca="1">INDEX('OD flujo mercancia carretera'!E$45:E$1646,MATCH(C1052&amp;D1052,'OD flujo mercancia carretera'!C$45:C$1646&amp;'OD flujo mercancia carretera'!D$45:D$1646,0))</f>
        <v>192227.15384615387</v>
      </c>
      <c r="G1052" s="11" cm="1">
        <f t="array" aca="1" ref="G1052" ca="1">INDEX('Coste Carretera'!E$46:E$1646,MATCH(C1052&amp;D1052,'Coste Carretera'!C$46:C$1646&amp;'Coste Carretera'!D$46:D$1646,0))</f>
        <v>4156905109.1857166</v>
      </c>
      <c r="H1052" s="11" cm="1">
        <f t="array" aca="1" ref="H1052" ca="1">INDEX('Coste multimodal'!E$46:E$1646,MATCH(C1052&amp;D1052,'Coste multimodal'!C$46:C$1646&amp;'Coste multimodal'!D$46:D$1646,0))</f>
        <v>658734641.37233722</v>
      </c>
      <c r="I1052" s="12" cm="1">
        <f t="array" aca="1" ref="I1052" ca="1">INDEX('Tiempos intermodal (horas)'!E$45:E$1645,MATCH(C1052&amp;D1052,'Tiempos intermodal (horas)'!C$45:C$1645&amp;'Tiempos intermodal (horas)'!D$45:D$1645,0))</f>
        <v>80.533087503519155</v>
      </c>
      <c r="J1052" s="2" cm="1">
        <f t="array" aca="1" ref="J1052" ca="1">INDEX('Tiempos carretera (horas)'!E$45:E$1645,MATCH(C1052&amp;D1052,'Tiempos carretera (horas)'!C$45:C$1645&amp;'Tiempos carretera (horas)'!D$45:D$1645,0))</f>
        <v>24</v>
      </c>
      <c r="K1052" s="12">
        <f t="shared" ca="1" si="102"/>
        <v>21.624963102312972</v>
      </c>
      <c r="L1052" s="12">
        <f t="shared" ca="1" si="103"/>
        <v>20.731887175260933</v>
      </c>
      <c r="M1052" s="12">
        <f t="shared" ca="1" si="104"/>
        <v>0.14184742046663965</v>
      </c>
      <c r="N1052" s="13">
        <f t="shared" ca="1" si="100"/>
        <v>0.89307592705203831</v>
      </c>
      <c r="O1052" s="13">
        <f t="shared" ca="1" si="101"/>
        <v>-56.533087503519155</v>
      </c>
      <c r="P1052" s="12">
        <f t="shared" ca="1" si="105"/>
        <v>1.8000299391495749</v>
      </c>
    </row>
    <row r="1053" spans="1:16" x14ac:dyDescent="0.25">
      <c r="A1053">
        <v>12</v>
      </c>
      <c r="B1053">
        <v>3</v>
      </c>
      <c r="C1053" s="2" t="s">
        <v>11</v>
      </c>
      <c r="D1053" s="2" t="s">
        <v>2</v>
      </c>
      <c r="E1053" s="11" cm="1">
        <f t="array" aca="1" ref="E1053" ca="1">INDEX('OD flujo mercancia multimodal'!E$45:E$1645,MATCH(C1053&amp;D1053,'OD flujo mercancia multimodal'!C$45:C$1645&amp;'OD flujo mercancia multimodal'!D$45:D$1645,0))</f>
        <v>21840.098901098914</v>
      </c>
      <c r="F1053" s="11" cm="1">
        <f t="array" aca="1" ref="F1053" ca="1">INDEX('OD flujo mercancia carretera'!E$45:E$1646,MATCH(C1053&amp;D1053,'OD flujo mercancia carretera'!C$45:C$1646&amp;'OD flujo mercancia carretera'!D$45:D$1646,0))</f>
        <v>83432.692307692269</v>
      </c>
      <c r="G1053" s="11" cm="1">
        <f t="array" aca="1" ref="G1053" ca="1">INDEX('Coste Carretera'!E$46:E$1646,MATCH(C1053&amp;D1053,'Coste Carretera'!C$46:C$1646&amp;'Coste Carretera'!D$46:D$1646,0))</f>
        <v>1685004689.6057153</v>
      </c>
      <c r="H1053" s="11" cm="1">
        <f t="array" aca="1" ref="H1053" ca="1">INDEX('Coste multimodal'!E$46:E$1646,MATCH(C1053&amp;D1053,'Coste multimodal'!C$46:C$1646&amp;'Coste multimodal'!D$46:D$1646,0))</f>
        <v>785819830.45220244</v>
      </c>
      <c r="I1053" s="12" cm="1">
        <f t="array" aca="1" ref="I1053" ca="1">INDEX('Tiempos intermodal (horas)'!E$45:E$1645,MATCH(C1053&amp;D1053,'Tiempos intermodal (horas)'!C$45:C$1645&amp;'Tiempos intermodal (horas)'!D$45:D$1645,0))</f>
        <v>56.635189060153905</v>
      </c>
      <c r="J1053" s="2" cm="1">
        <f t="array" aca="1" ref="J1053" ca="1">INDEX('Tiempos carretera (horas)'!E$45:E$1645,MATCH(C1053&amp;D1053,'Tiempos carretera (horas)'!C$45:C$1645&amp;'Tiempos carretera (horas)'!D$45:D$1645,0))</f>
        <v>14.75</v>
      </c>
      <c r="K1053" s="12">
        <f t="shared" ca="1" si="102"/>
        <v>20.195976457185026</v>
      </c>
      <c r="L1053" s="12">
        <f t="shared" ca="1" si="103"/>
        <v>35.980598531660625</v>
      </c>
      <c r="M1053" s="12">
        <f t="shared" ca="1" si="104"/>
        <v>0.20746195337200368</v>
      </c>
      <c r="N1053" s="13">
        <f t="shared" ca="1" si="100"/>
        <v>-15.7846220744756</v>
      </c>
      <c r="O1053" s="13">
        <f t="shared" ca="1" si="101"/>
        <v>-41.885189060153905</v>
      </c>
      <c r="P1053" s="12">
        <f t="shared" ca="1" si="105"/>
        <v>1.3402925473470706</v>
      </c>
    </row>
    <row r="1054" spans="1:16" x14ac:dyDescent="0.25">
      <c r="A1054">
        <v>40</v>
      </c>
      <c r="B1054">
        <v>34</v>
      </c>
      <c r="C1054" s="2" t="s">
        <v>39</v>
      </c>
      <c r="D1054" s="2" t="s">
        <v>33</v>
      </c>
      <c r="E1054" s="11" cm="1">
        <f t="array" aca="1" ref="E1054" ca="1">INDEX('OD flujo mercancia multimodal'!E$45:E$1645,MATCH(C1054&amp;D1054,'OD flujo mercancia multimodal'!C$45:C$1645&amp;'OD flujo mercancia multimodal'!D$45:D$1645,0))</f>
        <v>299480.23076923104</v>
      </c>
      <c r="F1054" s="11" cm="1">
        <f t="array" aca="1" ref="F1054" ca="1">INDEX('OD flujo mercancia carretera'!E$45:E$1646,MATCH(C1054&amp;D1054,'OD flujo mercancia carretera'!C$45:C$1646&amp;'OD flujo mercancia carretera'!D$45:D$1646,0))</f>
        <v>366734.90170940181</v>
      </c>
      <c r="G1054" s="11" cm="1">
        <f t="array" aca="1" ref="G1054" ca="1">INDEX('Coste Carretera'!E$46:E$1646,MATCH(C1054&amp;D1054,'Coste Carretera'!C$46:C$1646&amp;'Coste Carretera'!D$46:D$1646,0))</f>
        <v>6661479660.1599951</v>
      </c>
      <c r="H1054" s="11" cm="1">
        <f t="array" aca="1" ref="H1054" ca="1">INDEX('Coste multimodal'!E$46:E$1646,MATCH(C1054&amp;D1054,'Coste multimodal'!C$46:C$1646&amp;'Coste multimodal'!D$46:D$1646,0))</f>
        <v>746220644.06924891</v>
      </c>
      <c r="I1054" s="12" cm="1">
        <f t="array" aca="1" ref="I1054" ca="1">INDEX('Tiempos intermodal (horas)'!E$45:E$1645,MATCH(C1054&amp;D1054,'Tiempos intermodal (horas)'!C$45:C$1645&amp;'Tiempos intermodal (horas)'!D$45:D$1645,0))</f>
        <v>71.785824300863368</v>
      </c>
      <c r="J1054" s="2" cm="1">
        <f t="array" aca="1" ref="J1054" ca="1">INDEX('Tiempos carretera (horas)'!E$45:E$1645,MATCH(C1054&amp;D1054,'Tiempos carretera (horas)'!C$45:C$1645&amp;'Tiempos carretera (horas)'!D$45:D$1645,0))</f>
        <v>20.05</v>
      </c>
      <c r="K1054" s="12">
        <f t="shared" ca="1" si="102"/>
        <v>18.164291506234946</v>
      </c>
      <c r="L1054" s="12">
        <f t="shared" ca="1" si="103"/>
        <v>2.4917192101546775</v>
      </c>
      <c r="M1054" s="12">
        <f t="shared" ca="1" si="104"/>
        <v>0.44952480988389454</v>
      </c>
      <c r="N1054" s="13">
        <f t="shared" ca="1" si="100"/>
        <v>15.672572296080268</v>
      </c>
      <c r="O1054" s="13">
        <f t="shared" ca="1" si="101"/>
        <v>-51.735824300863371</v>
      </c>
      <c r="P1054" s="12">
        <f t="shared" ca="1" si="105"/>
        <v>0.20259084044720901</v>
      </c>
    </row>
    <row r="1055" spans="1:16" x14ac:dyDescent="0.25">
      <c r="A1055">
        <v>34</v>
      </c>
      <c r="B1055">
        <v>40</v>
      </c>
      <c r="C1055" s="2" t="s">
        <v>33</v>
      </c>
      <c r="D1055" s="2" t="s">
        <v>39</v>
      </c>
      <c r="E1055" s="11" cm="1">
        <f t="array" aca="1" ref="E1055" ca="1">INDEX('OD flujo mercancia multimodal'!E$45:E$1645,MATCH(C1055&amp;D1055,'OD flujo mercancia multimodal'!C$45:C$1645&amp;'OD flujo mercancia multimodal'!D$45:D$1645,0))</f>
        <v>134396.53846153847</v>
      </c>
      <c r="F1055" s="11" cm="1">
        <f t="array" aca="1" ref="F1055" ca="1">INDEX('OD flujo mercancia carretera'!E$45:E$1646,MATCH(C1055&amp;D1055,'OD flujo mercancia carretera'!C$45:C$1646&amp;'OD flujo mercancia carretera'!D$45:D$1646,0))</f>
        <v>347228.3693528694</v>
      </c>
      <c r="G1055" s="11" cm="1">
        <f t="array" aca="1" ref="G1055" ca="1">INDEX('Coste Carretera'!E$46:E$1646,MATCH(C1055&amp;D1055,'Coste Carretera'!C$46:C$1646&amp;'Coste Carretera'!D$46:D$1646,0))</f>
        <v>3827033872.48</v>
      </c>
      <c r="H1055" s="11" cm="1">
        <f t="array" aca="1" ref="H1055" ca="1">INDEX('Coste multimodal'!E$46:E$1646,MATCH(C1055&amp;D1055,'Coste multimodal'!C$46:C$1646&amp;'Coste multimodal'!D$46:D$1646,0))</f>
        <v>859592694.14437628</v>
      </c>
      <c r="I1055" s="12" cm="1">
        <f t="array" aca="1" ref="I1055" ca="1">INDEX('Tiempos intermodal (horas)'!E$45:E$1645,MATCH(C1055&amp;D1055,'Tiempos intermodal (horas)'!C$45:C$1645&amp;'Tiempos intermodal (horas)'!D$45:D$1645,0))</f>
        <v>80.633422906109232</v>
      </c>
      <c r="J1055" s="2" cm="1">
        <f t="array" aca="1" ref="J1055" ca="1">INDEX('Tiempos carretera (horas)'!E$45:E$1645,MATCH(C1055&amp;D1055,'Tiempos carretera (horas)'!C$45:C$1645&amp;'Tiempos carretera (horas)'!D$45:D$1645,0))</f>
        <v>22.33</v>
      </c>
      <c r="K1055" s="12">
        <f t="shared" ca="1" si="102"/>
        <v>11.021662428137583</v>
      </c>
      <c r="L1055" s="12">
        <f t="shared" ca="1" si="103"/>
        <v>6.3959437049814651</v>
      </c>
      <c r="M1055" s="12">
        <f t="shared" ca="1" si="104"/>
        <v>0.27904814780328518</v>
      </c>
      <c r="N1055" s="13">
        <f t="shared" ca="1" si="100"/>
        <v>4.6257187231561181</v>
      </c>
      <c r="O1055" s="13">
        <f t="shared" ca="1" si="101"/>
        <v>-58.303422906109233</v>
      </c>
      <c r="P1055" s="12">
        <f t="shared" ca="1" si="105"/>
        <v>0.94918801615097159</v>
      </c>
    </row>
    <row r="1056" spans="1:16" x14ac:dyDescent="0.25">
      <c r="A1056">
        <v>41</v>
      </c>
      <c r="B1056">
        <v>21</v>
      </c>
      <c r="C1056" s="2" t="s">
        <v>40</v>
      </c>
      <c r="D1056" s="2" t="s">
        <v>20</v>
      </c>
      <c r="E1056" s="11" cm="1">
        <f t="array" aca="1" ref="E1056" ca="1">INDEX('OD flujo mercancia multimodal'!E$45:E$1645,MATCH(C1056&amp;D1056,'OD flujo mercancia multimodal'!C$45:C$1645&amp;'OD flujo mercancia multimodal'!D$45:D$1645,0))</f>
        <v>44983.461538461546</v>
      </c>
      <c r="F1056" s="11" cm="1">
        <f t="array" aca="1" ref="F1056" ca="1">INDEX('OD flujo mercancia carretera'!E$45:E$1646,MATCH(C1056&amp;D1056,'OD flujo mercancia carretera'!C$45:C$1646&amp;'OD flujo mercancia carretera'!D$45:D$1646,0))</f>
        <v>173943.83333333299</v>
      </c>
      <c r="G1056" s="11" cm="1">
        <f t="array" aca="1" ref="G1056" ca="1">INDEX('Coste Carretera'!E$46:E$1646,MATCH(C1056&amp;D1056,'Coste Carretera'!C$46:C$1646&amp;'Coste Carretera'!D$46:D$1646,0))</f>
        <v>4080491093.920001</v>
      </c>
      <c r="H1056" s="11" cm="1">
        <f t="array" aca="1" ref="H1056" ca="1">INDEX('Coste multimodal'!E$46:E$1646,MATCH(C1056&amp;D1056,'Coste multimodal'!C$46:C$1646&amp;'Coste multimodal'!D$46:D$1646,0))</f>
        <v>441894696.80872822</v>
      </c>
      <c r="I1056" s="12" cm="1">
        <f t="array" aca="1" ref="I1056" ca="1">INDEX('Tiempos intermodal (horas)'!E$45:E$1645,MATCH(C1056&amp;D1056,'Tiempos intermodal (horas)'!C$45:C$1645&amp;'Tiempos intermodal (horas)'!D$45:D$1645,0))</f>
        <v>74.706866259618991</v>
      </c>
      <c r="J1056" s="2" cm="1">
        <f t="array" aca="1" ref="J1056" ca="1">INDEX('Tiempos carretera (horas)'!E$45:E$1645,MATCH(C1056&amp;D1056,'Tiempos carretera (horas)'!C$45:C$1645&amp;'Tiempos carretera (horas)'!D$45:D$1645,0))</f>
        <v>19.899999999999999</v>
      </c>
      <c r="K1056" s="12">
        <f t="shared" ca="1" si="102"/>
        <v>23.458670627894307</v>
      </c>
      <c r="L1056" s="12">
        <f t="shared" ca="1" si="103"/>
        <v>9.8234924947005577</v>
      </c>
      <c r="M1056" s="12">
        <f t="shared" ca="1" si="104"/>
        <v>0.20547214802432104</v>
      </c>
      <c r="N1056" s="13">
        <f t="shared" ca="1" si="100"/>
        <v>13.635178133193749</v>
      </c>
      <c r="O1056" s="13">
        <f t="shared" ca="1" si="101"/>
        <v>-54.806866259618992</v>
      </c>
      <c r="P1056" s="12">
        <f t="shared" ca="1" si="105"/>
        <v>1.3524375493192473</v>
      </c>
    </row>
    <row r="1057" spans="1:16" x14ac:dyDescent="0.25">
      <c r="A1057">
        <v>21</v>
      </c>
      <c r="B1057">
        <v>41</v>
      </c>
      <c r="C1057" s="2" t="s">
        <v>20</v>
      </c>
      <c r="D1057" s="2" t="s">
        <v>40</v>
      </c>
      <c r="E1057" s="11" cm="1">
        <f t="array" aca="1" ref="E1057" ca="1">INDEX('OD flujo mercancia multimodal'!E$45:E$1645,MATCH(C1057&amp;D1057,'OD flujo mercancia multimodal'!C$45:C$1645&amp;'OD flujo mercancia multimodal'!D$45:D$1645,0))</f>
        <v>45272.230769230766</v>
      </c>
      <c r="F1057" s="11" cm="1">
        <f t="array" aca="1" ref="F1057" ca="1">INDEX('OD flujo mercancia carretera'!E$45:E$1646,MATCH(C1057&amp;D1057,'OD flujo mercancia carretera'!C$45:C$1646&amp;'OD flujo mercancia carretera'!D$45:D$1646,0))</f>
        <v>130790.4926739927</v>
      </c>
      <c r="G1057" s="11" cm="1">
        <f t="array" aca="1" ref="G1057" ca="1">INDEX('Coste Carretera'!E$46:E$1646,MATCH(C1057&amp;D1057,'Coste Carretera'!C$46:C$1646&amp;'Coste Carretera'!D$46:D$1646,0))</f>
        <v>3327568320.9999995</v>
      </c>
      <c r="H1057" s="11" cm="1">
        <f t="array" aca="1" ref="H1057" ca="1">INDEX('Coste multimodal'!E$46:E$1646,MATCH(C1057&amp;D1057,'Coste multimodal'!C$46:C$1646&amp;'Coste multimodal'!D$46:D$1646,0))</f>
        <v>435667630.54029977</v>
      </c>
      <c r="I1057" s="12" cm="1">
        <f t="array" aca="1" ref="I1057" ca="1">INDEX('Tiempos intermodal (horas)'!E$45:E$1645,MATCH(C1057&amp;D1057,'Tiempos intermodal (horas)'!C$45:C$1645&amp;'Tiempos intermodal (horas)'!D$45:D$1645,0))</f>
        <v>76.848329778997751</v>
      </c>
      <c r="J1057" s="2" cm="1">
        <f t="array" aca="1" ref="J1057" ca="1">INDEX('Tiempos carretera (horas)'!E$45:E$1645,MATCH(C1057&amp;D1057,'Tiempos carretera (horas)'!C$45:C$1645&amp;'Tiempos carretera (horas)'!D$45:D$1645,0))</f>
        <v>19.88</v>
      </c>
      <c r="K1057" s="12">
        <f t="shared" ca="1" si="102"/>
        <v>25.441974053070268</v>
      </c>
      <c r="L1057" s="12">
        <f t="shared" ca="1" si="103"/>
        <v>9.623286132310513</v>
      </c>
      <c r="M1057" s="12">
        <f t="shared" ca="1" si="104"/>
        <v>0.25713694462888459</v>
      </c>
      <c r="N1057" s="13">
        <f t="shared" ca="1" si="100"/>
        <v>15.818687920759755</v>
      </c>
      <c r="O1057" s="13">
        <f t="shared" ca="1" si="101"/>
        <v>-56.968329778997756</v>
      </c>
      <c r="P1057" s="12">
        <f t="shared" ca="1" si="105"/>
        <v>1.0609029131812522</v>
      </c>
    </row>
    <row r="1058" spans="1:16" x14ac:dyDescent="0.25">
      <c r="A1058">
        <v>31</v>
      </c>
      <c r="B1058">
        <v>24</v>
      </c>
      <c r="C1058" s="2" t="s">
        <v>30</v>
      </c>
      <c r="D1058" s="2" t="s">
        <v>23</v>
      </c>
      <c r="E1058" s="11" cm="1">
        <f t="array" aca="1" ref="E1058" ca="1">INDEX('OD flujo mercancia multimodal'!E$45:E$1645,MATCH(C1058&amp;D1058,'OD flujo mercancia multimodal'!C$45:C$1645&amp;'OD flujo mercancia multimodal'!D$45:D$1645,0))</f>
        <v>9420.3846153846134</v>
      </c>
      <c r="F1058" s="11" cm="1">
        <f t="array" aca="1" ref="F1058" ca="1">INDEX('OD flujo mercancia carretera'!E$45:E$1646,MATCH(C1058&amp;D1058,'OD flujo mercancia carretera'!C$45:C$1646&amp;'OD flujo mercancia carretera'!D$45:D$1646,0))</f>
        <v>87774.974358974388</v>
      </c>
      <c r="G1058" s="11" cm="1">
        <f t="array" aca="1" ref="G1058" ca="1">INDEX('Coste Carretera'!E$46:E$1646,MATCH(C1058&amp;D1058,'Coste Carretera'!C$46:C$1646&amp;'Coste Carretera'!D$46:D$1646,0))</f>
        <v>621911560.19999993</v>
      </c>
      <c r="H1058" s="11" cm="1">
        <f t="array" aca="1" ref="H1058" ca="1">INDEX('Coste multimodal'!E$46:E$1646,MATCH(C1058&amp;D1058,'Coste multimodal'!C$46:C$1646&amp;'Coste multimodal'!D$46:D$1646,0))</f>
        <v>329694226.42570376</v>
      </c>
      <c r="I1058" s="12" cm="1">
        <f t="array" aca="1" ref="I1058" ca="1">INDEX('Tiempos intermodal (horas)'!E$45:E$1645,MATCH(C1058&amp;D1058,'Tiempos intermodal (horas)'!C$45:C$1645&amp;'Tiempos intermodal (horas)'!D$45:D$1645,0))</f>
        <v>70.110569834482902</v>
      </c>
      <c r="J1058" s="2" cm="1">
        <f t="array" aca="1" ref="J1058" ca="1">INDEX('Tiempos carretera (horas)'!E$45:E$1645,MATCH(C1058&amp;D1058,'Tiempos carretera (horas)'!C$45:C$1645&amp;'Tiempos carretera (horas)'!D$45:D$1645,0))</f>
        <v>13.08</v>
      </c>
      <c r="K1058" s="12">
        <f t="shared" ca="1" si="102"/>
        <v>7.0852946952346647</v>
      </c>
      <c r="L1058" s="12">
        <f t="shared" ca="1" si="103"/>
        <v>34.997958139338991</v>
      </c>
      <c r="M1058" s="12">
        <f t="shared" ca="1" si="104"/>
        <v>9.6922164955116782E-2</v>
      </c>
      <c r="N1058" s="13">
        <f t="shared" ca="1" si="100"/>
        <v>-27.912663444104325</v>
      </c>
      <c r="O1058" s="13">
        <f t="shared" ca="1" si="101"/>
        <v>-57.030569834482904</v>
      </c>
      <c r="P1058" s="12">
        <f t="shared" ca="1" si="105"/>
        <v>2.2319005125188314</v>
      </c>
    </row>
    <row r="1059" spans="1:16" x14ac:dyDescent="0.25">
      <c r="A1059">
        <v>24</v>
      </c>
      <c r="B1059">
        <v>31</v>
      </c>
      <c r="C1059" s="2" t="s">
        <v>23</v>
      </c>
      <c r="D1059" s="2" t="s">
        <v>30</v>
      </c>
      <c r="E1059" s="11" cm="1">
        <f t="array" aca="1" ref="E1059" ca="1">INDEX('OD flujo mercancia multimodal'!E$45:E$1645,MATCH(C1059&amp;D1059,'OD flujo mercancia multimodal'!C$45:C$1645&amp;'OD flujo mercancia multimodal'!D$45:D$1645,0))</f>
        <v>6382.923076923078</v>
      </c>
      <c r="F1059" s="11" cm="1">
        <f t="array" aca="1" ref="F1059" ca="1">INDEX('OD flujo mercancia carretera'!E$45:E$1646,MATCH(C1059&amp;D1059,'OD flujo mercancia carretera'!C$45:C$1646&amp;'OD flujo mercancia carretera'!D$45:D$1646,0))</f>
        <v>106323.6923076923</v>
      </c>
      <c r="G1059" s="11" cm="1">
        <f t="array" aca="1" ref="G1059" ca="1">INDEX('Coste Carretera'!E$46:E$1646,MATCH(C1059&amp;D1059,'Coste Carretera'!C$46:C$1646&amp;'Coste Carretera'!D$46:D$1646,0))</f>
        <v>758791011.49199998</v>
      </c>
      <c r="H1059" s="11" cm="1">
        <f t="array" aca="1" ref="H1059" ca="1">INDEX('Coste multimodal'!E$46:E$1646,MATCH(C1059&amp;D1059,'Coste multimodal'!C$46:C$1646&amp;'Coste multimodal'!D$46:D$1646,0))</f>
        <v>329694226.42570376</v>
      </c>
      <c r="I1059" s="12" cm="1">
        <f t="array" aca="1" ref="I1059" ca="1">INDEX('Tiempos intermodal (horas)'!E$45:E$1645,MATCH(C1059&amp;D1059,'Tiempos intermodal (horas)'!C$45:C$1645&amp;'Tiempos intermodal (horas)'!D$45:D$1645,0))</f>
        <v>70.110569834482902</v>
      </c>
      <c r="J1059" s="2" cm="1">
        <f t="array" aca="1" ref="J1059" ca="1">INDEX('Tiempos carretera (horas)'!E$45:E$1645,MATCH(C1059&amp;D1059,'Tiempos carretera (horas)'!C$45:C$1645&amp;'Tiempos carretera (horas)'!D$45:D$1645,0))</f>
        <v>13.08</v>
      </c>
      <c r="K1059" s="12">
        <f t="shared" ca="1" si="102"/>
        <v>7.136612687378455</v>
      </c>
      <c r="L1059" s="12">
        <f t="shared" ca="1" si="103"/>
        <v>51.652545777605489</v>
      </c>
      <c r="M1059" s="12">
        <f t="shared" ca="1" si="104"/>
        <v>5.663308276218857E-2</v>
      </c>
      <c r="N1059" s="13">
        <f t="shared" ca="1" si="100"/>
        <v>-44.515933090227037</v>
      </c>
      <c r="O1059" s="13">
        <f t="shared" ca="1" si="101"/>
        <v>-57.030569834482904</v>
      </c>
      <c r="P1059" s="12">
        <f t="shared" ca="1" si="105"/>
        <v>2.8128619870939873</v>
      </c>
    </row>
    <row r="1060" spans="1:16" x14ac:dyDescent="0.25">
      <c r="A1060">
        <v>31</v>
      </c>
      <c r="B1060">
        <v>25</v>
      </c>
      <c r="C1060" s="2" t="s">
        <v>30</v>
      </c>
      <c r="D1060" s="2" t="s">
        <v>24</v>
      </c>
      <c r="E1060" s="11" cm="1">
        <f t="array" aca="1" ref="E1060" ca="1">INDEX('OD flujo mercancia multimodal'!E$45:E$1645,MATCH(C1060&amp;D1060,'OD flujo mercancia multimodal'!C$45:C$1645&amp;'OD flujo mercancia multimodal'!D$45:D$1645,0))</f>
        <v>7025.0000000000027</v>
      </c>
      <c r="F1060" s="11" cm="1">
        <f t="array" aca="1" ref="F1060" ca="1">INDEX('OD flujo mercancia carretera'!E$45:E$1646,MATCH(C1060&amp;D1060,'OD flujo mercancia carretera'!C$45:C$1646&amp;'OD flujo mercancia carretera'!D$45:D$1646,0))</f>
        <v>80722.641025640987</v>
      </c>
      <c r="G1060" s="11" cm="1">
        <f t="array" aca="1" ref="G1060" ca="1">INDEX('Coste Carretera'!E$46:E$1646,MATCH(C1060&amp;D1060,'Coste Carretera'!C$46:C$1646&amp;'Coste Carretera'!D$46:D$1646,0))</f>
        <v>411382595.00000012</v>
      </c>
      <c r="H1060" s="11" cm="1">
        <f t="array" aca="1" ref="H1060" ca="1">INDEX('Coste multimodal'!E$46:E$1646,MATCH(C1060&amp;D1060,'Coste multimodal'!C$46:C$1646&amp;'Coste multimodal'!D$46:D$1646,0))</f>
        <v>305176260.28570372</v>
      </c>
      <c r="I1060" s="12" cm="1">
        <f t="array" aca="1" ref="I1060" ca="1">INDEX('Tiempos intermodal (horas)'!E$45:E$1645,MATCH(C1060&amp;D1060,'Tiempos intermodal (horas)'!C$45:C$1645&amp;'Tiempos intermodal (horas)'!D$45:D$1645,0))</f>
        <v>68.771680945594014</v>
      </c>
      <c r="J1060" s="2" cm="1">
        <f t="array" aca="1" ref="J1060" ca="1">INDEX('Tiempos carretera (horas)'!E$45:E$1645,MATCH(C1060&amp;D1060,'Tiempos carretera (horas)'!C$45:C$1645&amp;'Tiempos carretera (horas)'!D$45:D$1645,0))</f>
        <v>11.66</v>
      </c>
      <c r="K1060" s="12">
        <f t="shared" ca="1" si="102"/>
        <v>5.096247964301952</v>
      </c>
      <c r="L1060" s="12">
        <f t="shared" ca="1" si="103"/>
        <v>43.44146053889019</v>
      </c>
      <c r="M1060" s="12">
        <f t="shared" ca="1" si="104"/>
        <v>8.0059132278521392E-2</v>
      </c>
      <c r="N1060" s="13">
        <f t="shared" ca="1" si="100"/>
        <v>-38.345212574588238</v>
      </c>
      <c r="O1060" s="13">
        <f t="shared" ca="1" si="101"/>
        <v>-57.111680945594017</v>
      </c>
      <c r="P1060" s="12">
        <f t="shared" ca="1" si="105"/>
        <v>2.4415438786456245</v>
      </c>
    </row>
    <row r="1061" spans="1:16" x14ac:dyDescent="0.25">
      <c r="A1061">
        <v>25</v>
      </c>
      <c r="B1061">
        <v>31</v>
      </c>
      <c r="C1061" s="2" t="s">
        <v>24</v>
      </c>
      <c r="D1061" s="2" t="s">
        <v>30</v>
      </c>
      <c r="E1061" s="11" cm="1">
        <f t="array" aca="1" ref="E1061" ca="1">INDEX('OD flujo mercancia multimodal'!E$45:E$1645,MATCH(C1061&amp;D1061,'OD flujo mercancia multimodal'!C$45:C$1645&amp;'OD flujo mercancia multimodal'!D$45:D$1645,0))</f>
        <v>6344.7692307692323</v>
      </c>
      <c r="F1061" s="11" cm="1">
        <f t="array" aca="1" ref="F1061" ca="1">INDEX('OD flujo mercancia carretera'!E$45:E$1646,MATCH(C1061&amp;D1061,'OD flujo mercancia carretera'!C$45:C$1646&amp;'OD flujo mercancia carretera'!D$45:D$1646,0))</f>
        <v>89278.025641025626</v>
      </c>
      <c r="G1061" s="11" cm="1">
        <f t="array" aca="1" ref="G1061" ca="1">INDEX('Coste Carretera'!E$46:E$1646,MATCH(C1061&amp;D1061,'Coste Carretera'!C$46:C$1646&amp;'Coste Carretera'!D$46:D$1646,0))</f>
        <v>670838095.33999991</v>
      </c>
      <c r="H1061" s="11" cm="1">
        <f t="array" aca="1" ref="H1061" ca="1">INDEX('Coste multimodal'!E$46:E$1646,MATCH(C1061&amp;D1061,'Coste multimodal'!C$46:C$1646&amp;'Coste multimodal'!D$46:D$1646,0))</f>
        <v>305176260.28570372</v>
      </c>
      <c r="I1061" s="12" cm="1">
        <f t="array" aca="1" ref="I1061" ca="1">INDEX('Tiempos intermodal (horas)'!E$45:E$1645,MATCH(C1061&amp;D1061,'Tiempos intermodal (horas)'!C$45:C$1645&amp;'Tiempos intermodal (horas)'!D$45:D$1645,0))</f>
        <v>68.771680945594014</v>
      </c>
      <c r="J1061" s="2" cm="1">
        <f t="array" aca="1" ref="J1061" ca="1">INDEX('Tiempos carretera (horas)'!E$45:E$1645,MATCH(C1061&amp;D1061,'Tiempos carretera (horas)'!C$45:C$1645&amp;'Tiempos carretera (horas)'!D$45:D$1645,0))</f>
        <v>11.66</v>
      </c>
      <c r="K1061" s="12">
        <f t="shared" ca="1" si="102"/>
        <v>7.5140337224452676</v>
      </c>
      <c r="L1061" s="12">
        <f t="shared" ca="1" si="103"/>
        <v>48.098874708592753</v>
      </c>
      <c r="M1061" s="12">
        <f t="shared" ca="1" si="104"/>
        <v>6.6352057992823857E-2</v>
      </c>
      <c r="N1061" s="13">
        <f t="shared" ca="1" si="100"/>
        <v>-40.584840986147483</v>
      </c>
      <c r="O1061" s="13">
        <f t="shared" ca="1" si="101"/>
        <v>-57.111680945594017</v>
      </c>
      <c r="P1061" s="12">
        <f t="shared" ca="1" si="105"/>
        <v>2.6441246538968519</v>
      </c>
    </row>
    <row r="1062" spans="1:16" x14ac:dyDescent="0.25">
      <c r="A1062">
        <v>3</v>
      </c>
      <c r="B1062">
        <v>38</v>
      </c>
      <c r="C1062" s="2" t="s">
        <v>2</v>
      </c>
      <c r="D1062" s="2" t="s">
        <v>37</v>
      </c>
      <c r="E1062" s="11" cm="1">
        <f t="array" aca="1" ref="E1062" ca="1">INDEX('OD flujo mercancia multimodal'!E$45:E$1645,MATCH(C1062&amp;D1062,'OD flujo mercancia multimodal'!C$45:C$1645&amp;'OD flujo mercancia multimodal'!D$45:D$1645,0))</f>
        <v>15084.571428571429</v>
      </c>
      <c r="F1062" s="11" cm="1">
        <f t="array" aca="1" ref="F1062" ca="1">INDEX('OD flujo mercancia carretera'!E$45:E$1646,MATCH(C1062&amp;D1062,'OD flujo mercancia carretera'!C$45:C$1646&amp;'OD flujo mercancia carretera'!D$45:D$1646,0))</f>
        <v>44658.153846153851</v>
      </c>
      <c r="G1062" s="11" cm="1">
        <f t="array" aca="1" ref="G1062" ca="1">INDEX('Coste Carretera'!E$46:E$1646,MATCH(C1062&amp;D1062,'Coste Carretera'!C$46:C$1646&amp;'Coste Carretera'!D$46:D$1646,0))</f>
        <v>2892817553.3828621</v>
      </c>
      <c r="H1062" s="11" cm="1">
        <f t="array" aca="1" ref="H1062" ca="1">INDEX('Coste multimodal'!E$46:E$1646,MATCH(C1062&amp;D1062,'Coste multimodal'!C$46:C$1646&amp;'Coste multimodal'!D$46:D$1646,0))</f>
        <v>228270751.64191073</v>
      </c>
      <c r="I1062" s="12" cm="1">
        <f t="array" aca="1" ref="I1062" ca="1">INDEX('Tiempos intermodal (horas)'!E$45:E$1645,MATCH(C1062&amp;D1062,'Tiempos intermodal (horas)'!C$45:C$1645&amp;'Tiempos intermodal (horas)'!D$45:D$1645,0))</f>
        <v>76.778452561936945</v>
      </c>
      <c r="J1062" s="2" cm="1">
        <f t="array" aca="1" ref="J1062" ca="1">INDEX('Tiempos carretera (horas)'!E$45:E$1645,MATCH(C1062&amp;D1062,'Tiempos carretera (horas)'!C$45:C$1645&amp;'Tiempos carretera (horas)'!D$45:D$1645,0))</f>
        <v>21.03</v>
      </c>
      <c r="K1062" s="12">
        <f t="shared" ca="1" si="102"/>
        <v>64.776917634090779</v>
      </c>
      <c r="L1062" s="12">
        <f t="shared" ca="1" si="103"/>
        <v>15.132730334621705</v>
      </c>
      <c r="M1062" s="12">
        <f t="shared" ca="1" si="104"/>
        <v>0.2524921881150457</v>
      </c>
      <c r="N1062" s="13">
        <f t="shared" ca="1" si="100"/>
        <v>49.644187299469074</v>
      </c>
      <c r="O1062" s="13">
        <f t="shared" ca="1" si="101"/>
        <v>-55.748452561936944</v>
      </c>
      <c r="P1062" s="12">
        <f t="shared" ca="1" si="105"/>
        <v>1.0853644458138616</v>
      </c>
    </row>
    <row r="1063" spans="1:16" x14ac:dyDescent="0.25">
      <c r="A1063">
        <v>40</v>
      </c>
      <c r="B1063">
        <v>35</v>
      </c>
      <c r="C1063" s="2" t="s">
        <v>39</v>
      </c>
      <c r="D1063" s="2" t="s">
        <v>34</v>
      </c>
      <c r="E1063" s="11" cm="1">
        <f t="array" aca="1" ref="E1063" ca="1">INDEX('OD flujo mercancia multimodal'!E$45:E$1645,MATCH(C1063&amp;D1063,'OD flujo mercancia multimodal'!C$45:C$1645&amp;'OD flujo mercancia multimodal'!D$45:D$1645,0))</f>
        <v>25798.538461538479</v>
      </c>
      <c r="F1063" s="11" cm="1">
        <f t="array" aca="1" ref="F1063" ca="1">INDEX('OD flujo mercancia carretera'!E$45:E$1646,MATCH(C1063&amp;D1063,'OD flujo mercancia carretera'!C$45:C$1646&amp;'OD flujo mercancia carretera'!D$45:D$1646,0))</f>
        <v>115145.05128205132</v>
      </c>
      <c r="G1063" s="11" cm="1">
        <f t="array" aca="1" ref="G1063" ca="1">INDEX('Coste Carretera'!E$46:E$1646,MATCH(C1063&amp;D1063,'Coste Carretera'!C$46:C$1646&amp;'Coste Carretera'!D$46:D$1646,0))</f>
        <v>31004332383.960022</v>
      </c>
      <c r="H1063" s="11" cm="1">
        <f t="array" aca="1" ref="H1063" ca="1">INDEX('Coste multimodal'!E$46:E$1646,MATCH(C1063&amp;D1063,'Coste multimodal'!C$46:C$1646&amp;'Coste multimodal'!D$46:D$1646,0))</f>
        <v>938704196.21324885</v>
      </c>
      <c r="I1063" s="12" cm="1">
        <f t="array" aca="1" ref="I1063" ca="1">INDEX('Tiempos intermodal (horas)'!E$45:E$1645,MATCH(C1063&amp;D1063,'Tiempos intermodal (horas)'!C$45:C$1645&amp;'Tiempos intermodal (horas)'!D$45:D$1645,0))</f>
        <v>72.7102687453078</v>
      </c>
      <c r="J1063" s="2" cm="1">
        <f t="array" aca="1" ref="J1063" ca="1">INDEX('Tiempos carretera (horas)'!E$45:E$1645,MATCH(C1063&amp;D1063,'Tiempos carretera (horas)'!C$45:C$1645&amp;'Tiempos carretera (horas)'!D$45:D$1645,0))</f>
        <v>20.18</v>
      </c>
      <c r="K1063" s="12">
        <f t="shared" ca="1" si="102"/>
        <v>269.26326436742784</v>
      </c>
      <c r="L1063" s="12">
        <f t="shared" ca="1" si="103"/>
        <v>36.385944793450513</v>
      </c>
      <c r="M1063" s="12">
        <f t="shared" ca="1" si="104"/>
        <v>0.18304158783292102</v>
      </c>
      <c r="N1063" s="13">
        <f t="shared" ca="1" si="100"/>
        <v>232.87731957397733</v>
      </c>
      <c r="O1063" s="13">
        <f t="shared" ca="1" si="101"/>
        <v>-52.530268745307801</v>
      </c>
      <c r="P1063" s="12">
        <f t="shared" ca="1" si="105"/>
        <v>1.495874807523818</v>
      </c>
    </row>
    <row r="1064" spans="1:16" x14ac:dyDescent="0.25">
      <c r="A1064">
        <v>35</v>
      </c>
      <c r="B1064">
        <v>40</v>
      </c>
      <c r="C1064" s="2" t="s">
        <v>34</v>
      </c>
      <c r="D1064" s="2" t="s">
        <v>39</v>
      </c>
      <c r="E1064" s="11" cm="1">
        <f t="array" aca="1" ref="E1064" ca="1">INDEX('OD flujo mercancia multimodal'!E$45:E$1645,MATCH(C1064&amp;D1064,'OD flujo mercancia multimodal'!C$45:C$1645&amp;'OD flujo mercancia multimodal'!D$45:D$1645,0))</f>
        <v>19468.076923076922</v>
      </c>
      <c r="F1064" s="11" cm="1">
        <f t="array" aca="1" ref="F1064" ca="1">INDEX('OD flujo mercancia carretera'!E$45:E$1646,MATCH(C1064&amp;D1064,'OD flujo mercancia carretera'!C$45:C$1646&amp;'OD flujo mercancia carretera'!D$45:D$1646,0))</f>
        <v>86726.527472527509</v>
      </c>
      <c r="G1064" s="11" cm="1">
        <f t="array" aca="1" ref="G1064" ca="1">INDEX('Coste Carretera'!E$46:E$1646,MATCH(C1064&amp;D1064,'Coste Carretera'!C$46:C$1646&amp;'Coste Carretera'!D$46:D$1646,0))</f>
        <v>14758888795.839998</v>
      </c>
      <c r="H1064" s="11" cm="1">
        <f t="array" aca="1" ref="H1064" ca="1">INDEX('Coste multimodal'!E$46:E$1646,MATCH(C1064&amp;D1064,'Coste multimodal'!C$46:C$1646&amp;'Coste multimodal'!D$46:D$1646,0))</f>
        <v>1052076246.2883762</v>
      </c>
      <c r="I1064" s="12" cm="1">
        <f t="array" aca="1" ref="I1064" ca="1">INDEX('Tiempos intermodal (horas)'!E$45:E$1645,MATCH(C1064&amp;D1064,'Tiempos intermodal (horas)'!C$45:C$1645&amp;'Tiempos intermodal (horas)'!D$45:D$1645,0))</f>
        <v>81.557867350553678</v>
      </c>
      <c r="J1064" s="2" cm="1">
        <f t="array" aca="1" ref="J1064" ca="1">INDEX('Tiempos carretera (horas)'!E$45:E$1645,MATCH(C1064&amp;D1064,'Tiempos carretera (horas)'!C$45:C$1645&amp;'Tiempos carretera (horas)'!D$45:D$1645,0))</f>
        <v>22.42</v>
      </c>
      <c r="K1064" s="12">
        <f t="shared" ca="1" si="102"/>
        <v>170.17732896679385</v>
      </c>
      <c r="L1064" s="12">
        <f t="shared" ca="1" si="103"/>
        <v>54.041097661848362</v>
      </c>
      <c r="M1064" s="12">
        <f t="shared" ca="1" si="104"/>
        <v>0.18332453926334075</v>
      </c>
      <c r="N1064" s="13">
        <f t="shared" ca="1" si="100"/>
        <v>116.13623130494548</v>
      </c>
      <c r="O1064" s="13">
        <f t="shared" ca="1" si="101"/>
        <v>-59.137867350553677</v>
      </c>
      <c r="P1064" s="12">
        <f t="shared" ca="1" si="105"/>
        <v>1.493983762308239</v>
      </c>
    </row>
    <row r="1065" spans="1:16" x14ac:dyDescent="0.25">
      <c r="A1065">
        <v>40</v>
      </c>
      <c r="B1065">
        <v>1</v>
      </c>
      <c r="C1065" s="2" t="s">
        <v>39</v>
      </c>
      <c r="D1065" s="2" t="s">
        <v>0</v>
      </c>
      <c r="E1065" s="11" cm="1">
        <f t="array" aca="1" ref="E1065" ca="1">INDEX('OD flujo mercancia multimodal'!E$45:E$1645,MATCH(C1065&amp;D1065,'OD flujo mercancia multimodal'!C$45:C$1645&amp;'OD flujo mercancia multimodal'!D$45:D$1645,0))</f>
        <v>95182.994505494484</v>
      </c>
      <c r="F1065" s="11" cm="1">
        <f t="array" aca="1" ref="F1065" ca="1">INDEX('OD flujo mercancia carretera'!E$45:E$1646,MATCH(C1065&amp;D1065,'OD flujo mercancia carretera'!C$45:C$1646&amp;'OD flujo mercancia carretera'!D$45:D$1646,0))</f>
        <v>148202.35897435903</v>
      </c>
      <c r="G1065" s="11" cm="1">
        <f t="array" aca="1" ref="G1065" ca="1">INDEX('Coste Carretera'!E$46:E$1646,MATCH(C1065&amp;D1065,'Coste Carretera'!C$46:C$1646&amp;'Coste Carretera'!D$46:D$1646,0))</f>
        <v>9055701187.2228546</v>
      </c>
      <c r="H1065" s="11" cm="1">
        <f t="array" aca="1" ref="H1065" ca="1">INDEX('Coste multimodal'!E$46:E$1646,MATCH(C1065&amp;D1065,'Coste multimodal'!C$46:C$1646&amp;'Coste multimodal'!D$46:D$1646,0))</f>
        <v>605147113.44453001</v>
      </c>
      <c r="I1065" s="12" cm="1">
        <f t="array" aca="1" ref="I1065" ca="1">INDEX('Tiempos intermodal (horas)'!E$45:E$1645,MATCH(C1065&amp;D1065,'Tiempos intermodal (horas)'!C$45:C$1645&amp;'Tiempos intermodal (horas)'!D$45:D$1645,0))</f>
        <v>72.515117040869015</v>
      </c>
      <c r="J1065" s="2" cm="1">
        <f t="array" aca="1" ref="J1065" ca="1">INDEX('Tiempos carretera (horas)'!E$45:E$1645,MATCH(C1065&amp;D1065,'Tiempos carretera (horas)'!C$45:C$1645&amp;'Tiempos carretera (horas)'!D$45:D$1645,0))</f>
        <v>19.46</v>
      </c>
      <c r="K1065" s="12">
        <f t="shared" ca="1" si="102"/>
        <v>61.10362378772669</v>
      </c>
      <c r="L1065" s="12">
        <f t="shared" ca="1" si="103"/>
        <v>6.3577230007151915</v>
      </c>
      <c r="M1065" s="12">
        <f t="shared" ca="1" si="104"/>
        <v>0.39107938561049593</v>
      </c>
      <c r="N1065" s="13">
        <f t="shared" ca="1" si="100"/>
        <v>54.7459007870115</v>
      </c>
      <c r="O1065" s="13">
        <f t="shared" ca="1" si="101"/>
        <v>-53.055117040869014</v>
      </c>
      <c r="P1065" s="12">
        <f t="shared" ca="1" si="105"/>
        <v>0.44277733354383236</v>
      </c>
    </row>
    <row r="1066" spans="1:16" x14ac:dyDescent="0.25">
      <c r="A1066">
        <v>1</v>
      </c>
      <c r="B1066">
        <v>40</v>
      </c>
      <c r="C1066" s="2" t="s">
        <v>0</v>
      </c>
      <c r="D1066" s="2" t="s">
        <v>39</v>
      </c>
      <c r="E1066" s="11" cm="1">
        <f t="array" aca="1" ref="E1066" ca="1">INDEX('OD flujo mercancia multimodal'!E$45:E$1645,MATCH(C1066&amp;D1066,'OD flujo mercancia multimodal'!C$45:C$1645&amp;'OD flujo mercancia multimodal'!D$45:D$1645,0))</f>
        <v>95343.840659340669</v>
      </c>
      <c r="F1066" s="11" cm="1">
        <f t="array" aca="1" ref="F1066" ca="1">INDEX('OD flujo mercancia carretera'!E$45:E$1646,MATCH(C1066&amp;D1066,'OD flujo mercancia carretera'!C$45:C$1646&amp;'OD flujo mercancia carretera'!D$45:D$1646,0))</f>
        <v>120629.1428571429</v>
      </c>
      <c r="G1066" s="11" cm="1">
        <f t="array" aca="1" ref="G1066" ca="1">INDEX('Coste Carretera'!E$46:E$1646,MATCH(C1066&amp;D1066,'Coste Carretera'!C$46:C$1646&amp;'Coste Carretera'!D$46:D$1646,0))</f>
        <v>9667730677.4314289</v>
      </c>
      <c r="H1066" s="11" cm="1">
        <f t="array" aca="1" ref="H1066" ca="1">INDEX('Coste multimodal'!E$46:E$1646,MATCH(C1066&amp;D1066,'Coste multimodal'!C$46:C$1646&amp;'Coste multimodal'!D$46:D$1646,0))</f>
        <v>727836972.150262</v>
      </c>
      <c r="I1066" s="12" cm="1">
        <f t="array" aca="1" ref="I1066" ca="1">INDEX('Tiempos intermodal (horas)'!E$45:E$1645,MATCH(C1066&amp;D1066,'Tiempos intermodal (horas)'!C$45:C$1645&amp;'Tiempos intermodal (horas)'!D$45:D$1645,0))</f>
        <v>80.75419183910472</v>
      </c>
      <c r="J1066" s="2" cm="1">
        <f t="array" aca="1" ref="J1066" ca="1">INDEX('Tiempos carretera (horas)'!E$45:E$1645,MATCH(C1066&amp;D1066,'Tiempos carretera (horas)'!C$45:C$1645&amp;'Tiempos carretera (horas)'!D$45:D$1645,0))</f>
        <v>21.53</v>
      </c>
      <c r="K1066" s="12">
        <f t="shared" ca="1" si="102"/>
        <v>80.144237523768226</v>
      </c>
      <c r="L1066" s="12">
        <f t="shared" ca="1" si="103"/>
        <v>7.6338121803881531</v>
      </c>
      <c r="M1066" s="12">
        <f t="shared" ca="1" si="104"/>
        <v>0.44146188614403153</v>
      </c>
      <c r="N1066" s="13">
        <f t="shared" ca="1" si="100"/>
        <v>72.510425343380078</v>
      </c>
      <c r="O1066" s="13">
        <f t="shared" ca="1" si="101"/>
        <v>-59.224191839104719</v>
      </c>
      <c r="P1066" s="12">
        <f t="shared" ca="1" si="105"/>
        <v>0.23523117121435996</v>
      </c>
    </row>
    <row r="1067" spans="1:16" x14ac:dyDescent="0.25">
      <c r="A1067">
        <v>41</v>
      </c>
      <c r="B1067">
        <v>29</v>
      </c>
      <c r="C1067" s="2" t="s">
        <v>40</v>
      </c>
      <c r="D1067" s="2" t="s">
        <v>147</v>
      </c>
      <c r="E1067" s="11" cm="1">
        <f t="array" aca="1" ref="E1067" ca="1">INDEX('OD flujo mercancia multimodal'!E$45:E$1645,MATCH(C1067&amp;D1067,'OD flujo mercancia multimodal'!C$45:C$1645&amp;'OD flujo mercancia multimodal'!D$45:D$1645,0))</f>
        <v>44227.453846153847</v>
      </c>
      <c r="F1067" s="11" cm="1">
        <f t="array" aca="1" ref="F1067" ca="1">INDEX('OD flujo mercancia carretera'!E$45:E$1646,MATCH(C1067&amp;D1067,'OD flujo mercancia carretera'!C$45:C$1646&amp;'OD flujo mercancia carretera'!D$45:D$1646,0))</f>
        <v>428011.9</v>
      </c>
      <c r="G1067" s="11" cm="1">
        <f t="array" aca="1" ref="G1067" ca="1">INDEX('Coste Carretera'!E$46:E$1646,MATCH(C1067&amp;D1067,'Coste Carretera'!C$46:C$1646&amp;'Coste Carretera'!D$46:D$1646,0))</f>
        <v>3306604674.5440006</v>
      </c>
      <c r="H1067" s="11" cm="1">
        <f t="array" aca="1" ref="H1067" ca="1">INDEX('Coste multimodal'!E$46:E$1646,MATCH(C1067&amp;D1067,'Coste multimodal'!C$46:C$1646&amp;'Coste multimodal'!D$46:D$1646,0))</f>
        <v>616956375.50157952</v>
      </c>
      <c r="I1067" s="12" cm="1">
        <f t="array" aca="1" ref="I1067" ca="1">INDEX('Tiempos intermodal (horas)'!E$45:E$1645,MATCH(C1067&amp;D1067,'Tiempos intermodal (horas)'!C$45:C$1645&amp;'Tiempos intermodal (horas)'!D$45:D$1645,0))</f>
        <v>88.936470293262005</v>
      </c>
      <c r="J1067" s="2" cm="1">
        <f t="array" aca="1" ref="J1067" ca="1">INDEX('Tiempos carretera (horas)'!E$45:E$1645,MATCH(C1067&amp;D1067,'Tiempos carretera (horas)'!C$45:C$1645&amp;'Tiempos carretera (horas)'!D$45:D$1645,0))</f>
        <v>15.33</v>
      </c>
      <c r="K1067" s="12">
        <f t="shared" ca="1" si="102"/>
        <v>7.7254970587126213</v>
      </c>
      <c r="L1067" s="12">
        <f t="shared" ca="1" si="103"/>
        <v>13.949624539718601</v>
      </c>
      <c r="M1067" s="12">
        <f t="shared" ca="1" si="104"/>
        <v>9.3654739881255777E-2</v>
      </c>
      <c r="N1067" s="13">
        <f t="shared" ca="1" si="100"/>
        <v>-6.2241274810059792</v>
      </c>
      <c r="O1067" s="13">
        <f t="shared" ca="1" si="101"/>
        <v>-73.606470293262007</v>
      </c>
      <c r="P1067" s="12">
        <f t="shared" ca="1" si="105"/>
        <v>2.2698052749289039</v>
      </c>
    </row>
    <row r="1068" spans="1:16" x14ac:dyDescent="0.25">
      <c r="A1068">
        <v>29</v>
      </c>
      <c r="B1068">
        <v>41</v>
      </c>
      <c r="C1068" s="2" t="s">
        <v>147</v>
      </c>
      <c r="D1068" s="2" t="s">
        <v>40</v>
      </c>
      <c r="E1068" s="11" cm="1">
        <f t="array" aca="1" ref="E1068" ca="1">INDEX('OD flujo mercancia multimodal'!E$45:E$1645,MATCH(C1068&amp;D1068,'OD flujo mercancia multimodal'!C$45:C$1645&amp;'OD flujo mercancia multimodal'!D$45:D$1645,0))</f>
        <v>45360.492307692301</v>
      </c>
      <c r="F1068" s="11" cm="1">
        <f t="array" aca="1" ref="F1068" ca="1">INDEX('OD flujo mercancia carretera'!E$45:E$1646,MATCH(C1068&amp;D1068,'OD flujo mercancia carretera'!C$45:C$1646&amp;'OD flujo mercancia carretera'!D$45:D$1646,0))</f>
        <v>383482.59267399268</v>
      </c>
      <c r="G1068" s="11" cm="1">
        <f t="array" aca="1" ref="G1068" ca="1">INDEX('Coste Carretera'!E$46:E$1646,MATCH(C1068&amp;D1068,'Coste Carretera'!C$46:C$1646&amp;'Coste Carretera'!D$46:D$1646,0))</f>
        <v>2748922471.7759995</v>
      </c>
      <c r="H1068" s="11" cm="1">
        <f t="array" aca="1" ref="H1068" ca="1">INDEX('Coste multimodal'!E$46:E$1646,MATCH(C1068&amp;D1068,'Coste multimodal'!C$46:C$1646&amp;'Coste multimodal'!D$46:D$1646,0))</f>
        <v>771059335.80264378</v>
      </c>
      <c r="I1068" s="12" cm="1">
        <f t="array" aca="1" ref="I1068" ca="1">INDEX('Tiempos intermodal (horas)'!E$45:E$1645,MATCH(C1068&amp;D1068,'Tiempos intermodal (horas)'!C$45:C$1645&amp;'Tiempos intermodal (horas)'!D$45:D$1645,0))</f>
        <v>90.385359182150893</v>
      </c>
      <c r="J1068" s="2" cm="1">
        <f t="array" aca="1" ref="J1068" ca="1">INDEX('Tiempos carretera (horas)'!E$45:E$1645,MATCH(C1068&amp;D1068,'Tiempos carretera (horas)'!C$45:C$1645&amp;'Tiempos carretera (horas)'!D$45:D$1645,0))</f>
        <v>15.5</v>
      </c>
      <c r="K1068" s="12">
        <f t="shared" ca="1" si="102"/>
        <v>7.1683109593267025</v>
      </c>
      <c r="L1068" s="12">
        <f t="shared" ca="1" si="103"/>
        <v>16.998478115544753</v>
      </c>
      <c r="M1068" s="12">
        <f t="shared" ca="1" si="104"/>
        <v>0.10577410222116454</v>
      </c>
      <c r="N1068" s="13">
        <f t="shared" ca="1" si="100"/>
        <v>-9.8301671562180495</v>
      </c>
      <c r="O1068" s="13">
        <f t="shared" ca="1" si="101"/>
        <v>-74.885359182150893</v>
      </c>
      <c r="P1068" s="12">
        <f t="shared" ca="1" si="105"/>
        <v>2.1346527163917441</v>
      </c>
    </row>
    <row r="1069" spans="1:16" x14ac:dyDescent="0.25">
      <c r="A1069">
        <v>3</v>
      </c>
      <c r="B1069">
        <v>41</v>
      </c>
      <c r="C1069" s="2" t="s">
        <v>2</v>
      </c>
      <c r="D1069" s="2" t="s">
        <v>40</v>
      </c>
      <c r="E1069" s="11" cm="1">
        <f t="array" aca="1" ref="E1069" ca="1">INDEX('OD flujo mercancia multimodal'!E$45:E$1645,MATCH(C1069&amp;D1069,'OD flujo mercancia multimodal'!C$45:C$1645&amp;'OD flujo mercancia multimodal'!D$45:D$1645,0))</f>
        <v>37060.263736263732</v>
      </c>
      <c r="F1069" s="11" cm="1">
        <f t="array" aca="1" ref="F1069" ca="1">INDEX('OD flujo mercancia carretera'!E$45:E$1646,MATCH(C1069&amp;D1069,'OD flujo mercancia carretera'!C$45:C$1646&amp;'OD flujo mercancia carretera'!D$45:D$1646,0))</f>
        <v>58326.261904761937</v>
      </c>
      <c r="G1069" s="11" cm="1">
        <f t="array" aca="1" ref="G1069" ca="1">INDEX('Coste Carretera'!E$46:E$1646,MATCH(C1069&amp;D1069,'Coste Carretera'!C$46:C$1646&amp;'Coste Carretera'!D$46:D$1646,0))</f>
        <v>2577763735.5085716</v>
      </c>
      <c r="H1069" s="11" cm="1">
        <f t="array" aca="1" ref="H1069" ca="1">INDEX('Coste multimodal'!E$46:E$1646,MATCH(C1069&amp;D1069,'Coste multimodal'!C$46:C$1646&amp;'Coste multimodal'!D$46:D$1646,0))</f>
        <v>385236968.60191071</v>
      </c>
      <c r="I1069" s="12" cm="1">
        <f t="array" aca="1" ref="I1069" ca="1">INDEX('Tiempos intermodal (horas)'!E$45:E$1645,MATCH(C1069&amp;D1069,'Tiempos intermodal (horas)'!C$45:C$1645&amp;'Tiempos intermodal (horas)'!D$45:D$1645,0))</f>
        <v>76.178452561936936</v>
      </c>
      <c r="J1069" s="2" cm="1">
        <f t="array" aca="1" ref="J1069" ca="1">INDEX('Tiempos carretera (horas)'!E$45:E$1645,MATCH(C1069&amp;D1069,'Tiempos carretera (horas)'!C$45:C$1645&amp;'Tiempos carretera (horas)'!D$45:D$1645,0))</f>
        <v>20.05</v>
      </c>
      <c r="K1069" s="12">
        <f t="shared" ca="1" si="102"/>
        <v>44.195593054080412</v>
      </c>
      <c r="L1069" s="12">
        <f t="shared" ca="1" si="103"/>
        <v>10.394879306402604</v>
      </c>
      <c r="M1069" s="12">
        <f t="shared" ca="1" si="104"/>
        <v>0.38852724205235273</v>
      </c>
      <c r="N1069" s="13">
        <f t="shared" ca="1" si="100"/>
        <v>33.800713747677804</v>
      </c>
      <c r="O1069" s="13">
        <f t="shared" ca="1" si="101"/>
        <v>-56.128452561936939</v>
      </c>
      <c r="P1069" s="12">
        <f t="shared" ca="1" si="105"/>
        <v>0.45350711611852379</v>
      </c>
    </row>
    <row r="1070" spans="1:16" x14ac:dyDescent="0.25">
      <c r="A1070">
        <v>4</v>
      </c>
      <c r="B1070">
        <v>37</v>
      </c>
      <c r="C1070" s="2" t="s">
        <v>3</v>
      </c>
      <c r="D1070" s="2" t="s">
        <v>36</v>
      </c>
      <c r="E1070" s="11" cm="1">
        <f t="array" aca="1" ref="E1070" ca="1">INDEX('OD flujo mercancia multimodal'!E$45:E$1645,MATCH(C1070&amp;D1070,'OD flujo mercancia multimodal'!C$45:C$1645&amp;'OD flujo mercancia multimodal'!D$45:D$1645,0))</f>
        <v>39755.989010989055</v>
      </c>
      <c r="F1070" s="11" cm="1">
        <f t="array" aca="1" ref="F1070" ca="1">INDEX('OD flujo mercancia carretera'!E$45:E$1646,MATCH(C1070&amp;D1070,'OD flujo mercancia carretera'!C$45:C$1646&amp;'OD flujo mercancia carretera'!D$45:D$1646,0))</f>
        <v>117308.58058608054</v>
      </c>
      <c r="G1070" s="11" cm="1">
        <f t="array" aca="1" ref="G1070" ca="1">INDEX('Coste Carretera'!E$46:E$1646,MATCH(C1070&amp;D1070,'Coste Carretera'!C$46:C$1646&amp;'Coste Carretera'!D$46:D$1646,0))</f>
        <v>3878151938.2285714</v>
      </c>
      <c r="H1070" s="11" cm="1">
        <f t="array" aca="1" ref="H1070" ca="1">INDEX('Coste multimodal'!E$46:E$1646,MATCH(C1070&amp;D1070,'Coste multimodal'!C$46:C$1646&amp;'Coste multimodal'!D$46:D$1646,0))</f>
        <v>409163525.0713802</v>
      </c>
      <c r="I1070" s="12" cm="1">
        <f t="array" aca="1" ref="I1070" ca="1">INDEX('Tiempos intermodal (horas)'!E$45:E$1645,MATCH(C1070&amp;D1070,'Tiempos intermodal (horas)'!C$45:C$1645&amp;'Tiempos intermodal (horas)'!D$45:D$1645,0))</f>
        <v>81.339699289132867</v>
      </c>
      <c r="J1070" s="2" cm="1">
        <f t="array" aca="1" ref="J1070" ca="1">INDEX('Tiempos carretera (horas)'!E$45:E$1645,MATCH(C1070&amp;D1070,'Tiempos carretera (horas)'!C$45:C$1645&amp;'Tiempos carretera (horas)'!D$45:D$1645,0))</f>
        <v>23.22</v>
      </c>
      <c r="K1070" s="12">
        <f t="shared" ca="1" si="102"/>
        <v>33.059405534131407</v>
      </c>
      <c r="L1070" s="12">
        <f t="shared" ca="1" si="103"/>
        <v>10.291871369576096</v>
      </c>
      <c r="M1070" s="12">
        <f t="shared" ca="1" si="104"/>
        <v>0.25311875945656176</v>
      </c>
      <c r="N1070" s="13">
        <f t="shared" ca="1" si="100"/>
        <v>22.767534164555311</v>
      </c>
      <c r="O1070" s="13">
        <f t="shared" ca="1" si="101"/>
        <v>-58.119699289132868</v>
      </c>
      <c r="P1070" s="12">
        <f t="shared" ca="1" si="105"/>
        <v>1.0820474070661794</v>
      </c>
    </row>
    <row r="1071" spans="1:16" x14ac:dyDescent="0.25">
      <c r="A1071">
        <v>37</v>
      </c>
      <c r="B1071">
        <v>8</v>
      </c>
      <c r="C1071" s="2" t="s">
        <v>36</v>
      </c>
      <c r="D1071" s="2" t="s">
        <v>7</v>
      </c>
      <c r="E1071" s="11" cm="1">
        <f t="array" aca="1" ref="E1071" ca="1">INDEX('OD flujo mercancia multimodal'!E$45:E$1645,MATCH(C1071&amp;D1071,'OD flujo mercancia multimodal'!C$45:C$1645&amp;'OD flujo mercancia multimodal'!D$45:D$1645,0))</f>
        <v>40199.010989010945</v>
      </c>
      <c r="F1071" s="11" cm="1">
        <f t="array" aca="1" ref="F1071" ca="1">INDEX('OD flujo mercancia carretera'!E$45:E$1646,MATCH(C1071&amp;D1071,'OD flujo mercancia carretera'!C$45:C$1646&amp;'OD flujo mercancia carretera'!D$45:D$1646,0))</f>
        <v>201849.42124542111</v>
      </c>
      <c r="G1071" s="11" cm="1">
        <f t="array" aca="1" ref="G1071" ca="1">INDEX('Coste Carretera'!E$46:E$1646,MATCH(C1071&amp;D1071,'Coste Carretera'!C$46:C$1646&amp;'Coste Carretera'!D$46:D$1646,0))</f>
        <v>4243558411.5314231</v>
      </c>
      <c r="H1071" s="11" cm="1">
        <f t="array" aca="1" ref="H1071" ca="1">INDEX('Coste multimodal'!E$46:E$1646,MATCH(C1071&amp;D1071,'Coste multimodal'!C$46:C$1646&amp;'Coste multimodal'!D$46:D$1646,0))</f>
        <v>326227337.61480874</v>
      </c>
      <c r="I1071" s="12" cm="1">
        <f t="array" aca="1" ref="I1071" ca="1">INDEX('Tiempos intermodal (horas)'!E$45:E$1645,MATCH(C1071&amp;D1071,'Tiempos intermodal (horas)'!C$45:C$1645&amp;'Tiempos intermodal (horas)'!D$45:D$1645,0))</f>
        <v>81.493032622466202</v>
      </c>
      <c r="J1071" s="2" cm="1">
        <f t="array" aca="1" ref="J1071" ca="1">INDEX('Tiempos carretera (horas)'!E$45:E$1645,MATCH(C1071&amp;D1071,'Tiempos carretera (horas)'!C$45:C$1645&amp;'Tiempos carretera (horas)'!D$45:D$1645,0))</f>
        <v>23.31</v>
      </c>
      <c r="K1071" s="12">
        <f t="shared" ca="1" si="102"/>
        <v>21.0233865688019</v>
      </c>
      <c r="L1071" s="12">
        <f t="shared" ca="1" si="103"/>
        <v>8.1153075558000243</v>
      </c>
      <c r="M1071" s="12">
        <f t="shared" ca="1" si="104"/>
        <v>0.16607837785983612</v>
      </c>
      <c r="N1071" s="13">
        <f t="shared" ca="1" si="100"/>
        <v>12.908079013001876</v>
      </c>
      <c r="O1071" s="13">
        <f t="shared" ca="1" si="101"/>
        <v>-58.1830326224662</v>
      </c>
      <c r="P1071" s="12">
        <f t="shared" ca="1" si="105"/>
        <v>1.6136795869850895</v>
      </c>
    </row>
    <row r="1072" spans="1:16" x14ac:dyDescent="0.25">
      <c r="A1072">
        <v>8</v>
      </c>
      <c r="B1072">
        <v>37</v>
      </c>
      <c r="C1072" s="2" t="s">
        <v>7</v>
      </c>
      <c r="D1072" s="2" t="s">
        <v>36</v>
      </c>
      <c r="E1072" s="11" cm="1">
        <f t="array" aca="1" ref="E1072" ca="1">INDEX('OD flujo mercancia multimodal'!E$45:E$1645,MATCH(C1072&amp;D1072,'OD flujo mercancia multimodal'!C$45:C$1645&amp;'OD flujo mercancia multimodal'!D$45:D$1645,0))</f>
        <v>17098.489010989055</v>
      </c>
      <c r="F1072" s="11" cm="1">
        <f t="array" aca="1" ref="F1072" ca="1">INDEX('OD flujo mercancia carretera'!E$45:E$1646,MATCH(C1072&amp;D1072,'OD flujo mercancia carretera'!C$45:C$1646&amp;'OD flujo mercancia carretera'!D$45:D$1646,0))</f>
        <v>203256.34981684978</v>
      </c>
      <c r="G1072" s="11" cm="1">
        <f t="array" aca="1" ref="G1072" ca="1">INDEX('Coste Carretera'!E$46:E$1646,MATCH(C1072&amp;D1072,'Coste Carretera'!C$46:C$1646&amp;'Coste Carretera'!D$46:D$1646,0))</f>
        <v>1234511765.0485709</v>
      </c>
      <c r="H1072" s="11" cm="1">
        <f t="array" aca="1" ref="H1072" ca="1">INDEX('Coste multimodal'!E$46:E$1646,MATCH(C1072&amp;D1072,'Coste multimodal'!C$46:C$1646&amp;'Coste multimodal'!D$46:D$1646,0))</f>
        <v>326227337.61480874</v>
      </c>
      <c r="I1072" s="12" cm="1">
        <f t="array" aca="1" ref="I1072" ca="1">INDEX('Tiempos intermodal (horas)'!E$45:E$1645,MATCH(C1072&amp;D1072,'Tiempos intermodal (horas)'!C$45:C$1645&amp;'Tiempos intermodal (horas)'!D$45:D$1645,0))</f>
        <v>81.493032622466202</v>
      </c>
      <c r="J1072" s="2" cm="1">
        <f t="array" aca="1" ref="J1072" ca="1">INDEX('Tiempos carretera (horas)'!E$45:E$1645,MATCH(C1072&amp;D1072,'Tiempos carretera (horas)'!C$45:C$1645&amp;'Tiempos carretera (horas)'!D$45:D$1645,0))</f>
        <v>23.31</v>
      </c>
      <c r="K1072" s="12">
        <f t="shared" ca="1" si="102"/>
        <v>6.0736688726377537</v>
      </c>
      <c r="L1072" s="12">
        <f t="shared" ca="1" si="103"/>
        <v>19.079307967221265</v>
      </c>
      <c r="M1072" s="12">
        <f t="shared" ca="1" si="104"/>
        <v>7.7595250923207293E-2</v>
      </c>
      <c r="N1072" s="13">
        <f t="shared" ca="1" si="100"/>
        <v>-13.005639094583511</v>
      </c>
      <c r="O1072" s="13">
        <f t="shared" ca="1" si="101"/>
        <v>-58.1830326224662</v>
      </c>
      <c r="P1072" s="12">
        <f t="shared" ca="1" si="105"/>
        <v>2.4754778916772282</v>
      </c>
    </row>
    <row r="1073" spans="1:16" x14ac:dyDescent="0.25">
      <c r="A1073">
        <v>39</v>
      </c>
      <c r="B1073">
        <v>33</v>
      </c>
      <c r="C1073" s="2" t="s">
        <v>38</v>
      </c>
      <c r="D1073" s="2" t="s">
        <v>32</v>
      </c>
      <c r="E1073" s="11" cm="1">
        <f t="array" aca="1" ref="E1073" ca="1">INDEX('OD flujo mercancia multimodal'!E$45:E$1645,MATCH(C1073&amp;D1073,'OD flujo mercancia multimodal'!C$45:C$1645&amp;'OD flujo mercancia multimodal'!D$45:D$1645,0))</f>
        <v>64188.769230769198</v>
      </c>
      <c r="F1073" s="11" cm="1">
        <f t="array" aca="1" ref="F1073" ca="1">INDEX('OD flujo mercancia carretera'!E$45:E$1646,MATCH(C1073&amp;D1073,'OD flujo mercancia carretera'!C$45:C$1646&amp;'OD flujo mercancia carretera'!D$45:D$1646,0))</f>
        <v>104890.41538461541</v>
      </c>
      <c r="G1073" s="11" cm="1">
        <f t="array" aca="1" ref="G1073" ca="1">INDEX('Coste Carretera'!E$46:E$1646,MATCH(C1073&amp;D1073,'Coste Carretera'!C$46:C$1646&amp;'Coste Carretera'!D$46:D$1646,0))</f>
        <v>782859584.99999988</v>
      </c>
      <c r="H1073" s="11" cm="1">
        <f t="array" aca="1" ref="H1073" ca="1">INDEX('Coste multimodal'!E$46:E$1646,MATCH(C1073&amp;D1073,'Coste multimodal'!C$46:C$1646&amp;'Coste multimodal'!D$46:D$1646,0))</f>
        <v>3973122.1427977597</v>
      </c>
      <c r="I1073" s="12" cm="1">
        <f t="array" aca="1" ref="I1073" ca="1">INDEX('Tiempos intermodal (horas)'!E$45:E$1645,MATCH(C1073&amp;D1073,'Tiempos intermodal (horas)'!C$45:C$1645&amp;'Tiempos intermodal (horas)'!D$45:D$1645,0))</f>
        <v>92.055560804945571</v>
      </c>
      <c r="J1073" s="2" cm="1">
        <f t="array" aca="1" ref="J1073" ca="1">INDEX('Tiempos carretera (horas)'!E$45:E$1645,MATCH(C1073&amp;D1073,'Tiempos carretera (horas)'!C$45:C$1645&amp;'Tiempos carretera (horas)'!D$45:D$1645,0))</f>
        <v>23.48</v>
      </c>
      <c r="K1073" s="12">
        <f t="shared" ca="1" si="102"/>
        <v>7.4635950494560079</v>
      </c>
      <c r="L1073" s="12">
        <f t="shared" ca="1" si="103"/>
        <v>6.1897465715750548E-2</v>
      </c>
      <c r="M1073" s="12">
        <f t="shared" ca="1" si="104"/>
        <v>0.37963732423233265</v>
      </c>
      <c r="N1073" s="13">
        <f t="shared" ca="1" si="100"/>
        <v>7.4016975837402574</v>
      </c>
      <c r="O1073" s="13">
        <f t="shared" ca="1" si="101"/>
        <v>-68.575560804945567</v>
      </c>
      <c r="P1073" s="12">
        <f t="shared" ca="1" si="105"/>
        <v>0.49108788086540767</v>
      </c>
    </row>
    <row r="1074" spans="1:16" x14ac:dyDescent="0.25">
      <c r="A1074">
        <v>33</v>
      </c>
      <c r="B1074">
        <v>39</v>
      </c>
      <c r="C1074" s="2" t="s">
        <v>32</v>
      </c>
      <c r="D1074" s="2" t="s">
        <v>38</v>
      </c>
      <c r="E1074" s="11" cm="1">
        <f t="array" aca="1" ref="E1074" ca="1">INDEX('OD flujo mercancia multimodal'!E$45:E$1645,MATCH(C1074&amp;D1074,'OD flujo mercancia multimodal'!C$45:C$1645&amp;'OD flujo mercancia multimodal'!D$45:D$1645,0))</f>
        <v>33334</v>
      </c>
      <c r="F1074" s="11" cm="1">
        <f t="array" aca="1" ref="F1074" ca="1">INDEX('OD flujo mercancia carretera'!E$45:E$1646,MATCH(C1074&amp;D1074,'OD flujo mercancia carretera'!C$45:C$1646&amp;'OD flujo mercancia carretera'!D$45:D$1646,0))</f>
        <v>183999.86300366302</v>
      </c>
      <c r="G1074" s="11" cm="1">
        <f t="array" aca="1" ref="G1074" ca="1">INDEX('Coste Carretera'!E$46:E$1646,MATCH(C1074&amp;D1074,'Coste Carretera'!C$46:C$1646&amp;'Coste Carretera'!D$46:D$1646,0))</f>
        <v>23037562.679999996</v>
      </c>
      <c r="H1074" s="11" cm="1">
        <f t="array" aca="1" ref="H1074" ca="1">INDEX('Coste multimodal'!E$46:E$1646,MATCH(C1074&amp;D1074,'Coste multimodal'!C$46:C$1646&amp;'Coste multimodal'!D$46:D$1646,0))</f>
        <v>133735660.77303761</v>
      </c>
      <c r="I1074" s="12" cm="1">
        <f t="array" aca="1" ref="I1074" ca="1">INDEX('Tiempos intermodal (horas)'!E$45:E$1645,MATCH(C1074&amp;D1074,'Tiempos intermodal (horas)'!C$45:C$1645&amp;'Tiempos intermodal (horas)'!D$45:D$1645,0))</f>
        <v>79.407371375281542</v>
      </c>
      <c r="J1074" s="2" cm="1">
        <f t="array" aca="1" ref="J1074" ca="1">INDEX('Tiempos carretera (horas)'!E$45:E$1645,MATCH(C1074&amp;D1074,'Tiempos carretera (horas)'!C$45:C$1645&amp;'Tiempos carretera (horas)'!D$45:D$1645,0))</f>
        <v>21.21</v>
      </c>
      <c r="K1074" s="12">
        <f t="shared" ca="1" si="102"/>
        <v>0.12520423822022828</v>
      </c>
      <c r="L1074" s="12">
        <f t="shared" ca="1" si="103"/>
        <v>4.0119895833994601</v>
      </c>
      <c r="M1074" s="12">
        <f t="shared" ca="1" si="104"/>
        <v>0.15337692681346293</v>
      </c>
      <c r="N1074" s="13">
        <f t="shared" ca="1" si="100"/>
        <v>-3.886785345179232</v>
      </c>
      <c r="O1074" s="13">
        <f t="shared" ca="1" si="101"/>
        <v>-58.197371375281541</v>
      </c>
      <c r="P1074" s="12">
        <f t="shared" ca="1" si="105"/>
        <v>1.7083571159434143</v>
      </c>
    </row>
    <row r="1075" spans="1:16" x14ac:dyDescent="0.25">
      <c r="A1075">
        <v>4</v>
      </c>
      <c r="B1075">
        <v>39</v>
      </c>
      <c r="C1075" s="2" t="s">
        <v>3</v>
      </c>
      <c r="D1075" s="2" t="s">
        <v>38</v>
      </c>
      <c r="E1075" s="11" cm="1">
        <f t="array" aca="1" ref="E1075" ca="1">INDEX('OD flujo mercancia multimodal'!E$45:E$1645,MATCH(C1075&amp;D1075,'OD flujo mercancia multimodal'!C$45:C$1645&amp;'OD flujo mercancia multimodal'!D$45:D$1645,0))</f>
        <v>32794.527472527479</v>
      </c>
      <c r="F1075" s="11" cm="1">
        <f t="array" aca="1" ref="F1075" ca="1">INDEX('OD flujo mercancia carretera'!E$45:E$1646,MATCH(C1075&amp;D1075,'OD flujo mercancia carretera'!C$45:C$1646&amp;'OD flujo mercancia carretera'!D$45:D$1646,0))</f>
        <v>122455.99633699634</v>
      </c>
      <c r="G1075" s="11" cm="1">
        <f t="array" aca="1" ref="G1075" ca="1">INDEX('Coste Carretera'!E$46:E$1646,MATCH(C1075&amp;D1075,'Coste Carretera'!C$46:C$1646&amp;'Coste Carretera'!D$46:D$1646,0))</f>
        <v>3596802008.5028572</v>
      </c>
      <c r="H1075" s="11" cm="1">
        <f t="array" aca="1" ref="H1075" ca="1">INDEX('Coste multimodal'!E$46:E$1646,MATCH(C1075&amp;D1075,'Coste multimodal'!C$46:C$1646&amp;'Coste multimodal'!D$46:D$1646,0))</f>
        <v>356505187.39138019</v>
      </c>
      <c r="I1075" s="12" cm="1">
        <f t="array" aca="1" ref="I1075" ca="1">INDEX('Tiempos intermodal (horas)'!E$45:E$1645,MATCH(C1075&amp;D1075,'Tiempos intermodal (horas)'!C$45:C$1645&amp;'Tiempos intermodal (horas)'!D$45:D$1645,0))</f>
        <v>81.061921511355095</v>
      </c>
      <c r="J1075" s="2" cm="1">
        <f t="array" aca="1" ref="J1075" ca="1">INDEX('Tiempos carretera (horas)'!E$45:E$1645,MATCH(C1075&amp;D1075,'Tiempos carretera (horas)'!C$45:C$1645&amp;'Tiempos carretera (horas)'!D$45:D$1645,0))</f>
        <v>22.73</v>
      </c>
      <c r="K1075" s="12">
        <f t="shared" ca="1" si="102"/>
        <v>29.372199941965551</v>
      </c>
      <c r="L1075" s="12">
        <f t="shared" ca="1" si="103"/>
        <v>10.870874346033206</v>
      </c>
      <c r="M1075" s="12">
        <f t="shared" ca="1" si="104"/>
        <v>0.21123617922708551</v>
      </c>
      <c r="N1075" s="13">
        <f t="shared" ca="1" si="100"/>
        <v>18.501325595932343</v>
      </c>
      <c r="O1075" s="13">
        <f t="shared" ca="1" si="101"/>
        <v>-58.331921511355091</v>
      </c>
      <c r="P1075" s="12">
        <f t="shared" ca="1" si="105"/>
        <v>1.3174900957564983</v>
      </c>
    </row>
    <row r="1076" spans="1:16" x14ac:dyDescent="0.25">
      <c r="A1076">
        <v>4</v>
      </c>
      <c r="B1076">
        <v>23</v>
      </c>
      <c r="C1076" s="2" t="s">
        <v>3</v>
      </c>
      <c r="D1076" s="2" t="s">
        <v>22</v>
      </c>
      <c r="E1076" s="11" cm="1">
        <f t="array" aca="1" ref="E1076" ca="1">INDEX('OD flujo mercancia multimodal'!E$45:E$1645,MATCH(C1076&amp;D1076,'OD flujo mercancia multimodal'!C$45:C$1645&amp;'OD flujo mercancia multimodal'!D$45:D$1645,0))</f>
        <v>36039.835164835167</v>
      </c>
      <c r="F1076" s="11" cm="1">
        <f t="array" aca="1" ref="F1076" ca="1">INDEX('OD flujo mercancia carretera'!E$45:E$1646,MATCH(C1076&amp;D1076,'OD flujo mercancia carretera'!C$45:C$1646&amp;'OD flujo mercancia carretera'!D$45:D$1646,0))</f>
        <v>141311.82051282085</v>
      </c>
      <c r="G1076" s="11" cm="1">
        <f t="array" aca="1" ref="G1076" ca="1">INDEX('Coste Carretera'!E$46:E$1646,MATCH(C1076&amp;D1076,'Coste Carretera'!C$46:C$1646&amp;'Coste Carretera'!D$46:D$1646,0))</f>
        <v>1947703695.0000002</v>
      </c>
      <c r="H1076" s="11" cm="1">
        <f t="array" aca="1" ref="H1076" ca="1">INDEX('Coste multimodal'!E$46:E$1646,MATCH(C1076&amp;D1076,'Coste multimodal'!C$46:C$1646&amp;'Coste multimodal'!D$46:D$1646,0))</f>
        <v>468898710.35713232</v>
      </c>
      <c r="I1076" s="12" cm="1">
        <f t="array" aca="1" ref="I1076" ca="1">INDEX('Tiempos intermodal (horas)'!E$45:E$1645,MATCH(C1076&amp;D1076,'Tiempos intermodal (horas)'!C$45:C$1645&amp;'Tiempos intermodal (horas)'!D$45:D$1645,0))</f>
        <v>69.566125390038465</v>
      </c>
      <c r="J1076" s="2" cm="1">
        <f t="array" aca="1" ref="J1076" ca="1">INDEX('Tiempos carretera (horas)'!E$45:E$1645,MATCH(C1076&amp;D1076,'Tiempos carretera (horas)'!C$45:C$1645&amp;'Tiempos carretera (horas)'!D$45:D$1645,0))</f>
        <v>11.16</v>
      </c>
      <c r="K1076" s="12">
        <f t="shared" ca="1" si="102"/>
        <v>13.783020330017546</v>
      </c>
      <c r="L1076" s="12">
        <f t="shared" ca="1" si="103"/>
        <v>13.010567562602137</v>
      </c>
      <c r="M1076" s="12">
        <f t="shared" ca="1" si="104"/>
        <v>0.20321115710551393</v>
      </c>
      <c r="N1076" s="13">
        <f t="shared" ca="1" si="100"/>
        <v>0.77245276741540891</v>
      </c>
      <c r="O1076" s="13">
        <f t="shared" ca="1" si="101"/>
        <v>-58.406125390038468</v>
      </c>
      <c r="P1076" s="12">
        <f t="shared" ca="1" si="105"/>
        <v>1.3663440825685795</v>
      </c>
    </row>
    <row r="1077" spans="1:16" x14ac:dyDescent="0.25">
      <c r="A1077">
        <v>38</v>
      </c>
      <c r="B1077">
        <v>36</v>
      </c>
      <c r="C1077" s="2" t="s">
        <v>37</v>
      </c>
      <c r="D1077" s="2" t="s">
        <v>35</v>
      </c>
      <c r="E1077" s="11" cm="1">
        <f t="array" aca="1" ref="E1077" ca="1">INDEX('OD flujo mercancia multimodal'!E$45:E$1645,MATCH(C1077&amp;D1077,'OD flujo mercancia multimodal'!C$45:C$1645&amp;'OD flujo mercancia multimodal'!D$45:D$1645,0))</f>
        <v>3741.8461538461502</v>
      </c>
      <c r="F1077" s="11" cm="1">
        <f t="array" aca="1" ref="F1077" ca="1">INDEX('OD flujo mercancia carretera'!E$45:E$1646,MATCH(C1077&amp;D1077,'OD flujo mercancia carretera'!C$45:C$1646&amp;'OD flujo mercancia carretera'!D$45:D$1646,0))</f>
        <v>96708.615384615419</v>
      </c>
      <c r="G1077" s="11" cm="1">
        <f t="array" aca="1" ref="G1077" ca="1">INDEX('Coste Carretera'!E$46:E$1646,MATCH(C1077&amp;D1077,'Coste Carretera'!C$46:C$1646&amp;'Coste Carretera'!D$46:D$1646,0))</f>
        <v>3538305075.5200024</v>
      </c>
      <c r="H1077" s="11" cm="1">
        <f t="array" aca="1" ref="H1077" ca="1">INDEX('Coste multimodal'!E$46:E$1646,MATCH(C1077&amp;D1077,'Coste multimodal'!C$46:C$1646&amp;'Coste multimodal'!D$46:D$1646,0))</f>
        <v>467747357.54117262</v>
      </c>
      <c r="I1077" s="12" cm="1">
        <f t="array" aca="1" ref="I1077" ca="1">INDEX('Tiempos intermodal (horas)'!E$45:E$1645,MATCH(C1077&amp;D1077,'Tiempos intermodal (horas)'!C$45:C$1645&amp;'Tiempos intermodal (horas)'!D$45:D$1645,0))</f>
        <v>85.039556065831448</v>
      </c>
      <c r="J1077" s="2" cm="1">
        <f t="array" aca="1" ref="J1077" ca="1">INDEX('Tiempos carretera (horas)'!E$45:E$1645,MATCH(C1077&amp;D1077,'Tiempos carretera (horas)'!C$45:C$1645&amp;'Tiempos carretera (horas)'!D$45:D$1645,0))</f>
        <v>23.56</v>
      </c>
      <c r="K1077" s="12">
        <f t="shared" ca="1" si="102"/>
        <v>36.587278821519369</v>
      </c>
      <c r="L1077" s="12">
        <f t="shared" ca="1" si="103"/>
        <v>125.00443318878484</v>
      </c>
      <c r="M1077" s="12">
        <f t="shared" ca="1" si="104"/>
        <v>3.7250661634973481E-2</v>
      </c>
      <c r="N1077" s="13">
        <f t="shared" ca="1" si="100"/>
        <v>-88.417154367265482</v>
      </c>
      <c r="O1077" s="13">
        <f t="shared" ca="1" si="101"/>
        <v>-61.479556065831446</v>
      </c>
      <c r="P1077" s="12">
        <f t="shared" ca="1" si="105"/>
        <v>3.2521233787797885</v>
      </c>
    </row>
    <row r="1078" spans="1:16" x14ac:dyDescent="0.25">
      <c r="A1078">
        <v>36</v>
      </c>
      <c r="B1078">
        <v>38</v>
      </c>
      <c r="C1078" s="2" t="s">
        <v>35</v>
      </c>
      <c r="D1078" s="2" t="s">
        <v>37</v>
      </c>
      <c r="E1078" s="11" cm="1">
        <f t="array" aca="1" ref="E1078" ca="1">INDEX('OD flujo mercancia multimodal'!E$45:E$1645,MATCH(C1078&amp;D1078,'OD flujo mercancia multimodal'!C$45:C$1645&amp;'OD flujo mercancia multimodal'!D$45:D$1645,0))</f>
        <v>2215.2307692307691</v>
      </c>
      <c r="F1078" s="11" cm="1">
        <f t="array" aca="1" ref="F1078" ca="1">INDEX('OD flujo mercancia carretera'!E$45:E$1646,MATCH(C1078&amp;D1078,'OD flujo mercancia carretera'!C$45:C$1646&amp;'OD flujo mercancia carretera'!D$45:D$1646,0))</f>
        <v>99736.307692307702</v>
      </c>
      <c r="G1078" s="11" cm="1">
        <f t="array" aca="1" ref="G1078" ca="1">INDEX('Coste Carretera'!E$46:E$1646,MATCH(C1078&amp;D1078,'Coste Carretera'!C$46:C$1646&amp;'Coste Carretera'!D$46:D$1646,0))</f>
        <v>2451930087.5200057</v>
      </c>
      <c r="H1078" s="11" cm="1">
        <f t="array" aca="1" ref="H1078" ca="1">INDEX('Coste multimodal'!E$46:E$1646,MATCH(C1078&amp;D1078,'Coste multimodal'!C$46:C$1646&amp;'Coste multimodal'!D$46:D$1646,0))</f>
        <v>467747357.54117262</v>
      </c>
      <c r="I1078" s="12" cm="1">
        <f t="array" aca="1" ref="I1078" ca="1">INDEX('Tiempos intermodal (horas)'!E$45:E$1645,MATCH(C1078&amp;D1078,'Tiempos intermodal (horas)'!C$45:C$1645&amp;'Tiempos intermodal (horas)'!D$45:D$1645,0))</f>
        <v>85.039556065831448</v>
      </c>
      <c r="J1078" s="2" cm="1">
        <f t="array" aca="1" ref="J1078" ca="1">INDEX('Tiempos carretera (horas)'!E$45:E$1645,MATCH(C1078&amp;D1078,'Tiempos carretera (horas)'!C$45:C$1645&amp;'Tiempos carretera (horas)'!D$45:D$1645,0))</f>
        <v>23.56</v>
      </c>
      <c r="K1078" s="12">
        <f t="shared" ca="1" si="102"/>
        <v>24.584127327876949</v>
      </c>
      <c r="L1078" s="12">
        <f t="shared" ca="1" si="103"/>
        <v>211.1506232389487</v>
      </c>
      <c r="M1078" s="12">
        <f t="shared" ca="1" si="104"/>
        <v>2.1728272105147994E-2</v>
      </c>
      <c r="N1078" s="13">
        <f t="shared" ca="1" si="100"/>
        <v>-186.56649591107174</v>
      </c>
      <c r="O1078" s="13">
        <f t="shared" ca="1" si="101"/>
        <v>-61.479556065831446</v>
      </c>
      <c r="P1078" s="12">
        <f t="shared" ca="1" si="105"/>
        <v>3.8071731972810285</v>
      </c>
    </row>
    <row r="1079" spans="1:16" x14ac:dyDescent="0.25">
      <c r="A1079">
        <v>25</v>
      </c>
      <c r="B1079">
        <v>4</v>
      </c>
      <c r="C1079" s="2" t="s">
        <v>24</v>
      </c>
      <c r="D1079" s="2" t="s">
        <v>3</v>
      </c>
      <c r="E1079" s="11" cm="1">
        <f t="array" aca="1" ref="E1079" ca="1">INDEX('OD flujo mercancia multimodal'!E$45:E$1645,MATCH(C1079&amp;D1079,'OD flujo mercancia multimodal'!C$45:C$1645&amp;'OD flujo mercancia multimodal'!D$45:D$1645,0))</f>
        <v>34840.379120879094</v>
      </c>
      <c r="F1079" s="11" cm="1">
        <f t="array" aca="1" ref="F1079" ca="1">INDEX('OD flujo mercancia carretera'!E$45:E$1646,MATCH(C1079&amp;D1079,'OD flujo mercancia carretera'!C$45:C$1646&amp;'OD flujo mercancia carretera'!D$45:D$1646,0))</f>
        <v>96093.717948717924</v>
      </c>
      <c r="G1079" s="11" cm="1">
        <f t="array" aca="1" ref="G1079" ca="1">INDEX('Coste Carretera'!E$46:E$1646,MATCH(C1079&amp;D1079,'Coste Carretera'!C$46:C$1646&amp;'Coste Carretera'!D$46:D$1646,0))</f>
        <v>2279951622.4399977</v>
      </c>
      <c r="H1079" s="11" cm="1">
        <f t="array" aca="1" ref="H1079" ca="1">INDEX('Coste multimodal'!E$46:E$1646,MATCH(C1079&amp;D1079,'Coste multimodal'!C$46:C$1646&amp;'Coste multimodal'!D$46:D$1646,0))</f>
        <v>401839507.85713232</v>
      </c>
      <c r="I1079" s="12" cm="1">
        <f t="array" aca="1" ref="I1079" ca="1">INDEX('Tiempos intermodal (horas)'!E$45:E$1645,MATCH(C1079&amp;D1079,'Tiempos intermodal (horas)'!C$45:C$1645&amp;'Tiempos intermodal (horas)'!D$45:D$1645,0))</f>
        <v>67.516125390038468</v>
      </c>
      <c r="J1079" s="2" cm="1">
        <f t="array" aca="1" ref="J1079" ca="1">INDEX('Tiempos carretera (horas)'!E$45:E$1645,MATCH(C1079&amp;D1079,'Tiempos carretera (horas)'!C$45:C$1645&amp;'Tiempos carretera (horas)'!D$45:D$1645,0))</f>
        <v>13.18</v>
      </c>
      <c r="K1079" s="12">
        <f t="shared" ca="1" si="102"/>
        <v>23.726333740741861</v>
      </c>
      <c r="L1079" s="12">
        <f t="shared" ca="1" si="103"/>
        <v>11.533729482763249</v>
      </c>
      <c r="M1079" s="12">
        <f t="shared" ca="1" si="104"/>
        <v>0.26609095644780717</v>
      </c>
      <c r="N1079" s="13">
        <f t="shared" ca="1" si="100"/>
        <v>12.192604257978612</v>
      </c>
      <c r="O1079" s="13">
        <f t="shared" ca="1" si="101"/>
        <v>-54.336125390038468</v>
      </c>
      <c r="P1079" s="12">
        <f t="shared" ca="1" si="105"/>
        <v>1.01454691020359</v>
      </c>
    </row>
    <row r="1080" spans="1:16" x14ac:dyDescent="0.25">
      <c r="A1080">
        <v>39</v>
      </c>
      <c r="B1080">
        <v>8</v>
      </c>
      <c r="C1080" s="2" t="s">
        <v>38</v>
      </c>
      <c r="D1080" s="2" t="s">
        <v>7</v>
      </c>
      <c r="E1080" s="11" cm="1">
        <f t="array" aca="1" ref="E1080" ca="1">INDEX('OD flujo mercancia multimodal'!E$45:E$1645,MATCH(C1080&amp;D1080,'OD flujo mercancia multimodal'!C$45:C$1645&amp;'OD flujo mercancia multimodal'!D$45:D$1645,0))</f>
        <v>34623.857142857101</v>
      </c>
      <c r="F1080" s="11" cm="1">
        <f t="array" aca="1" ref="F1080" ca="1">INDEX('OD flujo mercancia carretera'!E$45:E$1646,MATCH(C1080&amp;D1080,'OD flujo mercancia carretera'!C$45:C$1646&amp;'OD flujo mercancia carretera'!D$45:D$1646,0))</f>
        <v>125182.53846153831</v>
      </c>
      <c r="G1080" s="11" cm="1">
        <f t="array" aca="1" ref="G1080" ca="1">INDEX('Coste Carretera'!E$46:E$1646,MATCH(C1080&amp;D1080,'Coste Carretera'!C$46:C$1646&amp;'Coste Carretera'!D$46:D$1646,0))</f>
        <v>5677156781.657136</v>
      </c>
      <c r="H1080" s="11" cm="1">
        <f t="array" aca="1" ref="H1080" ca="1">INDEX('Coste multimodal'!E$46:E$1646,MATCH(C1080&amp;D1080,'Coste multimodal'!C$46:C$1646&amp;'Coste multimodal'!D$46:D$1646,0))</f>
        <v>278523233.11116862</v>
      </c>
      <c r="I1080" s="12" cm="1">
        <f t="array" aca="1" ref="I1080" ca="1">INDEX('Tiempos intermodal (horas)'!E$45:E$1645,MATCH(C1080&amp;D1080,'Tiempos intermodal (horas)'!C$45:C$1645&amp;'Tiempos intermodal (horas)'!D$45:D$1645,0))</f>
        <v>92.075398842201579</v>
      </c>
      <c r="J1080" s="2" cm="1">
        <f t="array" aca="1" ref="J1080" ca="1">INDEX('Tiempos carretera (horas)'!E$45:E$1645,MATCH(C1080&amp;D1080,'Tiempos carretera (horas)'!C$45:C$1645&amp;'Tiempos carretera (horas)'!D$45:D$1645,0))</f>
        <v>26</v>
      </c>
      <c r="K1080" s="12">
        <f t="shared" ca="1" si="102"/>
        <v>45.351027798508916</v>
      </c>
      <c r="L1080" s="12">
        <f t="shared" ca="1" si="103"/>
        <v>8.0442578064595534</v>
      </c>
      <c r="M1080" s="12">
        <f t="shared" ca="1" si="104"/>
        <v>0.21666127323570511</v>
      </c>
      <c r="N1080" s="13">
        <f t="shared" ca="1" si="100"/>
        <v>37.306769992049361</v>
      </c>
      <c r="O1080" s="13">
        <f t="shared" ca="1" si="101"/>
        <v>-66.075398842201579</v>
      </c>
      <c r="P1080" s="12">
        <f t="shared" ca="1" si="105"/>
        <v>1.2852300225239472</v>
      </c>
    </row>
    <row r="1081" spans="1:16" x14ac:dyDescent="0.25">
      <c r="A1081">
        <v>8</v>
      </c>
      <c r="B1081">
        <v>39</v>
      </c>
      <c r="C1081" s="2" t="s">
        <v>7</v>
      </c>
      <c r="D1081" s="2" t="s">
        <v>38</v>
      </c>
      <c r="E1081" s="11" cm="1">
        <f t="array" aca="1" ref="E1081" ca="1">INDEX('OD flujo mercancia multimodal'!E$45:E$1645,MATCH(C1081&amp;D1081,'OD flujo mercancia multimodal'!C$45:C$1645&amp;'OD flujo mercancia multimodal'!D$45:D$1645,0))</f>
        <v>10137.027472527476</v>
      </c>
      <c r="F1081" s="11" cm="1">
        <f t="array" aca="1" ref="F1081" ca="1">INDEX('OD flujo mercancia carretera'!E$45:E$1646,MATCH(C1081&amp;D1081,'OD flujo mercancia carretera'!C$45:C$1646&amp;'OD flujo mercancia carretera'!D$45:D$1646,0))</f>
        <v>208403.76556776557</v>
      </c>
      <c r="G1081" s="11" cm="1">
        <f t="array" aca="1" ref="G1081" ca="1">INDEX('Coste Carretera'!E$46:E$1646,MATCH(C1081&amp;D1081,'Coste Carretera'!C$46:C$1646&amp;'Coste Carretera'!D$46:D$1646,0))</f>
        <v>849910789.74285722</v>
      </c>
      <c r="H1081" s="11" cm="1">
        <f t="array" aca="1" ref="H1081" ca="1">INDEX('Coste multimodal'!E$46:E$1646,MATCH(C1081&amp;D1081,'Coste multimodal'!C$46:C$1646&amp;'Coste multimodal'!D$46:D$1646,0))</f>
        <v>273568999.93480873</v>
      </c>
      <c r="I1081" s="12" cm="1">
        <f t="array" aca="1" ref="I1081" ca="1">INDEX('Tiempos intermodal (horas)'!E$45:E$1645,MATCH(C1081&amp;D1081,'Tiempos intermodal (horas)'!C$45:C$1645&amp;'Tiempos intermodal (horas)'!D$45:D$1645,0))</f>
        <v>81.215254844688431</v>
      </c>
      <c r="J1081" s="2" cm="1">
        <f t="array" aca="1" ref="J1081" ca="1">INDEX('Tiempos carretera (horas)'!E$45:E$1645,MATCH(C1081&amp;D1081,'Tiempos carretera (horas)'!C$45:C$1645&amp;'Tiempos carretera (horas)'!D$45:D$1645,0))</f>
        <v>22.46</v>
      </c>
      <c r="K1081" s="12">
        <f t="shared" ca="1" si="102"/>
        <v>4.0781930567684306</v>
      </c>
      <c r="L1081" s="12">
        <f t="shared" ca="1" si="103"/>
        <v>26.987102548179191</v>
      </c>
      <c r="M1081" s="12">
        <f t="shared" ca="1" si="104"/>
        <v>4.6385058512432874E-2</v>
      </c>
      <c r="N1081" s="13">
        <f t="shared" ca="1" si="100"/>
        <v>-22.90890949141076</v>
      </c>
      <c r="O1081" s="13">
        <f t="shared" ca="1" si="101"/>
        <v>-58.75525484468843</v>
      </c>
      <c r="P1081" s="12">
        <f t="shared" ca="1" si="105"/>
        <v>3.023282572138545</v>
      </c>
    </row>
    <row r="1082" spans="1:16" x14ac:dyDescent="0.25">
      <c r="A1082">
        <v>29</v>
      </c>
      <c r="B1082">
        <v>4</v>
      </c>
      <c r="C1082" s="2" t="s">
        <v>147</v>
      </c>
      <c r="D1082" s="2" t="s">
        <v>3</v>
      </c>
      <c r="E1082" s="11" cm="1">
        <f t="array" aca="1" ref="E1082" ca="1">INDEX('OD flujo mercancia multimodal'!E$45:E$1645,MATCH(C1082&amp;D1082,'OD flujo mercancia multimodal'!C$45:C$1645&amp;'OD flujo mercancia multimodal'!D$45:D$1645,0))</f>
        <v>54417.871428571394</v>
      </c>
      <c r="F1082" s="11" cm="1">
        <f t="array" aca="1" ref="F1082" ca="1">INDEX('OD flujo mercancia carretera'!E$45:E$1646,MATCH(C1082&amp;D1082,'OD flujo mercancia carretera'!C$45:C$1646&amp;'OD flujo mercancia carretera'!D$45:D$1646,0))</f>
        <v>393762.4846153846</v>
      </c>
      <c r="G1082" s="11" cm="1">
        <f t="array" aca="1" ref="G1082" ca="1">INDEX('Coste Carretera'!E$46:E$1646,MATCH(C1082&amp;D1082,'Coste Carretera'!C$46:C$1646&amp;'Coste Carretera'!D$46:D$1646,0))</f>
        <v>2826588314.7468557</v>
      </c>
      <c r="H1082" s="11" cm="1">
        <f t="array" aca="1" ref="H1082" ca="1">INDEX('Coste multimodal'!E$46:E$1646,MATCH(C1082&amp;D1082,'Coste multimodal'!C$46:C$1646&amp;'Coste multimodal'!D$46:D$1646,0))</f>
        <v>3156458213.6880198</v>
      </c>
      <c r="I1082" s="12" cm="1">
        <f t="array" aca="1" ref="I1082" ca="1">INDEX('Tiempos intermodal (horas)'!E$45:E$1645,MATCH(C1082&amp;D1082,'Tiempos intermodal (horas)'!C$45:C$1645&amp;'Tiempos intermodal (horas)'!D$45:D$1645,0))</f>
        <v>84.920461897287908</v>
      </c>
      <c r="J1082" s="2" cm="1">
        <f t="array" aca="1" ref="J1082" ca="1">INDEX('Tiempos carretera (horas)'!E$45:E$1645,MATCH(C1082&amp;D1082,'Tiempos carretera (horas)'!C$45:C$1645&amp;'Tiempos carretera (horas)'!D$45:D$1645,0))</f>
        <v>10.7</v>
      </c>
      <c r="K1082" s="12">
        <f t="shared" ca="1" si="102"/>
        <v>7.1784093842961774</v>
      </c>
      <c r="L1082" s="12">
        <f t="shared" ca="1" si="103"/>
        <v>58.004073493230429</v>
      </c>
      <c r="M1082" s="12">
        <f t="shared" ca="1" si="104"/>
        <v>0.12141958185966159</v>
      </c>
      <c r="N1082" s="13">
        <f t="shared" ca="1" si="100"/>
        <v>-50.825664108934248</v>
      </c>
      <c r="O1082" s="13">
        <f t="shared" ca="1" si="101"/>
        <v>-74.220461897287905</v>
      </c>
      <c r="P1082" s="12">
        <f t="shared" ca="1" si="105"/>
        <v>1.9790552777779562</v>
      </c>
    </row>
    <row r="1083" spans="1:16" x14ac:dyDescent="0.25">
      <c r="A1083">
        <v>23</v>
      </c>
      <c r="B1083">
        <v>8</v>
      </c>
      <c r="C1083" s="2" t="s">
        <v>22</v>
      </c>
      <c r="D1083" s="2" t="s">
        <v>7</v>
      </c>
      <c r="E1083" s="11" cm="1">
        <f t="array" aca="1" ref="E1083" ca="1">INDEX('OD flujo mercancia multimodal'!E$45:E$1645,MATCH(C1083&amp;D1083,'OD flujo mercancia multimodal'!C$45:C$1645&amp;'OD flujo mercancia multimodal'!D$45:D$1645,0))</f>
        <v>35408.395604395562</v>
      </c>
      <c r="F1083" s="11" cm="1">
        <f t="array" aca="1" ref="F1083" ca="1">INDEX('OD flujo mercancia carretera'!E$45:E$1646,MATCH(C1083&amp;D1083,'OD flujo mercancia carretera'!C$45:C$1646&amp;'OD flujo mercancia carretera'!D$45:D$1646,0))</f>
        <v>224852.51282051267</v>
      </c>
      <c r="G1083" s="11" cm="1">
        <f t="array" aca="1" ref="G1083" ca="1">INDEX('Coste Carretera'!E$46:E$1646,MATCH(C1083&amp;D1083,'Coste Carretera'!C$46:C$1646&amp;'Coste Carretera'!D$46:D$1646,0))</f>
        <v>1887543671.1999977</v>
      </c>
      <c r="H1083" s="11" cm="1">
        <f t="array" aca="1" ref="H1083" ca="1">INDEX('Coste multimodal'!E$46:E$1646,MATCH(C1083&amp;D1083,'Coste multimodal'!C$46:C$1646&amp;'Coste multimodal'!D$46:D$1646,0))</f>
        <v>385962522.90056092</v>
      </c>
      <c r="I1083" s="12" cm="1">
        <f t="array" aca="1" ref="I1083" ca="1">INDEX('Tiempos intermodal (horas)'!E$45:E$1645,MATCH(C1083&amp;D1083,'Tiempos intermodal (horas)'!C$45:C$1645&amp;'Tiempos intermodal (horas)'!D$45:D$1645,0))</f>
        <v>69.719458723371801</v>
      </c>
      <c r="J1083" s="2" cm="1">
        <f t="array" aca="1" ref="J1083" ca="1">INDEX('Tiempos carretera (horas)'!E$45:E$1645,MATCH(C1083&amp;D1083,'Tiempos carretera (horas)'!C$45:C$1645&amp;'Tiempos carretera (horas)'!D$45:D$1645,0))</f>
        <v>10.93</v>
      </c>
      <c r="K1083" s="12">
        <f t="shared" ca="1" si="102"/>
        <v>8.3945856220282469</v>
      </c>
      <c r="L1083" s="12">
        <f t="shared" ca="1" si="103"/>
        <v>10.900310966155381</v>
      </c>
      <c r="M1083" s="12">
        <f t="shared" ca="1" si="104"/>
        <v>0.13604961197855717</v>
      </c>
      <c r="N1083" s="13">
        <f t="shared" ca="1" si="100"/>
        <v>-2.5057253441271339</v>
      </c>
      <c r="O1083" s="13">
        <f t="shared" ca="1" si="101"/>
        <v>-58.789458723371801</v>
      </c>
      <c r="P1083" s="12">
        <f t="shared" ca="1" si="105"/>
        <v>1.8484957327090215</v>
      </c>
    </row>
    <row r="1084" spans="1:16" x14ac:dyDescent="0.25">
      <c r="A1084">
        <v>8</v>
      </c>
      <c r="B1084">
        <v>23</v>
      </c>
      <c r="C1084" s="2" t="s">
        <v>7</v>
      </c>
      <c r="D1084" s="2" t="s">
        <v>22</v>
      </c>
      <c r="E1084" s="11" cm="1">
        <f t="array" aca="1" ref="E1084" ca="1">INDEX('OD flujo mercancia multimodal'!E$45:E$1645,MATCH(C1084&amp;D1084,'OD flujo mercancia multimodal'!C$45:C$1645&amp;'OD flujo mercancia multimodal'!D$45:D$1645,0))</f>
        <v>13382.335164835167</v>
      </c>
      <c r="F1084" s="11" cm="1">
        <f t="array" aca="1" ref="F1084" ca="1">INDEX('OD flujo mercancia carretera'!E$45:E$1646,MATCH(C1084&amp;D1084,'OD flujo mercancia carretera'!C$45:C$1646&amp;'OD flujo mercancia carretera'!D$45:D$1646,0))</f>
        <v>227259.5897435901</v>
      </c>
      <c r="G1084" s="11" cm="1">
        <f t="array" aca="1" ref="G1084" ca="1">INDEX('Coste Carretera'!E$46:E$1646,MATCH(C1084&amp;D1084,'Coste Carretera'!C$46:C$1646&amp;'Coste Carretera'!D$46:D$1646,0))</f>
        <v>713382846.50000012</v>
      </c>
      <c r="H1084" s="11" cm="1">
        <f t="array" aca="1" ref="H1084" ca="1">INDEX('Coste multimodal'!E$46:E$1646,MATCH(C1084&amp;D1084,'Coste multimodal'!C$46:C$1646&amp;'Coste multimodal'!D$46:D$1646,0))</f>
        <v>385962522.90056092</v>
      </c>
      <c r="I1084" s="12" cm="1">
        <f t="array" aca="1" ref="I1084" ca="1">INDEX('Tiempos intermodal (horas)'!E$45:E$1645,MATCH(C1084&amp;D1084,'Tiempos intermodal (horas)'!C$45:C$1645&amp;'Tiempos intermodal (horas)'!D$45:D$1645,0))</f>
        <v>69.719458723371801</v>
      </c>
      <c r="J1084" s="2" cm="1">
        <f t="array" aca="1" ref="J1084" ca="1">INDEX('Tiempos carretera (horas)'!E$45:E$1645,MATCH(C1084&amp;D1084,'Tiempos carretera (horas)'!C$45:C$1645&amp;'Tiempos carretera (horas)'!D$45:D$1645,0))</f>
        <v>10.93</v>
      </c>
      <c r="K1084" s="12">
        <f t="shared" ca="1" si="102"/>
        <v>3.1390659787113395</v>
      </c>
      <c r="L1084" s="12">
        <f t="shared" ca="1" si="103"/>
        <v>28.841193868373335</v>
      </c>
      <c r="M1084" s="12">
        <f t="shared" ca="1" si="104"/>
        <v>5.5610987860605463E-2</v>
      </c>
      <c r="N1084" s="13">
        <f t="shared" ca="1" si="100"/>
        <v>-25.702127889661995</v>
      </c>
      <c r="O1084" s="13">
        <f t="shared" ca="1" si="101"/>
        <v>-58.789458723371801</v>
      </c>
      <c r="P1084" s="12">
        <f t="shared" ca="1" si="105"/>
        <v>2.832157365267018</v>
      </c>
    </row>
    <row r="1085" spans="1:16" x14ac:dyDescent="0.25">
      <c r="A1085">
        <v>9</v>
      </c>
      <c r="B1085">
        <v>40</v>
      </c>
      <c r="C1085" s="2" t="s">
        <v>148</v>
      </c>
      <c r="D1085" s="2" t="s">
        <v>39</v>
      </c>
      <c r="E1085" s="11" cm="1">
        <f t="array" aca="1" ref="E1085" ca="1">INDEX('OD flujo mercancia multimodal'!E$45:E$1645,MATCH(C1085&amp;D1085,'OD flujo mercancia multimodal'!C$45:C$1645&amp;'OD flujo mercancia multimodal'!D$45:D$1645,0))</f>
        <v>10641.26923076923</v>
      </c>
      <c r="F1085" s="11" cm="1">
        <f t="array" aca="1" ref="F1085" ca="1">INDEX('OD flujo mercancia carretera'!E$45:E$1646,MATCH(C1085&amp;D1085,'OD flujo mercancia carretera'!C$45:C$1646&amp;'OD flujo mercancia carretera'!D$45:D$1646,0))</f>
        <v>647775.43986568996</v>
      </c>
      <c r="G1085" s="11" cm="1">
        <f t="array" aca="1" ref="G1085" ca="1">INDEX('Coste Carretera'!E$46:E$1646,MATCH(C1085&amp;D1085,'Coste Carretera'!C$46:C$1646&amp;'Coste Carretera'!D$46:D$1646,0))</f>
        <v>495936062.0400005</v>
      </c>
      <c r="H1085" s="11" cm="1">
        <f t="array" aca="1" ref="H1085" ca="1">INDEX('Coste multimodal'!E$46:E$1646,MATCH(C1085&amp;D1085,'Coste multimodal'!C$46:C$1646&amp;'Coste multimodal'!D$46:D$1646,0))</f>
        <v>595176345.8888334</v>
      </c>
      <c r="I1085" s="12" cm="1">
        <f t="array" aca="1" ref="I1085" ca="1">INDEX('Tiempos intermodal (horas)'!E$45:E$1645,MATCH(C1085&amp;D1085,'Tiempos intermodal (horas)'!C$45:C$1645&amp;'Tiempos intermodal (horas)'!D$45:D$1645,0))</f>
        <v>83.215302950215829</v>
      </c>
      <c r="J1085" s="2" cm="1">
        <f t="array" aca="1" ref="J1085" ca="1">INDEX('Tiempos carretera (horas)'!E$45:E$1645,MATCH(C1085&amp;D1085,'Tiempos carretera (horas)'!C$45:C$1645&amp;'Tiempos carretera (horas)'!D$45:D$1645,0))</f>
        <v>22.48</v>
      </c>
      <c r="K1085" s="12">
        <f t="shared" ca="1" si="102"/>
        <v>0.76559874227838598</v>
      </c>
      <c r="L1085" s="12">
        <f t="shared" ca="1" si="103"/>
        <v>55.93095456770147</v>
      </c>
      <c r="M1085" s="12">
        <f t="shared" ca="1" si="104"/>
        <v>1.6161906409350047E-2</v>
      </c>
      <c r="N1085" s="13">
        <f t="shared" ca="1" si="100"/>
        <v>-55.165355825423084</v>
      </c>
      <c r="O1085" s="13">
        <f t="shared" ca="1" si="101"/>
        <v>-60.735302950215825</v>
      </c>
      <c r="P1085" s="12">
        <f t="shared" ca="1" si="105"/>
        <v>4.108804327469775</v>
      </c>
    </row>
    <row r="1086" spans="1:16" x14ac:dyDescent="0.25">
      <c r="A1086">
        <v>40</v>
      </c>
      <c r="B1086">
        <v>9</v>
      </c>
      <c r="C1086" s="2" t="s">
        <v>39</v>
      </c>
      <c r="D1086" s="2" t="s">
        <v>148</v>
      </c>
      <c r="E1086" s="11" cm="1">
        <f t="array" aca="1" ref="E1086" ca="1">INDEX('OD flujo mercancia multimodal'!E$45:E$1645,MATCH(C1086&amp;D1086,'OD flujo mercancia multimodal'!C$45:C$1645&amp;'OD flujo mercancia multimodal'!D$45:D$1645,0))</f>
        <v>3300.3776223776222</v>
      </c>
      <c r="F1086" s="11" cm="1">
        <f t="array" aca="1" ref="F1086" ca="1">INDEX('OD flujo mercancia carretera'!E$45:E$1646,MATCH(C1086&amp;D1086,'OD flujo mercancia carretera'!C$45:C$1646&amp;'OD flujo mercancia carretera'!D$45:D$1646,0))</f>
        <v>669798.13461538486</v>
      </c>
      <c r="G1086" s="11" cm="1">
        <f t="array" aca="1" ref="G1086" ca="1">INDEX('Coste Carretera'!E$46:E$1646,MATCH(C1086&amp;D1086,'Coste Carretera'!C$46:C$1646&amp;'Coste Carretera'!D$46:D$1646,0))</f>
        <v>68190745.716363579</v>
      </c>
      <c r="H1086" s="11" cm="1">
        <f t="array" aca="1" ref="H1086" ca="1">INDEX('Coste multimodal'!E$46:E$1646,MATCH(C1086&amp;D1086,'Coste multimodal'!C$46:C$1646&amp;'Coste multimodal'!D$46:D$1646,0))</f>
        <v>472486487.18310153</v>
      </c>
      <c r="I1086" s="12" cm="1">
        <f t="array" aca="1" ref="I1086" ca="1">INDEX('Tiempos intermodal (horas)'!E$45:E$1645,MATCH(C1086&amp;D1086,'Tiempos intermodal (horas)'!C$45:C$1645&amp;'Tiempos intermodal (horas)'!D$45:D$1645,0))</f>
        <v>74.976228151980123</v>
      </c>
      <c r="J1086" s="2" cm="1">
        <f t="array" aca="1" ref="J1086" ca="1">INDEX('Tiempos carretera (horas)'!E$45:E$1645,MATCH(C1086&amp;D1086,'Tiempos carretera (horas)'!C$45:C$1645&amp;'Tiempos carretera (horas)'!D$45:D$1645,0))</f>
        <v>22.1</v>
      </c>
      <c r="K1086" s="12">
        <f t="shared" ca="1" si="102"/>
        <v>0.10180790628137602</v>
      </c>
      <c r="L1086" s="12">
        <f t="shared" ca="1" si="103"/>
        <v>143.16134129000608</v>
      </c>
      <c r="M1086" s="12">
        <f t="shared" ca="1" si="104"/>
        <v>4.9032609081325835E-3</v>
      </c>
      <c r="N1086" s="13">
        <f t="shared" ca="1" si="100"/>
        <v>-143.0595333837247</v>
      </c>
      <c r="O1086" s="13">
        <f t="shared" ca="1" si="101"/>
        <v>-52.876228151980122</v>
      </c>
      <c r="P1086" s="12">
        <f t="shared" ca="1" si="105"/>
        <v>5.3129394824195186</v>
      </c>
    </row>
    <row r="1087" spans="1:16" x14ac:dyDescent="0.25">
      <c r="A1087">
        <v>37</v>
      </c>
      <c r="B1087">
        <v>33</v>
      </c>
      <c r="C1087" s="2" t="s">
        <v>36</v>
      </c>
      <c r="D1087" s="2" t="s">
        <v>32</v>
      </c>
      <c r="E1087" s="11" cm="1">
        <f t="array" aca="1" ref="E1087" ca="1">INDEX('OD flujo mercancia multimodal'!E$45:E$1645,MATCH(C1087&amp;D1087,'OD flujo mercancia multimodal'!C$45:C$1645&amp;'OD flujo mercancia multimodal'!D$45:D$1645,0))</f>
        <v>69763.923076923049</v>
      </c>
      <c r="F1087" s="11" cm="1">
        <f t="array" aca="1" ref="F1087" ca="1">INDEX('OD flujo mercancia carretera'!E$45:E$1646,MATCH(C1087&amp;D1087,'OD flujo mercancia carretera'!C$45:C$1646&amp;'OD flujo mercancia carretera'!D$45:D$1646,0))</f>
        <v>181557.29816849821</v>
      </c>
      <c r="G1087" s="11" cm="1">
        <f t="array" aca="1" ref="G1087" ca="1">INDEX('Coste Carretera'!E$46:E$1646,MATCH(C1087&amp;D1087,'Coste Carretera'!C$46:C$1646&amp;'Coste Carretera'!D$46:D$1646,0))</f>
        <v>267532876.3599999</v>
      </c>
      <c r="H1087" s="11" cm="1">
        <f t="array" aca="1" ref="H1087" ca="1">INDEX('Coste multimodal'!E$46:E$1646,MATCH(C1087&amp;D1087,'Coste multimodal'!C$46:C$1646&amp;'Coste multimodal'!D$46:D$1646,0))</f>
        <v>186393998.45303762</v>
      </c>
      <c r="I1087" s="12" cm="1">
        <f t="array" aca="1" ref="I1087" ca="1">INDEX('Tiempos intermodal (horas)'!E$45:E$1645,MATCH(C1087&amp;D1087,'Tiempos intermodal (horas)'!C$45:C$1645&amp;'Tiempos intermodal (horas)'!D$45:D$1645,0))</f>
        <v>79.685149153059328</v>
      </c>
      <c r="J1087" s="2" cm="1">
        <f t="array" aca="1" ref="J1087" ca="1">INDEX('Tiempos carretera (horas)'!E$45:E$1645,MATCH(C1087&amp;D1087,'Tiempos carretera (horas)'!C$45:C$1645&amp;'Tiempos carretera (horas)'!D$45:D$1645,0))</f>
        <v>20.23</v>
      </c>
      <c r="K1087" s="12">
        <f t="shared" ca="1" si="102"/>
        <v>1.4735451510834345</v>
      </c>
      <c r="L1087" s="12">
        <f t="shared" ca="1" si="103"/>
        <v>2.6717820648864028</v>
      </c>
      <c r="M1087" s="12">
        <f t="shared" ca="1" si="104"/>
        <v>0.27758866812443539</v>
      </c>
      <c r="N1087" s="13">
        <f t="shared" ca="1" si="100"/>
        <v>-1.1982369138029683</v>
      </c>
      <c r="O1087" s="13">
        <f t="shared" ca="1" si="101"/>
        <v>-59.455149153059324</v>
      </c>
      <c r="P1087" s="12">
        <f t="shared" ca="1" si="105"/>
        <v>0.95645428148565304</v>
      </c>
    </row>
    <row r="1088" spans="1:16" x14ac:dyDescent="0.25">
      <c r="A1088">
        <v>33</v>
      </c>
      <c r="B1088">
        <v>37</v>
      </c>
      <c r="C1088" s="2" t="s">
        <v>32</v>
      </c>
      <c r="D1088" s="2" t="s">
        <v>36</v>
      </c>
      <c r="E1088" s="11" cm="1">
        <f t="array" aca="1" ref="E1088" ca="1">INDEX('OD flujo mercancia multimodal'!E$45:E$1645,MATCH(C1088&amp;D1088,'OD flujo mercancia multimodal'!C$45:C$1645&amp;'OD flujo mercancia multimodal'!D$45:D$1645,0))</f>
        <v>40295.461538461583</v>
      </c>
      <c r="F1088" s="11" cm="1">
        <f t="array" aca="1" ref="F1088" ca="1">INDEX('OD flujo mercancia carretera'!E$45:E$1646,MATCH(C1088&amp;D1088,'OD flujo mercancia carretera'!C$45:C$1646&amp;'OD flujo mercancia carretera'!D$45:D$1646,0))</f>
        <v>178852.4472527472</v>
      </c>
      <c r="G1088" s="11" cm="1">
        <f t="array" aca="1" ref="G1088" ca="1">INDEX('Coste Carretera'!E$46:E$1646,MATCH(C1088&amp;D1088,'Coste Carretera'!C$46:C$1646&amp;'Coste Carretera'!D$46:D$1646,0))</f>
        <v>394141389.99999952</v>
      </c>
      <c r="H1088" s="11" cm="1">
        <f t="array" aca="1" ref="H1088" ca="1">INDEX('Coste multimodal'!E$46:E$1646,MATCH(C1088&amp;D1088,'Coste multimodal'!C$46:C$1646&amp;'Coste multimodal'!D$46:D$1646,0))</f>
        <v>186393998.45303762</v>
      </c>
      <c r="I1088" s="12" cm="1">
        <f t="array" aca="1" ref="I1088" ca="1">INDEX('Tiempos intermodal (horas)'!E$45:E$1645,MATCH(C1088&amp;D1088,'Tiempos intermodal (horas)'!C$45:C$1645&amp;'Tiempos intermodal (horas)'!D$45:D$1645,0))</f>
        <v>79.685149153059328</v>
      </c>
      <c r="J1088" s="2" cm="1">
        <f t="array" aca="1" ref="J1088" ca="1">INDEX('Tiempos carretera (horas)'!E$45:E$1645,MATCH(C1088&amp;D1088,'Tiempos carretera (horas)'!C$45:C$1645&amp;'Tiempos carretera (horas)'!D$45:D$1645,0))</f>
        <v>20.23</v>
      </c>
      <c r="K1088" s="12">
        <f t="shared" ca="1" si="102"/>
        <v>2.2037237737262521</v>
      </c>
      <c r="L1088" s="12">
        <f t="shared" ca="1" si="103"/>
        <v>4.6256821819779024</v>
      </c>
      <c r="M1088" s="12">
        <f t="shared" ca="1" si="104"/>
        <v>0.18387335640447622</v>
      </c>
      <c r="N1088" s="13">
        <f t="shared" ref="N1088:N1151" ca="1" si="106">K1088-L1088</f>
        <v>-2.4219584082516503</v>
      </c>
      <c r="O1088" s="13">
        <f t="shared" ref="O1088:O1151" ca="1" si="107">J1088-I1088</f>
        <v>-59.455149153059324</v>
      </c>
      <c r="P1088" s="12">
        <f t="shared" ca="1" si="105"/>
        <v>1.4903223031816422</v>
      </c>
    </row>
    <row r="1089" spans="1:16" x14ac:dyDescent="0.25">
      <c r="A1089">
        <v>32</v>
      </c>
      <c r="B1089">
        <v>37</v>
      </c>
      <c r="C1089" s="2" t="s">
        <v>31</v>
      </c>
      <c r="D1089" s="2" t="s">
        <v>36</v>
      </c>
      <c r="E1089" s="11" cm="1">
        <f t="array" aca="1" ref="E1089" ca="1">INDEX('OD flujo mercancia multimodal'!E$45:E$1645,MATCH(C1089&amp;D1089,'OD flujo mercancia multimodal'!C$45:C$1645&amp;'OD flujo mercancia multimodal'!D$45:D$1645,0))</f>
        <v>10245.923076923124</v>
      </c>
      <c r="F1089" s="11" cm="1">
        <f t="array" aca="1" ref="F1089" ca="1">INDEX('OD flujo mercancia carretera'!E$45:E$1646,MATCH(C1089&amp;D1089,'OD flujo mercancia carretera'!C$45:C$1646&amp;'OD flujo mercancia carretera'!D$45:D$1646,0))</f>
        <v>132742.02673992669</v>
      </c>
      <c r="G1089" s="11" cm="1">
        <f t="array" aca="1" ref="G1089" ca="1">INDEX('Coste Carretera'!E$46:E$1646,MATCH(C1089&amp;D1089,'Coste Carretera'!C$46:C$1646&amp;'Coste Carretera'!D$46:D$1646,0))</f>
        <v>598101193.99999964</v>
      </c>
      <c r="H1089" s="11" cm="1">
        <f t="array" aca="1" ref="H1089" ca="1">INDEX('Coste multimodal'!E$46:E$1646,MATCH(C1089&amp;D1089,'Coste multimodal'!C$46:C$1646&amp;'Coste multimodal'!D$46:D$1646,0))</f>
        <v>1114154395.3570375</v>
      </c>
      <c r="I1089" s="12" cm="1">
        <f t="array" aca="1" ref="I1089" ca="1">INDEX('Tiempos intermodal (horas)'!E$45:E$1645,MATCH(C1089&amp;D1089,'Tiempos intermodal (horas)'!C$45:C$1645&amp;'Tiempos intermodal (horas)'!D$45:D$1645,0))</f>
        <v>80.9929269308371</v>
      </c>
      <c r="J1089" s="2" cm="1">
        <f t="array" aca="1" ref="J1089" ca="1">INDEX('Tiempos carretera (horas)'!E$45:E$1645,MATCH(C1089&amp;D1089,'Tiempos carretera (horas)'!C$45:C$1645&amp;'Tiempos carretera (horas)'!D$45:D$1645,0))</f>
        <v>21.46</v>
      </c>
      <c r="K1089" s="12">
        <f t="shared" ca="1" si="102"/>
        <v>4.5057410127677393</v>
      </c>
      <c r="L1089" s="12">
        <f t="shared" ca="1" si="103"/>
        <v>108.74124146671039</v>
      </c>
      <c r="M1089" s="12">
        <f t="shared" ca="1" si="104"/>
        <v>7.1655849951320419E-2</v>
      </c>
      <c r="N1089" s="13">
        <f t="shared" ca="1" si="106"/>
        <v>-104.23550045394265</v>
      </c>
      <c r="O1089" s="13">
        <f t="shared" ca="1" si="107"/>
        <v>-59.5329269308371</v>
      </c>
      <c r="P1089" s="12">
        <f t="shared" ca="1" si="105"/>
        <v>2.5615277182268681</v>
      </c>
    </row>
    <row r="1090" spans="1:16" x14ac:dyDescent="0.25">
      <c r="A1090">
        <v>40</v>
      </c>
      <c r="B1090">
        <v>2</v>
      </c>
      <c r="C1090" s="2" t="s">
        <v>39</v>
      </c>
      <c r="D1090" s="2" t="s">
        <v>1</v>
      </c>
      <c r="E1090" s="11" cm="1">
        <f t="array" aca="1" ref="E1090" ca="1">INDEX('OD flujo mercancia multimodal'!E$45:E$1645,MATCH(C1090&amp;D1090,'OD flujo mercancia multimodal'!C$45:C$1645&amp;'OD flujo mercancia multimodal'!D$45:D$1645,0))</f>
        <v>23921.994505494476</v>
      </c>
      <c r="F1090" s="11" cm="1">
        <f t="array" aca="1" ref="F1090" ca="1">INDEX('OD flujo mercancia carretera'!E$45:E$1646,MATCH(C1090&amp;D1090,'OD flujo mercancia carretera'!C$45:C$1646&amp;'OD flujo mercancia carretera'!D$45:D$1646,0))</f>
        <v>138590.74358974362</v>
      </c>
      <c r="G1090" s="11" cm="1">
        <f t="array" aca="1" ref="G1090" ca="1">INDEX('Coste Carretera'!E$46:E$1646,MATCH(C1090&amp;D1090,'Coste Carretera'!C$46:C$1646&amp;'Coste Carretera'!D$46:D$1646,0))</f>
        <v>2019201739.2857113</v>
      </c>
      <c r="H1090" s="11" cm="1">
        <f t="array" aca="1" ref="H1090" ca="1">INDEX('Coste multimodal'!E$46:E$1646,MATCH(C1090&amp;D1090,'Coste multimodal'!C$46:C$1646&amp;'Coste multimodal'!D$46:D$1646,0))</f>
        <v>481615644.88310158</v>
      </c>
      <c r="I1090" s="12" cm="1">
        <f t="array" aca="1" ref="I1090" ca="1">INDEX('Tiempos intermodal (horas)'!E$45:E$1645,MATCH(C1090&amp;D1090,'Tiempos intermodal (horas)'!C$45:C$1645&amp;'Tiempos intermodal (horas)'!D$45:D$1645,0))</f>
        <v>72.892894818646781</v>
      </c>
      <c r="J1090" s="2" cm="1">
        <f t="array" aca="1" ref="J1090" ca="1">INDEX('Tiempos carretera (horas)'!E$45:E$1645,MATCH(C1090&amp;D1090,'Tiempos carretera (horas)'!C$45:C$1645&amp;'Tiempos carretera (horas)'!D$45:D$1645,0))</f>
        <v>18.03</v>
      </c>
      <c r="K1090" s="12">
        <f t="shared" ca="1" si="102"/>
        <v>14.569528144411674</v>
      </c>
      <c r="L1090" s="12">
        <f t="shared" ca="1" si="103"/>
        <v>20.132754598387798</v>
      </c>
      <c r="M1090" s="12">
        <f t="shared" ca="1" si="104"/>
        <v>0.14720073506776654</v>
      </c>
      <c r="N1090" s="13">
        <f t="shared" ca="1" si="106"/>
        <v>-5.5632264539761245</v>
      </c>
      <c r="O1090" s="13">
        <f t="shared" ca="1" si="107"/>
        <v>-54.86289481864678</v>
      </c>
      <c r="P1090" s="12">
        <f t="shared" ca="1" si="105"/>
        <v>1.7567269915157535</v>
      </c>
    </row>
    <row r="1091" spans="1:16" x14ac:dyDescent="0.25">
      <c r="A1091">
        <v>2</v>
      </c>
      <c r="B1091">
        <v>40</v>
      </c>
      <c r="C1091" s="2" t="s">
        <v>1</v>
      </c>
      <c r="D1091" s="2" t="s">
        <v>39</v>
      </c>
      <c r="E1091" s="11" cm="1">
        <f t="array" aca="1" ref="E1091" ca="1">INDEX('OD flujo mercancia multimodal'!E$45:E$1645,MATCH(C1091&amp;D1091,'OD flujo mercancia multimodal'!C$45:C$1645&amp;'OD flujo mercancia multimodal'!D$45:D$1645,0))</f>
        <v>16143.76923076923</v>
      </c>
      <c r="F1091" s="11" cm="1">
        <f t="array" aca="1" ref="F1091" ca="1">INDEX('OD flujo mercancia carretera'!E$45:E$1646,MATCH(C1091&amp;D1091,'OD flujo mercancia carretera'!C$45:C$1646&amp;'OD flujo mercancia carretera'!D$45:D$1646,0))</f>
        <v>111197.1428571429</v>
      </c>
      <c r="G1091" s="11" cm="1">
        <f t="array" aca="1" ref="G1091" ca="1">INDEX('Coste Carretera'!E$46:E$1646,MATCH(C1091&amp;D1091,'Coste Carretera'!C$46:C$1646&amp;'Coste Carretera'!D$46:D$1646,0))</f>
        <v>1018190372.8000005</v>
      </c>
      <c r="H1091" s="11" cm="1">
        <f t="array" aca="1" ref="H1091" ca="1">INDEX('Coste multimodal'!E$46:E$1646,MATCH(C1091&amp;D1091,'Coste multimodal'!C$46:C$1646&amp;'Coste multimodal'!D$46:D$1646,0))</f>
        <v>604305503.58883333</v>
      </c>
      <c r="I1091" s="12" cm="1">
        <f t="array" aca="1" ref="I1091" ca="1">INDEX('Tiempos intermodal (horas)'!E$45:E$1645,MATCH(C1091&amp;D1091,'Tiempos intermodal (horas)'!C$45:C$1645&amp;'Tiempos intermodal (horas)'!D$45:D$1645,0))</f>
        <v>81.1319696168825</v>
      </c>
      <c r="J1091" s="2" cm="1">
        <f t="array" aca="1" ref="J1091" ca="1">INDEX('Tiempos carretera (horas)'!E$45:E$1645,MATCH(C1091&amp;D1091,'Tiempos carretera (horas)'!C$45:C$1645&amp;'Tiempos carretera (horas)'!D$45:D$1645,0))</f>
        <v>20.13</v>
      </c>
      <c r="K1091" s="12">
        <f t="shared" ca="1" si="102"/>
        <v>9.1566235124232396</v>
      </c>
      <c r="L1091" s="12">
        <f t="shared" ca="1" si="103"/>
        <v>37.432739216629585</v>
      </c>
      <c r="M1091" s="12">
        <f t="shared" ca="1" si="104"/>
        <v>0.12677598240873353</v>
      </c>
      <c r="N1091" s="13">
        <f t="shared" ca="1" si="106"/>
        <v>-28.276115704206347</v>
      </c>
      <c r="O1091" s="13">
        <f t="shared" ca="1" si="107"/>
        <v>-61.001969616882505</v>
      </c>
      <c r="P1091" s="12">
        <f t="shared" ca="1" si="105"/>
        <v>1.9297705186736556</v>
      </c>
    </row>
    <row r="1092" spans="1:16" x14ac:dyDescent="0.25">
      <c r="A1092">
        <v>39</v>
      </c>
      <c r="B1092">
        <v>31</v>
      </c>
      <c r="C1092" s="2" t="s">
        <v>38</v>
      </c>
      <c r="D1092" s="2" t="s">
        <v>30</v>
      </c>
      <c r="E1092" s="11" cm="1">
        <f t="array" aca="1" ref="E1092" ca="1">INDEX('OD flujo mercancia multimodal'!E$45:E$1645,MATCH(C1092&amp;D1092,'OD flujo mercancia multimodal'!C$45:C$1645&amp;'OD flujo mercancia multimodal'!D$45:D$1645,0))</f>
        <v>2666.4615384615399</v>
      </c>
      <c r="F1092" s="11" cm="1">
        <f t="array" aca="1" ref="F1092" ca="1">INDEX('OD flujo mercancia carretera'!E$45:E$1646,MATCH(C1092&amp;D1092,'OD flujo mercancia carretera'!C$45:C$1646&amp;'OD flujo mercancia carretera'!D$45:D$1646,0))</f>
        <v>29633.38461538461</v>
      </c>
      <c r="G1092" s="11" cm="1">
        <f t="array" aca="1" ref="G1092" ca="1">INDEX('Coste Carretera'!E$46:E$1646,MATCH(C1092&amp;D1092,'Coste Carretera'!C$46:C$1646&amp;'Coste Carretera'!D$46:D$1646,0))</f>
        <v>1802967422.1960001</v>
      </c>
      <c r="H1092" s="11" cm="1">
        <f t="array" aca="1" ref="H1092" ca="1">INDEX('Coste multimodal'!E$46:E$1646,MATCH(C1092&amp;D1092,'Coste multimodal'!C$46:C$1646&amp;'Coste multimodal'!D$46:D$1646,0))</f>
        <v>543163363.79631138</v>
      </c>
      <c r="I1092" s="12" cm="1">
        <f t="array" aca="1" ref="I1092" ca="1">INDEX('Tiempos intermodal (horas)'!E$45:E$1645,MATCH(C1092&amp;D1092,'Tiempos intermodal (horas)'!C$45:C$1645&amp;'Tiempos intermodal (horas)'!D$45:D$1645,0))</f>
        <v>93.177621064423789</v>
      </c>
      <c r="J1092" s="2" cm="1">
        <f t="array" aca="1" ref="J1092" ca="1">INDEX('Tiempos carretera (horas)'!E$45:E$1645,MATCH(C1092&amp;D1092,'Tiempos carretera (horas)'!C$45:C$1645&amp;'Tiempos carretera (horas)'!D$45:D$1645,0))</f>
        <v>25</v>
      </c>
      <c r="K1092" s="12">
        <f t="shared" ca="1" si="102"/>
        <v>60.84243988990589</v>
      </c>
      <c r="L1092" s="12">
        <f t="shared" ca="1" si="103"/>
        <v>203.7019308029092</v>
      </c>
      <c r="M1092" s="12">
        <f t="shared" ca="1" si="104"/>
        <v>8.2553382011821982E-2</v>
      </c>
      <c r="N1092" s="13">
        <f t="shared" ca="1" si="106"/>
        <v>-142.8594909130033</v>
      </c>
      <c r="O1092" s="13">
        <f t="shared" ca="1" si="107"/>
        <v>-68.177621064423789</v>
      </c>
      <c r="P1092" s="12">
        <f t="shared" ca="1" si="105"/>
        <v>2.4081492574270911</v>
      </c>
    </row>
    <row r="1093" spans="1:16" x14ac:dyDescent="0.25">
      <c r="A1093">
        <v>31</v>
      </c>
      <c r="B1093">
        <v>39</v>
      </c>
      <c r="C1093" s="2" t="s">
        <v>30</v>
      </c>
      <c r="D1093" s="2" t="s">
        <v>38</v>
      </c>
      <c r="E1093" s="11" cm="1">
        <f t="array" aca="1" ref="E1093" ca="1">INDEX('OD flujo mercancia multimodal'!E$45:E$1645,MATCH(C1093&amp;D1093,'OD flujo mercancia multimodal'!C$45:C$1645&amp;'OD flujo mercancia multimodal'!D$45:D$1645,0))</f>
        <v>5012.6923076923122</v>
      </c>
      <c r="F1093" s="11" cm="1">
        <f t="array" aca="1" ref="F1093" ca="1">INDEX('OD flujo mercancia carretera'!E$45:E$1646,MATCH(C1093&amp;D1093,'OD flujo mercancia carretera'!C$45:C$1646&amp;'OD flujo mercancia carretera'!D$45:D$1646,0))</f>
        <v>111447.15018315018</v>
      </c>
      <c r="G1093" s="11" cm="1">
        <f t="array" aca="1" ref="G1093" ca="1">INDEX('Coste Carretera'!E$46:E$1646,MATCH(C1093&amp;D1093,'Coste Carretera'!C$46:C$1646&amp;'Coste Carretera'!D$46:D$1646,0))</f>
        <v>221565720</v>
      </c>
      <c r="H1093" s="11" cm="1">
        <f t="array" aca="1" ref="H1093" ca="1">INDEX('Coste multimodal'!E$46:E$1646,MATCH(C1093&amp;D1093,'Coste multimodal'!C$46:C$1646&amp;'Coste multimodal'!D$46:D$1646,0))</f>
        <v>538209130.61995149</v>
      </c>
      <c r="I1093" s="12" cm="1">
        <f t="array" aca="1" ref="I1093" ca="1">INDEX('Tiempos intermodal (horas)'!E$45:E$1645,MATCH(C1093&amp;D1093,'Tiempos intermodal (horas)'!C$45:C$1645&amp;'Tiempos intermodal (horas)'!D$45:D$1645,0))</f>
        <v>82.317477066910641</v>
      </c>
      <c r="J1093" s="2" cm="1">
        <f t="array" aca="1" ref="J1093" ca="1">INDEX('Tiempos carretera (horas)'!E$45:E$1645,MATCH(C1093&amp;D1093,'Tiempos carretera (horas)'!C$45:C$1645&amp;'Tiempos carretera (horas)'!D$45:D$1645,0))</f>
        <v>22.68</v>
      </c>
      <c r="K1093" s="12">
        <f t="shared" ca="1" si="102"/>
        <v>1.9880788305118884</v>
      </c>
      <c r="L1093" s="12">
        <f t="shared" ca="1" si="103"/>
        <v>107.36927335317063</v>
      </c>
      <c r="M1093" s="12">
        <f t="shared" ca="1" si="104"/>
        <v>4.3042238427262784E-2</v>
      </c>
      <c r="N1093" s="13">
        <f t="shared" ca="1" si="106"/>
        <v>-105.38119452265875</v>
      </c>
      <c r="O1093" s="13">
        <f t="shared" ca="1" si="107"/>
        <v>-59.637477066910641</v>
      </c>
      <c r="P1093" s="12">
        <f t="shared" ca="1" si="105"/>
        <v>3.1015773316217592</v>
      </c>
    </row>
    <row r="1094" spans="1:16" x14ac:dyDescent="0.25">
      <c r="A1094">
        <v>39</v>
      </c>
      <c r="B1094">
        <v>16</v>
      </c>
      <c r="C1094" s="2" t="s">
        <v>38</v>
      </c>
      <c r="D1094" s="2" t="s">
        <v>15</v>
      </c>
      <c r="E1094" s="11" cm="1">
        <f t="array" aca="1" ref="E1094" ca="1">INDEX('OD flujo mercancia multimodal'!E$45:E$1645,MATCH(C1094&amp;D1094,'OD flujo mercancia multimodal'!C$45:C$1645&amp;'OD flujo mercancia multimodal'!D$45:D$1645,0))</f>
        <v>37433.230769230802</v>
      </c>
      <c r="F1094" s="11" cm="1">
        <f t="array" aca="1" ref="F1094" ca="1">INDEX('OD flujo mercancia carretera'!E$45:E$1646,MATCH(C1094&amp;D1094,'OD flujo mercancia carretera'!C$45:C$1646&amp;'OD flujo mercancia carretera'!D$45:D$1646,0))</f>
        <v>535923.38461538428</v>
      </c>
      <c r="G1094" s="11" cm="1">
        <f t="array" aca="1" ref="G1094" ca="1">INDEX('Coste Carretera'!E$46:E$1646,MATCH(C1094&amp;D1094,'Coste Carretera'!C$46:C$1646&amp;'Coste Carretera'!D$46:D$1646,0))</f>
        <v>1935791908.5200014</v>
      </c>
      <c r="H1094" s="11" cm="1">
        <f t="array" aca="1" ref="H1094" ca="1">INDEX('Coste multimodal'!E$46:E$1646,MATCH(C1094&amp;D1094,'Coste multimodal'!C$46:C$1646&amp;'Coste multimodal'!D$46:D$1646,0))</f>
        <v>281544732.37646675</v>
      </c>
      <c r="I1094" s="12" cm="1">
        <f t="array" aca="1" ref="I1094" ca="1">INDEX('Tiempos intermodal (horas)'!E$45:E$1645,MATCH(C1094&amp;D1094,'Tiempos intermodal (horas)'!C$45:C$1645&amp;'Tiempos intermodal (horas)'!D$45:D$1645,0))</f>
        <v>55.022446793473158</v>
      </c>
      <c r="J1094" s="2" cm="1">
        <f t="array" aca="1" ref="J1094" ca="1">INDEX('Tiempos carretera (horas)'!E$45:E$1645,MATCH(C1094&amp;D1094,'Tiempos carretera (horas)'!C$45:C$1645&amp;'Tiempos carretera (horas)'!D$45:D$1645,0))</f>
        <v>8.58</v>
      </c>
      <c r="K1094" s="12">
        <f t="shared" ca="1" si="102"/>
        <v>3.6120683741189232</v>
      </c>
      <c r="L1094" s="12">
        <f t="shared" ca="1" si="103"/>
        <v>7.5212512142523797</v>
      </c>
      <c r="M1094" s="12">
        <f t="shared" ca="1" si="104"/>
        <v>6.5287867558866675E-2</v>
      </c>
      <c r="N1094" s="13">
        <f t="shared" ca="1" si="106"/>
        <v>-3.9091828401334565</v>
      </c>
      <c r="O1094" s="13">
        <f t="shared" ca="1" si="107"/>
        <v>-46.44244679347316</v>
      </c>
      <c r="P1094" s="12">
        <f t="shared" ca="1" si="105"/>
        <v>2.6614323785447831</v>
      </c>
    </row>
    <row r="1095" spans="1:16" x14ac:dyDescent="0.25">
      <c r="A1095">
        <v>16</v>
      </c>
      <c r="B1095">
        <v>39</v>
      </c>
      <c r="C1095" s="2" t="s">
        <v>15</v>
      </c>
      <c r="D1095" s="2" t="s">
        <v>38</v>
      </c>
      <c r="E1095" s="11" cm="1">
        <f t="array" aca="1" ref="E1095" ca="1">INDEX('OD flujo mercancia multimodal'!E$45:E$1645,MATCH(C1095&amp;D1095,'OD flujo mercancia multimodal'!C$45:C$1645&amp;'OD flujo mercancia multimodal'!D$45:D$1645,0))</f>
        <v>38495.846153846156</v>
      </c>
      <c r="F1095" s="11" cm="1">
        <f t="array" aca="1" ref="F1095" ca="1">INDEX('OD flujo mercancia carretera'!E$45:E$1646,MATCH(C1095&amp;D1095,'OD flujo mercancia carretera'!C$45:C$1646&amp;'OD flujo mercancia carretera'!D$45:D$1646,0))</f>
        <v>260744.38095238095</v>
      </c>
      <c r="G1095" s="11" cm="1">
        <f t="array" aca="1" ref="G1095" ca="1">INDEX('Coste Carretera'!E$46:E$1646,MATCH(C1095&amp;D1095,'Coste Carretera'!C$46:C$1646&amp;'Coste Carretera'!D$46:D$1646,0))</f>
        <v>1540531458.72</v>
      </c>
      <c r="H1095" s="11" cm="1">
        <f t="array" aca="1" ref="H1095" ca="1">INDEX('Coste multimodal'!E$46:E$1646,MATCH(C1095&amp;D1095,'Coste multimodal'!C$46:C$1646&amp;'Coste multimodal'!D$46:D$1646,0))</f>
        <v>316226970.82296628</v>
      </c>
      <c r="I1095" s="12" cm="1">
        <f t="array" aca="1" ref="I1095" ca="1">INDEX('Tiempos intermodal (horas)'!E$45:E$1645,MATCH(C1095&amp;D1095,'Tiempos intermodal (horas)'!C$45:C$1645&amp;'Tiempos intermodal (horas)'!D$45:D$1645,0))</f>
        <v>68.152830799549562</v>
      </c>
      <c r="J1095" s="2" cm="1">
        <f t="array" aca="1" ref="J1095" ca="1">INDEX('Tiempos carretera (horas)'!E$45:E$1645,MATCH(C1095&amp;D1095,'Tiempos carretera (horas)'!C$45:C$1645&amp;'Tiempos carretera (horas)'!D$45:D$1645,0))</f>
        <v>8.18</v>
      </c>
      <c r="K1095" s="12">
        <f t="shared" ca="1" si="102"/>
        <v>5.9082057802861847</v>
      </c>
      <c r="L1095" s="12">
        <f t="shared" ca="1" si="103"/>
        <v>8.214573841530477</v>
      </c>
      <c r="M1095" s="12">
        <f t="shared" ca="1" si="104"/>
        <v>0.12864529119669643</v>
      </c>
      <c r="N1095" s="13">
        <f t="shared" ca="1" si="106"/>
        <v>-2.3063680612442923</v>
      </c>
      <c r="O1095" s="13">
        <f t="shared" ca="1" si="107"/>
        <v>-59.972830799549563</v>
      </c>
      <c r="P1095" s="12">
        <f t="shared" ca="1" si="105"/>
        <v>1.9129902007241912</v>
      </c>
    </row>
    <row r="1096" spans="1:16" x14ac:dyDescent="0.25">
      <c r="A1096">
        <v>39</v>
      </c>
      <c r="B1096">
        <v>4</v>
      </c>
      <c r="C1096" s="2" t="s">
        <v>38</v>
      </c>
      <c r="D1096" s="2" t="s">
        <v>3</v>
      </c>
      <c r="E1096" s="11" cm="1">
        <f t="array" aca="1" ref="E1096" ca="1">INDEX('OD flujo mercancia multimodal'!E$45:E$1645,MATCH(C1096&amp;D1096,'OD flujo mercancia multimodal'!C$45:C$1645&amp;'OD flujo mercancia multimodal'!D$45:D$1645,0))</f>
        <v>31162.071428571398</v>
      </c>
      <c r="F1096" s="11" cm="1">
        <f t="array" aca="1" ref="F1096" ca="1">INDEX('OD flujo mercancia carretera'!E$45:E$1646,MATCH(C1096&amp;D1096,'OD flujo mercancia carretera'!C$45:C$1646&amp;'OD flujo mercancia carretera'!D$45:D$1646,0))</f>
        <v>36449.076923076907</v>
      </c>
      <c r="G1096" s="11" cm="1">
        <f t="array" aca="1" ref="G1096" ca="1">INDEX('Coste Carretera'!E$46:E$1646,MATCH(C1096&amp;D1096,'Coste Carretera'!C$46:C$1646&amp;'Coste Carretera'!D$46:D$1646,0))</f>
        <v>5215273810.0714235</v>
      </c>
      <c r="H1096" s="11" cm="1">
        <f t="array" aca="1" ref="H1096" ca="1">INDEX('Coste multimodal'!E$46:E$1646,MATCH(C1096&amp;D1096,'Coste multimodal'!C$46:C$1646&amp;'Coste multimodal'!D$46:D$1646,0))</f>
        <v>361459420.56774008</v>
      </c>
      <c r="I1096" s="12" cm="1">
        <f t="array" aca="1" ref="I1096" ca="1">INDEX('Tiempos intermodal (horas)'!E$45:E$1645,MATCH(C1096&amp;D1096,'Tiempos intermodal (horas)'!C$45:C$1645&amp;'Tiempos intermodal (horas)'!D$45:D$1645,0))</f>
        <v>91.922065508868243</v>
      </c>
      <c r="J1096" s="2" cm="1">
        <f t="array" aca="1" ref="J1096" ca="1">INDEX('Tiempos carretera (horas)'!E$45:E$1645,MATCH(C1096&amp;D1096,'Tiempos carretera (horas)'!C$45:C$1645&amp;'Tiempos carretera (horas)'!D$45:D$1645,0))</f>
        <v>26</v>
      </c>
      <c r="K1096" s="12">
        <f t="shared" ca="1" si="102"/>
        <v>143.08383779040207</v>
      </c>
      <c r="L1096" s="12">
        <f t="shared" ca="1" si="103"/>
        <v>11.599338683125241</v>
      </c>
      <c r="M1096" s="12">
        <f t="shared" ca="1" si="104"/>
        <v>0.46090137778012902</v>
      </c>
      <c r="N1096" s="13">
        <f t="shared" ca="1" si="106"/>
        <v>131.48449910727683</v>
      </c>
      <c r="O1096" s="13">
        <f t="shared" ca="1" si="107"/>
        <v>-65.922065508868243</v>
      </c>
      <c r="P1096" s="12">
        <f t="shared" ca="1" si="105"/>
        <v>0.15671443770265911</v>
      </c>
    </row>
    <row r="1097" spans="1:16" x14ac:dyDescent="0.25">
      <c r="A1097">
        <v>22</v>
      </c>
      <c r="B1097">
        <v>4</v>
      </c>
      <c r="C1097" s="2" t="s">
        <v>21</v>
      </c>
      <c r="D1097" s="2" t="s">
        <v>3</v>
      </c>
      <c r="E1097" s="11" cm="1">
        <f t="array" aca="1" ref="E1097" ca="1">INDEX('OD flujo mercancia multimodal'!E$45:E$1645,MATCH(C1097&amp;D1097,'OD flujo mercancia multimodal'!C$45:C$1645&amp;'OD flujo mercancia multimodal'!D$45:D$1645,0))</f>
        <v>39804.609890109859</v>
      </c>
      <c r="F1097" s="11" cm="1">
        <f t="array" aca="1" ref="F1097" ca="1">INDEX('OD flujo mercancia carretera'!E$45:E$1646,MATCH(C1097&amp;D1097,'OD flujo mercancia carretera'!C$45:C$1646&amp;'OD flujo mercancia carretera'!D$45:D$1646,0))</f>
        <v>158218.05128205125</v>
      </c>
      <c r="G1097" s="11" cm="1">
        <f t="array" aca="1" ref="G1097" ca="1">INDEX('Coste Carretera'!E$46:E$1646,MATCH(C1097&amp;D1097,'Coste Carretera'!C$46:C$1646&amp;'Coste Carretera'!D$46:D$1646,0))</f>
        <v>2163706945.3285694</v>
      </c>
      <c r="H1097" s="11" cm="1">
        <f t="array" aca="1" ref="H1097" ca="1">INDEX('Coste multimodal'!E$46:E$1646,MATCH(C1097&amp;D1097,'Coste multimodal'!C$46:C$1646&amp;'Coste multimodal'!D$46:D$1646,0))</f>
        <v>2976503483.6880198</v>
      </c>
      <c r="I1097" s="12" cm="1">
        <f t="array" aca="1" ref="I1097" ca="1">INDEX('Tiempos intermodal (horas)'!E$45:E$1645,MATCH(C1097&amp;D1097,'Tiempos intermodal (horas)'!C$45:C$1645&amp;'Tiempos intermodal (horas)'!D$45:D$1645,0))</f>
        <v>84.476017452843465</v>
      </c>
      <c r="J1097" s="2" cm="1">
        <f t="array" aca="1" ref="J1097" ca="1">INDEX('Tiempos carretera (horas)'!E$45:E$1645,MATCH(C1097&amp;D1097,'Tiempos carretera (horas)'!C$45:C$1645&amp;'Tiempos carretera (horas)'!D$45:D$1645,0))</f>
        <v>11.11</v>
      </c>
      <c r="K1097" s="12">
        <f t="shared" ca="1" si="102"/>
        <v>13.675474623760753</v>
      </c>
      <c r="L1097" s="12">
        <f t="shared" ca="1" si="103"/>
        <v>74.777858441657116</v>
      </c>
      <c r="M1097" s="12">
        <f t="shared" ca="1" si="104"/>
        <v>0.20101037757241172</v>
      </c>
      <c r="N1097" s="13">
        <f t="shared" ca="1" si="106"/>
        <v>-61.102383817896367</v>
      </c>
      <c r="O1097" s="13">
        <f t="shared" ca="1" si="107"/>
        <v>-73.366017452843465</v>
      </c>
      <c r="P1097" s="12">
        <f t="shared" ca="1" si="105"/>
        <v>1.3799914210413624</v>
      </c>
    </row>
    <row r="1098" spans="1:16" x14ac:dyDescent="0.25">
      <c r="A1098">
        <v>16</v>
      </c>
      <c r="B1098">
        <v>37</v>
      </c>
      <c r="C1098" s="2" t="s">
        <v>15</v>
      </c>
      <c r="D1098" s="2" t="s">
        <v>36</v>
      </c>
      <c r="E1098" s="11" cm="1">
        <f t="array" aca="1" ref="E1098" ca="1">INDEX('OD flujo mercancia multimodal'!E$45:E$1645,MATCH(C1098&amp;D1098,'OD flujo mercancia multimodal'!C$45:C$1645&amp;'OD flujo mercancia multimodal'!D$45:D$1645,0))</f>
        <v>45457.307692307739</v>
      </c>
      <c r="F1098" s="11" cm="1">
        <f t="array" aca="1" ref="F1098" ca="1">INDEX('OD flujo mercancia carretera'!E$45:E$1646,MATCH(C1098&amp;D1098,'OD flujo mercancia carretera'!C$45:C$1646&amp;'OD flujo mercancia carretera'!D$45:D$1646,0))</f>
        <v>255596.96520146518</v>
      </c>
      <c r="G1098" s="11" cm="1">
        <f t="array" aca="1" ref="G1098" ca="1">INDEX('Coste Carretera'!E$46:E$1646,MATCH(C1098&amp;D1098,'Coste Carretera'!C$46:C$1646&amp;'Coste Carretera'!D$46:D$1646,0))</f>
        <v>1636132952.1599996</v>
      </c>
      <c r="H1098" s="11" cm="1">
        <f t="array" aca="1" ref="H1098" ca="1">INDEX('Coste multimodal'!E$46:E$1646,MATCH(C1098&amp;D1098,'Coste multimodal'!C$46:C$1646&amp;'Coste multimodal'!D$46:D$1646,0))</f>
        <v>368885308.50296628</v>
      </c>
      <c r="I1098" s="12" cm="1">
        <f t="array" aca="1" ref="I1098" ca="1">INDEX('Tiempos intermodal (horas)'!E$45:E$1645,MATCH(C1098&amp;D1098,'Tiempos intermodal (horas)'!C$45:C$1645&amp;'Tiempos intermodal (horas)'!D$45:D$1645,0))</f>
        <v>68.430608577327348</v>
      </c>
      <c r="J1098" s="2" cm="1">
        <f t="array" aca="1" ref="J1098" ca="1">INDEX('Tiempos carretera (horas)'!E$45:E$1645,MATCH(C1098&amp;D1098,'Tiempos carretera (horas)'!C$45:C$1645&amp;'Tiempos carretera (horas)'!D$45:D$1645,0))</f>
        <v>8.08</v>
      </c>
      <c r="K1098" s="12">
        <f t="shared" ca="1" si="102"/>
        <v>6.4012221384177082</v>
      </c>
      <c r="L1098" s="12">
        <f t="shared" ca="1" si="103"/>
        <v>8.1149836457513924</v>
      </c>
      <c r="M1098" s="12">
        <f t="shared" ca="1" si="104"/>
        <v>0.15099373031768049</v>
      </c>
      <c r="N1098" s="13">
        <f t="shared" ca="1" si="106"/>
        <v>-1.7137615073336843</v>
      </c>
      <c r="O1098" s="13">
        <f t="shared" ca="1" si="107"/>
        <v>-60.35060857732735</v>
      </c>
      <c r="P1098" s="12">
        <f t="shared" ca="1" si="105"/>
        <v>1.7268282561909716</v>
      </c>
    </row>
    <row r="1099" spans="1:16" x14ac:dyDescent="0.25">
      <c r="A1099">
        <v>37</v>
      </c>
      <c r="B1099">
        <v>16</v>
      </c>
      <c r="C1099" s="2" t="s">
        <v>36</v>
      </c>
      <c r="D1099" s="2" t="s">
        <v>15</v>
      </c>
      <c r="E1099" s="11" cm="1">
        <f t="array" aca="1" ref="E1099" ca="1">INDEX('OD flujo mercancia multimodal'!E$45:E$1645,MATCH(C1099&amp;D1099,'OD flujo mercancia multimodal'!C$45:C$1645&amp;'OD flujo mercancia multimodal'!D$45:D$1645,0))</f>
        <v>43008.384615384646</v>
      </c>
      <c r="F1099" s="11" cm="1">
        <f t="array" aca="1" ref="F1099" ca="1">INDEX('OD flujo mercancia carretera'!E$45:E$1646,MATCH(C1099&amp;D1099,'OD flujo mercancia carretera'!C$45:C$1646&amp;'OD flujo mercancia carretera'!D$45:D$1646,0))</f>
        <v>612590.26739926706</v>
      </c>
      <c r="G1099" s="11" cm="1">
        <f t="array" aca="1" ref="G1099" ca="1">INDEX('Coste Carretera'!E$46:E$1646,MATCH(C1099&amp;D1099,'Coste Carretera'!C$46:C$1646&amp;'Coste Carretera'!D$46:D$1646,0))</f>
        <v>1656298571.7600009</v>
      </c>
      <c r="H1099" s="11" cm="1">
        <f t="array" aca="1" ref="H1099" ca="1">INDEX('Coste multimodal'!E$46:E$1646,MATCH(C1099&amp;D1099,'Coste multimodal'!C$46:C$1646&amp;'Coste multimodal'!D$46:D$1646,0))</f>
        <v>368885308.50296628</v>
      </c>
      <c r="I1099" s="12" cm="1">
        <f t="array" aca="1" ref="I1099" ca="1">INDEX('Tiempos intermodal (horas)'!E$45:E$1645,MATCH(C1099&amp;D1099,'Tiempos intermodal (horas)'!C$45:C$1645&amp;'Tiempos intermodal (horas)'!D$45:D$1645,0))</f>
        <v>68.430608577327348</v>
      </c>
      <c r="J1099" s="2" cm="1">
        <f t="array" aca="1" ref="J1099" ca="1">INDEX('Tiempos carretera (horas)'!E$45:E$1645,MATCH(C1099&amp;D1099,'Tiempos carretera (horas)'!C$45:C$1645&amp;'Tiempos carretera (horas)'!D$45:D$1645,0))</f>
        <v>8.08</v>
      </c>
      <c r="K1099" s="12">
        <f t="shared" ca="1" si="102"/>
        <v>2.7037624655575496</v>
      </c>
      <c r="L1099" s="12">
        <f t="shared" ca="1" si="103"/>
        <v>8.577055655585152</v>
      </c>
      <c r="M1099" s="12">
        <f t="shared" ca="1" si="104"/>
        <v>6.5601697750933552E-2</v>
      </c>
      <c r="N1099" s="13">
        <f t="shared" ca="1" si="106"/>
        <v>-5.8732931900276029</v>
      </c>
      <c r="O1099" s="13">
        <f t="shared" ca="1" si="107"/>
        <v>-60.35060857732735</v>
      </c>
      <c r="P1099" s="12">
        <f t="shared" ca="1" si="105"/>
        <v>2.6563012191652104</v>
      </c>
    </row>
    <row r="1100" spans="1:16" x14ac:dyDescent="0.25">
      <c r="A1100">
        <v>31</v>
      </c>
      <c r="B1100">
        <v>37</v>
      </c>
      <c r="C1100" s="2" t="s">
        <v>30</v>
      </c>
      <c r="D1100" s="2" t="s">
        <v>36</v>
      </c>
      <c r="E1100" s="11" cm="1">
        <f t="array" aca="1" ref="E1100" ca="1">INDEX('OD flujo mercancia multimodal'!E$45:E$1645,MATCH(C1100&amp;D1100,'OD flujo mercancia multimodal'!C$45:C$1645&amp;'OD flujo mercancia multimodal'!D$45:D$1645,0))</f>
        <v>11974.153846153891</v>
      </c>
      <c r="F1100" s="11" cm="1">
        <f t="array" aca="1" ref="F1100" ca="1">INDEX('OD flujo mercancia carretera'!E$45:E$1646,MATCH(C1100&amp;D1100,'OD flujo mercancia carretera'!C$45:C$1646&amp;'OD flujo mercancia carretera'!D$45:D$1646,0))</f>
        <v>106299.73443223439</v>
      </c>
      <c r="G1100" s="11" cm="1">
        <f t="array" aca="1" ref="G1100" ca="1">INDEX('Coste Carretera'!E$46:E$1646,MATCH(C1100&amp;D1100,'Coste Carretera'!C$46:C$1646&amp;'Coste Carretera'!D$46:D$1646,0))</f>
        <v>607729164.43999958</v>
      </c>
      <c r="H1100" s="11" cm="1">
        <f t="array" aca="1" ref="H1100" ca="1">INDEX('Coste multimodal'!E$46:E$1646,MATCH(C1100&amp;D1100,'Coste multimodal'!C$46:C$1646&amp;'Coste multimodal'!D$46:D$1646,0))</f>
        <v>590867468.29995155</v>
      </c>
      <c r="I1100" s="12" cm="1">
        <f t="array" aca="1" ref="I1100" ca="1">INDEX('Tiempos intermodal (horas)'!E$45:E$1645,MATCH(C1100&amp;D1100,'Tiempos intermodal (horas)'!C$45:C$1645&amp;'Tiempos intermodal (horas)'!D$45:D$1645,0))</f>
        <v>82.595254844688426</v>
      </c>
      <c r="J1100" s="2" cm="1">
        <f t="array" aca="1" ref="J1100" ca="1">INDEX('Tiempos carretera (horas)'!E$45:E$1645,MATCH(C1100&amp;D1100,'Tiempos carretera (horas)'!C$45:C$1645&amp;'Tiempos carretera (horas)'!D$45:D$1645,0))</f>
        <v>21.93</v>
      </c>
      <c r="K1100" s="12">
        <f t="shared" ca="1" si="102"/>
        <v>5.7171277772798597</v>
      </c>
      <c r="L1100" s="12">
        <f t="shared" ca="1" si="103"/>
        <v>49.345237742184075</v>
      </c>
      <c r="M1100" s="12">
        <f t="shared" ca="1" si="104"/>
        <v>0.10124089112526355</v>
      </c>
      <c r="N1100" s="13">
        <f t="shared" ca="1" si="106"/>
        <v>-43.628109964904212</v>
      </c>
      <c r="O1100" s="13">
        <f t="shared" ca="1" si="107"/>
        <v>-60.665254844688427</v>
      </c>
      <c r="P1100" s="12">
        <f t="shared" ca="1" si="105"/>
        <v>2.1835123062875827</v>
      </c>
    </row>
    <row r="1101" spans="1:16" x14ac:dyDescent="0.25">
      <c r="A1101">
        <v>37</v>
      </c>
      <c r="B1101">
        <v>31</v>
      </c>
      <c r="C1101" s="2" t="s">
        <v>36</v>
      </c>
      <c r="D1101" s="2" t="s">
        <v>30</v>
      </c>
      <c r="E1101" s="11" cm="1">
        <f t="array" aca="1" ref="E1101" ca="1">INDEX('OD flujo mercancia multimodal'!E$45:E$1645,MATCH(C1101&amp;D1101,'OD flujo mercancia multimodal'!C$45:C$1645&amp;'OD flujo mercancia multimodal'!D$45:D$1645,0))</f>
        <v>8241.6153846153866</v>
      </c>
      <c r="F1101" s="11" cm="1">
        <f t="array" aca="1" ref="F1101" ca="1">INDEX('OD flujo mercancia carretera'!E$45:E$1646,MATCH(C1101&amp;D1101,'OD flujo mercancia carretera'!C$45:C$1646&amp;'OD flujo mercancia carretera'!D$45:D$1646,0))</f>
        <v>106300.2673992674</v>
      </c>
      <c r="G1101" s="11" cm="1">
        <f t="array" aca="1" ref="G1101" ca="1">INDEX('Coste Carretera'!E$46:E$1646,MATCH(C1101&amp;D1101,'Coste Carretera'!C$46:C$1646&amp;'Coste Carretera'!D$46:D$1646,0))</f>
        <v>1079061980.7879999</v>
      </c>
      <c r="H1101" s="11" cm="1">
        <f t="array" aca="1" ref="H1101" ca="1">INDEX('Coste multimodal'!E$46:E$1646,MATCH(C1101&amp;D1101,'Coste multimodal'!C$46:C$1646&amp;'Coste multimodal'!D$46:D$1646,0))</f>
        <v>590867468.29995155</v>
      </c>
      <c r="I1101" s="12" cm="1">
        <f t="array" aca="1" ref="I1101" ca="1">INDEX('Tiempos intermodal (horas)'!E$45:E$1645,MATCH(C1101&amp;D1101,'Tiempos intermodal (horas)'!C$45:C$1645&amp;'Tiempos intermodal (horas)'!D$45:D$1645,0))</f>
        <v>82.595254844688426</v>
      </c>
      <c r="J1101" s="2" cm="1">
        <f t="array" aca="1" ref="J1101" ca="1">INDEX('Tiempos carretera (horas)'!E$45:E$1645,MATCH(C1101&amp;D1101,'Tiempos carretera (horas)'!C$45:C$1645&amp;'Tiempos carretera (horas)'!D$45:D$1645,0))</f>
        <v>21.93</v>
      </c>
      <c r="K1101" s="12">
        <f t="shared" ca="1" si="102"/>
        <v>10.151074942596397</v>
      </c>
      <c r="L1101" s="12">
        <f t="shared" ca="1" si="103"/>
        <v>71.69316216853835</v>
      </c>
      <c r="M1101" s="12">
        <f t="shared" ca="1" si="104"/>
        <v>7.195285413777977E-2</v>
      </c>
      <c r="N1101" s="13">
        <f t="shared" ca="1" si="106"/>
        <v>-61.542087225941955</v>
      </c>
      <c r="O1101" s="13">
        <f t="shared" ca="1" si="107"/>
        <v>-60.665254844688427</v>
      </c>
      <c r="P1101" s="12">
        <f t="shared" ca="1" si="105"/>
        <v>2.5570714343300049</v>
      </c>
    </row>
    <row r="1102" spans="1:16" x14ac:dyDescent="0.25">
      <c r="A1102">
        <v>5</v>
      </c>
      <c r="B1102">
        <v>40</v>
      </c>
      <c r="C1102" s="2" t="s">
        <v>4</v>
      </c>
      <c r="D1102" s="2" t="s">
        <v>39</v>
      </c>
      <c r="E1102" s="11" cm="1">
        <f t="array" aca="1" ref="E1102" ca="1">INDEX('OD flujo mercancia multimodal'!E$45:E$1645,MATCH(C1102&amp;D1102,'OD flujo mercancia multimodal'!C$45:C$1645&amp;'OD flujo mercancia multimodal'!D$45:D$1645,0))</f>
        <v>56266.840659340654</v>
      </c>
      <c r="F1102" s="11" cm="1">
        <f t="array" aca="1" ref="F1102" ca="1">INDEX('OD flujo mercancia carretera'!E$45:E$1646,MATCH(C1102&amp;D1102,'OD flujo mercancia carretera'!C$45:C$1646&amp;'OD flujo mercancia carretera'!D$45:D$1646,0))</f>
        <v>137865.21978021984</v>
      </c>
      <c r="G1102" s="11" cm="1">
        <f t="array" aca="1" ref="G1102" ca="1">INDEX('Coste Carretera'!E$46:E$1646,MATCH(C1102&amp;D1102,'Coste Carretera'!C$46:C$1646&amp;'Coste Carretera'!D$46:D$1646,0))</f>
        <v>6899103084.4742851</v>
      </c>
      <c r="H1102" s="11" cm="1">
        <f t="array" aca="1" ref="H1102" ca="1">INDEX('Coste multimodal'!E$46:E$1646,MATCH(C1102&amp;D1102,'Coste multimodal'!C$46:C$1646&amp;'Coste multimodal'!D$46:D$1646,0))</f>
        <v>411996550.34181863</v>
      </c>
      <c r="I1102" s="12" cm="1">
        <f t="array" aca="1" ref="I1102" ca="1">INDEX('Tiempos intermodal (horas)'!E$45:E$1645,MATCH(C1102&amp;D1102,'Tiempos intermodal (horas)'!C$45:C$1645&amp;'Tiempos intermodal (horas)'!D$45:D$1645,0))</f>
        <v>88.074140840840826</v>
      </c>
      <c r="J1102" s="2" cm="1">
        <f t="array" aca="1" ref="J1102" ca="1">INDEX('Tiempos carretera (horas)'!E$45:E$1645,MATCH(C1102&amp;D1102,'Tiempos carretera (horas)'!C$45:C$1645&amp;'Tiempos carretera (horas)'!D$45:D$1645,0))</f>
        <v>26</v>
      </c>
      <c r="K1102" s="12">
        <f t="shared" ca="1" si="102"/>
        <v>50.042375411816025</v>
      </c>
      <c r="L1102" s="12">
        <f t="shared" ca="1" si="103"/>
        <v>7.322190930110887</v>
      </c>
      <c r="M1102" s="12">
        <f t="shared" ca="1" si="104"/>
        <v>0.28983796149867946</v>
      </c>
      <c r="N1102" s="13">
        <f t="shared" ca="1" si="106"/>
        <v>42.720184481705139</v>
      </c>
      <c r="O1102" s="13">
        <f t="shared" ca="1" si="107"/>
        <v>-62.074140840840826</v>
      </c>
      <c r="P1102" s="12">
        <f t="shared" ca="1" si="105"/>
        <v>0.89617115387088864</v>
      </c>
    </row>
    <row r="1103" spans="1:16" x14ac:dyDescent="0.25">
      <c r="A1103">
        <v>11</v>
      </c>
      <c r="B1103">
        <v>3</v>
      </c>
      <c r="C1103" s="2" t="s">
        <v>10</v>
      </c>
      <c r="D1103" s="2" t="s">
        <v>2</v>
      </c>
      <c r="E1103" s="11" cm="1">
        <f t="array" aca="1" ref="E1103" ca="1">INDEX('OD flujo mercancia multimodal'!E$45:E$1645,MATCH(C1103&amp;D1103,'OD flujo mercancia multimodal'!C$45:C$1645&amp;'OD flujo mercancia multimodal'!D$45:D$1645,0))</f>
        <v>27177.483516483531</v>
      </c>
      <c r="F1103" s="11" cm="1">
        <f t="array" aca="1" ref="F1103" ca="1">INDEX('OD flujo mercancia carretera'!E$45:E$1646,MATCH(C1103&amp;D1103,'OD flujo mercancia carretera'!C$45:C$1646&amp;'OD flujo mercancia carretera'!D$45:D$1646,0))</f>
        <v>139677.69230769228</v>
      </c>
      <c r="G1103" s="11" cm="1">
        <f t="array" aca="1" ref="G1103" ca="1">INDEX('Coste Carretera'!E$46:E$1646,MATCH(C1103&amp;D1103,'Coste Carretera'!C$46:C$1646&amp;'Coste Carretera'!D$46:D$1646,0))</f>
        <v>2559259051.6742868</v>
      </c>
      <c r="H1103" s="11" cm="1">
        <f t="array" aca="1" ref="H1103" ca="1">INDEX('Coste multimodal'!E$46:E$1646,MATCH(C1103&amp;D1103,'Coste multimodal'!C$46:C$1646&amp;'Coste multimodal'!D$46:D$1646,0))</f>
        <v>593255865.6074543</v>
      </c>
      <c r="I1103" s="12" cm="1">
        <f t="array" aca="1" ref="I1103" ca="1">INDEX('Tiempos intermodal (horas)'!E$45:E$1645,MATCH(C1103&amp;D1103,'Tiempos intermodal (horas)'!C$45:C$1645&amp;'Tiempos intermodal (horas)'!D$45:D$1645,0))</f>
        <v>60.697962201459269</v>
      </c>
      <c r="J1103" s="2" cm="1">
        <f t="array" aca="1" ref="J1103" ca="1">INDEX('Tiempos carretera (horas)'!E$45:E$1645,MATCH(C1103&amp;D1103,'Tiempos carretera (horas)'!C$45:C$1645&amp;'Tiempos carretera (horas)'!D$45:D$1645,0))</f>
        <v>17.86</v>
      </c>
      <c r="K1103" s="12">
        <f t="shared" ca="1" si="102"/>
        <v>18.322604056462808</v>
      </c>
      <c r="L1103" s="12">
        <f t="shared" ca="1" si="103"/>
        <v>21.828947674556996</v>
      </c>
      <c r="M1103" s="12">
        <f t="shared" ca="1" si="104"/>
        <v>0.16288067410699858</v>
      </c>
      <c r="N1103" s="13">
        <f t="shared" ca="1" si="106"/>
        <v>-3.5063436180941885</v>
      </c>
      <c r="O1103" s="13">
        <f t="shared" ca="1" si="107"/>
        <v>-42.83796220145927</v>
      </c>
      <c r="P1103" s="12">
        <f t="shared" ca="1" si="105"/>
        <v>1.636948752092918</v>
      </c>
    </row>
    <row r="1104" spans="1:16" x14ac:dyDescent="0.25">
      <c r="A1104">
        <v>17</v>
      </c>
      <c r="B1104">
        <v>29</v>
      </c>
      <c r="C1104" s="2" t="s">
        <v>16</v>
      </c>
      <c r="D1104" s="2" t="s">
        <v>147</v>
      </c>
      <c r="E1104" s="11" cm="1">
        <f t="array" aca="1" ref="E1104" ca="1">INDEX('OD flujo mercancia multimodal'!E$45:E$1645,MATCH(C1104&amp;D1104,'OD flujo mercancia multimodal'!C$45:C$1645&amp;'OD flujo mercancia multimodal'!D$45:D$1645,0))</f>
        <v>90761.146153846159</v>
      </c>
      <c r="F1104" s="11" cm="1">
        <f t="array" aca="1" ref="F1104" ca="1">INDEX('OD flujo mercancia carretera'!E$45:E$1646,MATCH(C1104&amp;D1104,'OD flujo mercancia carretera'!C$45:C$1646&amp;'OD flujo mercancia carretera'!D$45:D$1646,0))</f>
        <v>890297.16923076927</v>
      </c>
      <c r="G1104" s="11" cm="1">
        <f t="array" aca="1" ref="G1104" ca="1">INDEX('Coste Carretera'!E$46:E$1646,MATCH(C1104&amp;D1104,'Coste Carretera'!C$46:C$1646&amp;'Coste Carretera'!D$46:D$1646,0))</f>
        <v>7507671248.7000008</v>
      </c>
      <c r="H1104" s="11" cm="1">
        <f t="array" aca="1" ref="H1104" ca="1">INDEX('Coste multimodal'!E$46:E$1646,MATCH(C1104&amp;D1104,'Coste multimodal'!C$46:C$1646&amp;'Coste multimodal'!D$46:D$1646,0))</f>
        <v>1559260816.2355127</v>
      </c>
      <c r="I1104" s="12" cm="1">
        <f t="array" aca="1" ref="I1104" ca="1">INDEX('Tiempos intermodal (horas)'!E$45:E$1645,MATCH(C1104&amp;D1104,'Tiempos intermodal (horas)'!C$45:C$1645&amp;'Tiempos intermodal (horas)'!D$45:D$1645,0))</f>
        <v>99.70424423963027</v>
      </c>
      <c r="J1104" s="2" cm="1">
        <f t="array" aca="1" ref="J1104" ca="1">INDEX('Tiempos carretera (horas)'!E$45:E$1645,MATCH(C1104&amp;D1104,'Tiempos carretera (horas)'!C$45:C$1645&amp;'Tiempos carretera (horas)'!D$45:D$1645,0))</f>
        <v>15.98</v>
      </c>
      <c r="K1104" s="12">
        <f t="shared" ca="1" si="102"/>
        <v>8.4327699875612847</v>
      </c>
      <c r="L1104" s="12">
        <f t="shared" ca="1" si="103"/>
        <v>17.17982729738188</v>
      </c>
      <c r="M1104" s="12">
        <f t="shared" ca="1" si="104"/>
        <v>9.2513507842053241E-2</v>
      </c>
      <c r="N1104" s="13">
        <f t="shared" ca="1" si="106"/>
        <v>-8.7470573098205957</v>
      </c>
      <c r="O1104" s="13">
        <f t="shared" ca="1" si="107"/>
        <v>-83.724244239630266</v>
      </c>
      <c r="P1104" s="12">
        <f t="shared" ca="1" si="105"/>
        <v>2.283324016771958</v>
      </c>
    </row>
    <row r="1105" spans="1:16" x14ac:dyDescent="0.25">
      <c r="A1105">
        <v>29</v>
      </c>
      <c r="B1105">
        <v>17</v>
      </c>
      <c r="C1105" s="2" t="s">
        <v>147</v>
      </c>
      <c r="D1105" s="2" t="s">
        <v>16</v>
      </c>
      <c r="E1105" s="11" cm="1">
        <f t="array" aca="1" ref="E1105" ca="1">INDEX('OD flujo mercancia multimodal'!E$45:E$1645,MATCH(C1105&amp;D1105,'OD flujo mercancia multimodal'!C$45:C$1645&amp;'OD flujo mercancia multimodal'!D$45:D$1645,0))</f>
        <v>87748.107692307705</v>
      </c>
      <c r="F1105" s="11" cm="1">
        <f t="array" aca="1" ref="F1105" ca="1">INDEX('OD flujo mercancia carretera'!E$45:E$1646,MATCH(C1105&amp;D1105,'OD flujo mercancia carretera'!C$45:C$1646&amp;'OD flujo mercancia carretera'!D$45:D$1646,0))</f>
        <v>538120.63846153801</v>
      </c>
      <c r="G1105" s="11" cm="1">
        <f t="array" aca="1" ref="G1105" ca="1">INDEX('Coste Carretera'!E$46:E$1646,MATCH(C1105&amp;D1105,'Coste Carretera'!C$46:C$1646&amp;'Coste Carretera'!D$46:D$1646,0))</f>
        <v>7258435720.2000008</v>
      </c>
      <c r="H1105" s="11" cm="1">
        <f t="array" aca="1" ref="H1105" ca="1">INDEX('Coste multimodal'!E$46:E$1646,MATCH(C1105&amp;D1105,'Coste multimodal'!C$46:C$1646&amp;'Coste multimodal'!D$46:D$1646,0))</f>
        <v>1559260816.2355127</v>
      </c>
      <c r="I1105" s="12" cm="1">
        <f t="array" aca="1" ref="I1105" ca="1">INDEX('Tiempos intermodal (horas)'!E$45:E$1645,MATCH(C1105&amp;D1105,'Tiempos intermodal (horas)'!C$45:C$1645&amp;'Tiempos intermodal (horas)'!D$45:D$1645,0))</f>
        <v>99.70424423963027</v>
      </c>
      <c r="J1105" s="2" cm="1">
        <f t="array" aca="1" ref="J1105" ca="1">INDEX('Tiempos carretera (horas)'!E$45:E$1645,MATCH(C1105&amp;D1105,'Tiempos carretera (horas)'!C$45:C$1645&amp;'Tiempos carretera (horas)'!D$45:D$1645,0))</f>
        <v>15.98</v>
      </c>
      <c r="K1105" s="12">
        <f t="shared" ca="1" si="102"/>
        <v>13.488491615842003</v>
      </c>
      <c r="L1105" s="12">
        <f t="shared" ca="1" si="103"/>
        <v>17.769737231293053</v>
      </c>
      <c r="M1105" s="12">
        <f t="shared" ca="1" si="104"/>
        <v>0.14020209226223004</v>
      </c>
      <c r="N1105" s="13">
        <f t="shared" ca="1" si="106"/>
        <v>-4.2812456154510503</v>
      </c>
      <c r="O1105" s="13">
        <f t="shared" ca="1" si="107"/>
        <v>-83.724244239630266</v>
      </c>
      <c r="P1105" s="12">
        <f t="shared" ca="1" si="105"/>
        <v>1.8136124727300558</v>
      </c>
    </row>
    <row r="1106" spans="1:16" x14ac:dyDescent="0.25">
      <c r="A1106">
        <v>17</v>
      </c>
      <c r="B1106">
        <v>22</v>
      </c>
      <c r="C1106" s="2" t="s">
        <v>16</v>
      </c>
      <c r="D1106" s="2" t="s">
        <v>21</v>
      </c>
      <c r="E1106" s="11" cm="1">
        <f t="array" aca="1" ref="E1106" ca="1">INDEX('OD flujo mercancia multimodal'!E$45:E$1645,MATCH(C1106&amp;D1106,'OD flujo mercancia multimodal'!C$45:C$1645&amp;'OD flujo mercancia multimodal'!D$45:D$1645,0))</f>
        <v>75956.999999999956</v>
      </c>
      <c r="F1106" s="11" cm="1">
        <f t="array" aca="1" ref="F1106" ca="1">INDEX('OD flujo mercancia carretera'!E$45:E$1646,MATCH(C1106&amp;D1106,'OD flujo mercancia carretera'!C$45:C$1646&amp;'OD flujo mercancia carretera'!D$45:D$1646,0))</f>
        <v>655356.10256410227</v>
      </c>
      <c r="G1106" s="11" cm="1">
        <f t="array" aca="1" ref="G1106" ca="1">INDEX('Coste Carretera'!E$46:E$1646,MATCH(C1106&amp;D1106,'Coste Carretera'!C$46:C$1646&amp;'Coste Carretera'!D$46:D$1646,0))</f>
        <v>5995860244.9199963</v>
      </c>
      <c r="H1106" s="11" cm="1">
        <f t="array" aca="1" ref="H1106" ca="1">INDEX('Coste multimodal'!E$46:E$1646,MATCH(C1106&amp;D1106,'Coste multimodal'!C$46:C$1646&amp;'Coste multimodal'!D$46:D$1646,0))</f>
        <v>1379306086.2355127</v>
      </c>
      <c r="I1106" s="12" cm="1">
        <f t="array" aca="1" ref="I1106" ca="1">INDEX('Tiempos intermodal (horas)'!E$45:E$1645,MATCH(C1106&amp;D1106,'Tiempos intermodal (horas)'!C$45:C$1645&amp;'Tiempos intermodal (horas)'!D$45:D$1645,0))</f>
        <v>99.259799795185813</v>
      </c>
      <c r="J1106" s="2" cm="1">
        <f t="array" aca="1" ref="J1106" ca="1">INDEX('Tiempos carretera (horas)'!E$45:E$1645,MATCH(C1106&amp;D1106,'Tiempos carretera (horas)'!C$45:C$1645&amp;'Tiempos carretera (horas)'!D$45:D$1645,0))</f>
        <v>15.46</v>
      </c>
      <c r="K1106" s="12">
        <f t="shared" ca="1" si="102"/>
        <v>9.1490110818545762</v>
      </c>
      <c r="L1106" s="12">
        <f t="shared" ca="1" si="103"/>
        <v>18.159038485399812</v>
      </c>
      <c r="M1106" s="12">
        <f t="shared" ca="1" si="104"/>
        <v>0.10386385767420603</v>
      </c>
      <c r="N1106" s="13">
        <f t="shared" ca="1" si="106"/>
        <v>-9.0100274035452355</v>
      </c>
      <c r="O1106" s="13">
        <f t="shared" ca="1" si="107"/>
        <v>-83.799799795185805</v>
      </c>
      <c r="P1106" s="12">
        <f t="shared" ca="1" si="105"/>
        <v>2.155011365244742</v>
      </c>
    </row>
    <row r="1107" spans="1:16" x14ac:dyDescent="0.25">
      <c r="A1107">
        <v>22</v>
      </c>
      <c r="B1107">
        <v>17</v>
      </c>
      <c r="C1107" s="2" t="s">
        <v>21</v>
      </c>
      <c r="D1107" s="2" t="s">
        <v>16</v>
      </c>
      <c r="E1107" s="11" cm="1">
        <f t="array" aca="1" ref="E1107" ca="1">INDEX('OD flujo mercancia multimodal'!E$45:E$1645,MATCH(C1107&amp;D1107,'OD flujo mercancia multimodal'!C$45:C$1645&amp;'OD flujo mercancia multimodal'!D$45:D$1645,0))</f>
        <v>73134.846153846156</v>
      </c>
      <c r="F1107" s="11" cm="1">
        <f t="array" aca="1" ref="F1107" ca="1">INDEX('OD flujo mercancia carretera'!E$45:E$1646,MATCH(C1107&amp;D1107,'OD flujo mercancia carretera'!C$45:C$1646&amp;'OD flujo mercancia carretera'!D$45:D$1646,0))</f>
        <v>302576.20512820466</v>
      </c>
      <c r="G1107" s="11" cm="1">
        <f t="array" aca="1" ref="G1107" ca="1">INDEX('Coste Carretera'!E$46:E$1646,MATCH(C1107&amp;D1107,'Coste Carretera'!C$46:C$1646&amp;'Coste Carretera'!D$46:D$1646,0))</f>
        <v>5773086306.3600006</v>
      </c>
      <c r="H1107" s="11" cm="1">
        <f t="array" aca="1" ref="H1107" ca="1">INDEX('Coste multimodal'!E$46:E$1646,MATCH(C1107&amp;D1107,'Coste multimodal'!C$46:C$1646&amp;'Coste multimodal'!D$46:D$1646,0))</f>
        <v>1379306086.2355127</v>
      </c>
      <c r="I1107" s="12" cm="1">
        <f t="array" aca="1" ref="I1107" ca="1">INDEX('Tiempos intermodal (horas)'!E$45:E$1645,MATCH(C1107&amp;D1107,'Tiempos intermodal (horas)'!C$45:C$1645&amp;'Tiempos intermodal (horas)'!D$45:D$1645,0))</f>
        <v>99.259799795185813</v>
      </c>
      <c r="J1107" s="2" cm="1">
        <f t="array" aca="1" ref="J1107" ca="1">INDEX('Tiempos carretera (horas)'!E$45:E$1645,MATCH(C1107&amp;D1107,'Tiempos carretera (horas)'!C$45:C$1645&amp;'Tiempos carretera (horas)'!D$45:D$1645,0))</f>
        <v>15.46</v>
      </c>
      <c r="K1107" s="12">
        <f t="shared" ca="1" si="102"/>
        <v>19.079776296070225</v>
      </c>
      <c r="L1107" s="12">
        <f t="shared" ca="1" si="103"/>
        <v>18.859766018157885</v>
      </c>
      <c r="M1107" s="12">
        <f t="shared" ca="1" si="104"/>
        <v>0.19465715981546403</v>
      </c>
      <c r="N1107" s="13">
        <f t="shared" ca="1" si="106"/>
        <v>0.22001027791234051</v>
      </c>
      <c r="O1107" s="13">
        <f t="shared" ca="1" si="107"/>
        <v>-83.799799795185805</v>
      </c>
      <c r="P1107" s="12">
        <f t="shared" ca="1" si="105"/>
        <v>1.4200282187786466</v>
      </c>
    </row>
    <row r="1108" spans="1:16" x14ac:dyDescent="0.25">
      <c r="A1108">
        <v>38</v>
      </c>
      <c r="B1108">
        <v>34</v>
      </c>
      <c r="C1108" s="2" t="s">
        <v>37</v>
      </c>
      <c r="D1108" s="2" t="s">
        <v>33</v>
      </c>
      <c r="E1108" s="11" cm="1">
        <f t="array" aca="1" ref="E1108" ca="1">INDEX('OD flujo mercancia multimodal'!E$45:E$1645,MATCH(C1108&amp;D1108,'OD flujo mercancia multimodal'!C$45:C$1645&amp;'OD flujo mercancia multimodal'!D$45:D$1645,0))</f>
        <v>296799.30769230798</v>
      </c>
      <c r="F1108" s="11" cm="1">
        <f t="array" aca="1" ref="F1108" ca="1">INDEX('OD flujo mercancia carretera'!E$45:E$1646,MATCH(C1108&amp;D1108,'OD flujo mercancia carretera'!C$45:C$1646&amp;'OD flujo mercancia carretera'!D$45:D$1646,0))</f>
        <v>272452.0811965813</v>
      </c>
      <c r="G1108" s="11" cm="1">
        <f t="array" aca="1" ref="G1108" ca="1">INDEX('Coste Carretera'!E$46:E$1646,MATCH(C1108&amp;D1108,'Coste Carretera'!C$46:C$1646&amp;'Coste Carretera'!D$46:D$1646,0))</f>
        <v>8702002944.9999962</v>
      </c>
      <c r="H1108" s="11" cm="1">
        <f t="array" aca="1" ref="H1108" ca="1">INDEX('Coste multimodal'!E$46:E$1646,MATCH(C1108&amp;D1108,'Coste multimodal'!C$46:C$1646&amp;'Coste multimodal'!D$46:D$1646,0))</f>
        <v>856544431.30206549</v>
      </c>
      <c r="I1108" s="12" cm="1">
        <f t="array" aca="1" ref="I1108" ca="1">INDEX('Tiempos intermodal (horas)'!E$45:E$1645,MATCH(C1108&amp;D1108,'Tiempos intermodal (horas)'!C$45:C$1645&amp;'Tiempos intermodal (horas)'!D$45:D$1645,0))</f>
        <v>84.885747155358501</v>
      </c>
      <c r="J1108" s="2" cm="1">
        <f t="array" aca="1" ref="J1108" ca="1">INDEX('Tiempos carretera (horas)'!E$45:E$1645,MATCH(C1108&amp;D1108,'Tiempos carretera (horas)'!C$45:C$1645&amp;'Tiempos carretera (horas)'!D$45:D$1645,0))</f>
        <v>24</v>
      </c>
      <c r="K1108" s="12">
        <f t="shared" ca="1" si="102"/>
        <v>31.939572297564037</v>
      </c>
      <c r="L1108" s="12">
        <f t="shared" ca="1" si="103"/>
        <v>2.8859381039730918</v>
      </c>
      <c r="M1108" s="12">
        <f t="shared" ca="1" si="104"/>
        <v>0.52138530267203176</v>
      </c>
      <c r="N1108" s="13">
        <f t="shared" ca="1" si="106"/>
        <v>29.053634193590945</v>
      </c>
      <c r="O1108" s="13">
        <f t="shared" ca="1" si="107"/>
        <v>-60.885747155358501</v>
      </c>
      <c r="P1108" s="12">
        <f t="shared" ca="1" si="105"/>
        <v>-8.559342889722156E-2</v>
      </c>
    </row>
    <row r="1109" spans="1:16" x14ac:dyDescent="0.25">
      <c r="A1109">
        <v>34</v>
      </c>
      <c r="B1109">
        <v>38</v>
      </c>
      <c r="C1109" s="2" t="s">
        <v>33</v>
      </c>
      <c r="D1109" s="2" t="s">
        <v>37</v>
      </c>
      <c r="E1109" s="11" cm="1">
        <f t="array" aca="1" ref="E1109" ca="1">INDEX('OD flujo mercancia multimodal'!E$45:E$1645,MATCH(C1109&amp;D1109,'OD flujo mercancia multimodal'!C$45:C$1645&amp;'OD flujo mercancia multimodal'!D$45:D$1645,0))</f>
        <v>124779.76923076923</v>
      </c>
      <c r="F1109" s="11" cm="1">
        <f t="array" aca="1" ref="F1109" ca="1">INDEX('OD flujo mercancia carretera'!E$45:E$1646,MATCH(C1109&amp;D1109,'OD flujo mercancia carretera'!C$45:C$1646&amp;'OD flujo mercancia carretera'!D$45:D$1646,0))</f>
        <v>281738.61111111112</v>
      </c>
      <c r="G1109" s="11" cm="1">
        <f t="array" aca="1" ref="G1109" ca="1">INDEX('Coste Carretera'!E$46:E$1646,MATCH(C1109&amp;D1109,'Coste Carretera'!C$46:C$1646&amp;'Coste Carretera'!D$46:D$1646,0))</f>
        <v>5026254395.0000048</v>
      </c>
      <c r="H1109" s="11" cm="1">
        <f t="array" aca="1" ref="H1109" ca="1">INDEX('Coste multimodal'!E$46:E$1646,MATCH(C1109&amp;D1109,'Coste multimodal'!C$46:C$1646&amp;'Coste multimodal'!D$46:D$1646,0))</f>
        <v>856544431.30206549</v>
      </c>
      <c r="I1109" s="12" cm="1">
        <f t="array" aca="1" ref="I1109" ca="1">INDEX('Tiempos intermodal (horas)'!E$45:E$1645,MATCH(C1109&amp;D1109,'Tiempos intermodal (horas)'!C$45:C$1645&amp;'Tiempos intermodal (horas)'!D$45:D$1645,0))</f>
        <v>84.885747155358501</v>
      </c>
      <c r="J1109" s="2" cm="1">
        <f t="array" aca="1" ref="J1109" ca="1">INDEX('Tiempos carretera (horas)'!E$45:E$1645,MATCH(C1109&amp;D1109,'Tiempos carretera (horas)'!C$45:C$1645&amp;'Tiempos carretera (horas)'!D$45:D$1645,0))</f>
        <v>24</v>
      </c>
      <c r="K1109" s="12">
        <f t="shared" ca="1" si="102"/>
        <v>17.840133360413876</v>
      </c>
      <c r="L1109" s="12">
        <f t="shared" ca="1" si="103"/>
        <v>6.8644495544623245</v>
      </c>
      <c r="M1109" s="12">
        <f t="shared" ca="1" si="104"/>
        <v>0.30694742295743166</v>
      </c>
      <c r="N1109" s="13">
        <f t="shared" ca="1" si="106"/>
        <v>10.975683805951551</v>
      </c>
      <c r="O1109" s="13">
        <f t="shared" ca="1" si="107"/>
        <v>-60.885747155358501</v>
      </c>
      <c r="P1109" s="12">
        <f t="shared" ca="1" si="105"/>
        <v>0.81442939286488381</v>
      </c>
    </row>
    <row r="1110" spans="1:16" x14ac:dyDescent="0.25">
      <c r="A1110">
        <v>38</v>
      </c>
      <c r="B1110">
        <v>1</v>
      </c>
      <c r="C1110" s="2" t="s">
        <v>37</v>
      </c>
      <c r="D1110" s="2" t="s">
        <v>0</v>
      </c>
      <c r="E1110" s="11" cm="1">
        <f t="array" aca="1" ref="E1110" ca="1">INDEX('OD flujo mercancia multimodal'!E$45:E$1645,MATCH(C1110&amp;D1110,'OD flujo mercancia multimodal'!C$45:C$1645&amp;'OD flujo mercancia multimodal'!D$45:D$1645,0))</f>
        <v>92502.071428571406</v>
      </c>
      <c r="F1110" s="11" cm="1">
        <f t="array" aca="1" ref="F1110" ca="1">INDEX('OD flujo mercancia carretera'!E$45:E$1646,MATCH(C1110&amp;D1110,'OD flujo mercancia carretera'!C$45:C$1646&amp;'OD flujo mercancia carretera'!D$45:D$1646,0))</f>
        <v>53919.538461538505</v>
      </c>
      <c r="G1110" s="11" cm="1">
        <f t="array" aca="1" ref="G1110" ca="1">INDEX('Coste Carretera'!E$46:E$1646,MATCH(C1110&amp;D1110,'Coste Carretera'!C$46:C$1646&amp;'Coste Carretera'!D$46:D$1646,0))</f>
        <v>11656748917.042854</v>
      </c>
      <c r="H1110" s="11" cm="1">
        <f t="array" aca="1" ref="H1110" ca="1">INDEX('Coste multimodal'!E$46:E$1646,MATCH(C1110&amp;D1110,'Coste multimodal'!C$46:C$1646&amp;'Coste multimodal'!D$46:D$1646,0))</f>
        <v>613476656.19860125</v>
      </c>
      <c r="I1110" s="12" cm="1">
        <f t="array" aca="1" ref="I1110" ca="1">INDEX('Tiempos intermodal (horas)'!E$45:E$1645,MATCH(C1110&amp;D1110,'Tiempos intermodal (horas)'!C$45:C$1645&amp;'Tiempos intermodal (horas)'!D$45:D$1645,0))</f>
        <v>84.419556065831458</v>
      </c>
      <c r="J1110" s="2" cm="1">
        <f t="array" aca="1" ref="J1110" ca="1">INDEX('Tiempos carretera (horas)'!E$45:E$1645,MATCH(C1110&amp;D1110,'Tiempos carretera (horas)'!C$45:C$1645&amp;'Tiempos carretera (horas)'!D$45:D$1645,0))</f>
        <v>23.48</v>
      </c>
      <c r="K1110" s="12">
        <f t="shared" ca="1" si="102"/>
        <v>216.18784673681438</v>
      </c>
      <c r="L1110" s="12">
        <f t="shared" ca="1" si="103"/>
        <v>6.6320315504752561</v>
      </c>
      <c r="M1110" s="12">
        <f t="shared" ca="1" si="104"/>
        <v>0.6317514982794864</v>
      </c>
      <c r="N1110" s="13">
        <f t="shared" ca="1" si="106"/>
        <v>209.55581518633912</v>
      </c>
      <c r="O1110" s="13">
        <f t="shared" ca="1" si="107"/>
        <v>-60.939556065831454</v>
      </c>
      <c r="P1110" s="12">
        <f t="shared" ca="1" si="105"/>
        <v>-0.53973813121218539</v>
      </c>
    </row>
    <row r="1111" spans="1:16" x14ac:dyDescent="0.25">
      <c r="A1111">
        <v>1</v>
      </c>
      <c r="B1111">
        <v>38</v>
      </c>
      <c r="C1111" s="2" t="s">
        <v>0</v>
      </c>
      <c r="D1111" s="2" t="s">
        <v>37</v>
      </c>
      <c r="E1111" s="11" cm="1">
        <f t="array" aca="1" ref="E1111" ca="1">INDEX('OD flujo mercancia multimodal'!E$45:E$1645,MATCH(C1111&amp;D1111,'OD flujo mercancia multimodal'!C$45:C$1645&amp;'OD flujo mercancia multimodal'!D$45:D$1645,0))</f>
        <v>85727.071428571435</v>
      </c>
      <c r="F1111" s="11" cm="1">
        <f t="array" aca="1" ref="F1111" ca="1">INDEX('OD flujo mercancia carretera'!E$45:E$1646,MATCH(C1111&amp;D1111,'OD flujo mercancia carretera'!C$45:C$1646&amp;'OD flujo mercancia carretera'!D$45:D$1646,0))</f>
        <v>55139.384615384617</v>
      </c>
      <c r="G1111" s="11" cm="1">
        <f t="array" aca="1" ref="G1111" ca="1">INDEX('Coste Carretera'!E$46:E$1646,MATCH(C1111&amp;D1111,'Coste Carretera'!C$46:C$1646&amp;'Coste Carretera'!D$46:D$1646,0))</f>
        <v>11381211649.282864</v>
      </c>
      <c r="H1111" s="11" cm="1">
        <f t="array" aca="1" ref="H1111" ca="1">INDEX('Coste multimodal'!E$46:E$1646,MATCH(C1111&amp;D1111,'Coste multimodal'!C$46:C$1646&amp;'Coste multimodal'!D$46:D$1646,0))</f>
        <v>613476656.19860125</v>
      </c>
      <c r="I1111" s="12" cm="1">
        <f t="array" aca="1" ref="I1111" ca="1">INDEX('Tiempos intermodal (horas)'!E$45:E$1645,MATCH(C1111&amp;D1111,'Tiempos intermodal (horas)'!C$45:C$1645&amp;'Tiempos intermodal (horas)'!D$45:D$1645,0))</f>
        <v>84.419556065831458</v>
      </c>
      <c r="J1111" s="2" cm="1">
        <f t="array" aca="1" ref="J1111" ca="1">INDEX('Tiempos carretera (horas)'!E$45:E$1645,MATCH(C1111&amp;D1111,'Tiempos carretera (horas)'!C$45:C$1645&amp;'Tiempos carretera (horas)'!D$45:D$1645,0))</f>
        <v>23.48</v>
      </c>
      <c r="K1111" s="12">
        <f t="shared" ca="1" si="102"/>
        <v>206.40802810315287</v>
      </c>
      <c r="L1111" s="12">
        <f t="shared" ca="1" si="103"/>
        <v>7.1561601950879137</v>
      </c>
      <c r="M1111" s="12">
        <f t="shared" ca="1" si="104"/>
        <v>0.60856980317458342</v>
      </c>
      <c r="N1111" s="13">
        <f t="shared" ca="1" si="106"/>
        <v>199.25186790806495</v>
      </c>
      <c r="O1111" s="13">
        <f t="shared" ca="1" si="107"/>
        <v>-60.939556065831454</v>
      </c>
      <c r="P1111" s="12">
        <f t="shared" ca="1" si="105"/>
        <v>-0.44130441657277647</v>
      </c>
    </row>
    <row r="1112" spans="1:16" x14ac:dyDescent="0.25">
      <c r="A1112">
        <v>39</v>
      </c>
      <c r="B1112">
        <v>15</v>
      </c>
      <c r="C1112" s="2" t="s">
        <v>38</v>
      </c>
      <c r="D1112" s="2" t="s">
        <v>14</v>
      </c>
      <c r="E1112" s="11" cm="1">
        <f t="array" aca="1" ref="E1112" ca="1">INDEX('OD flujo mercancia multimodal'!E$45:E$1645,MATCH(C1112&amp;D1112,'OD flujo mercancia multimodal'!C$45:C$1645&amp;'OD flujo mercancia multimodal'!D$45:D$1645,0))</f>
        <v>47740.769230769198</v>
      </c>
      <c r="F1112" s="11" cm="1">
        <f t="array" aca="1" ref="F1112" ca="1">INDEX('OD flujo mercancia carretera'!E$45:E$1646,MATCH(C1112&amp;D1112,'OD flujo mercancia carretera'!C$45:C$1646&amp;'OD flujo mercancia carretera'!D$45:D$1646,0))</f>
        <v>297710.15384615434</v>
      </c>
      <c r="G1112" s="11" cm="1">
        <f t="array" aca="1" ref="G1112" ca="1">INDEX('Coste Carretera'!E$46:E$1646,MATCH(C1112&amp;D1112,'Coste Carretera'!C$46:C$1646&amp;'Coste Carretera'!D$46:D$1646,0))</f>
        <v>3278978319.8799977</v>
      </c>
      <c r="H1112" s="11" cm="1">
        <f t="array" aca="1" ref="H1112" ca="1">INDEX('Coste multimodal'!E$46:E$1646,MATCH(C1112&amp;D1112,'Coste multimodal'!C$46:C$1646&amp;'Coste multimodal'!D$46:D$1646,0))</f>
        <v>289141805.37415379</v>
      </c>
      <c r="I1112" s="12" cm="1">
        <f t="array" aca="1" ref="I1112" ca="1">INDEX('Tiempos intermodal (horas)'!E$45:E$1645,MATCH(C1112&amp;D1112,'Tiempos intermodal (horas)'!C$45:C$1645&amp;'Tiempos intermodal (horas)'!D$45:D$1645,0))</f>
        <v>58.851323737800293</v>
      </c>
      <c r="J1112" s="2" cm="1">
        <f t="array" aca="1" ref="J1112" ca="1">INDEX('Tiempos carretera (horas)'!E$45:E$1645,MATCH(C1112&amp;D1112,'Tiempos carretera (horas)'!C$45:C$1645&amp;'Tiempos carretera (horas)'!D$45:D$1645,0))</f>
        <v>12.08</v>
      </c>
      <c r="K1112" s="12">
        <f t="shared" ca="1" si="102"/>
        <v>11.013995584357708</v>
      </c>
      <c r="L1112" s="12">
        <f t="shared" ca="1" si="103"/>
        <v>6.0564965758406819</v>
      </c>
      <c r="M1112" s="12">
        <f t="shared" ca="1" si="104"/>
        <v>0.13819841268780889</v>
      </c>
      <c r="N1112" s="13">
        <f t="shared" ca="1" si="106"/>
        <v>4.9574990085170265</v>
      </c>
      <c r="O1112" s="13">
        <f t="shared" ca="1" si="107"/>
        <v>-46.771323737800294</v>
      </c>
      <c r="P1112" s="12">
        <f t="shared" ca="1" si="105"/>
        <v>1.8303346413856667</v>
      </c>
    </row>
    <row r="1113" spans="1:16" x14ac:dyDescent="0.25">
      <c r="A1113">
        <v>15</v>
      </c>
      <c r="B1113">
        <v>39</v>
      </c>
      <c r="C1113" s="2" t="s">
        <v>14</v>
      </c>
      <c r="D1113" s="2" t="s">
        <v>38</v>
      </c>
      <c r="E1113" s="11" cm="1">
        <f t="array" aca="1" ref="E1113" ca="1">INDEX('OD flujo mercancia multimodal'!E$45:E$1645,MATCH(C1113&amp;D1113,'OD flujo mercancia multimodal'!C$45:C$1645&amp;'OD flujo mercancia multimodal'!D$45:D$1645,0))</f>
        <v>29441.153846153851</v>
      </c>
      <c r="F1113" s="11" cm="1">
        <f t="array" aca="1" ref="F1113" ca="1">INDEX('OD flujo mercancia carretera'!E$45:E$1646,MATCH(C1113&amp;D1113,'OD flujo mercancia carretera'!C$45:C$1646&amp;'OD flujo mercancia carretera'!D$45:D$1646,0))</f>
        <v>386709.76556776563</v>
      </c>
      <c r="G1113" s="11" cm="1">
        <f t="array" aca="1" ref="G1113" ca="1">INDEX('Coste Carretera'!E$46:E$1646,MATCH(C1113&amp;D1113,'Coste Carretera'!C$46:C$1646&amp;'Coste Carretera'!D$46:D$1646,0))</f>
        <v>1418232627.2</v>
      </c>
      <c r="H1113" s="11" cm="1">
        <f t="array" aca="1" ref="H1113" ca="1">INDEX('Coste multimodal'!E$46:E$1646,MATCH(C1113&amp;D1113,'Coste multimodal'!C$46:C$1646&amp;'Coste multimodal'!D$46:D$1646,0))</f>
        <v>338328625.46406752</v>
      </c>
      <c r="I1113" s="12" cm="1">
        <f t="array" aca="1" ref="I1113" ca="1">INDEX('Tiempos intermodal (horas)'!E$45:E$1645,MATCH(C1113&amp;D1113,'Tiempos intermodal (horas)'!C$45:C$1645&amp;'Tiempos intermodal (horas)'!D$45:D$1645,0))</f>
        <v>71.215053622958891</v>
      </c>
      <c r="J1113" s="2" cm="1">
        <f t="array" aca="1" ref="J1113" ca="1">INDEX('Tiempos carretera (horas)'!E$45:E$1645,MATCH(C1113&amp;D1113,'Tiempos carretera (horas)'!C$45:C$1645&amp;'Tiempos carretera (horas)'!D$45:D$1645,0))</f>
        <v>10.15</v>
      </c>
      <c r="K1113" s="12">
        <f t="shared" ca="1" si="102"/>
        <v>3.6674342193498966</v>
      </c>
      <c r="L1113" s="12">
        <f t="shared" ca="1" si="103"/>
        <v>11.491690415125026</v>
      </c>
      <c r="M1113" s="12">
        <f t="shared" ca="1" si="104"/>
        <v>7.0746338582206914E-2</v>
      </c>
      <c r="N1113" s="13">
        <f t="shared" ca="1" si="106"/>
        <v>-7.8242561957751295</v>
      </c>
      <c r="O1113" s="13">
        <f t="shared" ca="1" si="107"/>
        <v>-61.065053622958892</v>
      </c>
      <c r="P1113" s="12">
        <f t="shared" ca="1" si="105"/>
        <v>2.575280965659597</v>
      </c>
    </row>
    <row r="1114" spans="1:16" x14ac:dyDescent="0.25">
      <c r="A1114">
        <v>40</v>
      </c>
      <c r="B1114">
        <v>7</v>
      </c>
      <c r="C1114" s="2" t="s">
        <v>39</v>
      </c>
      <c r="D1114" s="2" t="s">
        <v>6</v>
      </c>
      <c r="E1114" s="11" cm="1">
        <f t="array" aca="1" ref="E1114" ca="1">INDEX('OD flujo mercancia multimodal'!E$45:E$1645,MATCH(C1114&amp;D1114,'OD flujo mercancia multimodal'!C$45:C$1645&amp;'OD flujo mercancia multimodal'!D$45:D$1645,0))</f>
        <v>7657.7087912087873</v>
      </c>
      <c r="F1114" s="11" cm="1">
        <f t="array" aca="1" ref="F1114" ca="1">INDEX('OD flujo mercancia carretera'!E$45:E$1646,MATCH(C1114&amp;D1114,'OD flujo mercancia carretera'!C$45:C$1646&amp;'OD flujo mercancia carretera'!D$45:D$1646,0))</f>
        <v>161867.58974358972</v>
      </c>
      <c r="G1114" s="11" cm="1">
        <f t="array" aca="1" ref="G1114" ca="1">INDEX('Coste Carretera'!E$46:E$1646,MATCH(C1114&amp;D1114,'Coste Carretera'!C$46:C$1646&amp;'Coste Carretera'!D$46:D$1646,0))</f>
        <v>629927693.57142806</v>
      </c>
      <c r="H1114" s="11" cm="1">
        <f t="array" aca="1" ref="H1114" ca="1">INDEX('Coste multimodal'!E$46:E$1646,MATCH(C1114&amp;D1114,'Coste multimodal'!C$46:C$1646&amp;'Coste multimodal'!D$46:D$1646,0))</f>
        <v>352736672.76047283</v>
      </c>
      <c r="I1114" s="12" cm="1">
        <f t="array" aca="1" ref="I1114" ca="1">INDEX('Tiempos intermodal (horas)'!E$45:E$1645,MATCH(C1114&amp;D1114,'Tiempos intermodal (horas)'!C$45:C$1645&amp;'Tiempos intermodal (horas)'!D$45:D$1645,0))</f>
        <v>76.947071016328835</v>
      </c>
      <c r="J1114" s="2" cm="1">
        <f t="array" aca="1" ref="J1114" ca="1">INDEX('Tiempos carretera (horas)'!E$45:E$1645,MATCH(C1114&amp;D1114,'Tiempos carretera (horas)'!C$45:C$1645&amp;'Tiempos carretera (horas)'!D$45:D$1645,0))</f>
        <v>23.65</v>
      </c>
      <c r="K1114" s="12">
        <f t="shared" ref="K1114:K1177" ca="1" si="108">G1114/(F1114*1000)</f>
        <v>3.8916233606077677</v>
      </c>
      <c r="L1114" s="12">
        <f t="shared" ref="L1114:L1177" ca="1" si="109">H1114/(E1114*1000)</f>
        <v>46.062952036700857</v>
      </c>
      <c r="M1114" s="12">
        <f t="shared" ref="M1114:M1177" ca="1" si="110">E1114/(E1114+F1114)</f>
        <v>4.5171480937618802E-2</v>
      </c>
      <c r="N1114" s="13">
        <f t="shared" ca="1" si="106"/>
        <v>-42.17132867609309</v>
      </c>
      <c r="O1114" s="13">
        <f t="shared" ca="1" si="107"/>
        <v>-53.297071016328836</v>
      </c>
      <c r="P1114" s="12">
        <f t="shared" ref="P1114:P1177" ca="1" si="111">LN(1/M1114-1)</f>
        <v>3.0510658281702558</v>
      </c>
    </row>
    <row r="1115" spans="1:16" x14ac:dyDescent="0.25">
      <c r="A1115">
        <v>7</v>
      </c>
      <c r="B1115">
        <v>40</v>
      </c>
      <c r="C1115" s="2" t="s">
        <v>6</v>
      </c>
      <c r="D1115" s="2" t="s">
        <v>39</v>
      </c>
      <c r="E1115" s="11" cm="1">
        <f t="array" aca="1" ref="E1115" ca="1">INDEX('OD flujo mercancia multimodal'!E$45:E$1645,MATCH(C1115&amp;D1115,'OD flujo mercancia multimodal'!C$45:C$1645&amp;'OD flujo mercancia multimodal'!D$45:D$1645,0))</f>
        <v>12526.912087912087</v>
      </c>
      <c r="F1115" s="11" cm="1">
        <f t="array" aca="1" ref="F1115" ca="1">INDEX('OD flujo mercancia carretera'!E$45:E$1646,MATCH(C1115&amp;D1115,'OD flujo mercancia carretera'!C$45:C$1646&amp;'OD flujo mercancia carretera'!D$45:D$1646,0))</f>
        <v>128726.83516483521</v>
      </c>
      <c r="G1115" s="11" cm="1">
        <f t="array" aca="1" ref="G1115" ca="1">INDEX('Coste Carretera'!E$46:E$1646,MATCH(C1115&amp;D1115,'Coste Carretera'!C$46:C$1646&amp;'Coste Carretera'!D$46:D$1646,0))</f>
        <v>822934933.48571503</v>
      </c>
      <c r="H1115" s="11" cm="1">
        <f t="array" aca="1" ref="H1115" ca="1">INDEX('Coste multimodal'!E$46:E$1646,MATCH(C1115&amp;D1115,'Coste multimodal'!C$46:C$1646&amp;'Coste multimodal'!D$46:D$1646,0))</f>
        <v>392764326.57039005</v>
      </c>
      <c r="I1115" s="12" cm="1">
        <f t="array" aca="1" ref="I1115" ca="1">INDEX('Tiempos intermodal (horas)'!E$45:E$1645,MATCH(C1115&amp;D1115,'Tiempos intermodal (horas)'!C$45:C$1645&amp;'Tiempos intermodal (horas)'!D$45:D$1645,0))</f>
        <v>88.513029729729723</v>
      </c>
      <c r="J1115" s="2" cm="1">
        <f t="array" aca="1" ref="J1115" ca="1">INDEX('Tiempos carretera (horas)'!E$45:E$1645,MATCH(C1115&amp;D1115,'Tiempos carretera (horas)'!C$45:C$1645&amp;'Tiempos carretera (horas)'!D$45:D$1645,0))</f>
        <v>26</v>
      </c>
      <c r="K1115" s="12">
        <f t="shared" ca="1" si="108"/>
        <v>6.392877852018529</v>
      </c>
      <c r="L1115" s="12">
        <f t="shared" ca="1" si="109"/>
        <v>31.353642766391737</v>
      </c>
      <c r="M1115" s="12">
        <f t="shared" ca="1" si="110"/>
        <v>8.8683750566259378E-2</v>
      </c>
      <c r="N1115" s="13">
        <f t="shared" ca="1" si="106"/>
        <v>-24.960764914373208</v>
      </c>
      <c r="O1115" s="13">
        <f t="shared" ca="1" si="107"/>
        <v>-62.513029729729723</v>
      </c>
      <c r="P1115" s="12">
        <f t="shared" ca="1" si="111"/>
        <v>2.3298133052774248</v>
      </c>
    </row>
    <row r="1116" spans="1:16" x14ac:dyDescent="0.25">
      <c r="A1116">
        <v>31</v>
      </c>
      <c r="B1116">
        <v>23</v>
      </c>
      <c r="C1116" s="2" t="s">
        <v>30</v>
      </c>
      <c r="D1116" s="2" t="s">
        <v>22</v>
      </c>
      <c r="E1116" s="11" cm="1">
        <f t="array" aca="1" ref="E1116" ca="1">INDEX('OD flujo mercancia multimodal'!E$45:E$1645,MATCH(C1116&amp;D1116,'OD flujo mercancia multimodal'!C$45:C$1645&amp;'OD flujo mercancia multimodal'!D$45:D$1645,0))</f>
        <v>8258.0000000000036</v>
      </c>
      <c r="F1116" s="11" cm="1">
        <f t="array" aca="1" ref="F1116" ca="1">INDEX('OD flujo mercancia carretera'!E$45:E$1646,MATCH(C1116&amp;D1116,'OD flujo mercancia carretera'!C$45:C$1646&amp;'OD flujo mercancia carretera'!D$45:D$1646,0))</f>
        <v>130302.97435897469</v>
      </c>
      <c r="G1116" s="11" cm="1">
        <f t="array" aca="1" ref="G1116" ca="1">INDEX('Coste Carretera'!E$46:E$1646,MATCH(C1116&amp;D1116,'Coste Carretera'!C$46:C$1646&amp;'Coste Carretera'!D$46:D$1646,0))</f>
        <v>390339144.00000024</v>
      </c>
      <c r="H1116" s="11" cm="1">
        <f t="array" aca="1" ref="H1116" ca="1">INDEX('Coste multimodal'!E$46:E$1646,MATCH(C1116&amp;D1116,'Coste multimodal'!C$46:C$1646&amp;'Coste multimodal'!D$46:D$1646,0))</f>
        <v>300274134.38570374</v>
      </c>
      <c r="I1116" s="12" cm="1">
        <f t="array" aca="1" ref="I1116" ca="1">INDEX('Tiempos intermodal (horas)'!E$45:E$1645,MATCH(C1116&amp;D1116,'Tiempos intermodal (horas)'!C$45:C$1645&amp;'Tiempos intermodal (horas)'!D$45:D$1645,0))</f>
        <v>70.821680945594011</v>
      </c>
      <c r="J1116" s="2" cm="1">
        <f t="array" aca="1" ref="J1116" ca="1">INDEX('Tiempos carretera (horas)'!E$45:E$1645,MATCH(C1116&amp;D1116,'Tiempos carretera (horas)'!C$45:C$1645&amp;'Tiempos carretera (horas)'!D$45:D$1645,0))</f>
        <v>9.68</v>
      </c>
      <c r="K1116" s="12">
        <f t="shared" ca="1" si="108"/>
        <v>2.9956272749741371</v>
      </c>
      <c r="L1116" s="12">
        <f t="shared" ca="1" si="109"/>
        <v>36.36160503580814</v>
      </c>
      <c r="M1116" s="12">
        <f t="shared" ca="1" si="110"/>
        <v>5.9598310694652872E-2</v>
      </c>
      <c r="N1116" s="13">
        <f t="shared" ca="1" si="106"/>
        <v>-33.365977760833999</v>
      </c>
      <c r="O1116" s="13">
        <f t="shared" ca="1" si="107"/>
        <v>-61.141680945594011</v>
      </c>
      <c r="P1116" s="12">
        <f t="shared" ca="1" si="111"/>
        <v>2.7586798834130812</v>
      </c>
    </row>
    <row r="1117" spans="1:16" x14ac:dyDescent="0.25">
      <c r="A1117">
        <v>23</v>
      </c>
      <c r="B1117">
        <v>31</v>
      </c>
      <c r="C1117" s="2" t="s">
        <v>22</v>
      </c>
      <c r="D1117" s="2" t="s">
        <v>30</v>
      </c>
      <c r="E1117" s="11" cm="1">
        <f t="array" aca="1" ref="E1117" ca="1">INDEX('OD flujo mercancia multimodal'!E$45:E$1645,MATCH(C1117&amp;D1117,'OD flujo mercancia multimodal'!C$45:C$1645&amp;'OD flujo mercancia multimodal'!D$45:D$1645,0))</f>
        <v>3451.0000000000014</v>
      </c>
      <c r="F1117" s="11" cm="1">
        <f t="array" aca="1" ref="F1117" ca="1">INDEX('OD flujo mercancia carretera'!E$45:E$1646,MATCH(C1117&amp;D1117,'OD flujo mercancia carretera'!C$45:C$1646&amp;'OD flujo mercancia carretera'!D$45:D$1646,0))</f>
        <v>129303.35897435897</v>
      </c>
      <c r="G1117" s="11" cm="1">
        <f t="array" aca="1" ref="G1117" ca="1">INDEX('Coste Carretera'!E$46:E$1646,MATCH(C1117&amp;D1117,'Coste Carretera'!C$46:C$1646&amp;'Coste Carretera'!D$46:D$1646,0))</f>
        <v>404700980.40000004</v>
      </c>
      <c r="H1117" s="11" cm="1">
        <f t="array" aca="1" ref="H1117" ca="1">INDEX('Coste multimodal'!E$46:E$1646,MATCH(C1117&amp;D1117,'Coste multimodal'!C$46:C$1646&amp;'Coste multimodal'!D$46:D$1646,0))</f>
        <v>300274134.38570374</v>
      </c>
      <c r="I1117" s="12" cm="1">
        <f t="array" aca="1" ref="I1117" ca="1">INDEX('Tiempos intermodal (horas)'!E$45:E$1645,MATCH(C1117&amp;D1117,'Tiempos intermodal (horas)'!C$45:C$1645&amp;'Tiempos intermodal (horas)'!D$45:D$1645,0))</f>
        <v>70.821680945594011</v>
      </c>
      <c r="J1117" s="2" cm="1">
        <f t="array" aca="1" ref="J1117" ca="1">INDEX('Tiempos carretera (horas)'!E$45:E$1645,MATCH(C1117&amp;D1117,'Tiempos carretera (horas)'!C$45:C$1645&amp;'Tiempos carretera (horas)'!D$45:D$1645,0))</f>
        <v>9.68</v>
      </c>
      <c r="K1117" s="12">
        <f t="shared" ca="1" si="108"/>
        <v>3.1298566689226748</v>
      </c>
      <c r="L1117" s="12">
        <f t="shared" ca="1" si="109"/>
        <v>87.010760471081895</v>
      </c>
      <c r="M1117" s="12">
        <f t="shared" ca="1" si="110"/>
        <v>2.5995379938270426E-2</v>
      </c>
      <c r="N1117" s="13">
        <f t="shared" ca="1" si="106"/>
        <v>-83.880903802159224</v>
      </c>
      <c r="O1117" s="13">
        <f t="shared" ca="1" si="107"/>
        <v>-61.141680945594011</v>
      </c>
      <c r="P1117" s="12">
        <f t="shared" ca="1" si="111"/>
        <v>3.6234972194711466</v>
      </c>
    </row>
    <row r="1118" spans="1:16" x14ac:dyDescent="0.25">
      <c r="A1118">
        <v>36</v>
      </c>
      <c r="B1118">
        <v>40</v>
      </c>
      <c r="C1118" s="2" t="s">
        <v>35</v>
      </c>
      <c r="D1118" s="2" t="s">
        <v>39</v>
      </c>
      <c r="E1118" s="11" cm="1">
        <f t="array" aca="1" ref="E1118" ca="1">INDEX('OD flujo mercancia multimodal'!E$45:E$1645,MATCH(C1118&amp;D1118,'OD flujo mercancia multimodal'!C$45:C$1645&amp;'OD flujo mercancia multimodal'!D$45:D$1645,0))</f>
        <v>11832</v>
      </c>
      <c r="F1118" s="11" cm="1">
        <f t="array" aca="1" ref="F1118" ca="1">INDEX('OD flujo mercancia carretera'!E$45:E$1646,MATCH(C1118&amp;D1118,'OD flujo mercancia carretera'!C$45:C$1646&amp;'OD flujo mercancia carretera'!D$45:D$1646,0))</f>
        <v>165226.06593406596</v>
      </c>
      <c r="G1118" s="11" cm="1">
        <f t="array" aca="1" ref="G1118" ca="1">INDEX('Coste Carretera'!E$46:E$1646,MATCH(C1118&amp;D1118,'Coste Carretera'!C$46:C$1646&amp;'Coste Carretera'!D$46:D$1646,0))</f>
        <v>1464520830.2400002</v>
      </c>
      <c r="H1118" s="11" cm="1">
        <f t="array" aca="1" ref="H1118" ca="1">INDEX('Coste multimodal'!E$46:E$1646,MATCH(C1118&amp;D1118,'Coste multimodal'!C$46:C$1646&amp;'Coste multimodal'!D$46:D$1646,0))</f>
        <v>582107673.49283338</v>
      </c>
      <c r="I1118" s="12" cm="1">
        <f t="array" aca="1" ref="I1118" ca="1">INDEX('Tiempos intermodal (horas)'!E$45:E$1645,MATCH(C1118&amp;D1118,'Tiempos intermodal (horas)'!C$45:C$1645&amp;'Tiempos intermodal (horas)'!D$45:D$1645,0))</f>
        <v>81.374191839104725</v>
      </c>
      <c r="J1118" s="2" cm="1">
        <f t="array" aca="1" ref="J1118" ca="1">INDEX('Tiempos carretera (horas)'!E$45:E$1645,MATCH(C1118&amp;D1118,'Tiempos carretera (horas)'!C$45:C$1645&amp;'Tiempos carretera (horas)'!D$45:D$1645,0))</f>
        <v>21.76</v>
      </c>
      <c r="K1118" s="12">
        <f t="shared" ca="1" si="108"/>
        <v>8.8637396403568811</v>
      </c>
      <c r="L1118" s="12">
        <f t="shared" ca="1" si="109"/>
        <v>49.197741167413234</v>
      </c>
      <c r="M1118" s="12">
        <f t="shared" ca="1" si="110"/>
        <v>6.6825535101044636E-2</v>
      </c>
      <c r="N1118" s="13">
        <f t="shared" ca="1" si="106"/>
        <v>-40.334001527056351</v>
      </c>
      <c r="O1118" s="13">
        <f t="shared" ca="1" si="107"/>
        <v>-59.61419183910472</v>
      </c>
      <c r="P1118" s="12">
        <f t="shared" ca="1" si="111"/>
        <v>2.6365069073362921</v>
      </c>
    </row>
    <row r="1119" spans="1:16" x14ac:dyDescent="0.25">
      <c r="A1119">
        <v>40</v>
      </c>
      <c r="B1119">
        <v>36</v>
      </c>
      <c r="C1119" s="2" t="s">
        <v>39</v>
      </c>
      <c r="D1119" s="2" t="s">
        <v>35</v>
      </c>
      <c r="E1119" s="11" cm="1">
        <f t="array" aca="1" ref="E1119" ca="1">INDEX('OD flujo mercancia multimodal'!E$45:E$1645,MATCH(C1119&amp;D1119,'OD flujo mercancia multimodal'!C$45:C$1645&amp;'OD flujo mercancia multimodal'!D$45:D$1645,0))</f>
        <v>6422.7692307692269</v>
      </c>
      <c r="F1119" s="11" cm="1">
        <f t="array" aca="1" ref="F1119" ca="1">INDEX('OD flujo mercancia carretera'!E$45:E$1646,MATCH(C1119&amp;D1119,'OD flujo mercancia carretera'!C$45:C$1646&amp;'OD flujo mercancia carretera'!D$45:D$1646,0))</f>
        <v>190991.43589743593</v>
      </c>
      <c r="G1119" s="11" cm="1">
        <f t="array" aca="1" ref="G1119" ca="1">INDEX('Coste Carretera'!E$46:E$1646,MATCH(C1119&amp;D1119,'Coste Carretera'!C$46:C$1646&amp;'Coste Carretera'!D$46:D$1646,0))</f>
        <v>2365139187.6800013</v>
      </c>
      <c r="H1119" s="11" cm="1">
        <f t="array" aca="1" ref="H1119" ca="1">INDEX('Coste multimodal'!E$46:E$1646,MATCH(C1119&amp;D1119,'Coste multimodal'!C$46:C$1646&amp;'Coste multimodal'!D$46:D$1646,0))</f>
        <v>459417814.78710157</v>
      </c>
      <c r="I1119" s="12" cm="1">
        <f t="array" aca="1" ref="I1119" ca="1">INDEX('Tiempos intermodal (horas)'!E$45:E$1645,MATCH(C1119&amp;D1119,'Tiempos intermodal (horas)'!C$45:C$1645&amp;'Tiempos intermodal (horas)'!D$45:D$1645,0))</f>
        <v>73.135117040869005</v>
      </c>
      <c r="J1119" s="2" cm="1">
        <f t="array" aca="1" ref="J1119" ca="1">INDEX('Tiempos carretera (horas)'!E$45:E$1645,MATCH(C1119&amp;D1119,'Tiempos carretera (horas)'!C$45:C$1645&amp;'Tiempos carretera (horas)'!D$45:D$1645,0))</f>
        <v>19.53</v>
      </c>
      <c r="K1119" s="12">
        <f t="shared" ca="1" si="108"/>
        <v>12.383482937685759</v>
      </c>
      <c r="L1119" s="12">
        <f t="shared" ca="1" si="109"/>
        <v>71.529553418514936</v>
      </c>
      <c r="M1119" s="12">
        <f t="shared" ca="1" si="110"/>
        <v>3.2534483658853926E-2</v>
      </c>
      <c r="N1119" s="13">
        <f t="shared" ca="1" si="106"/>
        <v>-59.146070480829181</v>
      </c>
      <c r="O1119" s="13">
        <f t="shared" ca="1" si="107"/>
        <v>-53.605117040869004</v>
      </c>
      <c r="P1119" s="12">
        <f t="shared" ca="1" si="111"/>
        <v>3.3923792197518332</v>
      </c>
    </row>
    <row r="1120" spans="1:16" x14ac:dyDescent="0.25">
      <c r="A1120">
        <v>6</v>
      </c>
      <c r="B1120">
        <v>40</v>
      </c>
      <c r="C1120" s="2" t="s">
        <v>5</v>
      </c>
      <c r="D1120" s="2" t="s">
        <v>39</v>
      </c>
      <c r="E1120" s="11" cm="1">
        <f t="array" aca="1" ref="E1120" ca="1">INDEX('OD flujo mercancia multimodal'!E$45:E$1645,MATCH(C1120&amp;D1120,'OD flujo mercancia multimodal'!C$45:C$1645&amp;'OD flujo mercancia multimodal'!D$45:D$1645,0))</f>
        <v>21231.983516483517</v>
      </c>
      <c r="F1120" s="11" cm="1">
        <f t="array" aca="1" ref="F1120" ca="1">INDEX('OD flujo mercancia carretera'!E$45:E$1646,MATCH(C1120&amp;D1120,'OD flujo mercancia carretera'!C$45:C$1646&amp;'OD flujo mercancia carretera'!D$45:D$1646,0))</f>
        <v>200419.84249084251</v>
      </c>
      <c r="G1120" s="11" cm="1">
        <f t="array" aca="1" ref="G1120" ca="1">INDEX('Coste Carretera'!E$46:E$1646,MATCH(C1120&amp;D1120,'Coste Carretera'!C$46:C$1646&amp;'Coste Carretera'!D$46:D$1646,0))</f>
        <v>2212052992.4914293</v>
      </c>
      <c r="H1120" s="11" cm="1">
        <f t="array" aca="1" ref="H1120" ca="1">INDEX('Coste multimodal'!E$46:E$1646,MATCH(C1120&amp;D1120,'Coste multimodal'!C$46:C$1646&amp;'Coste multimodal'!D$46:D$1646,0))</f>
        <v>531453324.10467577</v>
      </c>
      <c r="I1120" s="12" cm="1">
        <f t="array" aca="1" ref="I1120" ca="1">INDEX('Tiempos intermodal (horas)'!E$45:E$1645,MATCH(C1120&amp;D1120,'Tiempos intermodal (horas)'!C$45:C$1645&amp;'Tiempos intermodal (horas)'!D$45:D$1645,0))</f>
        <v>90.618585285285278</v>
      </c>
      <c r="J1120" s="2" cm="1">
        <f t="array" aca="1" ref="J1120" ca="1">INDEX('Tiempos carretera (horas)'!E$45:E$1645,MATCH(C1120&amp;D1120,'Tiempos carretera (horas)'!C$45:C$1645&amp;'Tiempos carretera (horas)'!D$45:D$1645,0))</f>
        <v>28</v>
      </c>
      <c r="K1120" s="12">
        <f t="shared" ca="1" si="108"/>
        <v>11.037095753592867</v>
      </c>
      <c r="L1120" s="12">
        <f t="shared" ca="1" si="109"/>
        <v>25.030790161083178</v>
      </c>
      <c r="M1120" s="12">
        <f t="shared" ca="1" si="110"/>
        <v>9.578979744467235E-2</v>
      </c>
      <c r="N1120" s="13">
        <f t="shared" ca="1" si="106"/>
        <v>-13.993694407490311</v>
      </c>
      <c r="O1120" s="13">
        <f t="shared" ca="1" si="107"/>
        <v>-62.618585285285278</v>
      </c>
      <c r="P1120" s="12">
        <f t="shared" ca="1" si="111"/>
        <v>2.2449056774974259</v>
      </c>
    </row>
    <row r="1121" spans="1:16" x14ac:dyDescent="0.25">
      <c r="A1121">
        <v>39</v>
      </c>
      <c r="B1121">
        <v>26</v>
      </c>
      <c r="C1121" s="2" t="s">
        <v>38</v>
      </c>
      <c r="D1121" s="2" t="s">
        <v>25</v>
      </c>
      <c r="E1121" s="11" cm="1">
        <f t="array" aca="1" ref="E1121" ca="1">INDEX('OD flujo mercancia multimodal'!E$45:E$1645,MATCH(C1121&amp;D1121,'OD flujo mercancia multimodal'!C$45:C$1645&amp;'OD flujo mercancia multimodal'!D$45:D$1645,0))</f>
        <v>4290.7692307692296</v>
      </c>
      <c r="F1121" s="11" cm="1">
        <f t="array" aca="1" ref="F1121" ca="1">INDEX('OD flujo mercancia carretera'!E$45:E$1646,MATCH(C1121&amp;D1121,'OD flujo mercancia carretera'!C$45:C$1646&amp;'OD flujo mercancia carretera'!D$45:D$1646,0))</f>
        <v>52020.692307692305</v>
      </c>
      <c r="G1121" s="11" cm="1">
        <f t="array" aca="1" ref="G1121" ca="1">INDEX('Coste Carretera'!E$46:E$1646,MATCH(C1121&amp;D1121,'Coste Carretera'!C$46:C$1646&amp;'Coste Carretera'!D$46:D$1646,0))</f>
        <v>782419002.79999971</v>
      </c>
      <c r="H1121" s="11" cm="1">
        <f t="array" aca="1" ref="H1121" ca="1">INDEX('Coste multimodal'!E$46:E$1646,MATCH(C1121&amp;D1121,'Coste multimodal'!C$46:C$1646&amp;'Coste multimodal'!D$46:D$1646,0))</f>
        <v>191947348.01415378</v>
      </c>
      <c r="I1121" s="12" cm="1">
        <f t="array" aca="1" ref="I1121" ca="1">INDEX('Tiempos intermodal (horas)'!E$45:E$1645,MATCH(C1121&amp;D1121,'Tiempos intermodal (horas)'!C$45:C$1645&amp;'Tiempos intermodal (horas)'!D$45:D$1645,0))</f>
        <v>61.550212626689181</v>
      </c>
      <c r="J1121" s="2" cm="1">
        <f t="array" aca="1" ref="J1121" ca="1">INDEX('Tiempos carretera (horas)'!E$45:E$1645,MATCH(C1121&amp;D1121,'Tiempos carretera (horas)'!C$45:C$1645&amp;'Tiempos carretera (horas)'!D$45:D$1645,0))</f>
        <v>14.96</v>
      </c>
      <c r="K1121" s="12">
        <f t="shared" ca="1" si="108"/>
        <v>15.040534219962762</v>
      </c>
      <c r="L1121" s="12">
        <f t="shared" ca="1" si="109"/>
        <v>44.734950236357122</v>
      </c>
      <c r="M1121" s="12">
        <f t="shared" ca="1" si="110"/>
        <v>7.6197085167796136E-2</v>
      </c>
      <c r="N1121" s="13">
        <f t="shared" ca="1" si="106"/>
        <v>-29.69441601639436</v>
      </c>
      <c r="O1121" s="13">
        <f t="shared" ca="1" si="107"/>
        <v>-46.59021262668918</v>
      </c>
      <c r="P1121" s="12">
        <f t="shared" ca="1" si="111"/>
        <v>2.4951755436849594</v>
      </c>
    </row>
    <row r="1122" spans="1:16" x14ac:dyDescent="0.25">
      <c r="A1122">
        <v>26</v>
      </c>
      <c r="B1122">
        <v>39</v>
      </c>
      <c r="C1122" s="2" t="s">
        <v>25</v>
      </c>
      <c r="D1122" s="2" t="s">
        <v>38</v>
      </c>
      <c r="E1122" s="11" cm="1">
        <f t="array" aca="1" ref="E1122" ca="1">INDEX('OD flujo mercancia multimodal'!E$45:E$1645,MATCH(C1122&amp;D1122,'OD flujo mercancia multimodal'!C$45:C$1645&amp;'OD flujo mercancia multimodal'!D$45:D$1645,0))</f>
        <v>4346.6923076923122</v>
      </c>
      <c r="F1122" s="11" cm="1">
        <f t="array" aca="1" ref="F1122" ca="1">INDEX('OD flujo mercancia carretera'!E$45:E$1646,MATCH(C1122&amp;D1122,'OD flujo mercancia carretera'!C$45:C$1646&amp;'OD flujo mercancia carretera'!D$45:D$1646,0))</f>
        <v>138597.84249084251</v>
      </c>
      <c r="G1122" s="11" cm="1">
        <f t="array" aca="1" ref="G1122" ca="1">INDEX('Coste Carretera'!E$46:E$1646,MATCH(C1122&amp;D1122,'Coste Carretera'!C$46:C$1646&amp;'Coste Carretera'!D$46:D$1646,0))</f>
        <v>84795075.200000018</v>
      </c>
      <c r="H1122" s="11" cm="1">
        <f t="array" aca="1" ref="H1122" ca="1">INDEX('Coste multimodal'!E$46:E$1646,MATCH(C1122&amp;D1122,'Coste multimodal'!C$46:C$1646&amp;'Coste multimodal'!D$46:D$1646,0))</f>
        <v>242919560.29198879</v>
      </c>
      <c r="I1122" s="12" cm="1">
        <f t="array" aca="1" ref="I1122" ca="1">INDEX('Tiempos intermodal (horas)'!E$45:E$1645,MATCH(C1122&amp;D1122,'Tiempos intermodal (horas)'!C$45:C$1645&amp;'Tiempos intermodal (horas)'!D$45:D$1645,0))</f>
        <v>73.913942511847779</v>
      </c>
      <c r="J1122" s="2" cm="1">
        <f t="array" aca="1" ref="J1122" ca="1">INDEX('Tiempos carretera (horas)'!E$45:E$1645,MATCH(C1122&amp;D1122,'Tiempos carretera (horas)'!C$45:C$1645&amp;'Tiempos carretera (horas)'!D$45:D$1645,0))</f>
        <v>12.35</v>
      </c>
      <c r="K1122" s="12">
        <f t="shared" ca="1" si="108"/>
        <v>0.61180660301838841</v>
      </c>
      <c r="L1122" s="12">
        <f t="shared" ca="1" si="109"/>
        <v>55.886072235224866</v>
      </c>
      <c r="M1122" s="12">
        <f t="shared" ca="1" si="110"/>
        <v>3.0408244105439321E-2</v>
      </c>
      <c r="N1122" s="13">
        <f t="shared" ca="1" si="106"/>
        <v>-55.274265632206479</v>
      </c>
      <c r="O1122" s="13">
        <f t="shared" ca="1" si="107"/>
        <v>-61.563942511847777</v>
      </c>
      <c r="P1122" s="12">
        <f t="shared" ca="1" si="111"/>
        <v>3.4621613533685411</v>
      </c>
    </row>
    <row r="1123" spans="1:16" x14ac:dyDescent="0.25">
      <c r="A1123">
        <v>40</v>
      </c>
      <c r="B1123">
        <v>10</v>
      </c>
      <c r="C1123" s="2" t="s">
        <v>39</v>
      </c>
      <c r="D1123" s="2" t="s">
        <v>9</v>
      </c>
      <c r="E1123" s="11" cm="1">
        <f t="array" aca="1" ref="E1123" ca="1">INDEX('OD flujo mercancia multimodal'!E$45:E$1645,MATCH(C1123&amp;D1123,'OD flujo mercancia multimodal'!C$45:C$1645&amp;'OD flujo mercancia multimodal'!D$45:D$1645,0))</f>
        <v>23783.137362637379</v>
      </c>
      <c r="F1123" s="11" cm="1">
        <f t="array" aca="1" ref="F1123" ca="1">INDEX('OD flujo mercancia carretera'!E$45:E$1646,MATCH(C1123&amp;D1123,'OD flujo mercancia carretera'!C$45:C$1646&amp;'OD flujo mercancia carretera'!D$45:D$1646,0))</f>
        <v>194174.43589743593</v>
      </c>
      <c r="G1123" s="11" cm="1">
        <f t="array" aca="1" ref="G1123" ca="1">INDEX('Coste Carretera'!E$46:E$1646,MATCH(C1123&amp;D1123,'Coste Carretera'!C$46:C$1646&amp;'Coste Carretera'!D$46:D$1646,0))</f>
        <v>2761854429.3600016</v>
      </c>
      <c r="H1123" s="11" cm="1">
        <f t="array" aca="1" ref="H1123" ca="1">INDEX('Coste multimodal'!E$46:E$1646,MATCH(C1123&amp;D1123,'Coste multimodal'!C$46:C$1646&amp;'Coste multimodal'!D$46:D$1646,0))</f>
        <v>419304673.59190142</v>
      </c>
      <c r="I1123" s="12" cm="1">
        <f t="array" aca="1" ref="I1123" ca="1">INDEX('Tiempos intermodal (horas)'!E$45:E$1645,MATCH(C1123&amp;D1123,'Tiempos intermodal (horas)'!C$45:C$1645&amp;'Tiempos intermodal (horas)'!D$45:D$1645,0))</f>
        <v>79.257071016328837</v>
      </c>
      <c r="J1123" s="2" cm="1">
        <f t="array" aca="1" ref="J1123" ca="1">INDEX('Tiempos carretera (horas)'!E$45:E$1645,MATCH(C1123&amp;D1123,'Tiempos carretera (horas)'!C$45:C$1645&amp;'Tiempos carretera (horas)'!D$45:D$1645,0))</f>
        <v>25</v>
      </c>
      <c r="K1123" s="12">
        <f t="shared" ca="1" si="108"/>
        <v>14.223573853042268</v>
      </c>
      <c r="L1123" s="12">
        <f t="shared" ca="1" si="109"/>
        <v>17.630334770324161</v>
      </c>
      <c r="M1123" s="12">
        <f t="shared" ca="1" si="110"/>
        <v>0.10911819675225805</v>
      </c>
      <c r="N1123" s="13">
        <f t="shared" ca="1" si="106"/>
        <v>-3.4067609172818933</v>
      </c>
      <c r="O1123" s="13">
        <f t="shared" ca="1" si="107"/>
        <v>-54.257071016328837</v>
      </c>
      <c r="P1123" s="12">
        <f t="shared" ca="1" si="111"/>
        <v>2.099780093789176</v>
      </c>
    </row>
    <row r="1124" spans="1:16" x14ac:dyDescent="0.25">
      <c r="A1124">
        <v>10</v>
      </c>
      <c r="B1124">
        <v>40</v>
      </c>
      <c r="C1124" s="2" t="s">
        <v>9</v>
      </c>
      <c r="D1124" s="2" t="s">
        <v>39</v>
      </c>
      <c r="E1124" s="11" cm="1">
        <f t="array" aca="1" ref="E1124" ca="1">INDEX('OD flujo mercancia multimodal'!E$45:E$1645,MATCH(C1124&amp;D1124,'OD flujo mercancia multimodal'!C$45:C$1645&amp;'OD flujo mercancia multimodal'!D$45:D$1645,0))</f>
        <v>23775.340659340662</v>
      </c>
      <c r="F1124" s="11" cm="1">
        <f t="array" aca="1" ref="F1124" ca="1">INDEX('OD flujo mercancia carretera'!E$45:E$1646,MATCH(C1124&amp;D1124,'OD flujo mercancia carretera'!C$45:C$1646&amp;'OD flujo mercancia carretera'!D$45:D$1646,0))</f>
        <v>163268.06593406596</v>
      </c>
      <c r="G1124" s="11" cm="1">
        <f t="array" aca="1" ref="G1124" ca="1">INDEX('Coste Carretera'!E$46:E$1646,MATCH(C1124&amp;D1124,'Coste Carretera'!C$46:C$1646&amp;'Coste Carretera'!D$46:D$1646,0))</f>
        <v>2444944612.4000001</v>
      </c>
      <c r="H1124" s="11" cm="1">
        <f t="array" aca="1" ref="H1124" ca="1">INDEX('Coste multimodal'!E$46:E$1646,MATCH(C1124&amp;D1124,'Coste multimodal'!C$46:C$1646&amp;'Coste multimodal'!D$46:D$1646,0))</f>
        <v>459332327.40181863</v>
      </c>
      <c r="I1124" s="12" cm="1">
        <f t="array" aca="1" ref="I1124" ca="1">INDEX('Tiempos intermodal (horas)'!E$45:E$1645,MATCH(C1124&amp;D1124,'Tiempos intermodal (horas)'!C$45:C$1645&amp;'Tiempos intermodal (horas)'!D$45:D$1645,0))</f>
        <v>89.061918618618606</v>
      </c>
      <c r="J1124" s="2" cm="1">
        <f t="array" aca="1" ref="J1124" ca="1">INDEX('Tiempos carretera (horas)'!E$45:E$1645,MATCH(C1124&amp;D1124,'Tiempos carretera (horas)'!C$45:C$1645&amp;'Tiempos carretera (horas)'!D$45:D$1645,0))</f>
        <v>26</v>
      </c>
      <c r="K1124" s="12">
        <f t="shared" ca="1" si="108"/>
        <v>14.975032615302519</v>
      </c>
      <c r="L1124" s="12">
        <f t="shared" ca="1" si="109"/>
        <v>19.319694888214354</v>
      </c>
      <c r="M1124" s="12">
        <f t="shared" ca="1" si="110"/>
        <v>0.12711135394910389</v>
      </c>
      <c r="N1124" s="13">
        <f t="shared" ca="1" si="106"/>
        <v>-4.3446622729118349</v>
      </c>
      <c r="O1124" s="13">
        <f t="shared" ca="1" si="107"/>
        <v>-63.061918618618606</v>
      </c>
      <c r="P1124" s="12">
        <f t="shared" ca="1" si="111"/>
        <v>1.9267444894572423</v>
      </c>
    </row>
    <row r="1125" spans="1:16" x14ac:dyDescent="0.25">
      <c r="A1125">
        <v>38</v>
      </c>
      <c r="B1125">
        <v>35</v>
      </c>
      <c r="C1125" s="2" t="s">
        <v>37</v>
      </c>
      <c r="D1125" s="2" t="s">
        <v>34</v>
      </c>
      <c r="E1125" s="11" cm="1">
        <f t="array" aca="1" ref="E1125" ca="1">INDEX('OD flujo mercancia multimodal'!E$45:E$1645,MATCH(C1125&amp;D1125,'OD flujo mercancia multimodal'!C$45:C$1645&amp;'OD flujo mercancia multimodal'!D$45:D$1645,0))</f>
        <v>23117.615384615401</v>
      </c>
      <c r="F1125" s="11" cm="1">
        <f t="array" aca="1" ref="F1125" ca="1">INDEX('OD flujo mercancia carretera'!E$45:E$1646,MATCH(C1125&amp;D1125,'OD flujo mercancia carretera'!C$45:C$1646&amp;'OD flujo mercancia carretera'!D$45:D$1646,0))</f>
        <v>20862.230769230806</v>
      </c>
      <c r="G1125" s="11" cm="1">
        <f t="array" aca="1" ref="G1125" ca="1">INDEX('Coste Carretera'!E$46:E$1646,MATCH(C1125&amp;D1125,'Coste Carretera'!C$46:C$1646&amp;'Coste Carretera'!D$46:D$1646,0))</f>
        <v>37923127647.360039</v>
      </c>
      <c r="H1125" s="11" cm="1">
        <f t="array" aca="1" ref="H1125" ca="1">INDEX('Coste multimodal'!E$46:E$1646,MATCH(C1125&amp;D1125,'Coste multimodal'!C$46:C$1646&amp;'Coste multimodal'!D$46:D$1646,0))</f>
        <v>1049027983.4460654</v>
      </c>
      <c r="I1125" s="12" cm="1">
        <f t="array" aca="1" ref="I1125" ca="1">INDEX('Tiempos intermodal (horas)'!E$45:E$1645,MATCH(C1125&amp;D1125,'Tiempos intermodal (horas)'!C$45:C$1645&amp;'Tiempos intermodal (horas)'!D$45:D$1645,0))</f>
        <v>85.810191599802934</v>
      </c>
      <c r="J1125" s="2" cm="1">
        <f t="array" aca="1" ref="J1125" ca="1">INDEX('Tiempos carretera (horas)'!E$45:E$1645,MATCH(C1125&amp;D1125,'Tiempos carretera (horas)'!C$45:C$1645&amp;'Tiempos carretera (horas)'!D$45:D$1645,0))</f>
        <v>24</v>
      </c>
      <c r="K1125" s="12">
        <f t="shared" ca="1" si="108"/>
        <v>1817.7887142966481</v>
      </c>
      <c r="L1125" s="12">
        <f t="shared" ca="1" si="109"/>
        <v>45.37786298426721</v>
      </c>
      <c r="M1125" s="12">
        <f t="shared" ca="1" si="110"/>
        <v>0.52564111533604529</v>
      </c>
      <c r="N1125" s="13">
        <f t="shared" ca="1" si="106"/>
        <v>1772.4108513123808</v>
      </c>
      <c r="O1125" s="13">
        <f t="shared" ca="1" si="107"/>
        <v>-61.810191599802934</v>
      </c>
      <c r="P1125" s="12">
        <f t="shared" ca="1" si="111"/>
        <v>-0.10265451378619046</v>
      </c>
    </row>
    <row r="1126" spans="1:16" x14ac:dyDescent="0.25">
      <c r="A1126">
        <v>35</v>
      </c>
      <c r="B1126">
        <v>38</v>
      </c>
      <c r="C1126" s="2" t="s">
        <v>34</v>
      </c>
      <c r="D1126" s="2" t="s">
        <v>37</v>
      </c>
      <c r="E1126" s="11" cm="1">
        <f t="array" aca="1" ref="E1126" ca="1">INDEX('OD flujo mercancia multimodal'!E$45:E$1645,MATCH(C1126&amp;D1126,'OD flujo mercancia multimodal'!C$45:C$1645&amp;'OD flujo mercancia multimodal'!D$45:D$1645,0))</f>
        <v>9851.3076923076915</v>
      </c>
      <c r="F1126" s="11" cm="1">
        <f t="array" aca="1" ref="F1126" ca="1">INDEX('OD flujo mercancia carretera'!E$45:E$1646,MATCH(C1126&amp;D1126,'OD flujo mercancia carretera'!C$45:C$1646&amp;'OD flujo mercancia carretera'!D$45:D$1646,0))</f>
        <v>21236.769230769234</v>
      </c>
      <c r="G1126" s="11" cm="1">
        <f t="array" aca="1" ref="G1126" ca="1">INDEX('Coste Carretera'!E$46:E$1646,MATCH(C1126&amp;D1126,'Coste Carretera'!C$46:C$1646&amp;'Coste Carretera'!D$46:D$1646,0))</f>
        <v>16907770823.520004</v>
      </c>
      <c r="H1126" s="11" cm="1">
        <f t="array" aca="1" ref="H1126" ca="1">INDEX('Coste multimodal'!E$46:E$1646,MATCH(C1126&amp;D1126,'Coste multimodal'!C$46:C$1646&amp;'Coste multimodal'!D$46:D$1646,0))</f>
        <v>1049027983.4460654</v>
      </c>
      <c r="I1126" s="12" cm="1">
        <f t="array" aca="1" ref="I1126" ca="1">INDEX('Tiempos intermodal (horas)'!E$45:E$1645,MATCH(C1126&amp;D1126,'Tiempos intermodal (horas)'!C$45:C$1645&amp;'Tiempos intermodal (horas)'!D$45:D$1645,0))</f>
        <v>85.810191599802934</v>
      </c>
      <c r="J1126" s="2" cm="1">
        <f t="array" aca="1" ref="J1126" ca="1">INDEX('Tiempos carretera (horas)'!E$45:E$1645,MATCH(C1126&amp;D1126,'Tiempos carretera (horas)'!C$45:C$1645&amp;'Tiempos carretera (horas)'!D$45:D$1645,0))</f>
        <v>24</v>
      </c>
      <c r="K1126" s="12">
        <f t="shared" ca="1" si="108"/>
        <v>796.15550933344923</v>
      </c>
      <c r="L1126" s="12">
        <f t="shared" ca="1" si="109"/>
        <v>106.48616571637386</v>
      </c>
      <c r="M1126" s="12">
        <f t="shared" ca="1" si="110"/>
        <v>0.3168837917084214</v>
      </c>
      <c r="N1126" s="13">
        <f t="shared" ca="1" si="106"/>
        <v>689.66934361707536</v>
      </c>
      <c r="O1126" s="13">
        <f t="shared" ca="1" si="107"/>
        <v>-61.810191599802934</v>
      </c>
      <c r="P1126" s="12">
        <f t="shared" ca="1" si="111"/>
        <v>0.76812987001249211</v>
      </c>
    </row>
    <row r="1127" spans="1:16" x14ac:dyDescent="0.25">
      <c r="A1127">
        <v>41</v>
      </c>
      <c r="B1127">
        <v>34</v>
      </c>
      <c r="C1127" s="2" t="s">
        <v>40</v>
      </c>
      <c r="D1127" s="2" t="s">
        <v>33</v>
      </c>
      <c r="E1127" s="11" cm="1">
        <f t="array" aca="1" ref="E1127" ca="1">INDEX('OD flujo mercancia multimodal'!E$45:E$1645,MATCH(C1127&amp;D1127,'OD flujo mercancia multimodal'!C$45:C$1645&amp;'OD flujo mercancia multimodal'!D$45:D$1645,0))</f>
        <v>304456.46153846185</v>
      </c>
      <c r="F1127" s="11" cm="1">
        <f t="array" aca="1" ref="F1127" ca="1">INDEX('OD flujo mercancia carretera'!E$45:E$1646,MATCH(C1127&amp;D1127,'OD flujo mercancia carretera'!C$45:C$1646&amp;'OD flujo mercancia carretera'!D$45:D$1646,0))</f>
        <v>333731.88888888899</v>
      </c>
      <c r="G1127" s="11" cm="1">
        <f t="array" aca="1" ref="G1127" ca="1">INDEX('Coste Carretera'!E$46:E$1646,MATCH(C1127&amp;D1127,'Coste Carretera'!C$46:C$1646&amp;'Coste Carretera'!D$46:D$1646,0))</f>
        <v>7677223780.6399946</v>
      </c>
      <c r="H1127" s="11" cm="1">
        <f t="array" aca="1" ref="H1127" ca="1">INDEX('Coste multimodal'!E$46:E$1646,MATCH(C1127&amp;D1127,'Coste multimodal'!C$46:C$1646&amp;'Coste multimodal'!D$46:D$1646,0))</f>
        <v>859592694.14437628</v>
      </c>
      <c r="I1127" s="12" cm="1">
        <f t="array" aca="1" ref="I1127" ca="1">INDEX('Tiempos intermodal (horas)'!E$45:E$1645,MATCH(C1127&amp;D1127,'Tiempos intermodal (horas)'!C$45:C$1645&amp;'Tiempos intermodal (horas)'!D$45:D$1645,0))</f>
        <v>80.633422906109232</v>
      </c>
      <c r="J1127" s="2" cm="1">
        <f t="array" aca="1" ref="J1127" ca="1">INDEX('Tiempos carretera (horas)'!E$45:E$1645,MATCH(C1127&amp;D1127,'Tiempos carretera (horas)'!C$45:C$1645&amp;'Tiempos carretera (horas)'!D$45:D$1645,0))</f>
        <v>22.33</v>
      </c>
      <c r="K1127" s="12">
        <f t="shared" ca="1" si="108"/>
        <v>23.004166027406541</v>
      </c>
      <c r="L1127" s="12">
        <f t="shared" ca="1" si="109"/>
        <v>2.823368207725768</v>
      </c>
      <c r="M1127" s="12">
        <f t="shared" ca="1" si="110"/>
        <v>0.47706364638995413</v>
      </c>
      <c r="N1127" s="13">
        <f t="shared" ca="1" si="106"/>
        <v>20.180797819680773</v>
      </c>
      <c r="O1127" s="13">
        <f t="shared" ca="1" si="107"/>
        <v>-58.303422906109233</v>
      </c>
      <c r="P1127" s="12">
        <f t="shared" ca="1" si="111"/>
        <v>9.1809849267061594E-2</v>
      </c>
    </row>
    <row r="1128" spans="1:16" x14ac:dyDescent="0.25">
      <c r="A1128">
        <v>34</v>
      </c>
      <c r="B1128">
        <v>41</v>
      </c>
      <c r="C1128" s="2" t="s">
        <v>33</v>
      </c>
      <c r="D1128" s="2" t="s">
        <v>40</v>
      </c>
      <c r="E1128" s="11" cm="1">
        <f t="array" aca="1" ref="E1128" ca="1">INDEX('OD flujo mercancia multimodal'!E$45:E$1645,MATCH(C1128&amp;D1128,'OD flujo mercancia multimodal'!C$45:C$1645&amp;'OD flujo mercancia multimodal'!D$45:D$1645,0))</f>
        <v>146755.46153846153</v>
      </c>
      <c r="F1128" s="11" cm="1">
        <f t="array" aca="1" ref="F1128" ca="1">INDEX('OD flujo mercancia carretera'!E$45:E$1646,MATCH(C1128&amp;D1128,'OD flujo mercancia carretera'!C$45:C$1646&amp;'OD flujo mercancia carretera'!D$45:D$1646,0))</f>
        <v>295406.7191697192</v>
      </c>
      <c r="G1128" s="11" cm="1">
        <f t="array" aca="1" ref="G1128" ca="1">INDEX('Coste Carretera'!E$46:E$1646,MATCH(C1128&amp;D1128,'Coste Carretera'!C$46:C$1646&amp;'Coste Carretera'!D$46:D$1646,0))</f>
        <v>4543009108.1999989</v>
      </c>
      <c r="H1128" s="11" cm="1">
        <f t="array" aca="1" ref="H1128" ca="1">INDEX('Coste multimodal'!E$46:E$1646,MATCH(C1128&amp;D1128,'Coste multimodal'!C$46:C$1646&amp;'Coste multimodal'!D$46:D$1646,0))</f>
        <v>1013510648.2620655</v>
      </c>
      <c r="I1128" s="12" cm="1">
        <f t="array" aca="1" ref="I1128" ca="1">INDEX('Tiempos intermodal (horas)'!E$45:E$1645,MATCH(C1128&amp;D1128,'Tiempos intermodal (horas)'!C$45:C$1645&amp;'Tiempos intermodal (horas)'!D$45:D$1645,0))</f>
        <v>84.285747155358493</v>
      </c>
      <c r="J1128" s="2" cm="1">
        <f t="array" aca="1" ref="J1128" ca="1">INDEX('Tiempos carretera (horas)'!E$45:E$1645,MATCH(C1128&amp;D1128,'Tiempos carretera (horas)'!C$45:C$1645&amp;'Tiempos carretera (horas)'!D$45:D$1645,0))</f>
        <v>22.35</v>
      </c>
      <c r="K1128" s="12">
        <f t="shared" ca="1" si="108"/>
        <v>15.378827945988311</v>
      </c>
      <c r="L1128" s="12">
        <f t="shared" ca="1" si="109"/>
        <v>6.9061187749830051</v>
      </c>
      <c r="M1128" s="12">
        <f t="shared" ca="1" si="110"/>
        <v>0.33190414725975298</v>
      </c>
      <c r="N1128" s="13">
        <f t="shared" ca="1" si="106"/>
        <v>8.472709171005306</v>
      </c>
      <c r="O1128" s="13">
        <f t="shared" ca="1" si="107"/>
        <v>-61.935747155358492</v>
      </c>
      <c r="P1128" s="12">
        <f t="shared" ca="1" si="111"/>
        <v>0.69958544121094124</v>
      </c>
    </row>
    <row r="1129" spans="1:16" x14ac:dyDescent="0.25">
      <c r="A1129">
        <v>39</v>
      </c>
      <c r="B1129">
        <v>18</v>
      </c>
      <c r="C1129" s="2" t="s">
        <v>38</v>
      </c>
      <c r="D1129" s="2" t="s">
        <v>17</v>
      </c>
      <c r="E1129" s="11" cm="1">
        <f t="array" aca="1" ref="E1129" ca="1">INDEX('OD flujo mercancia multimodal'!E$45:E$1645,MATCH(C1129&amp;D1129,'OD flujo mercancia multimodal'!C$45:C$1645&amp;'OD flujo mercancia multimodal'!D$45:D$1645,0))</f>
        <v>23758.769230769201</v>
      </c>
      <c r="F1129" s="11" cm="1">
        <f t="array" aca="1" ref="F1129" ca="1">INDEX('OD flujo mercancia carretera'!E$45:E$1646,MATCH(C1129&amp;D1129,'OD flujo mercancia carretera'!C$45:C$1646&amp;'OD flujo mercancia carretera'!D$45:D$1646,0))</f>
        <v>57978.076923076907</v>
      </c>
      <c r="G1129" s="11" cm="1">
        <f t="array" aca="1" ref="G1129" ca="1">INDEX('Coste Carretera'!E$46:E$1646,MATCH(C1129&amp;D1129,'Coste Carretera'!C$46:C$1646&amp;'Coste Carretera'!D$46:D$1646,0))</f>
        <v>1124650877.1999991</v>
      </c>
      <c r="H1129" s="11" cm="1">
        <f t="array" aca="1" ref="H1129" ca="1">INDEX('Coste multimodal'!E$46:E$1646,MATCH(C1129&amp;D1129,'Coste multimodal'!C$46:C$1646&amp;'Coste multimodal'!D$46:D$1646,0))</f>
        <v>274957725.2844668</v>
      </c>
      <c r="I1129" s="12" cm="1">
        <f t="array" aca="1" ref="I1129" ca="1">INDEX('Tiempos intermodal (horas)'!E$45:E$1645,MATCH(C1129&amp;D1129,'Tiempos intermodal (horas)'!C$45:C$1645&amp;'Tiempos intermodal (horas)'!D$45:D$1645,0))</f>
        <v>57.063557904584272</v>
      </c>
      <c r="J1129" s="2" cm="1">
        <f t="array" aca="1" ref="J1129" ca="1">INDEX('Tiempos carretera (horas)'!E$45:E$1645,MATCH(C1129&amp;D1129,'Tiempos carretera (horas)'!C$45:C$1645&amp;'Tiempos carretera (horas)'!D$45:D$1645,0))</f>
        <v>7.32</v>
      </c>
      <c r="K1129" s="12">
        <f t="shared" ca="1" si="108"/>
        <v>19.397864449559837</v>
      </c>
      <c r="L1129" s="12">
        <f t="shared" ca="1" si="109"/>
        <v>11.572894311729669</v>
      </c>
      <c r="M1129" s="12">
        <f t="shared" ca="1" si="110"/>
        <v>0.29067391695111588</v>
      </c>
      <c r="N1129" s="13">
        <f t="shared" ca="1" si="106"/>
        <v>7.8249701378301673</v>
      </c>
      <c r="O1129" s="13">
        <f t="shared" ca="1" si="107"/>
        <v>-49.743557904584272</v>
      </c>
      <c r="P1129" s="12">
        <f t="shared" ca="1" si="111"/>
        <v>0.89211326190657414</v>
      </c>
    </row>
    <row r="1130" spans="1:16" x14ac:dyDescent="0.25">
      <c r="A1130">
        <v>18</v>
      </c>
      <c r="B1130">
        <v>39</v>
      </c>
      <c r="C1130" s="2" t="s">
        <v>17</v>
      </c>
      <c r="D1130" s="2" t="s">
        <v>38</v>
      </c>
      <c r="E1130" s="11" cm="1">
        <f t="array" aca="1" ref="E1130" ca="1">INDEX('OD flujo mercancia multimodal'!E$45:E$1645,MATCH(C1130&amp;D1130,'OD flujo mercancia multimodal'!C$45:C$1645&amp;'OD flujo mercancia multimodal'!D$45:D$1645,0))</f>
        <v>9905.0000000000036</v>
      </c>
      <c r="F1130" s="11" cm="1">
        <f t="array" aca="1" ref="F1130" ca="1">INDEX('OD flujo mercancia carretera'!E$45:E$1646,MATCH(C1130&amp;D1130,'OD flujo mercancia carretera'!C$45:C$1646&amp;'OD flujo mercancia carretera'!D$45:D$1646,0))</f>
        <v>146897.45787545788</v>
      </c>
      <c r="G1130" s="11" cm="1">
        <f t="array" aca="1" ref="G1130" ca="1">INDEX('Coste Carretera'!E$46:E$1646,MATCH(C1130&amp;D1130,'Coste Carretera'!C$46:C$1646&amp;'Coste Carretera'!D$46:D$1646,0))</f>
        <v>313725795.99999994</v>
      </c>
      <c r="H1130" s="11" cm="1">
        <f t="array" aca="1" ref="H1130" ca="1">INDEX('Coste multimodal'!E$46:E$1646,MATCH(C1130&amp;D1130,'Coste multimodal'!C$46:C$1646&amp;'Coste multimodal'!D$46:D$1646,0))</f>
        <v>309639963.73096633</v>
      </c>
      <c r="I1130" s="12" cm="1">
        <f t="array" aca="1" ref="I1130" ca="1">INDEX('Tiempos intermodal (horas)'!E$45:E$1645,MATCH(C1130&amp;D1130,'Tiempos intermodal (horas)'!C$45:C$1645&amp;'Tiempos intermodal (horas)'!D$45:D$1645,0))</f>
        <v>70.193941910660669</v>
      </c>
      <c r="J1130" s="2" cm="1">
        <f t="array" aca="1" ref="J1130" ca="1">INDEX('Tiempos carretera (horas)'!E$45:E$1645,MATCH(C1130&amp;D1130,'Tiempos carretera (horas)'!C$45:C$1645&amp;'Tiempos carretera (horas)'!D$45:D$1645,0))</f>
        <v>8.26</v>
      </c>
      <c r="K1130" s="12">
        <f t="shared" ca="1" si="108"/>
        <v>2.1356788642726676</v>
      </c>
      <c r="L1130" s="12">
        <f t="shared" ca="1" si="109"/>
        <v>31.260975641692703</v>
      </c>
      <c r="M1130" s="12">
        <f t="shared" ca="1" si="110"/>
        <v>6.3168652674227596E-2</v>
      </c>
      <c r="N1130" s="13">
        <f t="shared" ca="1" si="106"/>
        <v>-29.125296777420036</v>
      </c>
      <c r="O1130" s="13">
        <f t="shared" ca="1" si="107"/>
        <v>-61.933941910660671</v>
      </c>
      <c r="P1130" s="12">
        <f t="shared" ca="1" si="111"/>
        <v>2.6966950977431479</v>
      </c>
    </row>
    <row r="1131" spans="1:16" x14ac:dyDescent="0.25">
      <c r="A1131">
        <v>37</v>
      </c>
      <c r="B1131">
        <v>15</v>
      </c>
      <c r="C1131" s="2" t="s">
        <v>36</v>
      </c>
      <c r="D1131" s="2" t="s">
        <v>14</v>
      </c>
      <c r="E1131" s="11" cm="1">
        <f t="array" aca="1" ref="E1131" ca="1">INDEX('OD flujo mercancia multimodal'!E$45:E$1645,MATCH(C1131&amp;D1131,'OD flujo mercancia multimodal'!C$45:C$1645&amp;'OD flujo mercancia multimodal'!D$45:D$1645,0))</f>
        <v>53315.923076923042</v>
      </c>
      <c r="F1131" s="11" cm="1">
        <f t="array" aca="1" ref="F1131" ca="1">INDEX('OD flujo mercancia carretera'!E$45:E$1646,MATCH(C1131&amp;D1131,'OD flujo mercancia carretera'!C$45:C$1646&amp;'OD flujo mercancia carretera'!D$45:D$1646,0))</f>
        <v>374377.03663003712</v>
      </c>
      <c r="G1131" s="11" cm="1">
        <f t="array" aca="1" ref="G1131" ca="1">INDEX('Coste Carretera'!E$46:E$1646,MATCH(C1131&amp;D1131,'Coste Carretera'!C$46:C$1646&amp;'Coste Carretera'!D$46:D$1646,0))</f>
        <v>3129829191.8399978</v>
      </c>
      <c r="H1131" s="11" cm="1">
        <f t="array" aca="1" ref="H1131" ca="1">INDEX('Coste multimodal'!E$46:E$1646,MATCH(C1131&amp;D1131,'Coste multimodal'!C$46:C$1646&amp;'Coste multimodal'!D$46:D$1646,0))</f>
        <v>390986963.14406753</v>
      </c>
      <c r="I1131" s="12" cm="1">
        <f t="array" aca="1" ref="I1131" ca="1">INDEX('Tiempos intermodal (horas)'!E$45:E$1645,MATCH(C1131&amp;D1131,'Tiempos intermodal (horas)'!C$45:C$1645&amp;'Tiempos intermodal (horas)'!D$45:D$1645,0))</f>
        <v>71.492831400736662</v>
      </c>
      <c r="J1131" s="2" cm="1">
        <f t="array" aca="1" ref="J1131" ca="1">INDEX('Tiempos carretera (horas)'!E$45:E$1645,MATCH(C1131&amp;D1131,'Tiempos carretera (horas)'!C$45:C$1645&amp;'Tiempos carretera (horas)'!D$45:D$1645,0))</f>
        <v>9.5299999999999994</v>
      </c>
      <c r="K1131" s="12">
        <f t="shared" ca="1" si="108"/>
        <v>8.3600992732172408</v>
      </c>
      <c r="L1131" s="12">
        <f t="shared" ca="1" si="109"/>
        <v>7.333399490804279</v>
      </c>
      <c r="M1131" s="12">
        <f t="shared" ca="1" si="110"/>
        <v>0.12465934233159506</v>
      </c>
      <c r="N1131" s="13">
        <f t="shared" ca="1" si="106"/>
        <v>1.0266997824129618</v>
      </c>
      <c r="O1131" s="13">
        <f t="shared" ca="1" si="107"/>
        <v>-61.962831400736661</v>
      </c>
      <c r="P1131" s="12">
        <f t="shared" ca="1" si="111"/>
        <v>1.9490283779710138</v>
      </c>
    </row>
    <row r="1132" spans="1:16" x14ac:dyDescent="0.25">
      <c r="A1132">
        <v>15</v>
      </c>
      <c r="B1132">
        <v>37</v>
      </c>
      <c r="C1132" s="2" t="s">
        <v>14</v>
      </c>
      <c r="D1132" s="2" t="s">
        <v>36</v>
      </c>
      <c r="E1132" s="11" cm="1">
        <f t="array" aca="1" ref="E1132" ca="1">INDEX('OD flujo mercancia multimodal'!E$45:E$1645,MATCH(C1132&amp;D1132,'OD flujo mercancia multimodal'!C$45:C$1645&amp;'OD flujo mercancia multimodal'!D$45:D$1645,0))</f>
        <v>36402.615384615434</v>
      </c>
      <c r="F1132" s="11" cm="1">
        <f t="array" aca="1" ref="F1132" ca="1">INDEX('OD flujo mercancia carretera'!E$45:E$1646,MATCH(C1132&amp;D1132,'OD flujo mercancia carretera'!C$45:C$1646&amp;'OD flujo mercancia carretera'!D$45:D$1646,0))</f>
        <v>381562.3498168498</v>
      </c>
      <c r="G1132" s="11" cm="1">
        <f t="array" aca="1" ref="G1132" ca="1">INDEX('Coste Carretera'!E$46:E$1646,MATCH(C1132&amp;D1132,'Coste Carretera'!C$46:C$1646&amp;'Coste Carretera'!D$46:D$1646,0))</f>
        <v>1883388418.0799997</v>
      </c>
      <c r="H1132" s="11" cm="1">
        <f t="array" aca="1" ref="H1132" ca="1">INDEX('Coste multimodal'!E$46:E$1646,MATCH(C1132&amp;D1132,'Coste multimodal'!C$46:C$1646&amp;'Coste multimodal'!D$46:D$1646,0))</f>
        <v>390986963.14406753</v>
      </c>
      <c r="I1132" s="12" cm="1">
        <f t="array" aca="1" ref="I1132" ca="1">INDEX('Tiempos intermodal (horas)'!E$45:E$1645,MATCH(C1132&amp;D1132,'Tiempos intermodal (horas)'!C$45:C$1645&amp;'Tiempos intermodal (horas)'!D$45:D$1645,0))</f>
        <v>71.492831400736662</v>
      </c>
      <c r="J1132" s="2" cm="1">
        <f t="array" aca="1" ref="J1132" ca="1">INDEX('Tiempos carretera (horas)'!E$45:E$1645,MATCH(C1132&amp;D1132,'Tiempos carretera (horas)'!C$45:C$1645&amp;'Tiempos carretera (horas)'!D$45:D$1645,0))</f>
        <v>9.5299999999999994</v>
      </c>
      <c r="K1132" s="12">
        <f t="shared" ca="1" si="108"/>
        <v>4.9359912449014622</v>
      </c>
      <c r="L1132" s="12">
        <f t="shared" ca="1" si="109"/>
        <v>10.740628359063107</v>
      </c>
      <c r="M1132" s="12">
        <f t="shared" ca="1" si="110"/>
        <v>8.7094896499444255E-2</v>
      </c>
      <c r="N1132" s="13">
        <f t="shared" ca="1" si="106"/>
        <v>-5.8046371141616451</v>
      </c>
      <c r="O1132" s="13">
        <f t="shared" ca="1" si="107"/>
        <v>-61.962831400736661</v>
      </c>
      <c r="P1132" s="12">
        <f t="shared" ca="1" si="111"/>
        <v>2.3496336474173347</v>
      </c>
    </row>
    <row r="1133" spans="1:16" x14ac:dyDescent="0.25">
      <c r="A1133">
        <v>1</v>
      </c>
      <c r="B1133">
        <v>41</v>
      </c>
      <c r="C1133" s="2" t="s">
        <v>0</v>
      </c>
      <c r="D1133" s="2" t="s">
        <v>40</v>
      </c>
      <c r="E1133" s="11" cm="1">
        <f t="array" aca="1" ref="E1133" ca="1">INDEX('OD flujo mercancia multimodal'!E$45:E$1645,MATCH(C1133&amp;D1133,'OD flujo mercancia multimodal'!C$45:C$1645&amp;'OD flujo mercancia multimodal'!D$45:D$1645,0))</f>
        <v>107702.76373626373</v>
      </c>
      <c r="F1133" s="11" cm="1">
        <f t="array" aca="1" ref="F1133" ca="1">INDEX('OD flujo mercancia carretera'!E$45:E$1646,MATCH(C1133&amp;D1133,'OD flujo mercancia carretera'!C$45:C$1646&amp;'OD flujo mercancia carretera'!D$45:D$1646,0))</f>
        <v>68807.492673992703</v>
      </c>
      <c r="G1133" s="11" cm="1">
        <f t="array" aca="1" ref="G1133" ca="1">INDEX('Coste Carretera'!E$46:E$1646,MATCH(C1133&amp;D1133,'Coste Carretera'!C$46:C$1646&amp;'Coste Carretera'!D$46:D$1646,0))</f>
        <v>10295334699.497143</v>
      </c>
      <c r="H1133" s="11" cm="1">
        <f t="array" aca="1" ref="H1133" ca="1">INDEX('Coste multimodal'!E$46:E$1646,MATCH(C1133&amp;D1133,'Coste multimodal'!C$46:C$1646&amp;'Coste multimodal'!D$46:D$1646,0))</f>
        <v>770442873.15860128</v>
      </c>
      <c r="I1133" s="12" cm="1">
        <f t="array" aca="1" ref="I1133" ca="1">INDEX('Tiempos intermodal (horas)'!E$45:E$1645,MATCH(C1133&amp;D1133,'Tiempos intermodal (horas)'!C$45:C$1645&amp;'Tiempos intermodal (horas)'!D$45:D$1645,0))</f>
        <v>83.819556065831449</v>
      </c>
      <c r="J1133" s="2" cm="1">
        <f t="array" aca="1" ref="J1133" ca="1">INDEX('Tiempos carretera (horas)'!E$45:E$1645,MATCH(C1133&amp;D1133,'Tiempos carretera (horas)'!C$45:C$1645&amp;'Tiempos carretera (horas)'!D$45:D$1645,0))</f>
        <v>21.8</v>
      </c>
      <c r="K1133" s="12">
        <f t="shared" ca="1" si="108"/>
        <v>149.6251977713539</v>
      </c>
      <c r="L1133" s="12">
        <f t="shared" ca="1" si="109"/>
        <v>7.1534178551370973</v>
      </c>
      <c r="M1133" s="12">
        <f t="shared" ca="1" si="110"/>
        <v>0.61017850138937013</v>
      </c>
      <c r="N1133" s="13">
        <f t="shared" ca="1" si="106"/>
        <v>142.4717799162168</v>
      </c>
      <c r="O1133" s="13">
        <f t="shared" ca="1" si="107"/>
        <v>-62.019556065831452</v>
      </c>
      <c r="P1133" s="12">
        <f t="shared" ca="1" si="111"/>
        <v>-0.44806260111063467</v>
      </c>
    </row>
    <row r="1134" spans="1:16" x14ac:dyDescent="0.25">
      <c r="A1134">
        <v>41</v>
      </c>
      <c r="B1134">
        <v>1</v>
      </c>
      <c r="C1134" s="2" t="s">
        <v>40</v>
      </c>
      <c r="D1134" s="2" t="s">
        <v>0</v>
      </c>
      <c r="E1134" s="11" cm="1">
        <f t="array" aca="1" ref="E1134" ca="1">INDEX('OD flujo mercancia multimodal'!E$45:E$1645,MATCH(C1134&amp;D1134,'OD flujo mercancia multimodal'!C$45:C$1645&amp;'OD flujo mercancia multimodal'!D$45:D$1645,0))</f>
        <v>100159.22527472525</v>
      </c>
      <c r="F1134" s="11" cm="1">
        <f t="array" aca="1" ref="F1134" ca="1">INDEX('OD flujo mercancia carretera'!E$45:E$1646,MATCH(C1134&amp;D1134,'OD flujo mercancia carretera'!C$45:C$1646&amp;'OD flujo mercancia carretera'!D$45:D$1646,0))</f>
        <v>115199.3461538462</v>
      </c>
      <c r="G1134" s="11" cm="1">
        <f t="array" aca="1" ref="G1134" ca="1">INDEX('Coste Carretera'!E$46:E$1646,MATCH(C1134&amp;D1134,'Coste Carretera'!C$46:C$1646&amp;'Coste Carretera'!D$46:D$1646,0))</f>
        <v>10362949536.471426</v>
      </c>
      <c r="H1134" s="11" cm="1">
        <f t="array" aca="1" ref="H1134" ca="1">INDEX('Coste multimodal'!E$46:E$1646,MATCH(C1134&amp;D1134,'Coste multimodal'!C$46:C$1646&amp;'Coste multimodal'!D$46:D$1646,0))</f>
        <v>727836972.150262</v>
      </c>
      <c r="I1134" s="12" cm="1">
        <f t="array" aca="1" ref="I1134" ca="1">INDEX('Tiempos intermodal (horas)'!E$45:E$1645,MATCH(C1134&amp;D1134,'Tiempos intermodal (horas)'!C$45:C$1645&amp;'Tiempos intermodal (horas)'!D$45:D$1645,0))</f>
        <v>80.75419183910472</v>
      </c>
      <c r="J1134" s="2" cm="1">
        <f t="array" aca="1" ref="J1134" ca="1">INDEX('Tiempos carretera (horas)'!E$45:E$1645,MATCH(C1134&amp;D1134,'Tiempos carretera (horas)'!C$45:C$1645&amp;'Tiempos carretera (horas)'!D$45:D$1645,0))</f>
        <v>21.53</v>
      </c>
      <c r="K1134" s="12">
        <f t="shared" ca="1" si="108"/>
        <v>89.956669742134935</v>
      </c>
      <c r="L1134" s="12">
        <f t="shared" ca="1" si="109"/>
        <v>7.2667991406072563</v>
      </c>
      <c r="M1134" s="12">
        <f t="shared" ca="1" si="110"/>
        <v>0.46508121135055602</v>
      </c>
      <c r="N1134" s="13">
        <f t="shared" ca="1" si="106"/>
        <v>82.689870601527673</v>
      </c>
      <c r="O1134" s="13">
        <f t="shared" ca="1" si="107"/>
        <v>-59.224191839104719</v>
      </c>
      <c r="P1134" s="12">
        <f t="shared" ca="1" si="111"/>
        <v>0.13990290005289097</v>
      </c>
    </row>
    <row r="1135" spans="1:16" x14ac:dyDescent="0.25">
      <c r="A1135">
        <v>37</v>
      </c>
      <c r="B1135">
        <v>18</v>
      </c>
      <c r="C1135" s="2" t="s">
        <v>36</v>
      </c>
      <c r="D1135" s="2" t="s">
        <v>17</v>
      </c>
      <c r="E1135" s="11" cm="1">
        <f t="array" aca="1" ref="E1135" ca="1">INDEX('OD flujo mercancia multimodal'!E$45:E$1645,MATCH(C1135&amp;D1135,'OD flujo mercancia multimodal'!C$45:C$1645&amp;'OD flujo mercancia multimodal'!D$45:D$1645,0))</f>
        <v>29333.923076923049</v>
      </c>
      <c r="F1135" s="11" cm="1">
        <f t="array" aca="1" ref="F1135" ca="1">INDEX('OD flujo mercancia carretera'!E$45:E$1646,MATCH(C1135&amp;D1135,'OD flujo mercancia carretera'!C$45:C$1646&amp;'OD flujo mercancia carretera'!D$45:D$1646,0))</f>
        <v>134644.95970695969</v>
      </c>
      <c r="G1135" s="11" cm="1">
        <f t="array" aca="1" ref="G1135" ca="1">INDEX('Coste Carretera'!E$46:E$1646,MATCH(C1135&amp;D1135,'Coste Carretera'!C$46:C$1646&amp;'Coste Carretera'!D$46:D$1646,0))</f>
        <v>1145628213.5999987</v>
      </c>
      <c r="H1135" s="11" cm="1">
        <f t="array" aca="1" ref="H1135" ca="1">INDEX('Coste multimodal'!E$46:E$1646,MATCH(C1135&amp;D1135,'Coste multimodal'!C$46:C$1646&amp;'Coste multimodal'!D$46:D$1646,0))</f>
        <v>362298301.41096634</v>
      </c>
      <c r="I1135" s="12" cm="1">
        <f t="array" aca="1" ref="I1135" ca="1">INDEX('Tiempos intermodal (horas)'!E$45:E$1645,MATCH(C1135&amp;D1135,'Tiempos intermodal (horas)'!C$45:C$1645&amp;'Tiempos intermodal (horas)'!D$45:D$1645,0))</f>
        <v>70.471719688438455</v>
      </c>
      <c r="J1135" s="2" cm="1">
        <f t="array" aca="1" ref="J1135" ca="1">INDEX('Tiempos carretera (horas)'!E$45:E$1645,MATCH(C1135&amp;D1135,'Tiempos carretera (horas)'!C$45:C$1645&amp;'Tiempos carretera (horas)'!D$45:D$1645,0))</f>
        <v>8.15</v>
      </c>
      <c r="K1135" s="12">
        <f t="shared" ca="1" si="108"/>
        <v>8.5085116895079889</v>
      </c>
      <c r="L1135" s="12">
        <f t="shared" ca="1" si="109"/>
        <v>12.350830145047521</v>
      </c>
      <c r="M1135" s="12">
        <f t="shared" ca="1" si="110"/>
        <v>0.1788884189166231</v>
      </c>
      <c r="N1135" s="13">
        <f t="shared" ca="1" si="106"/>
        <v>-3.842318455539532</v>
      </c>
      <c r="O1135" s="13">
        <f t="shared" ca="1" si="107"/>
        <v>-62.321719688438456</v>
      </c>
      <c r="P1135" s="12">
        <f t="shared" ca="1" si="111"/>
        <v>1.5238967555025347</v>
      </c>
    </row>
    <row r="1136" spans="1:16" x14ac:dyDescent="0.25">
      <c r="A1136">
        <v>18</v>
      </c>
      <c r="B1136">
        <v>37</v>
      </c>
      <c r="C1136" s="2" t="s">
        <v>17</v>
      </c>
      <c r="D1136" s="2" t="s">
        <v>36</v>
      </c>
      <c r="E1136" s="11" cm="1">
        <f t="array" aca="1" ref="E1136" ca="1">INDEX('OD flujo mercancia multimodal'!E$45:E$1645,MATCH(C1136&amp;D1136,'OD flujo mercancia multimodal'!C$45:C$1645&amp;'OD flujo mercancia multimodal'!D$45:D$1645,0))</f>
        <v>16866.461538461583</v>
      </c>
      <c r="F1136" s="11" cm="1">
        <f t="array" aca="1" ref="F1136" ca="1">INDEX('OD flujo mercancia carretera'!E$45:E$1646,MATCH(C1136&amp;D1136,'OD flujo mercancia carretera'!C$45:C$1646&amp;'OD flujo mercancia carretera'!D$45:D$1646,0))</f>
        <v>141750.04212454209</v>
      </c>
      <c r="G1136" s="11" cm="1">
        <f t="array" aca="1" ref="G1136" ca="1">INDEX('Coste Carretera'!E$46:E$1646,MATCH(C1136&amp;D1136,'Coste Carretera'!C$46:C$1646&amp;'Coste Carretera'!D$46:D$1646,0))</f>
        <v>463103373.9199999</v>
      </c>
      <c r="H1136" s="11" cm="1">
        <f t="array" aca="1" ref="H1136" ca="1">INDEX('Coste multimodal'!E$46:E$1646,MATCH(C1136&amp;D1136,'Coste multimodal'!C$46:C$1646&amp;'Coste multimodal'!D$46:D$1646,0))</f>
        <v>362298301.41096634</v>
      </c>
      <c r="I1136" s="12" cm="1">
        <f t="array" aca="1" ref="I1136" ca="1">INDEX('Tiempos intermodal (horas)'!E$45:E$1645,MATCH(C1136&amp;D1136,'Tiempos intermodal (horas)'!C$45:C$1645&amp;'Tiempos intermodal (horas)'!D$45:D$1645,0))</f>
        <v>70.471719688438455</v>
      </c>
      <c r="J1136" s="2" cm="1">
        <f t="array" aca="1" ref="J1136" ca="1">INDEX('Tiempos carretera (horas)'!E$45:E$1645,MATCH(C1136&amp;D1136,'Tiempos carretera (horas)'!C$45:C$1645&amp;'Tiempos carretera (horas)'!D$45:D$1645,0))</f>
        <v>8.15</v>
      </c>
      <c r="K1136" s="12">
        <f t="shared" ca="1" si="108"/>
        <v>3.2670422313745462</v>
      </c>
      <c r="L1136" s="12">
        <f t="shared" ca="1" si="109"/>
        <v>21.480397686544762</v>
      </c>
      <c r="M1136" s="12">
        <f t="shared" ca="1" si="110"/>
        <v>0.10633484630512367</v>
      </c>
      <c r="N1136" s="13">
        <f t="shared" ca="1" si="106"/>
        <v>-18.213355455170216</v>
      </c>
      <c r="O1136" s="13">
        <f t="shared" ca="1" si="107"/>
        <v>-62.321719688438456</v>
      </c>
      <c r="P1136" s="12">
        <f t="shared" ca="1" si="111"/>
        <v>2.1287381139826516</v>
      </c>
    </row>
    <row r="1137" spans="1:16" x14ac:dyDescent="0.25">
      <c r="A1137">
        <v>26</v>
      </c>
      <c r="B1137">
        <v>37</v>
      </c>
      <c r="C1137" s="2" t="s">
        <v>25</v>
      </c>
      <c r="D1137" s="2" t="s">
        <v>36</v>
      </c>
      <c r="E1137" s="11" cm="1">
        <f t="array" aca="1" ref="E1137" ca="1">INDEX('OD flujo mercancia multimodal'!E$45:E$1645,MATCH(C1137&amp;D1137,'OD flujo mercancia multimodal'!C$45:C$1645&amp;'OD flujo mercancia multimodal'!D$45:D$1645,0))</f>
        <v>11308.153846153891</v>
      </c>
      <c r="F1137" s="11" cm="1">
        <f t="array" aca="1" ref="F1137" ca="1">INDEX('OD flujo mercancia carretera'!E$45:E$1646,MATCH(C1137&amp;D1137,'OD flujo mercancia carretera'!C$45:C$1646&amp;'OD flujo mercancia carretera'!D$45:D$1646,0))</f>
        <v>133450.42673992671</v>
      </c>
      <c r="G1137" s="11" cm="1">
        <f t="array" aca="1" ref="G1137" ca="1">INDEX('Coste Carretera'!E$46:E$1646,MATCH(C1137&amp;D1137,'Coste Carretera'!C$46:C$1646&amp;'Coste Carretera'!D$46:D$1646,0))</f>
        <v>301971351.35999978</v>
      </c>
      <c r="H1137" s="11" cm="1">
        <f t="array" aca="1" ref="H1137" ca="1">INDEX('Coste multimodal'!E$46:E$1646,MATCH(C1137&amp;D1137,'Coste multimodal'!C$46:C$1646&amp;'Coste multimodal'!D$46:D$1646,0))</f>
        <v>293792505.78406751</v>
      </c>
      <c r="I1137" s="12" cm="1">
        <f t="array" aca="1" ref="I1137" ca="1">INDEX('Tiempos intermodal (horas)'!E$45:E$1645,MATCH(C1137&amp;D1137,'Tiempos intermodal (horas)'!C$45:C$1645&amp;'Tiempos intermodal (horas)'!D$45:D$1645,0))</f>
        <v>74.19172028962555</v>
      </c>
      <c r="J1137" s="2" cm="1">
        <f t="array" aca="1" ref="J1137" ca="1">INDEX('Tiempos carretera (horas)'!E$45:E$1645,MATCH(C1137&amp;D1137,'Tiempos carretera (horas)'!C$45:C$1645&amp;'Tiempos carretera (horas)'!D$45:D$1645,0))</f>
        <v>11.73</v>
      </c>
      <c r="K1137" s="12">
        <f t="shared" ca="1" si="108"/>
        <v>2.2627979448015787</v>
      </c>
      <c r="L1137" s="12">
        <f t="shared" ca="1" si="109"/>
        <v>25.980589739145767</v>
      </c>
      <c r="M1137" s="12">
        <f t="shared" ca="1" si="110"/>
        <v>7.8117330249929492E-2</v>
      </c>
      <c r="N1137" s="13">
        <f t="shared" ca="1" si="106"/>
        <v>-23.717791794344187</v>
      </c>
      <c r="O1137" s="13">
        <f t="shared" ca="1" si="107"/>
        <v>-62.461720289625546</v>
      </c>
      <c r="P1137" s="12">
        <f t="shared" ca="1" si="111"/>
        <v>2.4682060287860677</v>
      </c>
    </row>
    <row r="1138" spans="1:16" x14ac:dyDescent="0.25">
      <c r="A1138">
        <v>37</v>
      </c>
      <c r="B1138">
        <v>26</v>
      </c>
      <c r="C1138" s="2" t="s">
        <v>36</v>
      </c>
      <c r="D1138" s="2" t="s">
        <v>25</v>
      </c>
      <c r="E1138" s="11" cm="1">
        <f t="array" aca="1" ref="E1138" ca="1">INDEX('OD flujo mercancia multimodal'!E$45:E$1645,MATCH(C1138&amp;D1138,'OD flujo mercancia multimodal'!C$45:C$1645&amp;'OD flujo mercancia multimodal'!D$45:D$1645,0))</f>
        <v>9865.9230769230744</v>
      </c>
      <c r="F1138" s="11" cm="1">
        <f t="array" aca="1" ref="F1138" ca="1">INDEX('OD flujo mercancia carretera'!E$45:E$1646,MATCH(C1138&amp;D1138,'OD flujo mercancia carretera'!C$45:C$1646&amp;'OD flujo mercancia carretera'!D$45:D$1646,0))</f>
        <v>128687.5750915751</v>
      </c>
      <c r="G1138" s="11" cm="1">
        <f t="array" aca="1" ref="G1138" ca="1">INDEX('Coste Carretera'!E$46:E$1646,MATCH(C1138&amp;D1138,'Coste Carretera'!C$46:C$1646&amp;'Coste Carretera'!D$46:D$1646,0))</f>
        <v>393865967.03999984</v>
      </c>
      <c r="H1138" s="11" cm="1">
        <f t="array" aca="1" ref="H1138" ca="1">INDEX('Coste multimodal'!E$46:E$1646,MATCH(C1138&amp;D1138,'Coste multimodal'!C$46:C$1646&amp;'Coste multimodal'!D$46:D$1646,0))</f>
        <v>293792505.78406751</v>
      </c>
      <c r="I1138" s="12" cm="1">
        <f t="array" aca="1" ref="I1138" ca="1">INDEX('Tiempos intermodal (horas)'!E$45:E$1645,MATCH(C1138&amp;D1138,'Tiempos intermodal (horas)'!C$45:C$1645&amp;'Tiempos intermodal (horas)'!D$45:D$1645,0))</f>
        <v>74.19172028962555</v>
      </c>
      <c r="J1138" s="2" cm="1">
        <f t="array" aca="1" ref="J1138" ca="1">INDEX('Tiempos carretera (horas)'!E$45:E$1645,MATCH(C1138&amp;D1138,'Tiempos carretera (horas)'!C$45:C$1645&amp;'Tiempos carretera (horas)'!D$45:D$1645,0))</f>
        <v>11.73</v>
      </c>
      <c r="K1138" s="12">
        <f t="shared" ca="1" si="108"/>
        <v>3.0606371031525126</v>
      </c>
      <c r="L1138" s="12">
        <f t="shared" ca="1" si="109"/>
        <v>29.778511700670364</v>
      </c>
      <c r="M1138" s="12">
        <f t="shared" ca="1" si="110"/>
        <v>7.1206596782745199E-2</v>
      </c>
      <c r="N1138" s="13">
        <f t="shared" ca="1" si="106"/>
        <v>-26.717874597517852</v>
      </c>
      <c r="O1138" s="13">
        <f t="shared" ca="1" si="107"/>
        <v>-62.461720289625546</v>
      </c>
      <c r="P1138" s="12">
        <f t="shared" ca="1" si="111"/>
        <v>2.5683008623100889</v>
      </c>
    </row>
    <row r="1139" spans="1:16" x14ac:dyDescent="0.25">
      <c r="A1139">
        <v>17</v>
      </c>
      <c r="B1139">
        <v>14</v>
      </c>
      <c r="C1139" s="2" t="s">
        <v>16</v>
      </c>
      <c r="D1139" s="2" t="s">
        <v>13</v>
      </c>
      <c r="E1139" s="11" cm="1">
        <f t="array" aca="1" ref="E1139" ca="1">INDEX('OD flujo mercancia multimodal'!E$45:E$1645,MATCH(C1139&amp;D1139,'OD flujo mercancia multimodal'!C$45:C$1645&amp;'OD flujo mercancia multimodal'!D$45:D$1645,0))</f>
        <v>78132.230769230751</v>
      </c>
      <c r="F1139" s="11" cm="1">
        <f t="array" aca="1" ref="F1139" ca="1">INDEX('OD flujo mercancia carretera'!E$45:E$1646,MATCH(C1139&amp;D1139,'OD flujo mercancia carretera'!C$45:C$1646&amp;'OD flujo mercancia carretera'!D$45:D$1646,0))</f>
        <v>699099.53846153826</v>
      </c>
      <c r="G1139" s="11" cm="1">
        <f t="array" aca="1" ref="G1139" ca="1">INDEX('Coste Carretera'!E$46:E$1646,MATCH(C1139&amp;D1139,'Coste Carretera'!C$46:C$1646&amp;'Coste Carretera'!D$46:D$1646,0))</f>
        <v>3319735350.8399987</v>
      </c>
      <c r="H1139" s="11" cm="1">
        <f t="array" aca="1" ref="H1139" ca="1">INDEX('Coste multimodal'!E$46:E$1646,MATCH(C1139&amp;D1139,'Coste multimodal'!C$46:C$1646&amp;'Coste multimodal'!D$46:D$1646,0))</f>
        <v>864674557.60680699</v>
      </c>
      <c r="I1139" s="12" cm="1">
        <f t="array" aca="1" ref="I1139" ca="1">INDEX('Tiempos intermodal (horas)'!E$45:E$1645,MATCH(C1139&amp;D1139,'Tiempos intermodal (horas)'!C$45:C$1645&amp;'Tiempos intermodal (horas)'!D$45:D$1645,0))</f>
        <v>70.535505064634947</v>
      </c>
      <c r="J1139" s="2" cm="1">
        <f t="array" aca="1" ref="J1139" ca="1">INDEX('Tiempos carretera (horas)'!E$45:E$1645,MATCH(C1139&amp;D1139,'Tiempos carretera (horas)'!C$45:C$1645&amp;'Tiempos carretera (horas)'!D$45:D$1645,0))</f>
        <v>8.0299999999999994</v>
      </c>
      <c r="K1139" s="12">
        <f t="shared" ca="1" si="108"/>
        <v>4.748587530390191</v>
      </c>
      <c r="L1139" s="12">
        <f t="shared" ca="1" si="109"/>
        <v>11.066810061531283</v>
      </c>
      <c r="M1139" s="12">
        <f t="shared" ca="1" si="110"/>
        <v>0.10052629583908888</v>
      </c>
      <c r="N1139" s="13">
        <f t="shared" ca="1" si="106"/>
        <v>-6.3182225311410924</v>
      </c>
      <c r="O1139" s="13">
        <f t="shared" ca="1" si="107"/>
        <v>-62.505505064634946</v>
      </c>
      <c r="P1139" s="12">
        <f t="shared" ca="1" si="111"/>
        <v>2.1913904757083706</v>
      </c>
    </row>
    <row r="1140" spans="1:16" x14ac:dyDescent="0.25">
      <c r="A1140">
        <v>14</v>
      </c>
      <c r="B1140">
        <v>17</v>
      </c>
      <c r="C1140" s="2" t="s">
        <v>13</v>
      </c>
      <c r="D1140" s="2" t="s">
        <v>16</v>
      </c>
      <c r="E1140" s="11" cm="1">
        <f t="array" aca="1" ref="E1140" ca="1">INDEX('OD flujo mercancia multimodal'!E$45:E$1645,MATCH(C1140&amp;D1140,'OD flujo mercancia multimodal'!C$45:C$1645&amp;'OD flujo mercancia multimodal'!D$45:D$1645,0))</f>
        <v>76024.384615384624</v>
      </c>
      <c r="F1140" s="11" cm="1">
        <f t="array" aca="1" ref="F1140" ca="1">INDEX('OD flujo mercancia carretera'!E$45:E$1646,MATCH(C1140&amp;D1140,'OD flujo mercancia carretera'!C$45:C$1646&amp;'OD flujo mercancia carretera'!D$45:D$1646,0))</f>
        <v>279556.15384615341</v>
      </c>
      <c r="G1140" s="11" cm="1">
        <f t="array" aca="1" ref="G1140" ca="1">INDEX('Coste Carretera'!E$46:E$1646,MATCH(C1140&amp;D1140,'Coste Carretera'!C$46:C$1646&amp;'Coste Carretera'!D$46:D$1646,0))</f>
        <v>3230175750.1199999</v>
      </c>
      <c r="H1140" s="11" cm="1">
        <f t="array" aca="1" ref="H1140" ca="1">INDEX('Coste multimodal'!E$46:E$1646,MATCH(C1140&amp;D1140,'Coste multimodal'!C$46:C$1646&amp;'Coste multimodal'!D$46:D$1646,0))</f>
        <v>864674557.60680699</v>
      </c>
      <c r="I1140" s="12" cm="1">
        <f t="array" aca="1" ref="I1140" ca="1">INDEX('Tiempos intermodal (horas)'!E$45:E$1645,MATCH(C1140&amp;D1140,'Tiempos intermodal (horas)'!C$45:C$1645&amp;'Tiempos intermodal (horas)'!D$45:D$1645,0))</f>
        <v>70.535505064634947</v>
      </c>
      <c r="J1140" s="2" cm="1">
        <f t="array" aca="1" ref="J1140" ca="1">INDEX('Tiempos carretera (horas)'!E$45:E$1645,MATCH(C1140&amp;D1140,'Tiempos carretera (horas)'!C$45:C$1645&amp;'Tiempos carretera (horas)'!D$45:D$1645,0))</f>
        <v>8.0299999999999994</v>
      </c>
      <c r="K1140" s="12">
        <f t="shared" ca="1" si="108"/>
        <v>11.554658002261846</v>
      </c>
      <c r="L1140" s="12">
        <f t="shared" ca="1" si="109"/>
        <v>11.373647573489569</v>
      </c>
      <c r="M1140" s="12">
        <f t="shared" ca="1" si="110"/>
        <v>0.21380355894704831</v>
      </c>
      <c r="N1140" s="13">
        <f t="shared" ca="1" si="106"/>
        <v>0.18101042877227691</v>
      </c>
      <c r="O1140" s="13">
        <f t="shared" ca="1" si="107"/>
        <v>-62.505505064634946</v>
      </c>
      <c r="P1140" s="12">
        <f t="shared" ca="1" si="111"/>
        <v>1.3021490416036776</v>
      </c>
    </row>
    <row r="1141" spans="1:16" x14ac:dyDescent="0.25">
      <c r="A1141">
        <v>36</v>
      </c>
      <c r="B1141">
        <v>41</v>
      </c>
      <c r="C1141" s="2" t="s">
        <v>35</v>
      </c>
      <c r="D1141" s="2" t="s">
        <v>40</v>
      </c>
      <c r="E1141" s="11" cm="1">
        <f t="array" aca="1" ref="E1141" ca="1">INDEX('OD flujo mercancia multimodal'!E$45:E$1645,MATCH(C1141&amp;D1141,'OD flujo mercancia multimodal'!C$45:C$1645&amp;'OD flujo mercancia multimodal'!D$45:D$1645,0))</f>
        <v>24190.923076923071</v>
      </c>
      <c r="F1141" s="11" cm="1">
        <f t="array" aca="1" ref="F1141" ca="1">INDEX('OD flujo mercancia carretera'!E$45:E$1646,MATCH(C1141&amp;D1141,'OD flujo mercancia carretera'!C$45:C$1646&amp;'OD flujo mercancia carretera'!D$45:D$1646,0))</f>
        <v>113404.41575091578</v>
      </c>
      <c r="G1141" s="11" cm="1">
        <f t="array" aca="1" ref="G1141" ca="1">INDEX('Coste Carretera'!E$46:E$1646,MATCH(C1141&amp;D1141,'Coste Carretera'!C$46:C$1646&amp;'Coste Carretera'!D$46:D$1646,0))</f>
        <v>2189094139.3999996</v>
      </c>
      <c r="H1141" s="11" cm="1">
        <f t="array" aca="1" ref="H1141" ca="1">INDEX('Coste multimodal'!E$46:E$1646,MATCH(C1141&amp;D1141,'Coste multimodal'!C$46:C$1646&amp;'Coste multimodal'!D$46:D$1646,0))</f>
        <v>624713574.50117266</v>
      </c>
      <c r="I1141" s="12" cm="1">
        <f t="array" aca="1" ref="I1141" ca="1">INDEX('Tiempos intermodal (horas)'!E$45:E$1645,MATCH(C1141&amp;D1141,'Tiempos intermodal (horas)'!C$45:C$1645&amp;'Tiempos intermodal (horas)'!D$45:D$1645,0))</f>
        <v>84.439556065831454</v>
      </c>
      <c r="J1141" s="2" cm="1">
        <f t="array" aca="1" ref="J1141" ca="1">INDEX('Tiempos carretera (horas)'!E$45:E$1645,MATCH(C1141&amp;D1141,'Tiempos carretera (horas)'!C$45:C$1645&amp;'Tiempos carretera (horas)'!D$45:D$1645,0))</f>
        <v>21.92</v>
      </c>
      <c r="K1141" s="12">
        <f t="shared" ca="1" si="108"/>
        <v>19.303429455588212</v>
      </c>
      <c r="L1141" s="12">
        <f t="shared" ca="1" si="109"/>
        <v>25.824296679985647</v>
      </c>
      <c r="M1141" s="12">
        <f t="shared" ca="1" si="110"/>
        <v>0.17581208261125095</v>
      </c>
      <c r="N1141" s="13">
        <f t="shared" ca="1" si="106"/>
        <v>-6.5208672243974348</v>
      </c>
      <c r="O1141" s="13">
        <f t="shared" ca="1" si="107"/>
        <v>-62.519556065831452</v>
      </c>
      <c r="P1141" s="12">
        <f t="shared" ca="1" si="111"/>
        <v>1.5449828468012023</v>
      </c>
    </row>
    <row r="1142" spans="1:16" x14ac:dyDescent="0.25">
      <c r="A1142">
        <v>41</v>
      </c>
      <c r="B1142">
        <v>36</v>
      </c>
      <c r="C1142" s="2" t="s">
        <v>40</v>
      </c>
      <c r="D1142" s="2" t="s">
        <v>35</v>
      </c>
      <c r="E1142" s="11" cm="1">
        <f t="array" aca="1" ref="E1142" ca="1">INDEX('OD flujo mercancia multimodal'!E$45:E$1645,MATCH(C1142&amp;D1142,'OD flujo mercancia multimodal'!C$45:C$1645&amp;'OD flujo mercancia multimodal'!D$45:D$1645,0))</f>
        <v>11398.999999999996</v>
      </c>
      <c r="F1142" s="11" cm="1">
        <f t="array" aca="1" ref="F1142" ca="1">INDEX('OD flujo mercancia carretera'!E$45:E$1646,MATCH(C1142&amp;D1142,'OD flujo mercancia carretera'!C$45:C$1646&amp;'OD flujo mercancia carretera'!D$45:D$1646,0))</f>
        <v>157988.42307692312</v>
      </c>
      <c r="G1142" s="11" cm="1">
        <f t="array" aca="1" ref="G1142" ca="1">INDEX('Coste Carretera'!E$46:E$1646,MATCH(C1142&amp;D1142,'Coste Carretera'!C$46:C$1646&amp;'Coste Carretera'!D$46:D$1646,0))</f>
        <v>2923958879.920002</v>
      </c>
      <c r="H1142" s="11" cm="1">
        <f t="array" aca="1" ref="H1142" ca="1">INDEX('Coste multimodal'!E$46:E$1646,MATCH(C1142&amp;D1142,'Coste multimodal'!C$46:C$1646&amp;'Coste multimodal'!D$46:D$1646,0))</f>
        <v>582107673.49283338</v>
      </c>
      <c r="I1142" s="12" cm="1">
        <f t="array" aca="1" ref="I1142" ca="1">INDEX('Tiempos intermodal (horas)'!E$45:E$1645,MATCH(C1142&amp;D1142,'Tiempos intermodal (horas)'!C$45:C$1645&amp;'Tiempos intermodal (horas)'!D$45:D$1645,0))</f>
        <v>81.374191839104725</v>
      </c>
      <c r="J1142" s="2" cm="1">
        <f t="array" aca="1" ref="J1142" ca="1">INDEX('Tiempos carretera (horas)'!E$45:E$1645,MATCH(C1142&amp;D1142,'Tiempos carretera (horas)'!C$45:C$1645&amp;'Tiempos carretera (horas)'!D$45:D$1645,0))</f>
        <v>21.76</v>
      </c>
      <c r="K1142" s="12">
        <f t="shared" ca="1" si="108"/>
        <v>18.507424930093471</v>
      </c>
      <c r="L1142" s="12">
        <f t="shared" ca="1" si="109"/>
        <v>51.066556144647208</v>
      </c>
      <c r="M1142" s="12">
        <f t="shared" ca="1" si="110"/>
        <v>6.7295433113847072E-2</v>
      </c>
      <c r="N1142" s="13">
        <f t="shared" ca="1" si="106"/>
        <v>-32.559131214553737</v>
      </c>
      <c r="O1142" s="13">
        <f t="shared" ca="1" si="107"/>
        <v>-59.61419183910472</v>
      </c>
      <c r="P1142" s="12">
        <f t="shared" ca="1" si="111"/>
        <v>2.6289961264227824</v>
      </c>
    </row>
    <row r="1143" spans="1:16" x14ac:dyDescent="0.25">
      <c r="A1143">
        <v>16</v>
      </c>
      <c r="B1143">
        <v>11</v>
      </c>
      <c r="C1143" s="2" t="s">
        <v>15</v>
      </c>
      <c r="D1143" s="2" t="s">
        <v>10</v>
      </c>
      <c r="E1143" s="11" cm="1">
        <f t="array" aca="1" ref="E1143" ca="1">INDEX('OD flujo mercancia multimodal'!E$45:E$1645,MATCH(C1143&amp;D1143,'OD flujo mercancia multimodal'!C$45:C$1645&amp;'OD flujo mercancia multimodal'!D$45:D$1645,0))</f>
        <v>56565.846153846142</v>
      </c>
      <c r="F1143" s="11" cm="1">
        <f t="array" aca="1" ref="F1143" ca="1">INDEX('OD flujo mercancia carretera'!E$45:E$1646,MATCH(C1143&amp;D1143,'OD flujo mercancia carretera'!C$45:C$1646&amp;'OD flujo mercancia carretera'!D$45:D$1646,0))</f>
        <v>266728.5384615385</v>
      </c>
      <c r="G1143" s="11" cm="1">
        <f t="array" aca="1" ref="G1143" ca="1">INDEX('Coste Carretera'!E$46:E$1646,MATCH(C1143&amp;D1143,'Coste Carretera'!C$46:C$1646&amp;'Coste Carretera'!D$46:D$1646,0))</f>
        <v>2667812739.5199995</v>
      </c>
      <c r="H1143" s="11" cm="1">
        <f t="array" aca="1" ref="H1143" ca="1">INDEX('Coste multimodal'!E$46:E$1646,MATCH(C1143&amp;D1143,'Coste multimodal'!C$46:C$1646&amp;'Coste multimodal'!D$46:D$1646,0))</f>
        <v>419537536.66761851</v>
      </c>
      <c r="I1143" s="12" cm="1">
        <f t="array" aca="1" ref="I1143" ca="1">INDEX('Tiempos intermodal (horas)'!E$45:E$1645,MATCH(C1143&amp;D1143,'Tiempos intermodal (horas)'!C$45:C$1645&amp;'Tiempos intermodal (horas)'!D$45:D$1645,0))</f>
        <v>69.218133076435819</v>
      </c>
      <c r="J1143" s="2" cm="1">
        <f t="array" aca="1" ref="J1143" ca="1">INDEX('Tiempos carretera (horas)'!E$45:E$1645,MATCH(C1143&amp;D1143,'Tiempos carretera (horas)'!C$45:C$1645&amp;'Tiempos carretera (horas)'!D$45:D$1645,0))</f>
        <v>8.66</v>
      </c>
      <c r="K1143" s="12">
        <f t="shared" ca="1" si="108"/>
        <v>10.001977122161941</v>
      </c>
      <c r="L1143" s="12">
        <f t="shared" ca="1" si="109"/>
        <v>7.4167994504417472</v>
      </c>
      <c r="M1143" s="12">
        <f t="shared" ca="1" si="110"/>
        <v>0.17496699245531636</v>
      </c>
      <c r="N1143" s="13">
        <f t="shared" ca="1" si="106"/>
        <v>2.585177671720194</v>
      </c>
      <c r="O1143" s="13">
        <f t="shared" ca="1" si="107"/>
        <v>-60.558133076435823</v>
      </c>
      <c r="P1143" s="12">
        <f t="shared" ca="1" si="111"/>
        <v>1.5508260530869025</v>
      </c>
    </row>
    <row r="1144" spans="1:16" x14ac:dyDescent="0.25">
      <c r="A1144">
        <v>11</v>
      </c>
      <c r="B1144">
        <v>16</v>
      </c>
      <c r="C1144" s="2" t="s">
        <v>10</v>
      </c>
      <c r="D1144" s="2" t="s">
        <v>15</v>
      </c>
      <c r="E1144" s="11" cm="1">
        <f t="array" aca="1" ref="E1144" ca="1">INDEX('OD flujo mercancia multimodal'!E$45:E$1645,MATCH(C1144&amp;D1144,'OD flujo mercancia multimodal'!C$45:C$1645&amp;'OD flujo mercancia multimodal'!D$45:D$1645,0))</f>
        <v>48105.000000000029</v>
      </c>
      <c r="F1144" s="11" cm="1">
        <f t="array" aca="1" ref="F1144" ca="1">INDEX('OD flujo mercancia carretera'!E$45:E$1646,MATCH(C1144&amp;D1144,'OD flujo mercancia carretera'!C$45:C$1646&amp;'OD flujo mercancia carretera'!D$45:D$1646,0))</f>
        <v>628258.92307692277</v>
      </c>
      <c r="G1144" s="11" cm="1">
        <f t="array" aca="1" ref="G1144" ca="1">INDEX('Coste Carretera'!E$46:E$1646,MATCH(C1144&amp;D1144,'Coste Carretera'!C$46:C$1646&amp;'Coste Carretera'!D$46:D$1646,0))</f>
        <v>2268774190.8000011</v>
      </c>
      <c r="H1144" s="11" cm="1">
        <f t="array" aca="1" ref="H1144" ca="1">INDEX('Coste multimodal'!E$46:E$1646,MATCH(C1144&amp;D1144,'Coste multimodal'!C$46:C$1646&amp;'Coste multimodal'!D$46:D$1646,0))</f>
        <v>419537536.66761851</v>
      </c>
      <c r="I1144" s="12" cm="1">
        <f t="array" aca="1" ref="I1144" ca="1">INDEX('Tiempos intermodal (horas)'!E$45:E$1645,MATCH(C1144&amp;D1144,'Tiempos intermodal (horas)'!C$45:C$1645&amp;'Tiempos intermodal (horas)'!D$45:D$1645,0))</f>
        <v>69.218133076435819</v>
      </c>
      <c r="J1144" s="2" cm="1">
        <f t="array" aca="1" ref="J1144" ca="1">INDEX('Tiempos carretera (horas)'!E$45:E$1645,MATCH(C1144&amp;D1144,'Tiempos carretera (horas)'!C$45:C$1645&amp;'Tiempos carretera (horas)'!D$45:D$1645,0))</f>
        <v>8.66</v>
      </c>
      <c r="K1144" s="12">
        <f t="shared" ca="1" si="108"/>
        <v>3.6112088622451877</v>
      </c>
      <c r="L1144" s="12">
        <f t="shared" ca="1" si="109"/>
        <v>8.7212875307684907</v>
      </c>
      <c r="M1144" s="12">
        <f t="shared" ca="1" si="110"/>
        <v>7.1122953721659471E-2</v>
      </c>
      <c r="N1144" s="13">
        <f t="shared" ca="1" si="106"/>
        <v>-5.1100786685233031</v>
      </c>
      <c r="O1144" s="13">
        <f t="shared" ca="1" si="107"/>
        <v>-60.558133076435823</v>
      </c>
      <c r="P1144" s="12">
        <f t="shared" ca="1" si="111"/>
        <v>2.5695662575767377</v>
      </c>
    </row>
    <row r="1145" spans="1:16" x14ac:dyDescent="0.25">
      <c r="A1145">
        <v>13</v>
      </c>
      <c r="B1145">
        <v>17</v>
      </c>
      <c r="C1145" s="2" t="s">
        <v>12</v>
      </c>
      <c r="D1145" s="2" t="s">
        <v>16</v>
      </c>
      <c r="E1145" s="11" cm="1">
        <f t="array" aca="1" ref="E1145" ca="1">INDEX('OD flujo mercancia multimodal'!E$45:E$1645,MATCH(C1145&amp;D1145,'OD flujo mercancia multimodal'!C$45:C$1645&amp;'OD flujo mercancia multimodal'!D$45:D$1645,0))</f>
        <v>66279.153846153858</v>
      </c>
      <c r="F1145" s="11" cm="1">
        <f t="array" aca="1" ref="F1145" ca="1">INDEX('OD flujo mercancia carretera'!E$45:E$1646,MATCH(C1145&amp;D1145,'OD flujo mercancia carretera'!C$45:C$1646&amp;'OD flujo mercancia carretera'!D$45:D$1646,0))</f>
        <v>198508.84615384569</v>
      </c>
      <c r="G1145" s="11" cm="1">
        <f t="array" aca="1" ref="G1145" ca="1">INDEX('Coste Carretera'!E$46:E$1646,MATCH(C1145&amp;D1145,'Coste Carretera'!C$46:C$1646&amp;'Coste Carretera'!D$46:D$1646,0))</f>
        <v>2955353004.8399997</v>
      </c>
      <c r="H1145" s="11" cm="1">
        <f t="array" aca="1" ref="H1145" ca="1">INDEX('Coste multimodal'!E$46:E$1646,MATCH(C1145&amp;D1145,'Coste multimodal'!C$46:C$1646&amp;'Coste multimodal'!D$46:D$1646,0))</f>
        <v>824551682.21480703</v>
      </c>
      <c r="I1145" s="12" cm="1">
        <f t="array" aca="1" ref="I1145" ca="1">INDEX('Tiempos intermodal (horas)'!E$45:E$1645,MATCH(C1145&amp;D1145,'Tiempos intermodal (horas)'!C$45:C$1645&amp;'Tiempos intermodal (horas)'!D$45:D$1645,0))</f>
        <v>71.033282842412717</v>
      </c>
      <c r="J1145" s="2" cm="1">
        <f t="array" aca="1" ref="J1145" ca="1">INDEX('Tiempos carretera (horas)'!E$45:E$1645,MATCH(C1145&amp;D1145,'Tiempos carretera (horas)'!C$45:C$1645&amp;'Tiempos carretera (horas)'!D$45:D$1645,0))</f>
        <v>8.4</v>
      </c>
      <c r="K1145" s="12">
        <f t="shared" ca="1" si="108"/>
        <v>14.887764762632196</v>
      </c>
      <c r="L1145" s="12">
        <f t="shared" ca="1" si="109"/>
        <v>12.440588546569916</v>
      </c>
      <c r="M1145" s="12">
        <f t="shared" ca="1" si="110"/>
        <v>0.25031026272396778</v>
      </c>
      <c r="N1145" s="13">
        <f t="shared" ca="1" si="106"/>
        <v>2.4471762160622799</v>
      </c>
      <c r="O1145" s="13">
        <f t="shared" ca="1" si="107"/>
        <v>-62.633282842412719</v>
      </c>
      <c r="P1145" s="12">
        <f t="shared" ca="1" si="111"/>
        <v>1.0969582380166991</v>
      </c>
    </row>
    <row r="1146" spans="1:16" x14ac:dyDescent="0.25">
      <c r="A1146">
        <v>17</v>
      </c>
      <c r="B1146">
        <v>13</v>
      </c>
      <c r="C1146" s="2" t="s">
        <v>16</v>
      </c>
      <c r="D1146" s="2" t="s">
        <v>12</v>
      </c>
      <c r="E1146" s="11" cm="1">
        <f t="array" aca="1" ref="E1146" ca="1">INDEX('OD flujo mercancia multimodal'!E$45:E$1645,MATCH(C1146&amp;D1146,'OD flujo mercancia multimodal'!C$45:C$1645&amp;'OD flujo mercancia multimodal'!D$45:D$1645,0))</f>
        <v>57507.230769230773</v>
      </c>
      <c r="F1146" s="11" cm="1">
        <f t="array" aca="1" ref="F1146" ca="1">INDEX('OD flujo mercancia carretera'!E$45:E$1646,MATCH(C1146&amp;D1146,'OD flujo mercancia carretera'!C$45:C$1646&amp;'OD flujo mercancia carretera'!D$45:D$1646,0))</f>
        <v>552635.30769230775</v>
      </c>
      <c r="G1146" s="11" cm="1">
        <f t="array" aca="1" ref="G1146" ca="1">INDEX('Coste Carretera'!E$46:E$1646,MATCH(C1146&amp;D1146,'Coste Carretera'!C$46:C$1646&amp;'Coste Carretera'!D$46:D$1646,0))</f>
        <v>2564217516.2399998</v>
      </c>
      <c r="H1146" s="11" cm="1">
        <f t="array" aca="1" ref="H1146" ca="1">INDEX('Coste multimodal'!E$46:E$1646,MATCH(C1146&amp;D1146,'Coste multimodal'!C$46:C$1646&amp;'Coste multimodal'!D$46:D$1646,0))</f>
        <v>824551682.21480703</v>
      </c>
      <c r="I1146" s="12" cm="1">
        <f t="array" aca="1" ref="I1146" ca="1">INDEX('Tiempos intermodal (horas)'!E$45:E$1645,MATCH(C1146&amp;D1146,'Tiempos intermodal (horas)'!C$45:C$1645&amp;'Tiempos intermodal (horas)'!D$45:D$1645,0))</f>
        <v>71.033282842412717</v>
      </c>
      <c r="J1146" s="2" cm="1">
        <f t="array" aca="1" ref="J1146" ca="1">INDEX('Tiempos carretera (horas)'!E$45:E$1645,MATCH(C1146&amp;D1146,'Tiempos carretera (horas)'!C$45:C$1645&amp;'Tiempos carretera (horas)'!D$45:D$1645,0))</f>
        <v>8.4</v>
      </c>
      <c r="K1146" s="12">
        <f t="shared" ca="1" si="108"/>
        <v>4.6399813413074327</v>
      </c>
      <c r="L1146" s="12">
        <f t="shared" ca="1" si="109"/>
        <v>14.338226188001094</v>
      </c>
      <c r="M1146" s="12">
        <f t="shared" ca="1" si="110"/>
        <v>9.425212494482689E-2</v>
      </c>
      <c r="N1146" s="13">
        <f t="shared" ca="1" si="106"/>
        <v>-9.6982448466936617</v>
      </c>
      <c r="O1146" s="13">
        <f t="shared" ca="1" si="107"/>
        <v>-62.633282842412719</v>
      </c>
      <c r="P1146" s="12">
        <f t="shared" ca="1" si="111"/>
        <v>2.2627876118036769</v>
      </c>
    </row>
    <row r="1147" spans="1:16" x14ac:dyDescent="0.25">
      <c r="A1147">
        <v>41</v>
      </c>
      <c r="B1147">
        <v>35</v>
      </c>
      <c r="C1147" s="2" t="s">
        <v>40</v>
      </c>
      <c r="D1147" s="2" t="s">
        <v>34</v>
      </c>
      <c r="E1147" s="11" cm="1">
        <f t="array" aca="1" ref="E1147" ca="1">INDEX('OD flujo mercancia multimodal'!E$45:E$1645,MATCH(C1147&amp;D1147,'OD flujo mercancia multimodal'!C$45:C$1645&amp;'OD flujo mercancia multimodal'!D$45:D$1645,0))</f>
        <v>30774.769230769249</v>
      </c>
      <c r="F1147" s="11" cm="1">
        <f t="array" aca="1" ref="F1147" ca="1">INDEX('OD flujo mercancia carretera'!E$45:E$1646,MATCH(C1147&amp;D1147,'OD flujo mercancia carretera'!C$45:C$1646&amp;'OD flujo mercancia carretera'!D$45:D$1646,0))</f>
        <v>82142.038461538497</v>
      </c>
      <c r="G1147" s="11" cm="1">
        <f t="array" aca="1" ref="G1147" ca="1">INDEX('Coste Carretera'!E$46:E$1646,MATCH(C1147&amp;D1147,'Coste Carretera'!C$46:C$1646&amp;'Coste Carretera'!D$46:D$1646,0))</f>
        <v>34571686380.560028</v>
      </c>
      <c r="H1147" s="11" cm="1">
        <f t="array" aca="1" ref="H1147" ca="1">INDEX('Coste multimodal'!E$46:E$1646,MATCH(C1147&amp;D1147,'Coste multimodal'!C$46:C$1646&amp;'Coste multimodal'!D$46:D$1646,0))</f>
        <v>1052076246.2883762</v>
      </c>
      <c r="I1147" s="12" cm="1">
        <f t="array" aca="1" ref="I1147" ca="1">INDEX('Tiempos intermodal (horas)'!E$45:E$1645,MATCH(C1147&amp;D1147,'Tiempos intermodal (horas)'!C$45:C$1645&amp;'Tiempos intermodal (horas)'!D$45:D$1645,0))</f>
        <v>81.557867350553678</v>
      </c>
      <c r="J1147" s="2" cm="1">
        <f t="array" aca="1" ref="J1147" ca="1">INDEX('Tiempos carretera (horas)'!E$45:E$1645,MATCH(C1147&amp;D1147,'Tiempos carretera (horas)'!C$45:C$1645&amp;'Tiempos carretera (horas)'!D$45:D$1645,0))</f>
        <v>22.42</v>
      </c>
      <c r="K1147" s="12">
        <f t="shared" ca="1" si="108"/>
        <v>420.87689845617342</v>
      </c>
      <c r="L1147" s="12">
        <f t="shared" ca="1" si="109"/>
        <v>34.186324465968333</v>
      </c>
      <c r="M1147" s="12">
        <f t="shared" ca="1" si="110"/>
        <v>0.27254374135893789</v>
      </c>
      <c r="N1147" s="13">
        <f t="shared" ca="1" si="106"/>
        <v>386.69057399020511</v>
      </c>
      <c r="O1147" s="13">
        <f t="shared" ca="1" si="107"/>
        <v>-59.137867350553677</v>
      </c>
      <c r="P1147" s="12">
        <f t="shared" ca="1" si="111"/>
        <v>0.98175475168879744</v>
      </c>
    </row>
    <row r="1148" spans="1:16" x14ac:dyDescent="0.25">
      <c r="A1148">
        <v>35</v>
      </c>
      <c r="B1148">
        <v>41</v>
      </c>
      <c r="C1148" s="2" t="s">
        <v>34</v>
      </c>
      <c r="D1148" s="2" t="s">
        <v>40</v>
      </c>
      <c r="E1148" s="11" cm="1">
        <f t="array" aca="1" ref="E1148" ca="1">INDEX('OD flujo mercancia multimodal'!E$45:E$1645,MATCH(C1148&amp;D1148,'OD flujo mercancia multimodal'!C$45:C$1645&amp;'OD flujo mercancia multimodal'!D$45:D$1645,0))</f>
        <v>31826.999999999993</v>
      </c>
      <c r="F1148" s="11" cm="1">
        <f t="array" aca="1" ref="F1148" ca="1">INDEX('OD flujo mercancia carretera'!E$45:E$1646,MATCH(C1148&amp;D1148,'OD flujo mercancia carretera'!C$45:C$1646&amp;'OD flujo mercancia carretera'!D$45:D$1646,0))</f>
        <v>34904.877289377313</v>
      </c>
      <c r="G1148" s="11" cm="1">
        <f t="array" aca="1" ref="G1148" ca="1">INDEX('Coste Carretera'!E$46:E$1646,MATCH(C1148&amp;D1148,'Coste Carretera'!C$46:C$1646&amp;'Coste Carretera'!D$46:D$1646,0))</f>
        <v>15394602022.200001</v>
      </c>
      <c r="H1148" s="11" cm="1">
        <f t="array" aca="1" ref="H1148" ca="1">INDEX('Coste multimodal'!E$46:E$1646,MATCH(C1148&amp;D1148,'Coste multimodal'!C$46:C$1646&amp;'Coste multimodal'!D$46:D$1646,0))</f>
        <v>1205994200.4060655</v>
      </c>
      <c r="I1148" s="12" cm="1">
        <f t="array" aca="1" ref="I1148" ca="1">INDEX('Tiempos intermodal (horas)'!E$45:E$1645,MATCH(C1148&amp;D1148,'Tiempos intermodal (horas)'!C$45:C$1645&amp;'Tiempos intermodal (horas)'!D$45:D$1645,0))</f>
        <v>85.21019159980294</v>
      </c>
      <c r="J1148" s="2" cm="1">
        <f t="array" aca="1" ref="J1148" ca="1">INDEX('Tiempos carretera (horas)'!E$45:E$1645,MATCH(C1148&amp;D1148,'Tiempos carretera (horas)'!C$45:C$1645&amp;'Tiempos carretera (horas)'!D$45:D$1645,0))</f>
        <v>22.5</v>
      </c>
      <c r="K1148" s="12">
        <f t="shared" ca="1" si="108"/>
        <v>441.04443899262981</v>
      </c>
      <c r="L1148" s="12">
        <f t="shared" ca="1" si="109"/>
        <v>37.892173324726357</v>
      </c>
      <c r="M1148" s="12">
        <f t="shared" ca="1" si="110"/>
        <v>0.47693847817265539</v>
      </c>
      <c r="N1148" s="13">
        <f t="shared" ca="1" si="106"/>
        <v>403.15226566790346</v>
      </c>
      <c r="O1148" s="13">
        <f t="shared" ca="1" si="107"/>
        <v>-62.71019159980294</v>
      </c>
      <c r="P1148" s="12">
        <f t="shared" ca="1" si="111"/>
        <v>9.2311583710915537E-2</v>
      </c>
    </row>
    <row r="1149" spans="1:16" x14ac:dyDescent="0.25">
      <c r="A1149">
        <v>38</v>
      </c>
      <c r="B1149">
        <v>10</v>
      </c>
      <c r="C1149" s="2" t="s">
        <v>37</v>
      </c>
      <c r="D1149" s="2" t="s">
        <v>9</v>
      </c>
      <c r="E1149" s="11" cm="1">
        <f t="array" aca="1" ref="E1149" ca="1">INDEX('OD flujo mercancia multimodal'!E$45:E$1645,MATCH(C1149&amp;D1149,'OD flujo mercancia multimodal'!C$45:C$1645&amp;'OD flujo mercancia multimodal'!D$45:D$1645,0))</f>
        <v>21102.214285714301</v>
      </c>
      <c r="F1149" s="11" cm="1">
        <f t="array" aca="1" ref="F1149" ca="1">INDEX('OD flujo mercancia carretera'!E$45:E$1646,MATCH(C1149&amp;D1149,'OD flujo mercancia carretera'!C$45:C$1646&amp;'OD flujo mercancia carretera'!D$45:D$1646,0))</f>
        <v>99891.615384615419</v>
      </c>
      <c r="G1149" s="11" cm="1">
        <f t="array" aca="1" ref="G1149" ca="1">INDEX('Coste Carretera'!E$46:E$1646,MATCH(C1149&amp;D1149,'Coste Carretera'!C$46:C$1646&amp;'Coste Carretera'!D$46:D$1646,0))</f>
        <v>4050566727.0600028</v>
      </c>
      <c r="H1149" s="11" cm="1">
        <f t="array" aca="1" ref="H1149" ca="1">INDEX('Coste multimodal'!E$46:E$1646,MATCH(C1149&amp;D1149,'Coste multimodal'!C$46:C$1646&amp;'Coste multimodal'!D$46:D$1646,0))</f>
        <v>388149601.27482909</v>
      </c>
      <c r="I1149" s="12" cm="1">
        <f t="array" aca="1" ref="I1149" ca="1">INDEX('Tiempos intermodal (horas)'!E$45:E$1645,MATCH(C1149&amp;D1149,'Tiempos intermodal (horas)'!C$45:C$1645&amp;'Tiempos intermodal (horas)'!D$45:D$1645,0))</f>
        <v>90.778928485125746</v>
      </c>
      <c r="J1149" s="2" cm="1">
        <f t="array" aca="1" ref="J1149" ca="1">INDEX('Tiempos carretera (horas)'!E$45:E$1645,MATCH(C1149&amp;D1149,'Tiempos carretera (horas)'!C$45:C$1645&amp;'Tiempos carretera (horas)'!D$45:D$1645,0))</f>
        <v>28</v>
      </c>
      <c r="K1149" s="12">
        <f t="shared" ca="1" si="108"/>
        <v>40.54961681682687</v>
      </c>
      <c r="L1149" s="12">
        <f t="shared" ca="1" si="109"/>
        <v>18.393785411306204</v>
      </c>
      <c r="M1149" s="12">
        <f t="shared" ca="1" si="110"/>
        <v>0.1744073589802986</v>
      </c>
      <c r="N1149" s="13">
        <f t="shared" ca="1" si="106"/>
        <v>22.155831405520665</v>
      </c>
      <c r="O1149" s="13">
        <f t="shared" ca="1" si="107"/>
        <v>-62.778928485125746</v>
      </c>
      <c r="P1149" s="12">
        <f t="shared" ca="1" si="111"/>
        <v>1.5547077746213898</v>
      </c>
    </row>
    <row r="1150" spans="1:16" x14ac:dyDescent="0.25">
      <c r="A1150">
        <v>10</v>
      </c>
      <c r="B1150">
        <v>38</v>
      </c>
      <c r="C1150" s="2" t="s">
        <v>9</v>
      </c>
      <c r="D1150" s="2" t="s">
        <v>37</v>
      </c>
      <c r="E1150" s="11" cm="1">
        <f t="array" aca="1" ref="E1150" ca="1">INDEX('OD flujo mercancia multimodal'!E$45:E$1645,MATCH(C1150&amp;D1150,'OD flujo mercancia multimodal'!C$45:C$1645&amp;'OD flujo mercancia multimodal'!D$45:D$1645,0))</f>
        <v>14158.571428571429</v>
      </c>
      <c r="F1150" s="11" cm="1">
        <f t="array" aca="1" ref="F1150" ca="1">INDEX('OD flujo mercancia carretera'!E$45:E$1646,MATCH(C1150&amp;D1150,'OD flujo mercancia carretera'!C$45:C$1646&amp;'OD flujo mercancia carretera'!D$45:D$1646,0))</f>
        <v>97778.307692307702</v>
      </c>
      <c r="G1150" s="11" cm="1">
        <f t="array" aca="1" ref="G1150" ca="1">INDEX('Coste Carretera'!E$46:E$1646,MATCH(C1150&amp;D1150,'Coste Carretera'!C$46:C$1646&amp;'Coste Carretera'!D$46:D$1646,0))</f>
        <v>3672959794.5600066</v>
      </c>
      <c r="H1150" s="11" cm="1">
        <f t="array" aca="1" ref="H1150" ca="1">INDEX('Coste multimodal'!E$46:E$1646,MATCH(C1150&amp;D1150,'Coste multimodal'!C$46:C$1646&amp;'Coste multimodal'!D$46:D$1646,0))</f>
        <v>388149601.27482909</v>
      </c>
      <c r="I1150" s="12" cm="1">
        <f t="array" aca="1" ref="I1150" ca="1">INDEX('Tiempos intermodal (horas)'!E$45:E$1645,MATCH(C1150&amp;D1150,'Tiempos intermodal (horas)'!C$45:C$1645&amp;'Tiempos intermodal (horas)'!D$45:D$1645,0))</f>
        <v>90.778928485125746</v>
      </c>
      <c r="J1150" s="2" cm="1">
        <f t="array" aca="1" ref="J1150" ca="1">INDEX('Tiempos carretera (horas)'!E$45:E$1645,MATCH(C1150&amp;D1150,'Tiempos carretera (horas)'!C$45:C$1645&amp;'Tiempos carretera (horas)'!D$45:D$1645,0))</f>
        <v>28</v>
      </c>
      <c r="K1150" s="12">
        <f t="shared" ca="1" si="108"/>
        <v>37.564157953297872</v>
      </c>
      <c r="L1150" s="12">
        <f t="shared" ca="1" si="109"/>
        <v>27.414460790271452</v>
      </c>
      <c r="M1150" s="12">
        <f t="shared" ca="1" si="110"/>
        <v>0.12648710183604259</v>
      </c>
      <c r="N1150" s="13">
        <f t="shared" ca="1" si="106"/>
        <v>10.149697163026421</v>
      </c>
      <c r="O1150" s="13">
        <f t="shared" ca="1" si="107"/>
        <v>-62.778928485125746</v>
      </c>
      <c r="P1150" s="12">
        <f t="shared" ca="1" si="111"/>
        <v>1.9323825543384627</v>
      </c>
    </row>
    <row r="1151" spans="1:16" x14ac:dyDescent="0.25">
      <c r="A1151">
        <v>5</v>
      </c>
      <c r="B1151">
        <v>38</v>
      </c>
      <c r="C1151" s="2" t="s">
        <v>4</v>
      </c>
      <c r="D1151" s="2" t="s">
        <v>37</v>
      </c>
      <c r="E1151" s="11" cm="1">
        <f t="array" aca="1" ref="E1151" ca="1">INDEX('OD flujo mercancia multimodal'!E$45:E$1645,MATCH(C1151&amp;D1151,'OD flujo mercancia multimodal'!C$45:C$1645&amp;'OD flujo mercancia multimodal'!D$45:D$1645,0))</f>
        <v>46650.071428571428</v>
      </c>
      <c r="F1151" s="11" cm="1">
        <f t="array" aca="1" ref="F1151" ca="1">INDEX('OD flujo mercancia carretera'!E$45:E$1646,MATCH(C1151&amp;D1151,'OD flujo mercancia carretera'!C$45:C$1646&amp;'OD flujo mercancia carretera'!D$45:D$1646,0))</f>
        <v>72375.461538461546</v>
      </c>
      <c r="G1151" s="11" cm="1">
        <f t="array" aca="1" ref="G1151" ca="1">INDEX('Coste Carretera'!E$46:E$1646,MATCH(C1151&amp;D1151,'Coste Carretera'!C$46:C$1646&amp;'Coste Carretera'!D$46:D$1646,0))</f>
        <v>8427701035.6542931</v>
      </c>
      <c r="H1151" s="11" cm="1">
        <f t="array" aca="1" ref="H1151" ca="1">INDEX('Coste multimodal'!E$46:E$1646,MATCH(C1151&amp;D1151,'Coste multimodal'!C$46:C$1646&amp;'Coste multimodal'!D$46:D$1646,0))</f>
        <v>340813824.21482909</v>
      </c>
      <c r="I1151" s="12" cm="1">
        <f t="array" aca="1" ref="I1151" ca="1">INDEX('Tiempos intermodal (horas)'!E$45:E$1645,MATCH(C1151&amp;D1151,'Tiempos intermodal (horas)'!C$45:C$1645&amp;'Tiempos intermodal (horas)'!D$45:D$1645,0))</f>
        <v>89.791150707347967</v>
      </c>
      <c r="J1151" s="2" cm="1">
        <f t="array" aca="1" ref="J1151" ca="1">INDEX('Tiempos carretera (horas)'!E$45:E$1645,MATCH(C1151&amp;D1151,'Tiempos carretera (horas)'!C$45:C$1645&amp;'Tiempos carretera (horas)'!D$45:D$1645,0))</f>
        <v>27</v>
      </c>
      <c r="K1151" s="12">
        <f t="shared" ca="1" si="108"/>
        <v>116.44417674871295</v>
      </c>
      <c r="L1151" s="12">
        <f t="shared" ca="1" si="109"/>
        <v>7.30575139068476</v>
      </c>
      <c r="M1151" s="12">
        <f t="shared" ca="1" si="110"/>
        <v>0.39193331267411591</v>
      </c>
      <c r="N1151" s="13">
        <f t="shared" ca="1" si="106"/>
        <v>109.13842535802819</v>
      </c>
      <c r="O1151" s="13">
        <f t="shared" ca="1" si="107"/>
        <v>-62.791150707347967</v>
      </c>
      <c r="P1151" s="12">
        <f t="shared" ca="1" si="111"/>
        <v>0.43919285446420459</v>
      </c>
    </row>
    <row r="1152" spans="1:16" x14ac:dyDescent="0.25">
      <c r="A1152">
        <v>9</v>
      </c>
      <c r="B1152">
        <v>38</v>
      </c>
      <c r="C1152" s="2" t="s">
        <v>148</v>
      </c>
      <c r="D1152" s="2" t="s">
        <v>37</v>
      </c>
      <c r="E1152" s="11" cm="1">
        <f t="array" aca="1" ref="E1152" ca="1">INDEX('OD flujo mercancia multimodal'!E$45:E$1645,MATCH(C1152&amp;D1152,'OD flujo mercancia multimodal'!C$45:C$1645&amp;'OD flujo mercancia multimodal'!D$45:D$1645,0))</f>
        <v>1024.5</v>
      </c>
      <c r="F1152" s="11" cm="1">
        <f t="array" aca="1" ref="F1152" ca="1">INDEX('OD flujo mercancia carretera'!E$45:E$1646,MATCH(C1152&amp;D1152,'OD flujo mercancia carretera'!C$45:C$1646&amp;'OD flujo mercancia carretera'!D$45:D$1646,0))</f>
        <v>582285.68162393174</v>
      </c>
      <c r="G1152" s="11" cm="1">
        <f t="array" aca="1" ref="G1152" ca="1">INDEX('Coste Carretera'!E$46:E$1646,MATCH(C1152&amp;D1152,'Coste Carretera'!C$46:C$1646&amp;'Coste Carretera'!D$46:D$1646,0))</f>
        <v>1449375532.8000062</v>
      </c>
      <c r="H1152" s="11" cm="1">
        <f t="array" aca="1" ref="H1152" ca="1">INDEX('Coste multimodal'!E$46:E$1646,MATCH(C1152&amp;D1152,'Coste multimodal'!C$46:C$1646&amp;'Coste multimodal'!D$46:D$1646,0))</f>
        <v>480816029.93717259</v>
      </c>
      <c r="I1152" s="12" cm="1">
        <f t="array" aca="1" ref="I1152" ca="1">INDEX('Tiempos intermodal (horas)'!E$45:E$1645,MATCH(C1152&amp;D1152,'Tiempos intermodal (horas)'!C$45:C$1645&amp;'Tiempos intermodal (horas)'!D$45:D$1645,0))</f>
        <v>86.880667176942566</v>
      </c>
      <c r="J1152" s="2" cm="1">
        <f t="array" aca="1" ref="J1152" ca="1">INDEX('Tiempos carretera (horas)'!E$45:E$1645,MATCH(C1152&amp;D1152,'Tiempos carretera (horas)'!C$45:C$1645&amp;'Tiempos carretera (horas)'!D$45:D$1645,0))</f>
        <v>24</v>
      </c>
      <c r="K1152" s="12">
        <f t="shared" ca="1" si="108"/>
        <v>2.4891141557145189</v>
      </c>
      <c r="L1152" s="12">
        <f t="shared" ca="1" si="109"/>
        <v>469.31774518025634</v>
      </c>
      <c r="M1152" s="12">
        <f t="shared" ca="1" si="110"/>
        <v>1.7563554216519909E-3</v>
      </c>
      <c r="N1152" s="13">
        <f t="shared" ref="N1152:N1215" ca="1" si="112">K1152-L1152</f>
        <v>-466.82863102454183</v>
      </c>
      <c r="O1152" s="13">
        <f t="shared" ref="O1152:O1215" ca="1" si="113">J1152-I1152</f>
        <v>-62.880667176942566</v>
      </c>
      <c r="P1152" s="12">
        <f t="shared" ca="1" si="111"/>
        <v>6.3427565004981181</v>
      </c>
    </row>
    <row r="1153" spans="1:16" x14ac:dyDescent="0.25">
      <c r="A1153">
        <v>38</v>
      </c>
      <c r="B1153">
        <v>9</v>
      </c>
      <c r="C1153" s="2" t="s">
        <v>37</v>
      </c>
      <c r="D1153" s="2" t="s">
        <v>148</v>
      </c>
      <c r="E1153" s="11" cm="1">
        <f t="array" aca="1" ref="E1153" ca="1">INDEX('OD flujo mercancia multimodal'!E$45:E$1645,MATCH(C1153&amp;D1153,'OD flujo mercancia multimodal'!C$45:C$1645&amp;'OD flujo mercancia multimodal'!D$45:D$1645,0))</f>
        <v>619.45454545454504</v>
      </c>
      <c r="F1153" s="11" cm="1">
        <f t="array" aca="1" ref="F1153" ca="1">INDEX('OD flujo mercancia carretera'!E$45:E$1646,MATCH(C1153&amp;D1153,'OD flujo mercancia carretera'!C$45:C$1646&amp;'OD flujo mercancia carretera'!D$45:D$1646,0))</f>
        <v>575515.31410256424</v>
      </c>
      <c r="G1153" s="11" cm="1">
        <f t="array" aca="1" ref="G1153" ca="1">INDEX('Coste Carretera'!E$46:E$1646,MATCH(C1153&amp;D1153,'Coste Carretera'!C$46:C$1646&amp;'Coste Carretera'!D$46:D$1646,0))</f>
        <v>812050718.48727262</v>
      </c>
      <c r="H1153" s="11" cm="1">
        <f t="array" aca="1" ref="H1153" ca="1">INDEX('Coste multimodal'!E$46:E$1646,MATCH(C1153&amp;D1153,'Coste multimodal'!C$46:C$1646&amp;'Coste multimodal'!D$46:D$1646,0))</f>
        <v>480816029.93717259</v>
      </c>
      <c r="I1153" s="12" cm="1">
        <f t="array" aca="1" ref="I1153" ca="1">INDEX('Tiempos intermodal (horas)'!E$45:E$1645,MATCH(C1153&amp;D1153,'Tiempos intermodal (horas)'!C$45:C$1645&amp;'Tiempos intermodal (horas)'!D$45:D$1645,0))</f>
        <v>86.880667176942566</v>
      </c>
      <c r="J1153" s="2" cm="1">
        <f t="array" aca="1" ref="J1153" ca="1">INDEX('Tiempos carretera (horas)'!E$45:E$1645,MATCH(C1153&amp;D1153,'Tiempos carretera (horas)'!C$45:C$1645&amp;'Tiempos carretera (horas)'!D$45:D$1645,0))</f>
        <v>24</v>
      </c>
      <c r="K1153" s="12">
        <f t="shared" ca="1" si="108"/>
        <v>1.4109975852746026</v>
      </c>
      <c r="L1153" s="12">
        <f t="shared" ca="1" si="109"/>
        <v>776.19259308906692</v>
      </c>
      <c r="M1153" s="12">
        <f t="shared" ca="1" si="110"/>
        <v>1.0751903533060194E-3</v>
      </c>
      <c r="N1153" s="13">
        <f t="shared" ca="1" si="112"/>
        <v>-774.78159550379235</v>
      </c>
      <c r="O1153" s="13">
        <f t="shared" ca="1" si="113"/>
        <v>-62.880667176942566</v>
      </c>
      <c r="P1153" s="12">
        <f t="shared" ca="1" si="111"/>
        <v>6.8341817914501402</v>
      </c>
    </row>
    <row r="1154" spans="1:16" x14ac:dyDescent="0.25">
      <c r="A1154">
        <v>30</v>
      </c>
      <c r="B1154">
        <v>4</v>
      </c>
      <c r="C1154" s="2" t="s">
        <v>146</v>
      </c>
      <c r="D1154" s="2" t="s">
        <v>3</v>
      </c>
      <c r="E1154" s="11" cm="1">
        <f t="array" aca="1" ref="E1154" ca="1">INDEX('OD flujo mercancia multimodal'!E$45:E$1645,MATCH(C1154&amp;D1154,'OD flujo mercancia multimodal'!C$45:C$1645&amp;'OD flujo mercancia multimodal'!D$45:D$1645,0))</f>
        <v>32975.379120879094</v>
      </c>
      <c r="F1154" s="11" cm="1">
        <f t="array" aca="1" ref="F1154" ca="1">INDEX('OD flujo mercancia carretera'!E$45:E$1646,MATCH(C1154&amp;D1154,'OD flujo mercancia carretera'!C$45:C$1646&amp;'OD flujo mercancia carretera'!D$45:D$1646,0))</f>
        <v>255856.18461538464</v>
      </c>
      <c r="G1154" s="11" cm="1">
        <f t="array" aca="1" ref="G1154" ca="1">INDEX('Coste Carretera'!E$46:E$1646,MATCH(C1154&amp;D1154,'Coste Carretera'!C$46:C$1646&amp;'Coste Carretera'!D$46:D$1646,0))</f>
        <v>1815364273.98857</v>
      </c>
      <c r="H1154" s="11" cm="1">
        <f t="array" aca="1" ref="H1154" ca="1">INDEX('Coste multimodal'!E$46:E$1646,MATCH(C1154&amp;D1154,'Coste multimodal'!C$46:C$1646&amp;'Coste multimodal'!D$46:D$1646,0))</f>
        <v>433114209.16513228</v>
      </c>
      <c r="I1154" s="12" cm="1">
        <f t="array" aca="1" ref="I1154" ca="1">INDEX('Tiempos intermodal (horas)'!E$45:E$1645,MATCH(C1154&amp;D1154,'Tiempos intermodal (horas)'!C$45:C$1645&amp;'Tiempos intermodal (horas)'!D$45:D$1645,0))</f>
        <v>68.043903167816239</v>
      </c>
      <c r="J1154" s="2" cm="1">
        <f t="array" aca="1" ref="J1154" ca="1">INDEX('Tiempos carretera (horas)'!E$45:E$1645,MATCH(C1154&amp;D1154,'Tiempos carretera (horas)'!C$45:C$1645&amp;'Tiempos carretera (horas)'!D$45:D$1645,0))</f>
        <v>13.63</v>
      </c>
      <c r="K1154" s="12">
        <f t="shared" ca="1" si="108"/>
        <v>7.0952526581192989</v>
      </c>
      <c r="L1154" s="12">
        <f t="shared" ca="1" si="109"/>
        <v>13.134472467396026</v>
      </c>
      <c r="M1154" s="12">
        <f t="shared" ca="1" si="110"/>
        <v>0.11416819787393247</v>
      </c>
      <c r="N1154" s="13">
        <f t="shared" ca="1" si="112"/>
        <v>-6.0392198092767275</v>
      </c>
      <c r="O1154" s="13">
        <f t="shared" ca="1" si="113"/>
        <v>-54.413903167816237</v>
      </c>
      <c r="P1154" s="12">
        <f t="shared" ca="1" si="111"/>
        <v>2.04885431201776</v>
      </c>
    </row>
    <row r="1155" spans="1:16" x14ac:dyDescent="0.25">
      <c r="A1155">
        <v>11</v>
      </c>
      <c r="B1155">
        <v>18</v>
      </c>
      <c r="C1155" s="2" t="s">
        <v>10</v>
      </c>
      <c r="D1155" s="2" t="s">
        <v>17</v>
      </c>
      <c r="E1155" s="11" cm="1">
        <f t="array" aca="1" ref="E1155" ca="1">INDEX('OD flujo mercancia multimodal'!E$45:E$1645,MATCH(C1155&amp;D1155,'OD flujo mercancia multimodal'!C$45:C$1645&amp;'OD flujo mercancia multimodal'!D$45:D$1645,0))</f>
        <v>34430.538461538432</v>
      </c>
      <c r="F1155" s="11" cm="1">
        <f t="array" aca="1" ref="F1155" ca="1">INDEX('OD flujo mercancia carretera'!E$45:E$1646,MATCH(C1155&amp;D1155,'OD flujo mercancia carretera'!C$45:C$1646&amp;'OD flujo mercancia carretera'!D$45:D$1646,0))</f>
        <v>150313.61538461538</v>
      </c>
      <c r="G1155" s="11" cm="1">
        <f t="array" aca="1" ref="G1155" ca="1">INDEX('Coste Carretera'!E$46:E$1646,MATCH(C1155&amp;D1155,'Coste Carretera'!C$46:C$1646&amp;'Coste Carretera'!D$46:D$1646,0))</f>
        <v>1708835826.5999985</v>
      </c>
      <c r="H1155" s="11" cm="1">
        <f t="array" aca="1" ref="H1155" ca="1">INDEX('Coste multimodal'!E$46:E$1646,MATCH(C1155&amp;D1155,'Coste multimodal'!C$46:C$1646&amp;'Coste multimodal'!D$46:D$1646,0))</f>
        <v>612827528.96761847</v>
      </c>
      <c r="I1155" s="12" cm="1">
        <f t="array" aca="1" ref="I1155" ca="1">INDEX('Tiempos intermodal (horas)'!E$45:E$1645,MATCH(C1155&amp;D1155,'Tiempos intermodal (horas)'!C$45:C$1645&amp;'Tiempos intermodal (horas)'!D$45:D$1645,0))</f>
        <v>69.683688631991373</v>
      </c>
      <c r="J1155" s="2" cm="1">
        <f t="array" aca="1" ref="J1155" ca="1">INDEX('Tiempos carretera (horas)'!E$45:E$1645,MATCH(C1155&amp;D1155,'Tiempos carretera (horas)'!C$45:C$1645&amp;'Tiempos carretera (horas)'!D$45:D$1645,0))</f>
        <v>8.7799999999999994</v>
      </c>
      <c r="K1155" s="12">
        <f t="shared" ca="1" si="108"/>
        <v>11.368469996729905</v>
      </c>
      <c r="L1155" s="12">
        <f t="shared" ca="1" si="109"/>
        <v>17.79895280035176</v>
      </c>
      <c r="M1155" s="12">
        <f t="shared" ca="1" si="110"/>
        <v>0.18636875779144035</v>
      </c>
      <c r="N1155" s="13">
        <f t="shared" ca="1" si="112"/>
        <v>-6.4304828036218549</v>
      </c>
      <c r="O1155" s="13">
        <f t="shared" ca="1" si="113"/>
        <v>-60.903688631991372</v>
      </c>
      <c r="P1155" s="12">
        <f t="shared" ca="1" si="111"/>
        <v>1.4737799641698359</v>
      </c>
    </row>
    <row r="1156" spans="1:16" x14ac:dyDescent="0.25">
      <c r="A1156">
        <v>18</v>
      </c>
      <c r="B1156">
        <v>11</v>
      </c>
      <c r="C1156" s="2" t="s">
        <v>17</v>
      </c>
      <c r="D1156" s="2" t="s">
        <v>10</v>
      </c>
      <c r="E1156" s="11" cm="1">
        <f t="array" aca="1" ref="E1156" ca="1">INDEX('OD flujo mercancia multimodal'!E$45:E$1645,MATCH(C1156&amp;D1156,'OD flujo mercancia multimodal'!C$45:C$1645&amp;'OD flujo mercancia multimodal'!D$45:D$1645,0))</f>
        <v>27974.999999999985</v>
      </c>
      <c r="F1156" s="11" cm="1">
        <f t="array" aca="1" ref="F1156" ca="1">INDEX('OD flujo mercancia carretera'!E$45:E$1646,MATCH(C1156&amp;D1156,'OD flujo mercancia carretera'!C$45:C$1646&amp;'OD flujo mercancia carretera'!D$45:D$1646,0))</f>
        <v>152881.61538461538</v>
      </c>
      <c r="G1156" s="11" cm="1">
        <f t="array" aca="1" ref="G1156" ca="1">INDEX('Coste Carretera'!E$46:E$1646,MATCH(C1156&amp;D1156,'Coste Carretera'!C$46:C$1646&amp;'Coste Carretera'!D$46:D$1646,0))</f>
        <v>1388438414.999999</v>
      </c>
      <c r="H1156" s="11" cm="1">
        <f t="array" aca="1" ref="H1156" ca="1">INDEX('Coste multimodal'!E$46:E$1646,MATCH(C1156&amp;D1156,'Coste multimodal'!C$46:C$1646&amp;'Coste multimodal'!D$46:D$1646,0))</f>
        <v>612827528.96761847</v>
      </c>
      <c r="I1156" s="12" cm="1">
        <f t="array" aca="1" ref="I1156" ca="1">INDEX('Tiempos intermodal (horas)'!E$45:E$1645,MATCH(C1156&amp;D1156,'Tiempos intermodal (horas)'!C$45:C$1645&amp;'Tiempos intermodal (horas)'!D$45:D$1645,0))</f>
        <v>69.683688631991373</v>
      </c>
      <c r="J1156" s="2" cm="1">
        <f t="array" aca="1" ref="J1156" ca="1">INDEX('Tiempos carretera (horas)'!E$45:E$1645,MATCH(C1156&amp;D1156,'Tiempos carretera (horas)'!C$45:C$1645&amp;'Tiempos carretera (horas)'!D$45:D$1645,0))</f>
        <v>8.7799999999999994</v>
      </c>
      <c r="K1156" s="12">
        <f t="shared" ca="1" si="108"/>
        <v>9.0817879671601052</v>
      </c>
      <c r="L1156" s="12">
        <f t="shared" ca="1" si="109"/>
        <v>21.906256620826408</v>
      </c>
      <c r="M1156" s="12">
        <f t="shared" ca="1" si="110"/>
        <v>0.15468054591482577</v>
      </c>
      <c r="N1156" s="13">
        <f t="shared" ca="1" si="112"/>
        <v>-12.824468653666303</v>
      </c>
      <c r="O1156" s="13">
        <f t="shared" ca="1" si="113"/>
        <v>-60.903688631991372</v>
      </c>
      <c r="P1156" s="12">
        <f t="shared" ca="1" si="111"/>
        <v>1.6983526120349259</v>
      </c>
    </row>
    <row r="1157" spans="1:16" x14ac:dyDescent="0.25">
      <c r="A1157">
        <v>10</v>
      </c>
      <c r="B1157">
        <v>41</v>
      </c>
      <c r="C1157" s="2" t="s">
        <v>9</v>
      </c>
      <c r="D1157" s="2" t="s">
        <v>40</v>
      </c>
      <c r="E1157" s="11" cm="1">
        <f t="array" aca="1" ref="E1157" ca="1">INDEX('OD flujo mercancia multimodal'!E$45:E$1645,MATCH(C1157&amp;D1157,'OD flujo mercancia multimodal'!C$45:C$1645&amp;'OD flujo mercancia multimodal'!D$45:D$1645,0))</f>
        <v>36134.263736263732</v>
      </c>
      <c r="F1157" s="11" cm="1">
        <f t="array" aca="1" ref="F1157" ca="1">INDEX('OD flujo mercancia carretera'!E$45:E$1646,MATCH(C1157&amp;D1157,'OD flujo mercancia carretera'!C$45:C$1646&amp;'OD flujo mercancia carretera'!D$45:D$1646,0))</f>
        <v>111446.41575091578</v>
      </c>
      <c r="G1157" s="11" cm="1">
        <f t="array" aca="1" ref="G1157" ca="1">INDEX('Coste Carretera'!E$46:E$1646,MATCH(C1157&amp;D1157,'Coste Carretera'!C$46:C$1646&amp;'Coste Carretera'!D$46:D$1646,0))</f>
        <v>3351459512.5942855</v>
      </c>
      <c r="H1157" s="11" cm="1">
        <f t="array" aca="1" ref="H1157" ca="1">INDEX('Coste multimodal'!E$46:E$1646,MATCH(C1157&amp;D1157,'Coste multimodal'!C$46:C$1646&amp;'Coste multimodal'!D$46:D$1646,0))</f>
        <v>545115818.23482907</v>
      </c>
      <c r="I1157" s="12" cm="1">
        <f t="array" aca="1" ref="I1157" ca="1">INDEX('Tiempos intermodal (horas)'!E$45:E$1645,MATCH(C1157&amp;D1157,'Tiempos intermodal (horas)'!C$45:C$1645&amp;'Tiempos intermodal (horas)'!D$45:D$1645,0))</f>
        <v>90.178928485125738</v>
      </c>
      <c r="J1157" s="2" cm="1">
        <f t="array" aca="1" ref="J1157" ca="1">INDEX('Tiempos carretera (horas)'!E$45:E$1645,MATCH(C1157&amp;D1157,'Tiempos carretera (horas)'!C$45:C$1645&amp;'Tiempos carretera (horas)'!D$45:D$1645,0))</f>
        <v>27</v>
      </c>
      <c r="K1157" s="12">
        <f t="shared" ca="1" si="108"/>
        <v>30.072384921600726</v>
      </c>
      <c r="L1157" s="12">
        <f t="shared" ca="1" si="109"/>
        <v>15.08584268420447</v>
      </c>
      <c r="M1157" s="12">
        <f t="shared" ca="1" si="110"/>
        <v>0.24484413448850367</v>
      </c>
      <c r="N1157" s="13">
        <f t="shared" ca="1" si="112"/>
        <v>14.986542237396256</v>
      </c>
      <c r="O1157" s="13">
        <f t="shared" ca="1" si="113"/>
        <v>-63.178928485125738</v>
      </c>
      <c r="P1157" s="12">
        <f t="shared" ca="1" si="111"/>
        <v>1.1263023499969158</v>
      </c>
    </row>
    <row r="1158" spans="1:16" x14ac:dyDescent="0.25">
      <c r="A1158">
        <v>41</v>
      </c>
      <c r="B1158">
        <v>10</v>
      </c>
      <c r="C1158" s="2" t="s">
        <v>40</v>
      </c>
      <c r="D1158" s="2" t="s">
        <v>9</v>
      </c>
      <c r="E1158" s="11" cm="1">
        <f t="array" aca="1" ref="E1158" ca="1">INDEX('OD flujo mercancia multimodal'!E$45:E$1645,MATCH(C1158&amp;D1158,'OD flujo mercancia multimodal'!C$45:C$1645&amp;'OD flujo mercancia multimodal'!D$45:D$1645,0))</f>
        <v>28759.368131868148</v>
      </c>
      <c r="F1158" s="11" cm="1">
        <f t="array" aca="1" ref="F1158" ca="1">INDEX('OD flujo mercancia carretera'!E$45:E$1646,MATCH(C1158&amp;D1158,'OD flujo mercancia carretera'!C$45:C$1646&amp;'OD flujo mercancia carretera'!D$45:D$1646,0))</f>
        <v>161171.42307692312</v>
      </c>
      <c r="G1158" s="11" cm="1">
        <f t="array" aca="1" ref="G1158" ca="1">INDEX('Coste Carretera'!E$46:E$1646,MATCH(C1158&amp;D1158,'Coste Carretera'!C$46:C$1646&amp;'Coste Carretera'!D$46:D$1646,0))</f>
        <v>3375042191.3200021</v>
      </c>
      <c r="H1158" s="11" cm="1">
        <f t="array" aca="1" ref="H1158" ca="1">INDEX('Coste multimodal'!E$46:E$1646,MATCH(C1158&amp;D1158,'Coste multimodal'!C$46:C$1646&amp;'Coste multimodal'!D$46:D$1646,0))</f>
        <v>459332327.40181863</v>
      </c>
      <c r="I1158" s="12" cm="1">
        <f t="array" aca="1" ref="I1158" ca="1">INDEX('Tiempos intermodal (horas)'!E$45:E$1645,MATCH(C1158&amp;D1158,'Tiempos intermodal (horas)'!C$45:C$1645&amp;'Tiempos intermodal (horas)'!D$45:D$1645,0))</f>
        <v>89.061918618618606</v>
      </c>
      <c r="J1158" s="2" cm="1">
        <f t="array" aca="1" ref="J1158" ca="1">INDEX('Tiempos carretera (horas)'!E$45:E$1645,MATCH(C1158&amp;D1158,'Tiempos carretera (horas)'!C$45:C$1645&amp;'Tiempos carretera (horas)'!D$45:D$1645,0))</f>
        <v>26</v>
      </c>
      <c r="K1158" s="12">
        <f t="shared" ca="1" si="108"/>
        <v>20.940698585934665</v>
      </c>
      <c r="L1158" s="12">
        <f t="shared" ca="1" si="109"/>
        <v>15.97157229935223</v>
      </c>
      <c r="M1158" s="12">
        <f t="shared" ca="1" si="110"/>
        <v>0.15142025128644321</v>
      </c>
      <c r="N1158" s="13">
        <f t="shared" ca="1" si="112"/>
        <v>4.9691262865824353</v>
      </c>
      <c r="O1158" s="13">
        <f t="shared" ca="1" si="113"/>
        <v>-63.061918618618606</v>
      </c>
      <c r="P1158" s="12">
        <f t="shared" ca="1" si="111"/>
        <v>1.7235049759281105</v>
      </c>
    </row>
    <row r="1159" spans="1:16" x14ac:dyDescent="0.25">
      <c r="A1159">
        <v>5</v>
      </c>
      <c r="B1159">
        <v>41</v>
      </c>
      <c r="C1159" s="2" t="s">
        <v>4</v>
      </c>
      <c r="D1159" s="2" t="s">
        <v>40</v>
      </c>
      <c r="E1159" s="11" cm="1">
        <f t="array" aca="1" ref="E1159" ca="1">INDEX('OD flujo mercancia multimodal'!E$45:E$1645,MATCH(C1159&amp;D1159,'OD flujo mercancia multimodal'!C$45:C$1645&amp;'OD flujo mercancia multimodal'!D$45:D$1645,0))</f>
        <v>68625.763736263732</v>
      </c>
      <c r="F1159" s="11" cm="1">
        <f t="array" aca="1" ref="F1159" ca="1">INDEX('OD flujo mercancia carretera'!E$45:E$1646,MATCH(C1159&amp;D1159,'OD flujo mercancia carretera'!C$45:C$1646&amp;'OD flujo mercancia carretera'!D$45:D$1646,0))</f>
        <v>86043.569597069625</v>
      </c>
      <c r="G1159" s="11" cm="1">
        <f t="array" aca="1" ref="G1159" ca="1">INDEX('Coste Carretera'!E$46:E$1646,MATCH(C1159&amp;D1159,'Coste Carretera'!C$46:C$1646&amp;'Coste Carretera'!D$46:D$1646,0))</f>
        <v>7754272853.0285711</v>
      </c>
      <c r="H1159" s="11" cm="1">
        <f t="array" aca="1" ref="H1159" ca="1">INDEX('Coste multimodal'!E$46:E$1646,MATCH(C1159&amp;D1159,'Coste multimodal'!C$46:C$1646&amp;'Coste multimodal'!D$46:D$1646,0))</f>
        <v>497780041.17482913</v>
      </c>
      <c r="I1159" s="12" cm="1">
        <f t="array" aca="1" ref="I1159" ca="1">INDEX('Tiempos intermodal (horas)'!E$45:E$1645,MATCH(C1159&amp;D1159,'Tiempos intermodal (horas)'!C$45:C$1645&amp;'Tiempos intermodal (horas)'!D$45:D$1645,0))</f>
        <v>89.191150707347973</v>
      </c>
      <c r="J1159" s="2" cm="1">
        <f t="array" aca="1" ref="J1159" ca="1">INDEX('Tiempos carretera (horas)'!E$45:E$1645,MATCH(C1159&amp;D1159,'Tiempos carretera (horas)'!C$45:C$1645&amp;'Tiempos carretera (horas)'!D$45:D$1645,0))</f>
        <v>26</v>
      </c>
      <c r="K1159" s="12">
        <f t="shared" ca="1" si="108"/>
        <v>90.120306367352967</v>
      </c>
      <c r="L1159" s="12">
        <f t="shared" ca="1" si="109"/>
        <v>7.2535446466993339</v>
      </c>
      <c r="M1159" s="12">
        <f t="shared" ca="1" si="110"/>
        <v>0.44369340875327828</v>
      </c>
      <c r="N1159" s="13">
        <f t="shared" ca="1" si="112"/>
        <v>82.866761720653628</v>
      </c>
      <c r="O1159" s="13">
        <f t="shared" ca="1" si="113"/>
        <v>-63.191150707347973</v>
      </c>
      <c r="P1159" s="12">
        <f t="shared" ca="1" si="111"/>
        <v>0.22618576229138176</v>
      </c>
    </row>
    <row r="1160" spans="1:16" x14ac:dyDescent="0.25">
      <c r="A1160">
        <v>24</v>
      </c>
      <c r="B1160">
        <v>4</v>
      </c>
      <c r="C1160" s="2" t="s">
        <v>23</v>
      </c>
      <c r="D1160" s="2" t="s">
        <v>3</v>
      </c>
      <c r="E1160" s="11" cm="1">
        <f t="array" aca="1" ref="E1160" ca="1">INDEX('OD flujo mercancia multimodal'!E$45:E$1645,MATCH(C1160&amp;D1160,'OD flujo mercancia multimodal'!C$45:C$1645&amp;'OD flujo mercancia multimodal'!D$45:D$1645,0))</f>
        <v>34878.532967032937</v>
      </c>
      <c r="F1160" s="11" cm="1">
        <f t="array" aca="1" ref="F1160" ca="1">INDEX('OD flujo mercancia carretera'!E$45:E$1646,MATCH(C1160&amp;D1160,'OD flujo mercancia carretera'!C$45:C$1646&amp;'OD flujo mercancia carretera'!D$45:D$1646,0))</f>
        <v>113139.3846153846</v>
      </c>
      <c r="G1160" s="11" cm="1">
        <f t="array" aca="1" ref="G1160" ca="1">INDEX('Coste Carretera'!E$46:E$1646,MATCH(C1160&amp;D1160,'Coste Carretera'!C$46:C$1646&amp;'Coste Carretera'!D$46:D$1646,0))</f>
        <v>2538903284.2799978</v>
      </c>
      <c r="H1160" s="11" cm="1">
        <f t="array" aca="1" ref="H1160" ca="1">INDEX('Coste multimodal'!E$46:E$1646,MATCH(C1160&amp;D1160,'Coste multimodal'!C$46:C$1646&amp;'Coste multimodal'!D$46:D$1646,0))</f>
        <v>460551120.95713234</v>
      </c>
      <c r="I1160" s="12" cm="1">
        <f t="array" aca="1" ref="I1160" ca="1">INDEX('Tiempos intermodal (horas)'!E$45:E$1645,MATCH(C1160&amp;D1160,'Tiempos intermodal (horas)'!C$45:C$1645&amp;'Tiempos intermodal (horas)'!D$45:D$1645,0))</f>
        <v>68.855014278927356</v>
      </c>
      <c r="J1160" s="2" cm="1">
        <f t="array" aca="1" ref="J1160" ca="1">INDEX('Tiempos carretera (horas)'!E$45:E$1645,MATCH(C1160&amp;D1160,'Tiempos carretera (horas)'!C$45:C$1645&amp;'Tiempos carretera (horas)'!D$45:D$1645,0))</f>
        <v>14.46</v>
      </c>
      <c r="K1160" s="12">
        <f t="shared" ca="1" si="108"/>
        <v>22.440490488002531</v>
      </c>
      <c r="L1160" s="12">
        <f t="shared" ca="1" si="109"/>
        <v>13.204429251437942</v>
      </c>
      <c r="M1160" s="12">
        <f t="shared" ca="1" si="110"/>
        <v>0.23563723592863206</v>
      </c>
      <c r="N1160" s="13">
        <f t="shared" ca="1" si="112"/>
        <v>9.2360612365645895</v>
      </c>
      <c r="O1160" s="13">
        <f t="shared" ca="1" si="113"/>
        <v>-54.395014278927356</v>
      </c>
      <c r="P1160" s="12">
        <f t="shared" ca="1" si="111"/>
        <v>1.176749012032565</v>
      </c>
    </row>
    <row r="1161" spans="1:16" x14ac:dyDescent="0.25">
      <c r="A1161">
        <v>38</v>
      </c>
      <c r="B1161">
        <v>7</v>
      </c>
      <c r="C1161" s="2" t="s">
        <v>37</v>
      </c>
      <c r="D1161" s="2" t="s">
        <v>6</v>
      </c>
      <c r="E1161" s="11" cm="1">
        <f t="array" aca="1" ref="E1161" ca="1">INDEX('OD flujo mercancia multimodal'!E$45:E$1645,MATCH(C1161&amp;D1161,'OD flujo mercancia multimodal'!C$45:C$1645&amp;'OD flujo mercancia multimodal'!D$45:D$1645,0))</f>
        <v>4976.7857142857101</v>
      </c>
      <c r="F1161" s="11" cm="1">
        <f t="array" aca="1" ref="F1161" ca="1">INDEX('OD flujo mercancia carretera'!E$45:E$1646,MATCH(C1161&amp;D1161,'OD flujo mercancia carretera'!C$45:C$1646&amp;'OD flujo mercancia carretera'!D$45:D$1646,0))</f>
        <v>67584.769230769205</v>
      </c>
      <c r="G1161" s="11" cm="1">
        <f t="array" aca="1" ref="G1161" ca="1">INDEX('Coste Carretera'!E$46:E$1646,MATCH(C1161&amp;D1161,'Coste Carretera'!C$46:C$1646&amp;'Coste Carretera'!D$46:D$1646,0))</f>
        <v>1557267902.6571419</v>
      </c>
      <c r="H1161" s="11" cm="1">
        <f t="array" aca="1" ref="H1161" ca="1">INDEX('Coste multimodal'!E$46:E$1646,MATCH(C1161&amp;D1161,'Coste multimodal'!C$46:C$1646&amp;'Coste multimodal'!D$46:D$1646,0))</f>
        <v>321581600.4434005</v>
      </c>
      <c r="I1161" s="12" cm="1">
        <f t="array" aca="1" ref="I1161" ca="1">INDEX('Tiempos intermodal (horas)'!E$45:E$1645,MATCH(C1161&amp;D1161,'Tiempos intermodal (horas)'!C$45:C$1645&amp;'Tiempos intermodal (horas)'!D$45:D$1645,0))</f>
        <v>90.23003959623685</v>
      </c>
      <c r="J1161" s="2" cm="1">
        <f t="array" aca="1" ref="J1161" ca="1">INDEX('Tiempos carretera (horas)'!E$45:E$1645,MATCH(C1161&amp;D1161,'Tiempos carretera (horas)'!C$45:C$1645&amp;'Tiempos carretera (horas)'!D$45:D$1645,0))</f>
        <v>27</v>
      </c>
      <c r="K1161" s="12">
        <f t="shared" ca="1" si="108"/>
        <v>23.041698897274138</v>
      </c>
      <c r="L1161" s="12">
        <f t="shared" ca="1" si="109"/>
        <v>64.616324452208261</v>
      </c>
      <c r="M1161" s="12">
        <f t="shared" ca="1" si="110"/>
        <v>6.8587087446709674E-2</v>
      </c>
      <c r="N1161" s="13">
        <f t="shared" ca="1" si="112"/>
        <v>-41.574625554934123</v>
      </c>
      <c r="O1161" s="13">
        <f t="shared" ca="1" si="113"/>
        <v>-63.23003959623685</v>
      </c>
      <c r="P1161" s="12">
        <f t="shared" ca="1" si="111"/>
        <v>2.6085984066735355</v>
      </c>
    </row>
    <row r="1162" spans="1:16" x14ac:dyDescent="0.25">
      <c r="A1162">
        <v>7</v>
      </c>
      <c r="B1162">
        <v>38</v>
      </c>
      <c r="C1162" s="2" t="s">
        <v>6</v>
      </c>
      <c r="D1162" s="2" t="s">
        <v>37</v>
      </c>
      <c r="E1162" s="11" cm="1">
        <f t="array" aca="1" ref="E1162" ca="1">INDEX('OD flujo mercancia multimodal'!E$45:E$1645,MATCH(C1162&amp;D1162,'OD flujo mercancia multimodal'!C$45:C$1645&amp;'OD flujo mercancia multimodal'!D$45:D$1645,0))</f>
        <v>2910.1428571428573</v>
      </c>
      <c r="F1162" s="11" cm="1">
        <f t="array" aca="1" ref="F1162" ca="1">INDEX('OD flujo mercancia carretera'!E$45:E$1646,MATCH(C1162&amp;D1162,'OD flujo mercancia carretera'!C$45:C$1646&amp;'OD flujo mercancia carretera'!D$45:D$1646,0))</f>
        <v>63237.076923076929</v>
      </c>
      <c r="G1162" s="11" cm="1">
        <f t="array" aca="1" ref="G1162" ca="1">INDEX('Coste Carretera'!E$46:E$1646,MATCH(C1162&amp;D1162,'Coste Carretera'!C$46:C$1646&amp;'Coste Carretera'!D$46:D$1646,0))</f>
        <v>1909994268.6285779</v>
      </c>
      <c r="H1162" s="11" cm="1">
        <f t="array" aca="1" ref="H1162" ca="1">INDEX('Coste multimodal'!E$46:E$1646,MATCH(C1162&amp;D1162,'Coste multimodal'!C$46:C$1646&amp;'Coste multimodal'!D$46:D$1646,0))</f>
        <v>321581600.4434005</v>
      </c>
      <c r="I1162" s="12" cm="1">
        <f t="array" aca="1" ref="I1162" ca="1">INDEX('Tiempos intermodal (horas)'!E$45:E$1645,MATCH(C1162&amp;D1162,'Tiempos intermodal (horas)'!C$45:C$1645&amp;'Tiempos intermodal (horas)'!D$45:D$1645,0))</f>
        <v>90.23003959623685</v>
      </c>
      <c r="J1162" s="2" cm="1">
        <f t="array" aca="1" ref="J1162" ca="1">INDEX('Tiempos carretera (horas)'!E$45:E$1645,MATCH(C1162&amp;D1162,'Tiempos carretera (horas)'!C$45:C$1645&amp;'Tiempos carretera (horas)'!D$45:D$1645,0))</f>
        <v>27</v>
      </c>
      <c r="K1162" s="12">
        <f t="shared" ca="1" si="108"/>
        <v>30.203708987876528</v>
      </c>
      <c r="L1162" s="12">
        <f t="shared" ca="1" si="109"/>
        <v>110.50371621932175</v>
      </c>
      <c r="M1162" s="12">
        <f t="shared" ca="1" si="110"/>
        <v>4.3994938363427431E-2</v>
      </c>
      <c r="N1162" s="13">
        <f t="shared" ca="1" si="112"/>
        <v>-80.300007231445221</v>
      </c>
      <c r="O1162" s="13">
        <f t="shared" ca="1" si="113"/>
        <v>-63.23003959623685</v>
      </c>
      <c r="P1162" s="12">
        <f t="shared" ca="1" si="111"/>
        <v>3.0786886175301658</v>
      </c>
    </row>
    <row r="1163" spans="1:16" x14ac:dyDescent="0.25">
      <c r="A1163">
        <v>6</v>
      </c>
      <c r="B1163">
        <v>38</v>
      </c>
      <c r="C1163" s="2" t="s">
        <v>5</v>
      </c>
      <c r="D1163" s="2" t="s">
        <v>37</v>
      </c>
      <c r="E1163" s="11" cm="1">
        <f t="array" aca="1" ref="E1163" ca="1">INDEX('OD flujo mercancia multimodal'!E$45:E$1645,MATCH(C1163&amp;D1163,'OD flujo mercancia multimodal'!C$45:C$1645&amp;'OD flujo mercancia multimodal'!D$45:D$1645,0))</f>
        <v>11615.214285714286</v>
      </c>
      <c r="F1163" s="11" cm="1">
        <f t="array" aca="1" ref="F1163" ca="1">INDEX('OD flujo mercancia carretera'!E$45:E$1646,MATCH(C1163&amp;D1163,'OD flujo mercancia carretera'!C$45:C$1646&amp;'OD flujo mercancia carretera'!D$45:D$1646,0))</f>
        <v>134930.08424908423</v>
      </c>
      <c r="G1163" s="11" cm="1">
        <f t="array" aca="1" ref="G1163" ca="1">INDEX('Coste Carretera'!E$46:E$1646,MATCH(C1163&amp;D1163,'Coste Carretera'!C$46:C$1646&amp;'Coste Carretera'!D$46:D$1646,0))</f>
        <v>3475514348.8714356</v>
      </c>
      <c r="H1163" s="11" cm="1">
        <f t="array" aca="1" ref="H1163" ca="1">INDEX('Coste multimodal'!E$46:E$1646,MATCH(C1163&amp;D1163,'Coste multimodal'!C$46:C$1646&amp;'Coste multimodal'!D$46:D$1646,0))</f>
        <v>460270597.97768617</v>
      </c>
      <c r="I1163" s="12" cm="1">
        <f t="array" aca="1" ref="I1163" ca="1">INDEX('Tiempos intermodal (horas)'!E$45:E$1645,MATCH(C1163&amp;D1163,'Tiempos intermodal (horas)'!C$45:C$1645&amp;'Tiempos intermodal (horas)'!D$45:D$1645,0))</f>
        <v>92.335595151792404</v>
      </c>
      <c r="J1163" s="2" cm="1">
        <f t="array" aca="1" ref="J1163" ca="1">INDEX('Tiempos carretera (horas)'!E$45:E$1645,MATCH(C1163&amp;D1163,'Tiempos carretera (horas)'!C$45:C$1645&amp;'Tiempos carretera (horas)'!D$45:D$1645,0))</f>
        <v>29</v>
      </c>
      <c r="K1163" s="12">
        <f t="shared" ca="1" si="108"/>
        <v>25.757890600998596</v>
      </c>
      <c r="L1163" s="12">
        <f t="shared" ca="1" si="109"/>
        <v>39.626526610342388</v>
      </c>
      <c r="M1163" s="12">
        <f t="shared" ca="1" si="110"/>
        <v>7.9260231490511771E-2</v>
      </c>
      <c r="N1163" s="13">
        <f t="shared" ca="1" si="112"/>
        <v>-13.868636009343792</v>
      </c>
      <c r="O1163" s="13">
        <f t="shared" ca="1" si="113"/>
        <v>-63.335595151792404</v>
      </c>
      <c r="P1163" s="12">
        <f t="shared" ca="1" si="111"/>
        <v>2.4524409347314853</v>
      </c>
    </row>
    <row r="1164" spans="1:16" x14ac:dyDescent="0.25">
      <c r="A1164">
        <v>7</v>
      </c>
      <c r="B1164">
        <v>41</v>
      </c>
      <c r="C1164" s="2" t="s">
        <v>6</v>
      </c>
      <c r="D1164" s="2" t="s">
        <v>40</v>
      </c>
      <c r="E1164" s="11" cm="1">
        <f t="array" aca="1" ref="E1164" ca="1">INDEX('OD flujo mercancia multimodal'!E$45:E$1645,MATCH(C1164&amp;D1164,'OD flujo mercancia multimodal'!C$45:C$1645&amp;'OD flujo mercancia multimodal'!D$45:D$1645,0))</f>
        <v>24885.83516483516</v>
      </c>
      <c r="F1164" s="11" cm="1">
        <f t="array" aca="1" ref="F1164" ca="1">INDEX('OD flujo mercancia carretera'!E$45:E$1646,MATCH(C1164&amp;D1164,'OD flujo mercancia carretera'!C$45:C$1646&amp;'OD flujo mercancia carretera'!D$45:D$1646,0))</f>
        <v>76905.184981685015</v>
      </c>
      <c r="G1164" s="11" cm="1">
        <f t="array" aca="1" ref="G1164" ca="1">INDEX('Coste Carretera'!E$46:E$1646,MATCH(C1164&amp;D1164,'Coste Carretera'!C$46:C$1646&amp;'Coste Carretera'!D$46:D$1646,0))</f>
        <v>1712548639.6971428</v>
      </c>
      <c r="H1164" s="11" cm="1">
        <f t="array" aca="1" ref="H1164" ca="1">INDEX('Coste multimodal'!E$46:E$1646,MATCH(C1164&amp;D1164,'Coste multimodal'!C$46:C$1646&amp;'Coste multimodal'!D$46:D$1646,0))</f>
        <v>478547817.40340054</v>
      </c>
      <c r="I1164" s="12" cm="1">
        <f t="array" aca="1" ref="I1164" ca="1">INDEX('Tiempos intermodal (horas)'!E$45:E$1645,MATCH(C1164&amp;D1164,'Tiempos intermodal (horas)'!C$45:C$1645&amp;'Tiempos intermodal (horas)'!D$45:D$1645,0))</f>
        <v>89.961918618618611</v>
      </c>
      <c r="J1164" s="2" cm="1">
        <f t="array" aca="1" ref="J1164" ca="1">INDEX('Tiempos carretera (horas)'!E$45:E$1645,MATCH(C1164&amp;D1164,'Tiempos carretera (horas)'!C$45:C$1645&amp;'Tiempos carretera (horas)'!D$45:D$1645,0))</f>
        <v>26</v>
      </c>
      <c r="K1164" s="12">
        <f t="shared" ca="1" si="108"/>
        <v>22.268311819352448</v>
      </c>
      <c r="L1164" s="12">
        <f t="shared" ca="1" si="109"/>
        <v>19.229727040851369</v>
      </c>
      <c r="M1164" s="12">
        <f t="shared" ca="1" si="110"/>
        <v>0.24447967147803371</v>
      </c>
      <c r="N1164" s="13">
        <f t="shared" ca="1" si="112"/>
        <v>3.0385847785010789</v>
      </c>
      <c r="O1164" s="13">
        <f t="shared" ca="1" si="113"/>
        <v>-63.961918618618611</v>
      </c>
      <c r="P1164" s="12">
        <f t="shared" ca="1" si="111"/>
        <v>1.1282745265067908</v>
      </c>
    </row>
    <row r="1165" spans="1:16" x14ac:dyDescent="0.25">
      <c r="A1165">
        <v>41</v>
      </c>
      <c r="B1165">
        <v>7</v>
      </c>
      <c r="C1165" s="2" t="s">
        <v>40</v>
      </c>
      <c r="D1165" s="2" t="s">
        <v>6</v>
      </c>
      <c r="E1165" s="11" cm="1">
        <f t="array" aca="1" ref="E1165" ca="1">INDEX('OD flujo mercancia multimodal'!E$45:E$1645,MATCH(C1165&amp;D1165,'OD flujo mercancia multimodal'!C$45:C$1645&amp;'OD flujo mercancia multimodal'!D$45:D$1645,0))</f>
        <v>12633.939560439556</v>
      </c>
      <c r="F1165" s="11" cm="1">
        <f t="array" aca="1" ref="F1165" ca="1">INDEX('OD flujo mercancia carretera'!E$45:E$1646,MATCH(C1165&amp;D1165,'OD flujo mercancia carretera'!C$45:C$1646&amp;'OD flujo mercancia carretera'!D$45:D$1646,0))</f>
        <v>128864.57692307691</v>
      </c>
      <c r="G1165" s="11" cm="1">
        <f t="array" aca="1" ref="G1165" ca="1">INDEX('Coste Carretera'!E$46:E$1646,MATCH(C1165&amp;D1165,'Coste Carretera'!C$46:C$1646&amp;'Coste Carretera'!D$46:D$1646,0))</f>
        <v>1053719108.171428</v>
      </c>
      <c r="H1165" s="11" cm="1">
        <f t="array" aca="1" ref="H1165" ca="1">INDEX('Coste multimodal'!E$46:E$1646,MATCH(C1165&amp;D1165,'Coste multimodal'!C$46:C$1646&amp;'Coste multimodal'!D$46:D$1646,0))</f>
        <v>392764326.57039005</v>
      </c>
      <c r="I1165" s="12" cm="1">
        <f t="array" aca="1" ref="I1165" ca="1">INDEX('Tiempos intermodal (horas)'!E$45:E$1645,MATCH(C1165&amp;D1165,'Tiempos intermodal (horas)'!C$45:C$1645&amp;'Tiempos intermodal (horas)'!D$45:D$1645,0))</f>
        <v>88.513029729729723</v>
      </c>
      <c r="J1165" s="2" cm="1">
        <f t="array" aca="1" ref="J1165" ca="1">INDEX('Tiempos carretera (horas)'!E$45:E$1645,MATCH(C1165&amp;D1165,'Tiempos carretera (horas)'!C$45:C$1645&amp;'Tiempos carretera (horas)'!D$45:D$1645,0))</f>
        <v>26</v>
      </c>
      <c r="K1165" s="12">
        <f t="shared" ca="1" si="108"/>
        <v>8.1769492697781807</v>
      </c>
      <c r="L1165" s="12">
        <f t="shared" ca="1" si="109"/>
        <v>31.088032730522666</v>
      </c>
      <c r="M1165" s="12">
        <f t="shared" ca="1" si="110"/>
        <v>8.9286728047861322E-2</v>
      </c>
      <c r="N1165" s="13">
        <f t="shared" ca="1" si="112"/>
        <v>-22.911083460744486</v>
      </c>
      <c r="O1165" s="13">
        <f t="shared" ca="1" si="113"/>
        <v>-62.513029729729723</v>
      </c>
      <c r="P1165" s="12">
        <f t="shared" ca="1" si="111"/>
        <v>2.322375253067424</v>
      </c>
    </row>
    <row r="1166" spans="1:16" x14ac:dyDescent="0.25">
      <c r="A1166">
        <v>38</v>
      </c>
      <c r="B1166">
        <v>2</v>
      </c>
      <c r="C1166" s="2" t="s">
        <v>37</v>
      </c>
      <c r="D1166" s="2" t="s">
        <v>1</v>
      </c>
      <c r="E1166" s="11" cm="1">
        <f t="array" aca="1" ref="E1166" ca="1">INDEX('OD flujo mercancia multimodal'!E$45:E$1645,MATCH(C1166&amp;D1166,'OD flujo mercancia multimodal'!C$45:C$1645&amp;'OD flujo mercancia multimodal'!D$45:D$1645,0))</f>
        <v>21241.071428571398</v>
      </c>
      <c r="F1166" s="11" cm="1">
        <f t="array" aca="1" ref="F1166" ca="1">INDEX('OD flujo mercancia carretera'!E$45:E$1646,MATCH(C1166&amp;D1166,'OD flujo mercancia carretera'!C$45:C$1646&amp;'OD flujo mercancia carretera'!D$45:D$1646,0))</f>
        <v>44307.923076923107</v>
      </c>
      <c r="G1166" s="11" cm="1">
        <f t="array" aca="1" ref="G1166" ca="1">INDEX('Coste Carretera'!E$46:E$1646,MATCH(C1166&amp;D1166,'Coste Carretera'!C$46:C$1646&amp;'Coste Carretera'!D$46:D$1646,0))</f>
        <v>3111129426.5057101</v>
      </c>
      <c r="H1166" s="11" cm="1">
        <f t="array" aca="1" ref="H1166" ca="1">INDEX('Coste multimodal'!E$46:E$1646,MATCH(C1166&amp;D1166,'Coste multimodal'!C$46:C$1646&amp;'Coste multimodal'!D$46:D$1646,0))</f>
        <v>489945187.63717264</v>
      </c>
      <c r="I1166" s="12" cm="1">
        <f t="array" aca="1" ref="I1166" ca="1">INDEX('Tiempos intermodal (horas)'!E$45:E$1645,MATCH(C1166&amp;D1166,'Tiempos intermodal (horas)'!C$45:C$1645&amp;'Tiempos intermodal (horas)'!D$45:D$1645,0))</f>
        <v>84.797333843609223</v>
      </c>
      <c r="J1166" s="2" cm="1">
        <f t="array" aca="1" ref="J1166" ca="1">INDEX('Tiempos carretera (horas)'!E$45:E$1645,MATCH(C1166&amp;D1166,'Tiempos carretera (horas)'!C$45:C$1645&amp;'Tiempos carretera (horas)'!D$45:D$1645,0))</f>
        <v>21.13</v>
      </c>
      <c r="K1166" s="12">
        <f t="shared" ca="1" si="108"/>
        <v>70.216097042158111</v>
      </c>
      <c r="L1166" s="12">
        <f t="shared" ca="1" si="109"/>
        <v>23.065935693721485</v>
      </c>
      <c r="M1166" s="12">
        <f t="shared" ca="1" si="110"/>
        <v>0.32404877586323477</v>
      </c>
      <c r="N1166" s="13">
        <f t="shared" ca="1" si="112"/>
        <v>47.150161348436626</v>
      </c>
      <c r="O1166" s="13">
        <f t="shared" ca="1" si="113"/>
        <v>-63.667333843609228</v>
      </c>
      <c r="P1166" s="12">
        <f t="shared" ca="1" si="111"/>
        <v>0.73522687254626351</v>
      </c>
    </row>
    <row r="1167" spans="1:16" x14ac:dyDescent="0.25">
      <c r="A1167">
        <v>2</v>
      </c>
      <c r="B1167">
        <v>38</v>
      </c>
      <c r="C1167" s="2" t="s">
        <v>1</v>
      </c>
      <c r="D1167" s="2" t="s">
        <v>37</v>
      </c>
      <c r="E1167" s="11" cm="1">
        <f t="array" aca="1" ref="E1167" ca="1">INDEX('OD flujo mercancia multimodal'!E$45:E$1645,MATCH(C1167&amp;D1167,'OD flujo mercancia multimodal'!C$45:C$1645&amp;'OD flujo mercancia multimodal'!D$45:D$1645,0))</f>
        <v>6527</v>
      </c>
      <c r="F1167" s="11" cm="1">
        <f t="array" aca="1" ref="F1167" ca="1">INDEX('OD flujo mercancia carretera'!E$45:E$1646,MATCH(C1167&amp;D1167,'OD flujo mercancia carretera'!C$45:C$1646&amp;'OD flujo mercancia carretera'!D$45:D$1646,0))</f>
        <v>45707.384615384617</v>
      </c>
      <c r="G1167" s="11" cm="1">
        <f t="array" aca="1" ref="G1167" ca="1">INDEX('Coste Carretera'!E$46:E$1646,MATCH(C1167&amp;D1167,'Coste Carretera'!C$46:C$1646&amp;'Coste Carretera'!D$46:D$1646,0))</f>
        <v>1921102355.4000053</v>
      </c>
      <c r="H1167" s="11" cm="1">
        <f t="array" aca="1" ref="H1167" ca="1">INDEX('Coste multimodal'!E$46:E$1646,MATCH(C1167&amp;D1167,'Coste multimodal'!C$46:C$1646&amp;'Coste multimodal'!D$46:D$1646,0))</f>
        <v>489945187.63717264</v>
      </c>
      <c r="I1167" s="12" cm="1">
        <f t="array" aca="1" ref="I1167" ca="1">INDEX('Tiempos intermodal (horas)'!E$45:E$1645,MATCH(C1167&amp;D1167,'Tiempos intermodal (horas)'!C$45:C$1645&amp;'Tiempos intermodal (horas)'!D$45:D$1645,0))</f>
        <v>84.797333843609223</v>
      </c>
      <c r="J1167" s="2" cm="1">
        <f t="array" aca="1" ref="J1167" ca="1">INDEX('Tiempos carretera (horas)'!E$45:E$1645,MATCH(C1167&amp;D1167,'Tiempos carretera (horas)'!C$45:C$1645&amp;'Tiempos carretera (horas)'!D$45:D$1645,0))</f>
        <v>21.13</v>
      </c>
      <c r="K1167" s="12">
        <f t="shared" ca="1" si="108"/>
        <v>42.030459007129075</v>
      </c>
      <c r="L1167" s="12">
        <f t="shared" ca="1" si="109"/>
        <v>75.064376840381897</v>
      </c>
      <c r="M1167" s="12">
        <f t="shared" ca="1" si="110"/>
        <v>0.12495600451809669</v>
      </c>
      <c r="N1167" s="13">
        <f t="shared" ca="1" si="112"/>
        <v>-33.033917833252822</v>
      </c>
      <c r="O1167" s="13">
        <f t="shared" ca="1" si="113"/>
        <v>-63.667333843609228</v>
      </c>
      <c r="P1167" s="12">
        <f t="shared" ca="1" si="111"/>
        <v>1.946312454151077</v>
      </c>
    </row>
    <row r="1168" spans="1:16" x14ac:dyDescent="0.25">
      <c r="A1168">
        <v>9</v>
      </c>
      <c r="B1168">
        <v>41</v>
      </c>
      <c r="C1168" s="2" t="s">
        <v>148</v>
      </c>
      <c r="D1168" s="2" t="s">
        <v>40</v>
      </c>
      <c r="E1168" s="11" cm="1">
        <f t="array" aca="1" ref="E1168" ca="1">INDEX('OD flujo mercancia multimodal'!E$45:E$1645,MATCH(C1168&amp;D1168,'OD flujo mercancia multimodal'!C$45:C$1645&amp;'OD flujo mercancia multimodal'!D$45:D$1645,0))</f>
        <v>23000.192307692301</v>
      </c>
      <c r="F1168" s="11" cm="1">
        <f t="array" aca="1" ref="F1168" ca="1">INDEX('OD flujo mercancia carretera'!E$45:E$1646,MATCH(C1168&amp;D1168,'OD flujo mercancia carretera'!C$45:C$1646&amp;'OD flujo mercancia carretera'!D$45:D$1646,0))</f>
        <v>595953.78968253976</v>
      </c>
      <c r="G1168" s="11" cm="1">
        <f t="array" aca="1" ref="G1168" ca="1">INDEX('Coste Carretera'!E$46:E$1646,MATCH(C1168&amp;D1168,'Coste Carretera'!C$46:C$1646&amp;'Coste Carretera'!D$46:D$1646,0))</f>
        <v>1279275083.9399998</v>
      </c>
      <c r="H1168" s="11" cm="1">
        <f t="array" aca="1" ref="H1168" ca="1">INDEX('Coste multimodal'!E$46:E$1646,MATCH(C1168&amp;D1168,'Coste multimodal'!C$46:C$1646&amp;'Coste multimodal'!D$46:D$1646,0))</f>
        <v>637782246.89717257</v>
      </c>
      <c r="I1168" s="12" cm="1">
        <f t="array" aca="1" ref="I1168" ca="1">INDEX('Tiempos intermodal (horas)'!E$45:E$1645,MATCH(C1168&amp;D1168,'Tiempos intermodal (horas)'!C$45:C$1645&amp;'Tiempos intermodal (horas)'!D$45:D$1645,0))</f>
        <v>86.280667176942558</v>
      </c>
      <c r="J1168" s="2" cm="1">
        <f t="array" aca="1" ref="J1168" ca="1">INDEX('Tiempos carretera (horas)'!E$45:E$1645,MATCH(C1168&amp;D1168,'Tiempos carretera (horas)'!C$45:C$1645&amp;'Tiempos carretera (horas)'!D$45:D$1645,0))</f>
        <v>22.61</v>
      </c>
      <c r="K1168" s="12">
        <f t="shared" ca="1" si="108"/>
        <v>2.146601139362601</v>
      </c>
      <c r="L1168" s="12">
        <f t="shared" ca="1" si="109"/>
        <v>27.729431057142484</v>
      </c>
      <c r="M1168" s="12">
        <f t="shared" ca="1" si="110"/>
        <v>3.7159777587561067E-2</v>
      </c>
      <c r="N1168" s="13">
        <f t="shared" ca="1" si="112"/>
        <v>-25.582829917779883</v>
      </c>
      <c r="O1168" s="13">
        <f t="shared" ca="1" si="113"/>
        <v>-63.670667176942558</v>
      </c>
      <c r="P1168" s="12">
        <f t="shared" ca="1" si="111"/>
        <v>3.2546605528715205</v>
      </c>
    </row>
    <row r="1169" spans="1:16" x14ac:dyDescent="0.25">
      <c r="A1169">
        <v>41</v>
      </c>
      <c r="B1169">
        <v>9</v>
      </c>
      <c r="C1169" s="2" t="s">
        <v>40</v>
      </c>
      <c r="D1169" s="2" t="s">
        <v>148</v>
      </c>
      <c r="E1169" s="11" cm="1">
        <f t="array" aca="1" ref="E1169" ca="1">INDEX('OD flujo mercancia multimodal'!E$45:E$1645,MATCH(C1169&amp;D1169,'OD flujo mercancia multimodal'!C$45:C$1645&amp;'OD flujo mercancia multimodal'!D$45:D$1645,0))</f>
        <v>8276.6083916083899</v>
      </c>
      <c r="F1169" s="11" cm="1">
        <f t="array" aca="1" ref="F1169" ca="1">INDEX('OD flujo mercancia carretera'!E$45:E$1646,MATCH(C1169&amp;D1169,'OD flujo mercancia carretera'!C$45:C$1646&amp;'OD flujo mercancia carretera'!D$45:D$1646,0))</f>
        <v>636795.12179487199</v>
      </c>
      <c r="G1169" s="11" cm="1">
        <f t="array" aca="1" ref="G1169" ca="1">INDEX('Coste Carretera'!E$46:E$1646,MATCH(C1169&amp;D1169,'Coste Carretera'!C$46:C$1646&amp;'Coste Carretera'!D$46:D$1646,0))</f>
        <v>399712430.26909083</v>
      </c>
      <c r="H1169" s="11" cm="1">
        <f t="array" aca="1" ref="H1169" ca="1">INDEX('Coste multimodal'!E$46:E$1646,MATCH(C1169&amp;D1169,'Coste multimodal'!C$46:C$1646&amp;'Coste multimodal'!D$46:D$1646,0))</f>
        <v>595176345.8888334</v>
      </c>
      <c r="I1169" s="12" cm="1">
        <f t="array" aca="1" ref="I1169" ca="1">INDEX('Tiempos intermodal (horas)'!E$45:E$1645,MATCH(C1169&amp;D1169,'Tiempos intermodal (horas)'!C$45:C$1645&amp;'Tiempos intermodal (horas)'!D$45:D$1645,0))</f>
        <v>83.215302950215829</v>
      </c>
      <c r="J1169" s="2" cm="1">
        <f t="array" aca="1" ref="J1169" ca="1">INDEX('Tiempos carretera (horas)'!E$45:E$1645,MATCH(C1169&amp;D1169,'Tiempos carretera (horas)'!C$45:C$1645&amp;'Tiempos carretera (horas)'!D$45:D$1645,0))</f>
        <v>22.48</v>
      </c>
      <c r="K1169" s="12">
        <f t="shared" ca="1" si="108"/>
        <v>0.62769392633294763</v>
      </c>
      <c r="L1169" s="12">
        <f t="shared" ca="1" si="109"/>
        <v>71.910656844931751</v>
      </c>
      <c r="M1169" s="12">
        <f t="shared" ca="1" si="110"/>
        <v>1.2830524117396602E-2</v>
      </c>
      <c r="N1169" s="13">
        <f t="shared" ca="1" si="112"/>
        <v>-71.282962918598798</v>
      </c>
      <c r="O1169" s="13">
        <f t="shared" ca="1" si="113"/>
        <v>-60.735302950215825</v>
      </c>
      <c r="P1169" s="12">
        <f t="shared" ca="1" si="111"/>
        <v>4.3430147040606615</v>
      </c>
    </row>
    <row r="1170" spans="1:16" x14ac:dyDescent="0.25">
      <c r="A1170">
        <v>6</v>
      </c>
      <c r="B1170">
        <v>41</v>
      </c>
      <c r="C1170" s="2" t="s">
        <v>5</v>
      </c>
      <c r="D1170" s="2" t="s">
        <v>40</v>
      </c>
      <c r="E1170" s="11" cm="1">
        <f t="array" aca="1" ref="E1170" ca="1">INDEX('OD flujo mercancia multimodal'!E$45:E$1645,MATCH(C1170&amp;D1170,'OD flujo mercancia multimodal'!C$45:C$1645&amp;'OD flujo mercancia multimodal'!D$45:D$1645,0))</f>
        <v>33590.906593406587</v>
      </c>
      <c r="F1170" s="11" cm="1">
        <f t="array" aca="1" ref="F1170" ca="1">INDEX('OD flujo mercancia carretera'!E$45:E$1646,MATCH(C1170&amp;D1170,'OD flujo mercancia carretera'!C$45:C$1646&amp;'OD flujo mercancia carretera'!D$45:D$1646,0))</f>
        <v>148598.19230769231</v>
      </c>
      <c r="G1170" s="11" cm="1">
        <f t="array" aca="1" ref="G1170" ca="1">INDEX('Coste Carretera'!E$46:E$1646,MATCH(C1170&amp;D1170,'Coste Carretera'!C$46:C$1646&amp;'Coste Carretera'!D$46:D$1646,0))</f>
        <v>3178045756.7142854</v>
      </c>
      <c r="H1170" s="11" cm="1">
        <f t="array" aca="1" ref="H1170" ca="1">INDEX('Coste multimodal'!E$46:E$1646,MATCH(C1170&amp;D1170,'Coste multimodal'!C$46:C$1646&amp;'Coste multimodal'!D$46:D$1646,0))</f>
        <v>617236814.9376862</v>
      </c>
      <c r="I1170" s="12" cm="1">
        <f t="array" aca="1" ref="I1170" ca="1">INDEX('Tiempos intermodal (horas)'!E$45:E$1645,MATCH(C1170&amp;D1170,'Tiempos intermodal (horas)'!C$45:C$1645&amp;'Tiempos intermodal (horas)'!D$45:D$1645,0))</f>
        <v>91.73559515179241</v>
      </c>
      <c r="J1170" s="2" cm="1">
        <f t="array" aca="1" ref="J1170" ca="1">INDEX('Tiempos carretera (horas)'!E$45:E$1645,MATCH(C1170&amp;D1170,'Tiempos carretera (horas)'!C$45:C$1645&amp;'Tiempos carretera (horas)'!D$45:D$1645,0))</f>
        <v>28</v>
      </c>
      <c r="K1170" s="12">
        <f t="shared" ca="1" si="108"/>
        <v>21.386839956530014</v>
      </c>
      <c r="L1170" s="12">
        <f t="shared" ca="1" si="109"/>
        <v>18.37511628991999</v>
      </c>
      <c r="M1170" s="12">
        <f t="shared" ca="1" si="110"/>
        <v>0.18437385549418281</v>
      </c>
      <c r="N1170" s="13">
        <f t="shared" ca="1" si="112"/>
        <v>3.011723666610024</v>
      </c>
      <c r="O1170" s="13">
        <f t="shared" ca="1" si="113"/>
        <v>-63.73559515179241</v>
      </c>
      <c r="P1170" s="12">
        <f t="shared" ca="1" si="111"/>
        <v>1.4869905741499569</v>
      </c>
    </row>
    <row r="1171" spans="1:16" x14ac:dyDescent="0.25">
      <c r="A1171">
        <v>23</v>
      </c>
      <c r="B1171">
        <v>4</v>
      </c>
      <c r="C1171" s="2" t="s">
        <v>22</v>
      </c>
      <c r="D1171" s="2" t="s">
        <v>3</v>
      </c>
      <c r="E1171" s="11" cm="1">
        <f t="array" aca="1" ref="E1171" ca="1">INDEX('OD flujo mercancia multimodal'!E$45:E$1645,MATCH(C1171&amp;D1171,'OD flujo mercancia multimodal'!C$45:C$1645&amp;'OD flujo mercancia multimodal'!D$45:D$1645,0))</f>
        <v>31946.609890109859</v>
      </c>
      <c r="F1171" s="11" cm="1">
        <f t="array" aca="1" ref="F1171" ca="1">INDEX('OD flujo mercancia carretera'!E$45:E$1646,MATCH(C1171&amp;D1171,'OD flujo mercancia carretera'!C$45:C$1646&amp;'OD flujo mercancia carretera'!D$45:D$1646,0))</f>
        <v>136119.05128205128</v>
      </c>
      <c r="G1171" s="11" cm="1">
        <f t="array" aca="1" ref="G1171" ca="1">INDEX('Coste Carretera'!E$46:E$1646,MATCH(C1171&amp;D1171,'Coste Carretera'!C$46:C$1646&amp;'Coste Carretera'!D$46:D$1646,0))</f>
        <v>1726493194.0199983</v>
      </c>
      <c r="H1171" s="11" cm="1">
        <f t="array" aca="1" ref="H1171" ca="1">INDEX('Coste multimodal'!E$46:E$1646,MATCH(C1171&amp;D1171,'Coste multimodal'!C$46:C$1646&amp;'Coste multimodal'!D$46:D$1646,0))</f>
        <v>468898710.35713232</v>
      </c>
      <c r="I1171" s="12" cm="1">
        <f t="array" aca="1" ref="I1171" ca="1">INDEX('Tiempos intermodal (horas)'!E$45:E$1645,MATCH(C1171&amp;D1171,'Tiempos intermodal (horas)'!C$45:C$1645&amp;'Tiempos intermodal (horas)'!D$45:D$1645,0))</f>
        <v>69.566125390038465</v>
      </c>
      <c r="J1171" s="2" cm="1">
        <f t="array" aca="1" ref="J1171" ca="1">INDEX('Tiempos carretera (horas)'!E$45:E$1645,MATCH(C1171&amp;D1171,'Tiempos carretera (horas)'!C$45:C$1645&amp;'Tiempos carretera (horas)'!D$45:D$1645,0))</f>
        <v>11.16</v>
      </c>
      <c r="K1171" s="12">
        <f t="shared" ca="1" si="108"/>
        <v>12.683699877121127</v>
      </c>
      <c r="L1171" s="12">
        <f t="shared" ca="1" si="109"/>
        <v>14.677573362871771</v>
      </c>
      <c r="M1171" s="12">
        <f t="shared" ca="1" si="110"/>
        <v>0.19008409967450021</v>
      </c>
      <c r="N1171" s="13">
        <f t="shared" ca="1" si="112"/>
        <v>-1.9938734857506439</v>
      </c>
      <c r="O1171" s="13">
        <f t="shared" ca="1" si="113"/>
        <v>-58.406125390038468</v>
      </c>
      <c r="P1171" s="12">
        <f t="shared" ca="1" si="111"/>
        <v>1.4494638114228964</v>
      </c>
    </row>
    <row r="1172" spans="1:16" x14ac:dyDescent="0.25">
      <c r="A1172">
        <v>40</v>
      </c>
      <c r="B1172">
        <v>5</v>
      </c>
      <c r="C1172" s="2" t="s">
        <v>39</v>
      </c>
      <c r="D1172" s="2" t="s">
        <v>4</v>
      </c>
      <c r="E1172" s="11" cm="1">
        <f t="array" aca="1" ref="E1172" ca="1">INDEX('OD flujo mercancia multimodal'!E$45:E$1645,MATCH(C1172&amp;D1172,'OD flujo mercancia multimodal'!C$45:C$1645&amp;'OD flujo mercancia multimodal'!D$45:D$1645,0))</f>
        <v>67579.565934065977</v>
      </c>
      <c r="F1172" s="11" cm="1">
        <f t="array" aca="1" ref="F1172" ca="1">INDEX('OD flujo mercancia carretera'!E$45:E$1646,MATCH(C1172&amp;D1172,'OD flujo mercancia carretera'!C$45:C$1646&amp;'OD flujo mercancia carretera'!D$45:D$1646,0))</f>
        <v>162531.97435897432</v>
      </c>
      <c r="G1172" s="11" cm="1">
        <f t="array" aca="1" ref="G1172" ca="1">INDEX('Coste Carretera'!E$46:E$1646,MATCH(C1172&amp;D1172,'Coste Carretera'!C$46:C$1646&amp;'Coste Carretera'!D$46:D$1646,0))</f>
        <v>8289415389.9885769</v>
      </c>
      <c r="H1172" s="11" cm="1">
        <f t="array" aca="1" ref="H1172" ca="1">INDEX('Coste multimodal'!E$46:E$1646,MATCH(C1172&amp;D1172,'Coste multimodal'!C$46:C$1646&amp;'Coste multimodal'!D$46:D$1646,0))</f>
        <v>371968896.53190142</v>
      </c>
      <c r="I1172" s="12" cm="1">
        <f t="array" aca="1" ref="I1172" ca="1">INDEX('Tiempos intermodal (horas)'!E$45:E$1645,MATCH(C1172&amp;D1172,'Tiempos intermodal (horas)'!C$45:C$1645&amp;'Tiempos intermodal (horas)'!D$45:D$1645,0))</f>
        <v>78.269293238551057</v>
      </c>
      <c r="J1172" s="2" cm="1">
        <f t="array" aca="1" ref="J1172" ca="1">INDEX('Tiempos carretera (horas)'!E$45:E$1645,MATCH(C1172&amp;D1172,'Tiempos carretera (horas)'!C$45:C$1645&amp;'Tiempos carretera (horas)'!D$45:D$1645,0))</f>
        <v>23.76</v>
      </c>
      <c r="K1172" s="12">
        <f t="shared" ca="1" si="108"/>
        <v>51.001751641066384</v>
      </c>
      <c r="L1172" s="12">
        <f t="shared" ca="1" si="109"/>
        <v>5.5041622625219722</v>
      </c>
      <c r="M1172" s="12">
        <f t="shared" ca="1" si="110"/>
        <v>0.29368177644635024</v>
      </c>
      <c r="N1172" s="13">
        <f t="shared" ca="1" si="112"/>
        <v>45.497589378544411</v>
      </c>
      <c r="O1172" s="13">
        <f t="shared" ca="1" si="113"/>
        <v>-54.509293238551052</v>
      </c>
      <c r="P1172" s="12">
        <f t="shared" ca="1" si="111"/>
        <v>0.87756908942851442</v>
      </c>
    </row>
    <row r="1173" spans="1:16" x14ac:dyDescent="0.25">
      <c r="A1173">
        <v>41</v>
      </c>
      <c r="B1173">
        <v>2</v>
      </c>
      <c r="C1173" s="2" t="s">
        <v>40</v>
      </c>
      <c r="D1173" s="2" t="s">
        <v>1</v>
      </c>
      <c r="E1173" s="11" cm="1">
        <f t="array" aca="1" ref="E1173" ca="1">INDEX('OD flujo mercancia multimodal'!E$45:E$1645,MATCH(C1173&amp;D1173,'OD flujo mercancia multimodal'!C$45:C$1645&amp;'OD flujo mercancia multimodal'!D$45:D$1645,0))</f>
        <v>28898.225274725242</v>
      </c>
      <c r="F1173" s="11" cm="1">
        <f t="array" aca="1" ref="F1173" ca="1">INDEX('OD flujo mercancia carretera'!E$45:E$1646,MATCH(C1173&amp;D1173,'OD flujo mercancia carretera'!C$45:C$1646&amp;'OD flujo mercancia carretera'!D$45:D$1646,0))</f>
        <v>105587.73076923081</v>
      </c>
      <c r="G1173" s="11" cm="1">
        <f t="array" aca="1" ref="G1173" ca="1">INDEX('Coste Carretera'!E$46:E$1646,MATCH(C1173&amp;D1173,'Coste Carretera'!C$46:C$1646&amp;'Coste Carretera'!D$46:D$1646,0))</f>
        <v>2537893965.8857107</v>
      </c>
      <c r="H1173" s="11" cm="1">
        <f t="array" aca="1" ref="H1173" ca="1">INDEX('Coste multimodal'!E$46:E$1646,MATCH(C1173&amp;D1173,'Coste multimodal'!C$46:C$1646&amp;'Coste multimodal'!D$46:D$1646,0))</f>
        <v>604305503.58883333</v>
      </c>
      <c r="I1173" s="12" cm="1">
        <f t="array" aca="1" ref="I1173" ca="1">INDEX('Tiempos intermodal (horas)'!E$45:E$1645,MATCH(C1173&amp;D1173,'Tiempos intermodal (horas)'!C$45:C$1645&amp;'Tiempos intermodal (horas)'!D$45:D$1645,0))</f>
        <v>81.1319696168825</v>
      </c>
      <c r="J1173" s="2" cm="1">
        <f t="array" aca="1" ref="J1173" ca="1">INDEX('Tiempos carretera (horas)'!E$45:E$1645,MATCH(C1173&amp;D1173,'Tiempos carretera (horas)'!C$45:C$1645&amp;'Tiempos carretera (horas)'!D$45:D$1645,0))</f>
        <v>20.13</v>
      </c>
      <c r="K1173" s="12">
        <f t="shared" ca="1" si="108"/>
        <v>24.035879428382177</v>
      </c>
      <c r="L1173" s="12">
        <f t="shared" ca="1" si="109"/>
        <v>20.911509196288488</v>
      </c>
      <c r="M1173" s="12">
        <f t="shared" ca="1" si="110"/>
        <v>0.21487913031811295</v>
      </c>
      <c r="N1173" s="13">
        <f t="shared" ca="1" si="112"/>
        <v>3.124370232093689</v>
      </c>
      <c r="O1173" s="13">
        <f t="shared" ca="1" si="113"/>
        <v>-61.001969616882505</v>
      </c>
      <c r="P1173" s="12">
        <f t="shared" ca="1" si="111"/>
        <v>1.2957619945709129</v>
      </c>
    </row>
    <row r="1174" spans="1:16" x14ac:dyDescent="0.25">
      <c r="A1174">
        <v>2</v>
      </c>
      <c r="B1174">
        <v>41</v>
      </c>
      <c r="C1174" s="2" t="s">
        <v>1</v>
      </c>
      <c r="D1174" s="2" t="s">
        <v>40</v>
      </c>
      <c r="E1174" s="11" cm="1">
        <f t="array" aca="1" ref="E1174" ca="1">INDEX('OD flujo mercancia multimodal'!E$45:E$1645,MATCH(C1174&amp;D1174,'OD flujo mercancia multimodal'!C$45:C$1645&amp;'OD flujo mercancia multimodal'!D$45:D$1645,0))</f>
        <v>28502.692307692301</v>
      </c>
      <c r="F1174" s="11" cm="1">
        <f t="array" aca="1" ref="F1174" ca="1">INDEX('OD flujo mercancia carretera'!E$45:E$1646,MATCH(C1174&amp;D1174,'OD flujo mercancia carretera'!C$45:C$1646&amp;'OD flujo mercancia carretera'!D$45:D$1646,0))</f>
        <v>59375.492673992703</v>
      </c>
      <c r="G1174" s="11" cm="1">
        <f t="array" aca="1" ref="G1174" ca="1">INDEX('Coste Carretera'!E$46:E$1646,MATCH(C1174&amp;D1174,'Coste Carretera'!C$46:C$1646&amp;'Coste Carretera'!D$46:D$1646,0))</f>
        <v>1697437261.52</v>
      </c>
      <c r="H1174" s="11" cm="1">
        <f t="array" aca="1" ref="H1174" ca="1">INDEX('Coste multimodal'!E$46:E$1646,MATCH(C1174&amp;D1174,'Coste multimodal'!C$46:C$1646&amp;'Coste multimodal'!D$46:D$1646,0))</f>
        <v>646911404.59717262</v>
      </c>
      <c r="I1174" s="12" cm="1">
        <f t="array" aca="1" ref="I1174" ca="1">INDEX('Tiempos intermodal (horas)'!E$45:E$1645,MATCH(C1174&amp;D1174,'Tiempos intermodal (horas)'!C$45:C$1645&amp;'Tiempos intermodal (horas)'!D$45:D$1645,0))</f>
        <v>84.197333843609229</v>
      </c>
      <c r="J1174" s="2" cm="1">
        <f t="array" aca="1" ref="J1174" ca="1">INDEX('Tiempos carretera (horas)'!E$45:E$1645,MATCH(C1174&amp;D1174,'Tiempos carretera (horas)'!C$45:C$1645&amp;'Tiempos carretera (horas)'!D$45:D$1645,0))</f>
        <v>20.16</v>
      </c>
      <c r="K1174" s="12">
        <f t="shared" ca="1" si="108"/>
        <v>28.588179820923006</v>
      </c>
      <c r="L1174" s="12">
        <f t="shared" ca="1" si="109"/>
        <v>22.69650170635229</v>
      </c>
      <c r="M1174" s="12">
        <f t="shared" ca="1" si="110"/>
        <v>0.32434320660619753</v>
      </c>
      <c r="N1174" s="13">
        <f t="shared" ca="1" si="112"/>
        <v>5.8916781145707162</v>
      </c>
      <c r="O1174" s="13">
        <f t="shared" ca="1" si="113"/>
        <v>-64.037333843609233</v>
      </c>
      <c r="P1174" s="12">
        <f t="shared" ca="1" si="111"/>
        <v>0.73388301023816838</v>
      </c>
    </row>
    <row r="1175" spans="1:16" x14ac:dyDescent="0.25">
      <c r="A1175">
        <v>41</v>
      </c>
      <c r="B1175">
        <v>5</v>
      </c>
      <c r="C1175" s="2" t="s">
        <v>40</v>
      </c>
      <c r="D1175" s="2" t="s">
        <v>4</v>
      </c>
      <c r="E1175" s="11" cm="1">
        <f t="array" aca="1" ref="E1175" ca="1">INDEX('OD flujo mercancia multimodal'!E$45:E$1645,MATCH(C1175&amp;D1175,'OD flujo mercancia multimodal'!C$45:C$1645&amp;'OD flujo mercancia multimodal'!D$45:D$1645,0))</f>
        <v>72555.796703296743</v>
      </c>
      <c r="F1175" s="11" cm="1">
        <f t="array" aca="1" ref="F1175" ca="1">INDEX('OD flujo mercancia carretera'!E$45:E$1646,MATCH(C1175&amp;D1175,'OD flujo mercancia carretera'!C$45:C$1646&amp;'OD flujo mercancia carretera'!D$45:D$1646,0))</f>
        <v>129528.9615384615</v>
      </c>
      <c r="G1175" s="11" cm="1">
        <f t="array" aca="1" ref="G1175" ca="1">INDEX('Coste Carretera'!E$46:E$1646,MATCH(C1175&amp;D1175,'Coste Carretera'!C$46:C$1646&amp;'Coste Carretera'!D$46:D$1646,0))</f>
        <v>9377194597.1485786</v>
      </c>
      <c r="H1175" s="11" cm="1">
        <f t="array" aca="1" ref="H1175" ca="1">INDEX('Coste multimodal'!E$46:E$1646,MATCH(C1175&amp;D1175,'Coste multimodal'!C$46:C$1646&amp;'Coste multimodal'!D$46:D$1646,0))</f>
        <v>411996550.34181863</v>
      </c>
      <c r="I1175" s="12" cm="1">
        <f t="array" aca="1" ref="I1175" ca="1">INDEX('Tiempos intermodal (horas)'!E$45:E$1645,MATCH(C1175&amp;D1175,'Tiempos intermodal (horas)'!C$45:C$1645&amp;'Tiempos intermodal (horas)'!D$45:D$1645,0))</f>
        <v>88.074140840840826</v>
      </c>
      <c r="J1175" s="2" cm="1">
        <f t="array" aca="1" ref="J1175" ca="1">INDEX('Tiempos carretera (horas)'!E$45:E$1645,MATCH(C1175&amp;D1175,'Tiempos carretera (horas)'!C$45:C$1645&amp;'Tiempos carretera (horas)'!D$45:D$1645,0))</f>
        <v>26</v>
      </c>
      <c r="K1175" s="12">
        <f t="shared" ca="1" si="108"/>
        <v>72.394578677789937</v>
      </c>
      <c r="L1175" s="12">
        <f t="shared" ca="1" si="109"/>
        <v>5.6783409329319463</v>
      </c>
      <c r="M1175" s="12">
        <f t="shared" ca="1" si="110"/>
        <v>0.35903646239612352</v>
      </c>
      <c r="N1175" s="13">
        <f t="shared" ca="1" si="112"/>
        <v>66.716237744857992</v>
      </c>
      <c r="O1175" s="13">
        <f t="shared" ca="1" si="113"/>
        <v>-62.074140840840826</v>
      </c>
      <c r="P1175" s="12">
        <f t="shared" ca="1" si="111"/>
        <v>0.57954862179567579</v>
      </c>
    </row>
    <row r="1176" spans="1:16" x14ac:dyDescent="0.25">
      <c r="A1176">
        <v>40</v>
      </c>
      <c r="B1176">
        <v>33</v>
      </c>
      <c r="C1176" s="2" t="s">
        <v>39</v>
      </c>
      <c r="D1176" s="2" t="s">
        <v>32</v>
      </c>
      <c r="E1176" s="11" cm="1">
        <f t="array" aca="1" ref="E1176" ca="1">INDEX('OD flujo mercancia multimodal'!E$45:E$1645,MATCH(C1176&amp;D1176,'OD flujo mercancia multimodal'!C$45:C$1645&amp;'OD flujo mercancia multimodal'!D$45:D$1645,0))</f>
        <v>66869.692307692269</v>
      </c>
      <c r="F1176" s="11" cm="1">
        <f t="array" aca="1" ref="F1176" ca="1">INDEX('OD flujo mercancia carretera'!E$45:E$1646,MATCH(C1176&amp;D1176,'OD flujo mercancia carretera'!C$45:C$1646&amp;'OD flujo mercancia carretera'!D$45:D$1646,0))</f>
        <v>199173.23589743592</v>
      </c>
      <c r="G1176" s="11" cm="1">
        <f t="array" aca="1" ref="G1176" ca="1">INDEX('Coste Carretera'!E$46:E$1646,MATCH(C1176&amp;D1176,'Coste Carretera'!C$46:C$1646&amp;'Coste Carretera'!D$46:D$1646,0))</f>
        <v>55031878.079999968</v>
      </c>
      <c r="H1176" s="11" cm="1">
        <f t="array" aca="1" ref="H1176" ca="1">INDEX('Coste multimodal'!E$46:E$1646,MATCH(C1176&amp;D1176,'Coste multimodal'!C$46:C$1646&amp;'Coste multimodal'!D$46:D$1646,0))</f>
        <v>133735660.77303761</v>
      </c>
      <c r="I1176" s="12" cm="1">
        <f t="array" aca="1" ref="I1176" ca="1">INDEX('Tiempos intermodal (horas)'!E$45:E$1645,MATCH(C1176&amp;D1176,'Tiempos intermodal (horas)'!C$45:C$1645&amp;'Tiempos intermodal (horas)'!D$45:D$1645,0))</f>
        <v>79.407371375281542</v>
      </c>
      <c r="J1176" s="2" cm="1">
        <f t="array" aca="1" ref="J1176" ca="1">INDEX('Tiempos carretera (horas)'!E$45:E$1645,MATCH(C1176&amp;D1176,'Tiempos carretera (horas)'!C$45:C$1645&amp;'Tiempos carretera (horas)'!D$45:D$1645,0))</f>
        <v>21.21</v>
      </c>
      <c r="K1176" s="12">
        <f t="shared" ca="1" si="108"/>
        <v>0.27630157150400758</v>
      </c>
      <c r="L1176" s="12">
        <f t="shared" ca="1" si="109"/>
        <v>1.9999443119563076</v>
      </c>
      <c r="M1176" s="12">
        <f t="shared" ca="1" si="110"/>
        <v>0.25134925689937321</v>
      </c>
      <c r="N1176" s="13">
        <f t="shared" ca="1" si="112"/>
        <v>-1.7236427404523</v>
      </c>
      <c r="O1176" s="13">
        <f t="shared" ca="1" si="113"/>
        <v>-58.197371375281541</v>
      </c>
      <c r="P1176" s="12">
        <f t="shared" ca="1" si="111"/>
        <v>1.0914291434742578</v>
      </c>
    </row>
    <row r="1177" spans="1:16" x14ac:dyDescent="0.25">
      <c r="A1177">
        <v>33</v>
      </c>
      <c r="B1177">
        <v>40</v>
      </c>
      <c r="C1177" s="2" t="s">
        <v>32</v>
      </c>
      <c r="D1177" s="2" t="s">
        <v>39</v>
      </c>
      <c r="E1177" s="11" cm="1">
        <f t="array" aca="1" ref="E1177" ca="1">INDEX('OD flujo mercancia multimodal'!E$45:E$1645,MATCH(C1177&amp;D1177,'OD flujo mercancia multimodal'!C$45:C$1645&amp;'OD flujo mercancia multimodal'!D$45:D$1645,0))</f>
        <v>39880.38461538461</v>
      </c>
      <c r="F1177" s="11" cm="1">
        <f t="array" aca="1" ref="F1177" ca="1">INDEX('OD flujo mercancia carretera'!E$45:E$1646,MATCH(C1177&amp;D1177,'OD flujo mercancia carretera'!C$45:C$1646&amp;'OD flujo mercancia carretera'!D$45:D$1646,0))</f>
        <v>165319.16336996341</v>
      </c>
      <c r="G1177" s="11" cm="1">
        <f t="array" aca="1" ref="G1177" ca="1">INDEX('Coste Carretera'!E$46:E$1646,MATCH(C1177&amp;D1177,'Coste Carretera'!C$46:C$1646&amp;'Coste Carretera'!D$46:D$1646,0))</f>
        <v>389677319.28000051</v>
      </c>
      <c r="H1177" s="11" cm="1">
        <f t="array" aca="1" ref="H1177" ca="1">INDEX('Coste multimodal'!E$46:E$1646,MATCH(C1177&amp;D1177,'Coste multimodal'!C$46:C$1646&amp;'Coste multimodal'!D$46:D$1646,0))</f>
        <v>143611667.06742454</v>
      </c>
      <c r="I1177" s="12" cm="1">
        <f t="array" aca="1" ref="I1177" ca="1">INDEX('Tiempos intermodal (horas)'!E$45:E$1645,MATCH(C1177&amp;D1177,'Tiempos intermodal (horas)'!C$45:C$1645&amp;'Tiempos intermodal (horas)'!D$45:D$1645,0))</f>
        <v>89.281290979260518</v>
      </c>
      <c r="J1177" s="2" cm="1">
        <f t="array" aca="1" ref="J1177" ca="1">INDEX('Tiempos carretera (horas)'!E$45:E$1645,MATCH(C1177&amp;D1177,'Tiempos carretera (horas)'!C$45:C$1645&amp;'Tiempos carretera (horas)'!D$45:D$1645,0))</f>
        <v>23.28</v>
      </c>
      <c r="K1177" s="12">
        <f t="shared" ca="1" si="108"/>
        <v>2.3571212879171903</v>
      </c>
      <c r="L1177" s="12">
        <f t="shared" ca="1" si="109"/>
        <v>3.6010602318018679</v>
      </c>
      <c r="M1177" s="12">
        <f t="shared" ca="1" si="110"/>
        <v>0.19434928101416776</v>
      </c>
      <c r="N1177" s="13">
        <f t="shared" ca="1" si="112"/>
        <v>-1.2439389438846775</v>
      </c>
      <c r="O1177" s="13">
        <f t="shared" ca="1" si="113"/>
        <v>-66.001290979260517</v>
      </c>
      <c r="P1177" s="12">
        <f t="shared" ca="1" si="111"/>
        <v>1.4219933395955904</v>
      </c>
    </row>
    <row r="1178" spans="1:16" x14ac:dyDescent="0.25">
      <c r="A1178">
        <v>32</v>
      </c>
      <c r="B1178">
        <v>40</v>
      </c>
      <c r="C1178" s="2" t="s">
        <v>31</v>
      </c>
      <c r="D1178" s="2" t="s">
        <v>39</v>
      </c>
      <c r="E1178" s="11" cm="1">
        <f t="array" aca="1" ref="E1178" ca="1">INDEX('OD flujo mercancia multimodal'!E$45:E$1645,MATCH(C1178&amp;D1178,'OD flujo mercancia multimodal'!C$45:C$1645&amp;'OD flujo mercancia multimodal'!D$45:D$1645,0))</f>
        <v>9830.8461538461543</v>
      </c>
      <c r="F1178" s="11" cm="1">
        <f t="array" aca="1" ref="F1178" ca="1">INDEX('OD flujo mercancia carretera'!E$45:E$1646,MATCH(C1178&amp;D1178,'OD flujo mercancia carretera'!C$45:C$1646&amp;'OD flujo mercancia carretera'!D$45:D$1646,0))</f>
        <v>119208.74285714289</v>
      </c>
      <c r="G1178" s="11" cm="1">
        <f t="array" aca="1" ref="G1178" ca="1">INDEX('Coste Carretera'!E$46:E$1646,MATCH(C1178&amp;D1178,'Coste Carretera'!C$46:C$1646&amp;'Coste Carretera'!D$46:D$1646,0))</f>
        <v>618413243.40000045</v>
      </c>
      <c r="H1178" s="11" cm="1">
        <f t="array" aca="1" ref="H1178" ca="1">INDEX('Coste multimodal'!E$46:E$1646,MATCH(C1178&amp;D1178,'Coste multimodal'!C$46:C$1646&amp;'Coste multimodal'!D$46:D$1646,0))</f>
        <v>1071372063.9714243</v>
      </c>
      <c r="I1178" s="12" cm="1">
        <f t="array" aca="1" ref="I1178" ca="1">INDEX('Tiempos intermodal (horas)'!E$45:E$1645,MATCH(C1178&amp;D1178,'Tiempos intermodal (horas)'!C$45:C$1645&amp;'Tiempos intermodal (horas)'!D$45:D$1645,0))</f>
        <v>90.589068757038291</v>
      </c>
      <c r="J1178" s="2" cm="1">
        <f t="array" aca="1" ref="J1178" ca="1">INDEX('Tiempos carretera (horas)'!E$45:E$1645,MATCH(C1178&amp;D1178,'Tiempos carretera (horas)'!C$45:C$1645&amp;'Tiempos carretera (horas)'!D$45:D$1645,0))</f>
        <v>24</v>
      </c>
      <c r="K1178" s="12">
        <f t="shared" ref="K1178:K1241" ca="1" si="114">G1178/(F1178*1000)</f>
        <v>5.1876500714473028</v>
      </c>
      <c r="L1178" s="12">
        <f t="shared" ref="L1178:L1241" ca="1" si="115">H1178/(E1178*1000)</f>
        <v>108.9806561108952</v>
      </c>
      <c r="M1178" s="12">
        <f t="shared" ref="M1178:M1241" ca="1" si="116">E1178/(E1178+F1178)</f>
        <v>7.6184729269472146E-2</v>
      </c>
      <c r="N1178" s="13">
        <f t="shared" ca="1" si="112"/>
        <v>-103.79300603944789</v>
      </c>
      <c r="O1178" s="13">
        <f t="shared" ca="1" si="113"/>
        <v>-66.589068757038291</v>
      </c>
      <c r="P1178" s="12">
        <f t="shared" ref="P1178:P1241" ca="1" si="117">LN(1/M1178-1)</f>
        <v>2.4953510888811059</v>
      </c>
    </row>
    <row r="1179" spans="1:16" x14ac:dyDescent="0.25">
      <c r="A1179">
        <v>40</v>
      </c>
      <c r="B1179">
        <v>32</v>
      </c>
      <c r="C1179" s="2" t="s">
        <v>39</v>
      </c>
      <c r="D1179" s="2" t="s">
        <v>31</v>
      </c>
      <c r="E1179" s="11" cm="1">
        <f t="array" aca="1" ref="E1179" ca="1">INDEX('OD flujo mercancia multimodal'!E$45:E$1645,MATCH(C1179&amp;D1179,'OD flujo mercancia multimodal'!C$45:C$1645&amp;'OD flujo mercancia multimodal'!D$45:D$1645,0))</f>
        <v>3192.3076923076924</v>
      </c>
      <c r="F1179" s="11" cm="1">
        <f t="array" aca="1" ref="F1179" ca="1">INDEX('OD flujo mercancia carretera'!E$45:E$1646,MATCH(C1179&amp;D1179,'OD flujo mercancia carretera'!C$45:C$1646&amp;'OD flujo mercancia carretera'!D$45:D$1646,0))</f>
        <v>149463.01282051281</v>
      </c>
      <c r="G1179" s="11" cm="1">
        <f t="array" aca="1" ref="G1179" ca="1">INDEX('Coste Carretera'!E$46:E$1646,MATCH(C1179&amp;D1179,'Coste Carretera'!C$46:C$1646&amp;'Coste Carretera'!D$46:D$1646,0))</f>
        <v>299551035.84000015</v>
      </c>
      <c r="H1179" s="11" cm="1">
        <f t="array" aca="1" ref="H1179" ca="1">INDEX('Coste multimodal'!E$46:E$1646,MATCH(C1179&amp;D1179,'Coste multimodal'!C$46:C$1646&amp;'Coste multimodal'!D$46:D$1646,0))</f>
        <v>1061496057.6770375</v>
      </c>
      <c r="I1179" s="12" cm="1">
        <f t="array" aca="1" ref="I1179" ca="1">INDEX('Tiempos intermodal (horas)'!E$45:E$1645,MATCH(C1179&amp;D1179,'Tiempos intermodal (horas)'!C$45:C$1645&amp;'Tiempos intermodal (horas)'!D$45:D$1645,0))</f>
        <v>80.715149153059315</v>
      </c>
      <c r="J1179" s="2" cm="1">
        <f t="array" aca="1" ref="J1179" ca="1">INDEX('Tiempos carretera (horas)'!E$45:E$1645,MATCH(C1179&amp;D1179,'Tiempos carretera (horas)'!C$45:C$1645&amp;'Tiempos carretera (horas)'!D$45:D$1645,0))</f>
        <v>22.26</v>
      </c>
      <c r="K1179" s="12">
        <f t="shared" ca="1" si="114"/>
        <v>2.0041817048056236</v>
      </c>
      <c r="L1179" s="12">
        <f t="shared" ca="1" si="115"/>
        <v>332.51683734461415</v>
      </c>
      <c r="M1179" s="12">
        <f t="shared" ca="1" si="116"/>
        <v>2.0911866560455662E-2</v>
      </c>
      <c r="N1179" s="13">
        <f t="shared" ca="1" si="112"/>
        <v>-330.51265563980854</v>
      </c>
      <c r="O1179" s="13">
        <f t="shared" ca="1" si="113"/>
        <v>-58.45514915305931</v>
      </c>
      <c r="P1179" s="12">
        <f t="shared" ca="1" si="117"/>
        <v>3.8463048865628835</v>
      </c>
    </row>
    <row r="1180" spans="1:16" x14ac:dyDescent="0.25">
      <c r="A1180">
        <v>40</v>
      </c>
      <c r="B1180">
        <v>6</v>
      </c>
      <c r="C1180" s="2" t="s">
        <v>39</v>
      </c>
      <c r="D1180" s="2" t="s">
        <v>5</v>
      </c>
      <c r="E1180" s="11" cm="1">
        <f t="array" aca="1" ref="E1180" ca="1">INDEX('OD flujo mercancia multimodal'!E$45:E$1645,MATCH(C1180&amp;D1180,'OD flujo mercancia multimodal'!C$45:C$1645&amp;'OD flujo mercancia multimodal'!D$45:D$1645,0))</f>
        <v>15907.708791208777</v>
      </c>
      <c r="F1180" s="11" cm="1">
        <f t="array" aca="1" ref="F1180" ca="1">INDEX('OD flujo mercancia carretera'!E$45:E$1646,MATCH(C1180&amp;D1180,'OD flujo mercancia carretera'!C$45:C$1646&amp;'OD flujo mercancia carretera'!D$45:D$1646,0))</f>
        <v>228321.28571428583</v>
      </c>
      <c r="G1180" s="11" cm="1">
        <f t="array" aca="1" ref="G1180" ca="1">INDEX('Coste Carretera'!E$46:E$1646,MATCH(C1180&amp;D1180,'Coste Carretera'!C$46:C$1646&amp;'Coste Carretera'!D$46:D$1646,0))</f>
        <v>1846434948.4285691</v>
      </c>
      <c r="H1180" s="11" cm="1">
        <f t="array" aca="1" ref="H1180" ca="1">INDEX('Coste multimodal'!E$46:E$1646,MATCH(C1180&amp;D1180,'Coste multimodal'!C$46:C$1646&amp;'Coste multimodal'!D$46:D$1646,0))</f>
        <v>491425670.2947585</v>
      </c>
      <c r="I1180" s="12" cm="1">
        <f t="array" aca="1" ref="I1180" ca="1">INDEX('Tiempos intermodal (horas)'!E$45:E$1645,MATCH(C1180&amp;D1180,'Tiempos intermodal (horas)'!C$45:C$1645&amp;'Tiempos intermodal (horas)'!D$45:D$1645,0))</f>
        <v>80.813737682995495</v>
      </c>
      <c r="J1180" s="2" cm="1">
        <f t="array" aca="1" ref="J1180" ca="1">INDEX('Tiempos carretera (horas)'!E$45:E$1645,MATCH(C1180&amp;D1180,'Tiempos carretera (horas)'!C$45:C$1645&amp;'Tiempos carretera (horas)'!D$45:D$1645,0))</f>
        <v>26</v>
      </c>
      <c r="K1180" s="12">
        <f t="shared" ca="1" si="114"/>
        <v>8.0870031134072207</v>
      </c>
      <c r="L1180" s="12">
        <f t="shared" ca="1" si="115"/>
        <v>30.892297360028337</v>
      </c>
      <c r="M1180" s="12">
        <f t="shared" ca="1" si="116"/>
        <v>6.5134399064362067E-2</v>
      </c>
      <c r="N1180" s="13">
        <f t="shared" ca="1" si="112"/>
        <v>-22.805294246621116</v>
      </c>
      <c r="O1180" s="13">
        <f t="shared" ca="1" si="113"/>
        <v>-54.813737682995495</v>
      </c>
      <c r="P1180" s="12">
        <f t="shared" ca="1" si="117"/>
        <v>2.663949963536941</v>
      </c>
    </row>
    <row r="1181" spans="1:16" x14ac:dyDescent="0.25">
      <c r="A1181">
        <v>41</v>
      </c>
      <c r="B1181">
        <v>6</v>
      </c>
      <c r="C1181" s="2" t="s">
        <v>40</v>
      </c>
      <c r="D1181" s="2" t="s">
        <v>5</v>
      </c>
      <c r="E1181" s="11" cm="1">
        <f t="array" aca="1" ref="E1181" ca="1">INDEX('OD flujo mercancia multimodal'!E$45:E$1645,MATCH(C1181&amp;D1181,'OD flujo mercancia multimodal'!C$45:C$1645&amp;'OD flujo mercancia multimodal'!D$45:D$1645,0))</f>
        <v>20883.939560439547</v>
      </c>
      <c r="F1181" s="11" cm="1">
        <f t="array" aca="1" ref="F1181" ca="1">INDEX('OD flujo mercancia carretera'!E$45:E$1646,MATCH(C1181&amp;D1181,'OD flujo mercancia carretera'!C$45:C$1646&amp;'OD flujo mercancia carretera'!D$45:D$1646,0))</f>
        <v>195318.27289377298</v>
      </c>
      <c r="G1181" s="11" cm="1">
        <f t="array" aca="1" ref="G1181" ca="1">INDEX('Coste Carretera'!E$46:E$1646,MATCH(C1181&amp;D1181,'Coste Carretera'!C$46:C$1646&amp;'Coste Carretera'!D$46:D$1646,0))</f>
        <v>2396136178.8685689</v>
      </c>
      <c r="H1181" s="11" cm="1">
        <f t="array" aca="1" ref="H1181" ca="1">INDEX('Coste multimodal'!E$46:E$1646,MATCH(C1181&amp;D1181,'Coste multimodal'!C$46:C$1646&amp;'Coste multimodal'!D$46:D$1646,0))</f>
        <v>531453324.10467577</v>
      </c>
      <c r="I1181" s="12" cm="1">
        <f t="array" aca="1" ref="I1181" ca="1">INDEX('Tiempos intermodal (horas)'!E$45:E$1645,MATCH(C1181&amp;D1181,'Tiempos intermodal (horas)'!C$45:C$1645&amp;'Tiempos intermodal (horas)'!D$45:D$1645,0))</f>
        <v>90.618585285285278</v>
      </c>
      <c r="J1181" s="2" cm="1">
        <f t="array" aca="1" ref="J1181" ca="1">INDEX('Tiempos carretera (horas)'!E$45:E$1645,MATCH(C1181&amp;D1181,'Tiempos carretera (horas)'!C$45:C$1645&amp;'Tiempos carretera (horas)'!D$45:D$1645,0))</f>
        <v>28</v>
      </c>
      <c r="K1181" s="12">
        <f t="shared" ca="1" si="114"/>
        <v>12.267854632176409</v>
      </c>
      <c r="L1181" s="12">
        <f t="shared" ca="1" si="115"/>
        <v>25.447943984257069</v>
      </c>
      <c r="M1181" s="12">
        <f t="shared" ca="1" si="116"/>
        <v>9.6594476640068441E-2</v>
      </c>
      <c r="N1181" s="13">
        <f t="shared" ca="1" si="112"/>
        <v>-13.18008935208066</v>
      </c>
      <c r="O1181" s="13">
        <f t="shared" ca="1" si="113"/>
        <v>-62.618585285285278</v>
      </c>
      <c r="P1181" s="12">
        <f t="shared" ca="1" si="117"/>
        <v>2.2356499752264609</v>
      </c>
    </row>
    <row r="1182" spans="1:16" x14ac:dyDescent="0.25">
      <c r="A1182">
        <v>11</v>
      </c>
      <c r="B1182">
        <v>15</v>
      </c>
      <c r="C1182" s="2" t="s">
        <v>10</v>
      </c>
      <c r="D1182" s="2" t="s">
        <v>14</v>
      </c>
      <c r="E1182" s="11" cm="1">
        <f t="array" aca="1" ref="E1182" ca="1">INDEX('OD flujo mercancia multimodal'!E$45:E$1645,MATCH(C1182&amp;D1182,'OD flujo mercancia multimodal'!C$45:C$1645&amp;'OD flujo mercancia multimodal'!D$45:D$1645,0))</f>
        <v>58412.538461538425</v>
      </c>
      <c r="F1182" s="11" cm="1">
        <f t="array" aca="1" ref="F1182" ca="1">INDEX('OD flujo mercancia carretera'!E$45:E$1646,MATCH(C1182&amp;D1182,'OD flujo mercancia carretera'!C$45:C$1646&amp;'OD flujo mercancia carretera'!D$45:D$1646,0))</f>
        <v>390045.69230769284</v>
      </c>
      <c r="G1182" s="11" cm="1">
        <f t="array" aca="1" ref="G1182" ca="1">INDEX('Coste Carretera'!E$46:E$1646,MATCH(C1182&amp;D1182,'Coste Carretera'!C$46:C$1646&amp;'Coste Carretera'!D$46:D$1646,0))</f>
        <v>3162929142.119998</v>
      </c>
      <c r="H1182" s="11" cm="1">
        <f t="array" aca="1" ref="H1182" ca="1">INDEX('Coste multimodal'!E$46:E$1646,MATCH(C1182&amp;D1182,'Coste multimodal'!C$46:C$1646&amp;'Coste multimodal'!D$46:D$1646,0))</f>
        <v>2105192143.4396071</v>
      </c>
      <c r="I1182" s="12" cm="1">
        <f t="array" aca="1" ref="I1182" ca="1">INDEX('Tiempos intermodal (horas)'!E$45:E$1645,MATCH(C1182&amp;D1182,'Tiempos intermodal (horas)'!C$45:C$1645&amp;'Tiempos intermodal (horas)'!D$45:D$1645,0))</f>
        <v>76.217467975788296</v>
      </c>
      <c r="J1182" s="2" cm="1">
        <f t="array" aca="1" ref="J1182" ca="1">INDEX('Tiempos carretera (horas)'!E$45:E$1645,MATCH(C1182&amp;D1182,'Tiempos carretera (horas)'!C$45:C$1645&amp;'Tiempos carretera (horas)'!D$45:D$1645,0))</f>
        <v>10</v>
      </c>
      <c r="K1182" s="12">
        <f t="shared" ca="1" si="114"/>
        <v>8.1091246602587237</v>
      </c>
      <c r="L1182" s="12">
        <f t="shared" ca="1" si="115"/>
        <v>36.040072883080832</v>
      </c>
      <c r="M1182" s="12">
        <f t="shared" ca="1" si="116"/>
        <v>0.13025190408780007</v>
      </c>
      <c r="N1182" s="13">
        <f t="shared" ca="1" si="112"/>
        <v>-27.93094822282211</v>
      </c>
      <c r="O1182" s="13">
        <f t="shared" ca="1" si="113"/>
        <v>-66.217467975788296</v>
      </c>
      <c r="P1182" s="12">
        <f t="shared" ca="1" si="117"/>
        <v>1.8987333255509582</v>
      </c>
    </row>
    <row r="1183" spans="1:16" x14ac:dyDescent="0.25">
      <c r="A1183">
        <v>15</v>
      </c>
      <c r="B1183">
        <v>11</v>
      </c>
      <c r="C1183" s="2" t="s">
        <v>14</v>
      </c>
      <c r="D1183" s="2" t="s">
        <v>10</v>
      </c>
      <c r="E1183" s="11" cm="1">
        <f t="array" aca="1" ref="E1183" ca="1">INDEX('OD flujo mercancia multimodal'!E$45:E$1645,MATCH(C1183&amp;D1183,'OD flujo mercancia multimodal'!C$45:C$1645&amp;'OD flujo mercancia multimodal'!D$45:D$1645,0))</f>
        <v>47511.153846153829</v>
      </c>
      <c r="F1183" s="11" cm="1">
        <f t="array" aca="1" ref="F1183" ca="1">INDEX('OD flujo mercancia carretera'!E$45:E$1646,MATCH(C1183&amp;D1183,'OD flujo mercancia carretera'!C$45:C$1646&amp;'OD flujo mercancia carretera'!D$45:D$1646,0))</f>
        <v>392693.92307692312</v>
      </c>
      <c r="G1183" s="11" cm="1">
        <f t="array" aca="1" ref="G1183" ca="1">INDEX('Coste Carretera'!E$46:E$1646,MATCH(C1183&amp;D1183,'Coste Carretera'!C$46:C$1646&amp;'Coste Carretera'!D$46:D$1646,0))</f>
        <v>2572639659.7999992</v>
      </c>
      <c r="H1183" s="11" cm="1">
        <f t="array" aca="1" ref="H1183" ca="1">INDEX('Coste multimodal'!E$46:E$1646,MATCH(C1183&amp;D1183,'Coste multimodal'!C$46:C$1646&amp;'Coste multimodal'!D$46:D$1646,0))</f>
        <v>2105192143.4396071</v>
      </c>
      <c r="I1183" s="12" cm="1">
        <f t="array" aca="1" ref="I1183" ca="1">INDEX('Tiempos intermodal (horas)'!E$45:E$1645,MATCH(C1183&amp;D1183,'Tiempos intermodal (horas)'!C$45:C$1645&amp;'Tiempos intermodal (horas)'!D$45:D$1645,0))</f>
        <v>76.217467975788296</v>
      </c>
      <c r="J1183" s="2" cm="1">
        <f t="array" aca="1" ref="J1183" ca="1">INDEX('Tiempos carretera (horas)'!E$45:E$1645,MATCH(C1183&amp;D1183,'Tiempos carretera (horas)'!C$45:C$1645&amp;'Tiempos carretera (horas)'!D$45:D$1645,0))</f>
        <v>10</v>
      </c>
      <c r="K1183" s="12">
        <f t="shared" ca="1" si="114"/>
        <v>6.5512591578761352</v>
      </c>
      <c r="L1183" s="12">
        <f t="shared" ca="1" si="115"/>
        <v>44.309429955257308</v>
      </c>
      <c r="M1183" s="12">
        <f t="shared" ca="1" si="116"/>
        <v>0.10792959085852638</v>
      </c>
      <c r="N1183" s="13">
        <f t="shared" ca="1" si="112"/>
        <v>-37.758170797381169</v>
      </c>
      <c r="O1183" s="13">
        <f t="shared" ca="1" si="113"/>
        <v>-66.217467975788296</v>
      </c>
      <c r="P1183" s="12">
        <f t="shared" ca="1" si="117"/>
        <v>2.1120659854538997</v>
      </c>
    </row>
    <row r="1184" spans="1:16" x14ac:dyDescent="0.25">
      <c r="A1184">
        <v>23</v>
      </c>
      <c r="B1184">
        <v>17</v>
      </c>
      <c r="C1184" s="2" t="s">
        <v>22</v>
      </c>
      <c r="D1184" s="2" t="s">
        <v>16</v>
      </c>
      <c r="E1184" s="11" cm="1">
        <f t="array" aca="1" ref="E1184" ca="1">INDEX('OD flujo mercancia multimodal'!E$45:E$1645,MATCH(C1184&amp;D1184,'OD flujo mercancia multimodal'!C$45:C$1645&amp;'OD flujo mercancia multimodal'!D$45:D$1645,0))</f>
        <v>65276.846153846163</v>
      </c>
      <c r="F1184" s="11" cm="1">
        <f t="array" aca="1" ref="F1184" ca="1">INDEX('OD flujo mercancia carretera'!E$45:E$1646,MATCH(C1184&amp;D1184,'OD flujo mercancia carretera'!C$45:C$1646&amp;'OD flujo mercancia carretera'!D$45:D$1646,0))</f>
        <v>280477.20512820466</v>
      </c>
      <c r="G1184" s="11" cm="1">
        <f t="array" aca="1" ref="G1184" ca="1">INDEX('Coste Carretera'!E$46:E$1646,MATCH(C1184&amp;D1184,'Coste Carretera'!C$46:C$1646&amp;'Coste Carretera'!D$46:D$1646,0))</f>
        <v>5313926938</v>
      </c>
      <c r="H1184" s="11" cm="1">
        <f t="array" aca="1" ref="H1184" ca="1">INDEX('Coste multimodal'!E$46:E$1646,MATCH(C1184&amp;D1184,'Coste multimodal'!C$46:C$1646&amp;'Coste multimodal'!D$46:D$1646,0))</f>
        <v>771507908.68415344</v>
      </c>
      <c r="I1184" s="12" cm="1">
        <f t="array" aca="1" ref="I1184" ca="1">INDEX('Tiempos intermodal (horas)'!E$45:E$1645,MATCH(C1184&amp;D1184,'Tiempos intermodal (horas)'!C$45:C$1645&amp;'Tiempos intermodal (horas)'!D$45:D$1645,0))</f>
        <v>81.85117705987237</v>
      </c>
      <c r="J1184" s="2" cm="1">
        <f t="array" aca="1" ref="J1184" ca="1">INDEX('Tiempos carretera (horas)'!E$45:E$1645,MATCH(C1184&amp;D1184,'Tiempos carretera (horas)'!C$45:C$1645&amp;'Tiempos carretera (horas)'!D$45:D$1645,0))</f>
        <v>15.51</v>
      </c>
      <c r="K1184" s="12">
        <f t="shared" ca="1" si="114"/>
        <v>18.946020713416022</v>
      </c>
      <c r="L1184" s="12">
        <f t="shared" ca="1" si="115"/>
        <v>11.81901323580866</v>
      </c>
      <c r="M1184" s="12">
        <f t="shared" ca="1" si="116"/>
        <v>0.18879560748977661</v>
      </c>
      <c r="N1184" s="13">
        <f t="shared" ca="1" si="112"/>
        <v>7.1270074776073624</v>
      </c>
      <c r="O1184" s="13">
        <f t="shared" ca="1" si="113"/>
        <v>-66.341177059872365</v>
      </c>
      <c r="P1184" s="12">
        <f t="shared" ca="1" si="117"/>
        <v>1.4578550596259781</v>
      </c>
    </row>
    <row r="1185" spans="1:16" x14ac:dyDescent="0.25">
      <c r="A1185">
        <v>17</v>
      </c>
      <c r="B1185">
        <v>23</v>
      </c>
      <c r="C1185" s="2" t="s">
        <v>16</v>
      </c>
      <c r="D1185" s="2" t="s">
        <v>22</v>
      </c>
      <c r="E1185" s="11" cm="1">
        <f t="array" aca="1" ref="E1185" ca="1">INDEX('OD flujo mercancia multimodal'!E$45:E$1645,MATCH(C1185&amp;D1185,'OD flujo mercancia multimodal'!C$45:C$1645&amp;'OD flujo mercancia multimodal'!D$45:D$1645,0))</f>
        <v>60635.538461538468</v>
      </c>
      <c r="F1185" s="11" cm="1">
        <f t="array" aca="1" ref="F1185" ca="1">INDEX('OD flujo mercancia carretera'!E$45:E$1646,MATCH(C1185&amp;D1185,'OD flujo mercancia carretera'!C$45:C$1646&amp;'OD flujo mercancia carretera'!D$45:D$1646,0))</f>
        <v>639092.43589743623</v>
      </c>
      <c r="G1185" s="11" cm="1">
        <f t="array" aca="1" ref="G1185" ca="1">INDEX('Coste Carretera'!E$46:E$1646,MATCH(C1185&amp;D1185,'Coste Carretera'!C$46:C$1646&amp;'Coste Carretera'!D$46:D$1646,0))</f>
        <v>4936096644.000001</v>
      </c>
      <c r="H1185" s="11" cm="1">
        <f t="array" aca="1" ref="H1185" ca="1">INDEX('Coste multimodal'!E$46:E$1646,MATCH(C1185&amp;D1185,'Coste multimodal'!C$46:C$1646&amp;'Coste multimodal'!D$46:D$1646,0))</f>
        <v>771507908.68415344</v>
      </c>
      <c r="I1185" s="12" cm="1">
        <f t="array" aca="1" ref="I1185" ca="1">INDEX('Tiempos intermodal (horas)'!E$45:E$1645,MATCH(C1185&amp;D1185,'Tiempos intermodal (horas)'!C$45:C$1645&amp;'Tiempos intermodal (horas)'!D$45:D$1645,0))</f>
        <v>81.85117705987237</v>
      </c>
      <c r="J1185" s="2" cm="1">
        <f t="array" aca="1" ref="J1185" ca="1">INDEX('Tiempos carretera (horas)'!E$45:E$1645,MATCH(C1185&amp;D1185,'Tiempos carretera (horas)'!C$45:C$1645&amp;'Tiempos carretera (horas)'!D$45:D$1645,0))</f>
        <v>15.51</v>
      </c>
      <c r="K1185" s="12">
        <f t="shared" ca="1" si="114"/>
        <v>7.7236036084022164</v>
      </c>
      <c r="L1185" s="12">
        <f t="shared" ca="1" si="115"/>
        <v>12.723691885304623</v>
      </c>
      <c r="M1185" s="12">
        <f t="shared" ca="1" si="116"/>
        <v>8.66558729727607E-2</v>
      </c>
      <c r="N1185" s="13">
        <f t="shared" ca="1" si="112"/>
        <v>-5.0000882769024066</v>
      </c>
      <c r="O1185" s="13">
        <f t="shared" ca="1" si="113"/>
        <v>-66.341177059872365</v>
      </c>
      <c r="P1185" s="12">
        <f t="shared" ca="1" si="117"/>
        <v>2.3551679365878613</v>
      </c>
    </row>
    <row r="1186" spans="1:16" x14ac:dyDescent="0.25">
      <c r="A1186">
        <v>41</v>
      </c>
      <c r="B1186">
        <v>8</v>
      </c>
      <c r="C1186" s="2" t="s">
        <v>40</v>
      </c>
      <c r="D1186" s="2" t="s">
        <v>7</v>
      </c>
      <c r="E1186" s="11" cm="1">
        <f t="array" aca="1" ref="E1186" ca="1">INDEX('OD flujo mercancia multimodal'!E$45:E$1645,MATCH(C1186&amp;D1186,'OD flujo mercancia multimodal'!C$45:C$1645&amp;'OD flujo mercancia multimodal'!D$45:D$1645,0))</f>
        <v>42281.010989010945</v>
      </c>
      <c r="F1186" s="11" cm="1">
        <f t="array" aca="1" ref="F1186" ca="1">INDEX('OD flujo mercancia carretera'!E$45:E$1646,MATCH(C1186&amp;D1186,'OD flujo mercancia carretera'!C$45:C$1646&amp;'OD flujo mercancia carretera'!D$45:D$1646,0))</f>
        <v>186462.34615384601</v>
      </c>
      <c r="G1186" s="11" cm="1">
        <f t="array" aca="1" ref="G1186" ca="1">INDEX('Coste Carretera'!E$46:E$1646,MATCH(C1186&amp;D1186,'Coste Carretera'!C$46:C$1646&amp;'Coste Carretera'!D$46:D$1646,0))</f>
        <v>4896158395.7999945</v>
      </c>
      <c r="H1186" s="11" cm="1">
        <f t="array" aca="1" ref="H1186" ca="1">INDEX('Coste multimodal'!E$46:E$1646,MATCH(C1186&amp;D1186,'Coste multimodal'!C$46:C$1646&amp;'Coste multimodal'!D$46:D$1646,0))</f>
        <v>330510707.41182733</v>
      </c>
      <c r="I1186" s="12" cm="1">
        <f t="array" aca="1" ref="I1186" ca="1">INDEX('Tiempos intermodal (horas)'!E$45:E$1645,MATCH(C1186&amp;D1186,'Tiempos intermodal (horas)'!C$45:C$1645&amp;'Tiempos intermodal (horas)'!D$45:D$1645,0))</f>
        <v>27.859885986621386</v>
      </c>
      <c r="J1186" s="2" cm="1">
        <f t="array" aca="1" ref="J1186" ca="1">INDEX('Tiempos carretera (horas)'!E$45:E$1645,MATCH(C1186&amp;D1186,'Tiempos carretera (horas)'!C$45:C$1645&amp;'Tiempos carretera (horas)'!D$45:D$1645,0))</f>
        <v>24</v>
      </c>
      <c r="K1186" s="12">
        <f t="shared" ca="1" si="114"/>
        <v>26.25816148296386</v>
      </c>
      <c r="L1186" s="12">
        <f t="shared" ca="1" si="115"/>
        <v>7.8170010527356784</v>
      </c>
      <c r="M1186" s="12">
        <f t="shared" ca="1" si="116"/>
        <v>0.18484038844723788</v>
      </c>
      <c r="N1186" s="13">
        <f t="shared" ca="1" si="112"/>
        <v>18.44116043022818</v>
      </c>
      <c r="O1186" s="13">
        <f t="shared" ca="1" si="113"/>
        <v>-3.8598859866213857</v>
      </c>
      <c r="P1186" s="12">
        <f t="shared" ca="1" si="117"/>
        <v>1.4838912489300731</v>
      </c>
    </row>
    <row r="1187" spans="1:16" x14ac:dyDescent="0.25">
      <c r="A1187">
        <v>8</v>
      </c>
      <c r="B1187">
        <v>41</v>
      </c>
      <c r="C1187" s="2" t="s">
        <v>7</v>
      </c>
      <c r="D1187" s="2" t="s">
        <v>40</v>
      </c>
      <c r="E1187" s="11" cm="1">
        <f t="array" aca="1" ref="E1187" ca="1">INDEX('OD flujo mercancia multimodal'!E$45:E$1645,MATCH(C1187&amp;D1187,'OD flujo mercancia multimodal'!C$45:C$1645&amp;'OD flujo mercancia multimodal'!D$45:D$1645,0))</f>
        <v>29042.33516483516</v>
      </c>
      <c r="F1187" s="11" cm="1">
        <f t="array" aca="1" ref="F1187" ca="1">INDEX('OD flujo mercancia carretera'!E$45:E$1646,MATCH(C1187&amp;D1187,'OD flujo mercancia carretera'!C$45:C$1646&amp;'OD flujo mercancia carretera'!D$45:D$1646,0))</f>
        <v>137901.41575091577</v>
      </c>
      <c r="G1187" s="11" cm="1">
        <f t="array" aca="1" ref="G1187" ca="1">INDEX('Coste Carretera'!E$46:E$1646,MATCH(C1187&amp;D1187,'Coste Carretera'!C$46:C$1646&amp;'Coste Carretera'!D$46:D$1646,0))</f>
        <v>2183522304.7199998</v>
      </c>
      <c r="H1187" s="11" cm="1">
        <f t="array" aca="1" ref="H1187" ca="1">INDEX('Coste multimodal'!E$46:E$1646,MATCH(C1187&amp;D1187,'Coste multimodal'!C$46:C$1646&amp;'Coste multimodal'!D$46:D$1646,0))</f>
        <v>435489450.07116866</v>
      </c>
      <c r="I1187" s="12" cm="1">
        <f t="array" aca="1" ref="I1187" ca="1">INDEX('Tiempos intermodal (horas)'!E$45:E$1645,MATCH(C1187&amp;D1187,'Tiempos intermodal (horas)'!C$45:C$1645&amp;'Tiempos intermodal (horas)'!D$45:D$1645,0))</f>
        <v>91.475398842201571</v>
      </c>
      <c r="J1187" s="2" cm="1">
        <f t="array" aca="1" ref="J1187" ca="1">INDEX('Tiempos carretera (horas)'!E$45:E$1645,MATCH(C1187&amp;D1187,'Tiempos carretera (horas)'!C$45:C$1645&amp;'Tiempos carretera (horas)'!D$45:D$1645,0))</f>
        <v>26</v>
      </c>
      <c r="K1187" s="12">
        <f t="shared" ca="1" si="114"/>
        <v>15.833936822403505</v>
      </c>
      <c r="L1187" s="12">
        <f t="shared" ca="1" si="115"/>
        <v>14.994987407158121</v>
      </c>
      <c r="M1187" s="12">
        <f t="shared" ca="1" si="116"/>
        <v>0.17396479356386052</v>
      </c>
      <c r="N1187" s="13">
        <f t="shared" ca="1" si="112"/>
        <v>0.83894941524538424</v>
      </c>
      <c r="O1187" s="13">
        <f t="shared" ca="1" si="113"/>
        <v>-65.475398842201571</v>
      </c>
      <c r="P1187" s="12">
        <f t="shared" ca="1" si="117"/>
        <v>1.557784452514706</v>
      </c>
    </row>
    <row r="1188" spans="1:16" x14ac:dyDescent="0.25">
      <c r="A1188">
        <v>38</v>
      </c>
      <c r="B1188">
        <v>5</v>
      </c>
      <c r="C1188" s="2" t="s">
        <v>37</v>
      </c>
      <c r="D1188" s="2" t="s">
        <v>4</v>
      </c>
      <c r="E1188" s="11" cm="1">
        <f t="array" aca="1" ref="E1188" ca="1">INDEX('OD flujo mercancia multimodal'!E$45:E$1645,MATCH(C1188&amp;D1188,'OD flujo mercancia multimodal'!C$45:C$1645&amp;'OD flujo mercancia multimodal'!D$45:D$1645,0))</f>
        <v>64898.642857142899</v>
      </c>
      <c r="F1188" s="11" cm="1">
        <f t="array" aca="1" ref="F1188" ca="1">INDEX('OD flujo mercancia carretera'!E$45:E$1646,MATCH(C1188&amp;D1188,'OD flujo mercancia carretera'!C$45:C$1646&amp;'OD flujo mercancia carretera'!D$45:D$1646,0))</f>
        <v>68249.153846153815</v>
      </c>
      <c r="G1188" s="11" cm="1">
        <f t="array" aca="1" ref="G1188" ca="1">INDEX('Coste Carretera'!E$46:E$1646,MATCH(C1188&amp;D1188,'Coste Carretera'!C$46:C$1646&amp;'Coste Carretera'!D$46:D$1646,0))</f>
        <v>10478334445.888577</v>
      </c>
      <c r="H1188" s="11" cm="1">
        <f t="array" aca="1" ref="H1188" ca="1">INDEX('Coste multimodal'!E$46:E$1646,MATCH(C1188&amp;D1188,'Coste multimodal'!C$46:C$1646&amp;'Coste multimodal'!D$46:D$1646,0))</f>
        <v>340813824.21482909</v>
      </c>
      <c r="I1188" s="12" cm="1">
        <f t="array" aca="1" ref="I1188" ca="1">INDEX('Tiempos intermodal (horas)'!E$45:E$1645,MATCH(C1188&amp;D1188,'Tiempos intermodal (horas)'!C$45:C$1645&amp;'Tiempos intermodal (horas)'!D$45:D$1645,0))</f>
        <v>89.791150707347967</v>
      </c>
      <c r="J1188" s="2" cm="1">
        <f t="array" aca="1" ref="J1188" ca="1">INDEX('Tiempos carretera (horas)'!E$45:E$1645,MATCH(C1188&amp;D1188,'Tiempos carretera (horas)'!C$45:C$1645&amp;'Tiempos carretera (horas)'!D$45:D$1645,0))</f>
        <v>27</v>
      </c>
      <c r="K1188" s="12">
        <f t="shared" ca="1" si="114"/>
        <v>153.53061328069614</v>
      </c>
      <c r="L1188" s="12">
        <f t="shared" ca="1" si="115"/>
        <v>5.2514784471693821</v>
      </c>
      <c r="M1188" s="12">
        <f t="shared" ca="1" si="116"/>
        <v>0.48741807573249929</v>
      </c>
      <c r="N1188" s="13">
        <f t="shared" ca="1" si="112"/>
        <v>148.27913483352677</v>
      </c>
      <c r="O1188" s="13">
        <f t="shared" ca="1" si="113"/>
        <v>-62.791150707347967</v>
      </c>
      <c r="P1188" s="12">
        <f t="shared" ca="1" si="117"/>
        <v>5.0338323930359953E-2</v>
      </c>
    </row>
    <row r="1189" spans="1:16" x14ac:dyDescent="0.25">
      <c r="A1189">
        <v>26</v>
      </c>
      <c r="B1189">
        <v>11</v>
      </c>
      <c r="C1189" s="2" t="s">
        <v>25</v>
      </c>
      <c r="D1189" s="2" t="s">
        <v>10</v>
      </c>
      <c r="E1189" s="11" cm="1">
        <f t="array" aca="1" ref="E1189" ca="1">INDEX('OD flujo mercancia multimodal'!E$45:E$1645,MATCH(C1189&amp;D1189,'OD flujo mercancia multimodal'!C$45:C$1645&amp;'OD flujo mercancia multimodal'!D$45:D$1645,0))</f>
        <v>22416.69230769229</v>
      </c>
      <c r="F1189" s="11" cm="1">
        <f t="array" aca="1" ref="F1189" ca="1">INDEX('OD flujo mercancia carretera'!E$45:E$1646,MATCH(C1189&amp;D1189,'OD flujo mercancia carretera'!C$45:C$1646&amp;'OD flujo mercancia carretera'!D$45:D$1646,0))</f>
        <v>144582</v>
      </c>
      <c r="G1189" s="11" cm="1">
        <f t="array" aca="1" ref="G1189" ca="1">INDEX('Coste Carretera'!E$46:E$1646,MATCH(C1189&amp;D1189,'Coste Carretera'!C$46:C$1646&amp;'Coste Carretera'!D$46:D$1646,0))</f>
        <v>1489315720.1999986</v>
      </c>
      <c r="H1189" s="11" cm="1">
        <f t="array" aca="1" ref="H1189" ca="1">INDEX('Coste multimodal'!E$46:E$1646,MATCH(C1189&amp;D1189,'Coste multimodal'!C$46:C$1646&amp;'Coste multimodal'!D$46:D$1646,0))</f>
        <v>1961804599.5876071</v>
      </c>
      <c r="I1189" s="12" cm="1">
        <f t="array" aca="1" ref="I1189" ca="1">INDEX('Tiempos intermodal (horas)'!E$45:E$1645,MATCH(C1189&amp;D1189,'Tiempos intermodal (horas)'!C$45:C$1645&amp;'Tiempos intermodal (horas)'!D$45:D$1645,0))</f>
        <v>78.916356864677184</v>
      </c>
      <c r="J1189" s="2" cm="1">
        <f t="array" aca="1" ref="J1189" ca="1">INDEX('Tiempos carretera (horas)'!E$45:E$1645,MATCH(C1189&amp;D1189,'Tiempos carretera (horas)'!C$45:C$1645&amp;'Tiempos carretera (horas)'!D$45:D$1645,0))</f>
        <v>12.23</v>
      </c>
      <c r="K1189" s="12">
        <f t="shared" ca="1" si="114"/>
        <v>10.300837726687959</v>
      </c>
      <c r="L1189" s="12">
        <f t="shared" ca="1" si="115"/>
        <v>87.515346718410086</v>
      </c>
      <c r="M1189" s="12">
        <f t="shared" ca="1" si="116"/>
        <v>0.13423274157374784</v>
      </c>
      <c r="N1189" s="13">
        <f t="shared" ca="1" si="112"/>
        <v>-77.214508991722127</v>
      </c>
      <c r="O1189" s="13">
        <f t="shared" ca="1" si="113"/>
        <v>-66.68635686467718</v>
      </c>
      <c r="P1189" s="12">
        <f t="shared" ca="1" si="117"/>
        <v>1.8640409469976609</v>
      </c>
    </row>
    <row r="1190" spans="1:16" x14ac:dyDescent="0.25">
      <c r="A1190">
        <v>11</v>
      </c>
      <c r="B1190">
        <v>26</v>
      </c>
      <c r="C1190" s="2" t="s">
        <v>10</v>
      </c>
      <c r="D1190" s="2" t="s">
        <v>25</v>
      </c>
      <c r="E1190" s="11" cm="1">
        <f t="array" aca="1" ref="E1190" ca="1">INDEX('OD flujo mercancia multimodal'!E$45:E$1645,MATCH(C1190&amp;D1190,'OD flujo mercancia multimodal'!C$45:C$1645&amp;'OD flujo mercancia multimodal'!D$45:D$1645,0))</f>
        <v>14962.538461538461</v>
      </c>
      <c r="F1190" s="11" cm="1">
        <f t="array" aca="1" ref="F1190" ca="1">INDEX('OD flujo mercancia carretera'!E$45:E$1646,MATCH(C1190&amp;D1190,'OD flujo mercancia carretera'!C$45:C$1646&amp;'OD flujo mercancia carretera'!D$45:D$1646,0))</f>
        <v>144356.23076923078</v>
      </c>
      <c r="G1190" s="11" cm="1">
        <f t="array" aca="1" ref="G1190" ca="1">INDEX('Coste Carretera'!E$46:E$1646,MATCH(C1190&amp;D1190,'Coste Carretera'!C$46:C$1646&amp;'Coste Carretera'!D$46:D$1646,0))</f>
        <v>994078137.79999983</v>
      </c>
      <c r="H1190" s="11" cm="1">
        <f t="array" aca="1" ref="H1190" ca="1">INDEX('Coste multimodal'!E$46:E$1646,MATCH(C1190&amp;D1190,'Coste multimodal'!C$46:C$1646&amp;'Coste multimodal'!D$46:D$1646,0))</f>
        <v>1961804599.5876071</v>
      </c>
      <c r="I1190" s="12" cm="1">
        <f t="array" aca="1" ref="I1190" ca="1">INDEX('Tiempos intermodal (horas)'!E$45:E$1645,MATCH(C1190&amp;D1190,'Tiempos intermodal (horas)'!C$45:C$1645&amp;'Tiempos intermodal (horas)'!D$45:D$1645,0))</f>
        <v>78.916356864677184</v>
      </c>
      <c r="J1190" s="2" cm="1">
        <f t="array" aca="1" ref="J1190" ca="1">INDEX('Tiempos carretera (horas)'!E$45:E$1645,MATCH(C1190&amp;D1190,'Tiempos carretera (horas)'!C$45:C$1645&amp;'Tiempos carretera (horas)'!D$45:D$1645,0))</f>
        <v>12.23</v>
      </c>
      <c r="K1190" s="12">
        <f t="shared" ca="1" si="114"/>
        <v>6.8862849390210421</v>
      </c>
      <c r="L1190" s="12">
        <f t="shared" ca="1" si="115"/>
        <v>131.11442317294421</v>
      </c>
      <c r="M1190" s="12">
        <f t="shared" ca="1" si="116"/>
        <v>9.3915729664378708E-2</v>
      </c>
      <c r="N1190" s="13">
        <f t="shared" ca="1" si="112"/>
        <v>-124.22813823392318</v>
      </c>
      <c r="O1190" s="13">
        <f t="shared" ca="1" si="113"/>
        <v>-66.68635686467718</v>
      </c>
      <c r="P1190" s="12">
        <f t="shared" ca="1" si="117"/>
        <v>2.2667344280852153</v>
      </c>
    </row>
    <row r="1191" spans="1:16" x14ac:dyDescent="0.25">
      <c r="A1191">
        <v>25</v>
      </c>
      <c r="B1191">
        <v>17</v>
      </c>
      <c r="C1191" s="2" t="s">
        <v>24</v>
      </c>
      <c r="D1191" s="2" t="s">
        <v>16</v>
      </c>
      <c r="E1191" s="11" cm="1">
        <f t="array" aca="1" ref="E1191" ca="1">INDEX('OD flujo mercancia multimodal'!E$45:E$1645,MATCH(C1191&amp;D1191,'OD flujo mercancia multimodal'!C$45:C$1645&amp;'OD flujo mercancia multimodal'!D$45:D$1645,0))</f>
        <v>68170.61538461539</v>
      </c>
      <c r="F1191" s="11" cm="1">
        <f t="array" aca="1" ref="F1191" ca="1">INDEX('OD flujo mercancia carretera'!E$45:E$1646,MATCH(C1191&amp;D1191,'OD flujo mercancia carretera'!C$45:C$1646&amp;'OD flujo mercancia carretera'!D$45:D$1646,0))</f>
        <v>240451.87179487135</v>
      </c>
      <c r="G1191" s="11" cm="1">
        <f t="array" aca="1" ref="G1191" ca="1">INDEX('Coste Carretera'!E$46:E$1646,MATCH(C1191&amp;D1191,'Coste Carretera'!C$46:C$1646&amp;'Coste Carretera'!D$46:D$1646,0))</f>
        <v>4618613728.8000002</v>
      </c>
      <c r="H1191" s="11" cm="1">
        <f t="array" aca="1" ref="H1191" ca="1">INDEX('Coste multimodal'!E$46:E$1646,MATCH(C1191&amp;D1191,'Coste multimodal'!C$46:C$1646&amp;'Coste multimodal'!D$46:D$1646,0))</f>
        <v>704448706.18415344</v>
      </c>
      <c r="I1191" s="12" cm="1">
        <f t="array" aca="1" ref="I1191" ca="1">INDEX('Tiempos intermodal (horas)'!E$45:E$1645,MATCH(C1191&amp;D1191,'Tiempos intermodal (horas)'!C$45:C$1645&amp;'Tiempos intermodal (horas)'!D$45:D$1645,0))</f>
        <v>79.801177059872373</v>
      </c>
      <c r="J1191" s="2" cm="1">
        <f t="array" aca="1" ref="J1191" ca="1">INDEX('Tiempos carretera (horas)'!E$45:E$1645,MATCH(C1191&amp;D1191,'Tiempos carretera (horas)'!C$45:C$1645&amp;'Tiempos carretera (horas)'!D$45:D$1645,0))</f>
        <v>13.08</v>
      </c>
      <c r="K1191" s="12">
        <f t="shared" ca="1" si="114"/>
        <v>19.208058953020434</v>
      </c>
      <c r="L1191" s="12">
        <f t="shared" ca="1" si="115"/>
        <v>10.333612249349477</v>
      </c>
      <c r="M1191" s="12">
        <f t="shared" ca="1" si="116"/>
        <v>0.2208867409748051</v>
      </c>
      <c r="N1191" s="13">
        <f t="shared" ca="1" si="112"/>
        <v>8.8744467036709569</v>
      </c>
      <c r="O1191" s="13">
        <f t="shared" ca="1" si="113"/>
        <v>-66.721177059872375</v>
      </c>
      <c r="P1191" s="12">
        <f t="shared" ca="1" si="117"/>
        <v>1.2605063397029492</v>
      </c>
    </row>
    <row r="1192" spans="1:16" x14ac:dyDescent="0.25">
      <c r="A1192">
        <v>17</v>
      </c>
      <c r="B1192">
        <v>25</v>
      </c>
      <c r="C1192" s="2" t="s">
        <v>16</v>
      </c>
      <c r="D1192" s="2" t="s">
        <v>24</v>
      </c>
      <c r="E1192" s="11" cm="1">
        <f t="array" aca="1" ref="E1192" ca="1">INDEX('OD flujo mercancia multimodal'!E$45:E$1645,MATCH(C1192&amp;D1192,'OD flujo mercancia multimodal'!C$45:C$1645&amp;'OD flujo mercancia multimodal'!D$45:D$1645,0))</f>
        <v>59402.538461538468</v>
      </c>
      <c r="F1192" s="11" cm="1">
        <f t="array" aca="1" ref="F1192" ca="1">INDEX('OD flujo mercancia carretera'!E$45:E$1646,MATCH(C1192&amp;D1192,'OD flujo mercancia carretera'!C$45:C$1646&amp;'OD flujo mercancia carretera'!D$45:D$1646,0))</f>
        <v>589512.1025641025</v>
      </c>
      <c r="G1192" s="11" cm="1">
        <f t="array" aca="1" ref="G1192" ca="1">INDEX('Coste Carretera'!E$46:E$1646,MATCH(C1192&amp;D1192,'Coste Carretera'!C$46:C$1646&amp;'Coste Carretera'!D$46:D$1646,0))</f>
        <v>4024569502.8000007</v>
      </c>
      <c r="H1192" s="11" cm="1">
        <f t="array" aca="1" ref="H1192" ca="1">INDEX('Coste multimodal'!E$46:E$1646,MATCH(C1192&amp;D1192,'Coste multimodal'!C$46:C$1646&amp;'Coste multimodal'!D$46:D$1646,0))</f>
        <v>704448706.18415344</v>
      </c>
      <c r="I1192" s="12" cm="1">
        <f t="array" aca="1" ref="I1192" ca="1">INDEX('Tiempos intermodal (horas)'!E$45:E$1645,MATCH(C1192&amp;D1192,'Tiempos intermodal (horas)'!C$45:C$1645&amp;'Tiempos intermodal (horas)'!D$45:D$1645,0))</f>
        <v>79.801177059872373</v>
      </c>
      <c r="J1192" s="2" cm="1">
        <f t="array" aca="1" ref="J1192" ca="1">INDEX('Tiempos carretera (horas)'!E$45:E$1645,MATCH(C1192&amp;D1192,'Tiempos carretera (horas)'!C$45:C$1645&amp;'Tiempos carretera (horas)'!D$45:D$1645,0))</f>
        <v>13.08</v>
      </c>
      <c r="K1192" s="12">
        <f t="shared" ca="1" si="114"/>
        <v>6.8269497526768346</v>
      </c>
      <c r="L1192" s="12">
        <f t="shared" ca="1" si="115"/>
        <v>11.858899037458892</v>
      </c>
      <c r="M1192" s="12">
        <f t="shared" ca="1" si="116"/>
        <v>9.1541374945169798E-2</v>
      </c>
      <c r="N1192" s="13">
        <f t="shared" ca="1" si="112"/>
        <v>-5.0319492847820575</v>
      </c>
      <c r="O1192" s="13">
        <f t="shared" ca="1" si="113"/>
        <v>-66.721177059872375</v>
      </c>
      <c r="P1192" s="12">
        <f t="shared" ca="1" si="117"/>
        <v>2.2949582894874685</v>
      </c>
    </row>
    <row r="1193" spans="1:16" x14ac:dyDescent="0.25">
      <c r="A1193">
        <v>4</v>
      </c>
      <c r="B1193">
        <v>38</v>
      </c>
      <c r="C1193" s="2" t="s">
        <v>3</v>
      </c>
      <c r="D1193" s="2" t="s">
        <v>37</v>
      </c>
      <c r="E1193" s="11" cm="1">
        <f t="array" aca="1" ref="E1193" ca="1">INDEX('OD flujo mercancia multimodal'!E$45:E$1645,MATCH(C1193&amp;D1193,'OD flujo mercancia multimodal'!C$45:C$1645&amp;'OD flujo mercancia multimodal'!D$45:D$1645,0))</f>
        <v>29724.142857142859</v>
      </c>
      <c r="F1193" s="11" cm="1">
        <f t="array" aca="1" ref="F1193" ca="1">INDEX('OD flujo mercancia carretera'!E$45:E$1646,MATCH(C1193&amp;D1193,'OD flujo mercancia carretera'!C$45:C$1646&amp;'OD flujo mercancia carretera'!D$45:D$1646,0))</f>
        <v>38285.538461538468</v>
      </c>
      <c r="G1193" s="11" cm="1">
        <f t="array" aca="1" ref="G1193" ca="1">INDEX('Coste Carretera'!E$46:E$1646,MATCH(C1193&amp;D1193,'Coste Carretera'!C$46:C$1646&amp;'Coste Carretera'!D$46:D$1646,0))</f>
        <v>5643822219.3428631</v>
      </c>
      <c r="H1193" s="11" cm="1">
        <f t="array" aca="1" ref="H1193" ca="1">INDEX('Coste multimodal'!E$46:E$1646,MATCH(C1193&amp;D1193,'Coste multimodal'!C$46:C$1646&amp;'Coste multimodal'!D$46:D$1646,0))</f>
        <v>361459420.56774008</v>
      </c>
      <c r="I1193" s="12" cm="1">
        <f t="array" aca="1" ref="I1193" ca="1">INDEX('Tiempos intermodal (horas)'!E$45:E$1645,MATCH(C1193&amp;D1193,'Tiempos intermodal (horas)'!C$45:C$1645&amp;'Tiempos intermodal (horas)'!D$45:D$1645,0))</f>
        <v>91.922065508868243</v>
      </c>
      <c r="J1193" s="2" cm="1">
        <f t="array" aca="1" ref="J1193" ca="1">INDEX('Tiempos carretera (horas)'!E$45:E$1645,MATCH(C1193&amp;D1193,'Tiempos carretera (horas)'!C$45:C$1645&amp;'Tiempos carretera (horas)'!D$45:D$1645,0))</f>
        <v>26</v>
      </c>
      <c r="K1193" s="12">
        <f t="shared" ca="1" si="114"/>
        <v>147.4139439102477</v>
      </c>
      <c r="L1193" s="12">
        <f t="shared" ca="1" si="115"/>
        <v>12.160465729994282</v>
      </c>
      <c r="M1193" s="12">
        <f t="shared" ca="1" si="116"/>
        <v>0.43705752299971512</v>
      </c>
      <c r="N1193" s="13">
        <f t="shared" ca="1" si="112"/>
        <v>135.25347818025341</v>
      </c>
      <c r="O1193" s="13">
        <f t="shared" ca="1" si="113"/>
        <v>-65.922065508868243</v>
      </c>
      <c r="P1193" s="12">
        <f t="shared" ca="1" si="117"/>
        <v>0.25311263261774619</v>
      </c>
    </row>
    <row r="1194" spans="1:16" x14ac:dyDescent="0.25">
      <c r="A1194">
        <v>39</v>
      </c>
      <c r="B1194">
        <v>3</v>
      </c>
      <c r="C1194" s="2" t="s">
        <v>38</v>
      </c>
      <c r="D1194" s="2" t="s">
        <v>2</v>
      </c>
      <c r="E1194" s="11" cm="1">
        <f t="array" aca="1" ref="E1194" ca="1">INDEX('OD flujo mercancia multimodal'!E$45:E$1645,MATCH(C1194&amp;D1194,'OD flujo mercancia multimodal'!C$45:C$1645&amp;'OD flujo mercancia multimodal'!D$45:D$1645,0))</f>
        <v>16505.714285714301</v>
      </c>
      <c r="F1194" s="11" cm="1">
        <f t="array" aca="1" ref="F1194" ca="1">INDEX('OD flujo mercancia carretera'!E$45:E$1646,MATCH(C1194&amp;D1194,'OD flujo mercancia carretera'!C$45:C$1646&amp;'OD flujo mercancia carretera'!D$45:D$1646,0))</f>
        <v>47342.153846153808</v>
      </c>
      <c r="G1194" s="11" cm="1">
        <f t="array" aca="1" ref="G1194" ca="1">INDEX('Coste Carretera'!E$46:E$1646,MATCH(C1194&amp;D1194,'Coste Carretera'!C$46:C$1646&amp;'Coste Carretera'!D$46:D$1646,0))</f>
        <v>2543194017.068574</v>
      </c>
      <c r="H1194" s="11" cm="1">
        <f t="array" aca="1" ref="H1194" ca="1">INDEX('Coste multimodal'!E$46:E$1646,MATCH(C1194&amp;D1194,'Coste multimodal'!C$46:C$1646&amp;'Coste multimodal'!D$46:D$1646,0))</f>
        <v>228270751.64191073</v>
      </c>
      <c r="I1194" s="12" cm="1">
        <f t="array" aca="1" ref="I1194" ca="1">INDEX('Tiempos intermodal (horas)'!E$45:E$1645,MATCH(C1194&amp;D1194,'Tiempos intermodal (horas)'!C$45:C$1645&amp;'Tiempos intermodal (horas)'!D$45:D$1645,0))</f>
        <v>76.778452561936945</v>
      </c>
      <c r="J1194" s="2" cm="1">
        <f t="array" aca="1" ref="J1194" ca="1">INDEX('Tiempos carretera (horas)'!E$45:E$1645,MATCH(C1194&amp;D1194,'Tiempos carretera (horas)'!C$45:C$1645&amp;'Tiempos carretera (horas)'!D$45:D$1645,0))</f>
        <v>21.03</v>
      </c>
      <c r="K1194" s="12">
        <f t="shared" ca="1" si="114"/>
        <v>53.719440508201323</v>
      </c>
      <c r="L1194" s="12">
        <f t="shared" ca="1" si="115"/>
        <v>13.829801466967057</v>
      </c>
      <c r="M1194" s="12">
        <f t="shared" ca="1" si="116"/>
        <v>0.25851629457109276</v>
      </c>
      <c r="N1194" s="13">
        <f t="shared" ca="1" si="112"/>
        <v>39.889639041234268</v>
      </c>
      <c r="O1194" s="13">
        <f t="shared" ca="1" si="113"/>
        <v>-55.748452561936944</v>
      </c>
      <c r="P1194" s="12">
        <f t="shared" ca="1" si="117"/>
        <v>1.0536944591369557</v>
      </c>
    </row>
    <row r="1195" spans="1:16" x14ac:dyDescent="0.25">
      <c r="A1195">
        <v>38</v>
      </c>
      <c r="B1195">
        <v>8</v>
      </c>
      <c r="C1195" s="2" t="s">
        <v>37</v>
      </c>
      <c r="D1195" s="2" t="s">
        <v>7</v>
      </c>
      <c r="E1195" s="11" cm="1">
        <f t="array" aca="1" ref="E1195" ca="1">INDEX('OD flujo mercancia multimodal'!E$45:E$1645,MATCH(C1195&amp;D1195,'OD flujo mercancia multimodal'!C$45:C$1645&amp;'OD flujo mercancia multimodal'!D$45:D$1645,0))</f>
        <v>34623.857142857101</v>
      </c>
      <c r="F1195" s="11" cm="1">
        <f t="array" aca="1" ref="F1195" ca="1">INDEX('OD flujo mercancia carretera'!E$45:E$1646,MATCH(C1195&amp;D1195,'OD flujo mercancia carretera'!C$45:C$1646&amp;'OD flujo mercancia carretera'!D$45:D$1646,0))</f>
        <v>125182.53846153831</v>
      </c>
      <c r="G1195" s="11" cm="1">
        <f t="array" aca="1" ref="G1195" ca="1">INDEX('Coste Carretera'!E$46:E$1646,MATCH(C1195&amp;D1195,'Coste Carretera'!C$46:C$1646&amp;'Coste Carretera'!D$46:D$1646,0))</f>
        <v>5677156781.657136</v>
      </c>
      <c r="H1195" s="11" cm="1">
        <f t="array" aca="1" ref="H1195" ca="1">INDEX('Coste multimodal'!E$46:E$1646,MATCH(C1195&amp;D1195,'Coste multimodal'!C$46:C$1646&amp;'Coste multimodal'!D$46:D$1646,0))</f>
        <v>278523233.11116862</v>
      </c>
      <c r="I1195" s="12" cm="1">
        <f t="array" aca="1" ref="I1195" ca="1">INDEX('Tiempos intermodal (horas)'!E$45:E$1645,MATCH(C1195&amp;D1195,'Tiempos intermodal (horas)'!C$45:C$1645&amp;'Tiempos intermodal (horas)'!D$45:D$1645,0))</f>
        <v>92.075398842201579</v>
      </c>
      <c r="J1195" s="2" cm="1">
        <f t="array" aca="1" ref="J1195" ca="1">INDEX('Tiempos carretera (horas)'!E$45:E$1645,MATCH(C1195&amp;D1195,'Tiempos carretera (horas)'!C$45:C$1645&amp;'Tiempos carretera (horas)'!D$45:D$1645,0))</f>
        <v>26</v>
      </c>
      <c r="K1195" s="12">
        <f t="shared" ca="1" si="114"/>
        <v>45.351027798508916</v>
      </c>
      <c r="L1195" s="12">
        <f t="shared" ca="1" si="115"/>
        <v>8.0442578064595534</v>
      </c>
      <c r="M1195" s="12">
        <f t="shared" ca="1" si="116"/>
        <v>0.21666127323570511</v>
      </c>
      <c r="N1195" s="13">
        <f t="shared" ca="1" si="112"/>
        <v>37.306769992049361</v>
      </c>
      <c r="O1195" s="13">
        <f t="shared" ca="1" si="113"/>
        <v>-66.075398842201579</v>
      </c>
      <c r="P1195" s="12">
        <f t="shared" ca="1" si="117"/>
        <v>1.2852300225239472</v>
      </c>
    </row>
    <row r="1196" spans="1:16" x14ac:dyDescent="0.25">
      <c r="A1196">
        <v>8</v>
      </c>
      <c r="B1196">
        <v>38</v>
      </c>
      <c r="C1196" s="2" t="s">
        <v>7</v>
      </c>
      <c r="D1196" s="2" t="s">
        <v>37</v>
      </c>
      <c r="E1196" s="11" cm="1">
        <f t="array" aca="1" ref="E1196" ca="1">INDEX('OD flujo mercancia multimodal'!E$45:E$1645,MATCH(C1196&amp;D1196,'OD flujo mercancia multimodal'!C$45:C$1645&amp;'OD flujo mercancia multimodal'!D$45:D$1645,0))</f>
        <v>7066.6428571428569</v>
      </c>
      <c r="F1196" s="11" cm="1">
        <f t="array" aca="1" ref="F1196" ca="1">INDEX('OD flujo mercancia carretera'!E$45:E$1646,MATCH(C1196&amp;D1196,'OD flujo mercancia carretera'!C$45:C$1646&amp;'OD flujo mercancia carretera'!D$45:D$1646,0))</f>
        <v>124233.3076923077</v>
      </c>
      <c r="G1196" s="11" cm="1">
        <f t="array" aca="1" ref="G1196" ca="1">INDEX('Coste Carretera'!E$46:E$1646,MATCH(C1196&amp;D1196,'Coste Carretera'!C$46:C$1646&amp;'Coste Carretera'!D$46:D$1646,0))</f>
        <v>2414755996.6428633</v>
      </c>
      <c r="H1196" s="11" cm="1">
        <f t="array" aca="1" ref="H1196" ca="1">INDEX('Coste multimodal'!E$46:E$1646,MATCH(C1196&amp;D1196,'Coste multimodal'!C$46:C$1646&amp;'Coste multimodal'!D$46:D$1646,0))</f>
        <v>278523233.11116862</v>
      </c>
      <c r="I1196" s="12" cm="1">
        <f t="array" aca="1" ref="I1196" ca="1">INDEX('Tiempos intermodal (horas)'!E$45:E$1645,MATCH(C1196&amp;D1196,'Tiempos intermodal (horas)'!C$45:C$1645&amp;'Tiempos intermodal (horas)'!D$45:D$1645,0))</f>
        <v>92.075398842201579</v>
      </c>
      <c r="J1196" s="2" cm="1">
        <f t="array" aca="1" ref="J1196" ca="1">INDEX('Tiempos carretera (horas)'!E$45:E$1645,MATCH(C1196&amp;D1196,'Tiempos carretera (horas)'!C$45:C$1645&amp;'Tiempos carretera (horas)'!D$45:D$1645,0))</f>
        <v>26</v>
      </c>
      <c r="K1196" s="12">
        <f t="shared" ca="1" si="114"/>
        <v>19.437267199095761</v>
      </c>
      <c r="L1196" s="12">
        <f t="shared" ca="1" si="115"/>
        <v>39.413797858716109</v>
      </c>
      <c r="M1196" s="12">
        <f t="shared" ca="1" si="116"/>
        <v>5.3820605625296086E-2</v>
      </c>
      <c r="N1196" s="13">
        <f t="shared" ca="1" si="112"/>
        <v>-19.976530659620348</v>
      </c>
      <c r="O1196" s="13">
        <f t="shared" ca="1" si="113"/>
        <v>-66.075398842201579</v>
      </c>
      <c r="P1196" s="12">
        <f t="shared" ca="1" si="117"/>
        <v>2.8667757876910493</v>
      </c>
    </row>
    <row r="1197" spans="1:16" x14ac:dyDescent="0.25">
      <c r="A1197">
        <v>37</v>
      </c>
      <c r="B1197">
        <v>3</v>
      </c>
      <c r="C1197" s="2" t="s">
        <v>36</v>
      </c>
      <c r="D1197" s="2" t="s">
        <v>2</v>
      </c>
      <c r="E1197" s="11" cm="1">
        <f t="array" aca="1" ref="E1197" ca="1">INDEX('OD flujo mercancia multimodal'!E$45:E$1645,MATCH(C1197&amp;D1197,'OD flujo mercancia multimodal'!C$45:C$1645&amp;'OD flujo mercancia multimodal'!D$45:D$1645,0))</f>
        <v>22080.868131868148</v>
      </c>
      <c r="F1197" s="11" cm="1">
        <f t="array" aca="1" ref="F1197" ca="1">INDEX('OD flujo mercancia carretera'!E$45:E$1646,MATCH(C1197&amp;D1197,'OD flujo mercancia carretera'!C$45:C$1646&amp;'OD flujo mercancia carretera'!D$45:D$1646,0))</f>
        <v>124009.0366300366</v>
      </c>
      <c r="G1197" s="11" cm="1">
        <f t="array" aca="1" ref="G1197" ca="1">INDEX('Coste Carretera'!E$46:E$1646,MATCH(C1197&amp;D1197,'Coste Carretera'!C$46:C$1646&amp;'Coste Carretera'!D$46:D$1646,0))</f>
        <v>1664845467.0571442</v>
      </c>
      <c r="H1197" s="11" cm="1">
        <f t="array" aca="1" ref="H1197" ca="1">INDEX('Coste multimodal'!E$46:E$1646,MATCH(C1197&amp;D1197,'Coste multimodal'!C$46:C$1646&amp;'Coste multimodal'!D$46:D$1646,0))</f>
        <v>632711690.55923593</v>
      </c>
      <c r="I1197" s="12" cm="1">
        <f t="array" aca="1" ref="I1197" ca="1">INDEX('Tiempos intermodal (horas)'!E$45:E$1645,MATCH(C1197&amp;D1197,'Tiempos intermodal (horas)'!C$45:C$1645&amp;'Tiempos intermodal (horas)'!D$45:D$1645,0))</f>
        <v>65.307741184543914</v>
      </c>
      <c r="J1197" s="2" cm="1">
        <f t="array" aca="1" ref="J1197" ca="1">INDEX('Tiempos carretera (horas)'!E$45:E$1645,MATCH(C1197&amp;D1197,'Tiempos carretera (horas)'!C$45:C$1645&amp;'Tiempos carretera (horas)'!D$45:D$1645,0))</f>
        <v>17.11</v>
      </c>
      <c r="K1197" s="12">
        <f t="shared" ca="1" si="114"/>
        <v>13.425194746282683</v>
      </c>
      <c r="L1197" s="12">
        <f t="shared" ca="1" si="115"/>
        <v>28.654294150965768</v>
      </c>
      <c r="M1197" s="12">
        <f t="shared" ca="1" si="116"/>
        <v>0.15114574937847511</v>
      </c>
      <c r="N1197" s="13">
        <f t="shared" ca="1" si="112"/>
        <v>-15.229099404683085</v>
      </c>
      <c r="O1197" s="13">
        <f t="shared" ca="1" si="113"/>
        <v>-48.197741184543915</v>
      </c>
      <c r="P1197" s="12">
        <f t="shared" ca="1" si="117"/>
        <v>1.7256429007959171</v>
      </c>
    </row>
    <row r="1198" spans="1:16" x14ac:dyDescent="0.25">
      <c r="A1198">
        <v>4</v>
      </c>
      <c r="B1198">
        <v>41</v>
      </c>
      <c r="C1198" s="2" t="s">
        <v>3</v>
      </c>
      <c r="D1198" s="2" t="s">
        <v>40</v>
      </c>
      <c r="E1198" s="11" cm="1">
        <f t="array" aca="1" ref="E1198" ca="1">INDEX('OD flujo mercancia multimodal'!E$45:E$1645,MATCH(C1198&amp;D1198,'OD flujo mercancia multimodal'!C$45:C$1645&amp;'OD flujo mercancia multimodal'!D$45:D$1645,0))</f>
        <v>51699.83516483516</v>
      </c>
      <c r="F1198" s="11" cm="1">
        <f t="array" aca="1" ref="F1198" ca="1">INDEX('OD flujo mercancia carretera'!E$45:E$1646,MATCH(C1198&amp;D1198,'OD flujo mercancia carretera'!C$45:C$1646&amp;'OD flujo mercancia carretera'!D$45:D$1646,0))</f>
        <v>51953.646520146547</v>
      </c>
      <c r="G1198" s="11" cm="1">
        <f t="array" aca="1" ref="G1198" ca="1">INDEX('Coste Carretera'!E$46:E$1646,MATCH(C1198&amp;D1198,'Coste Carretera'!C$46:C$1646&amp;'Coste Carretera'!D$46:D$1646,0))</f>
        <v>5157197018.3314285</v>
      </c>
      <c r="H1198" s="11" cm="1">
        <f t="array" aca="1" ref="H1198" ca="1">INDEX('Coste multimodal'!E$46:E$1646,MATCH(C1198&amp;D1198,'Coste multimodal'!C$46:C$1646&amp;'Coste multimodal'!D$46:D$1646,0))</f>
        <v>518425637.52774012</v>
      </c>
      <c r="I1198" s="12" cm="1">
        <f t="array" aca="1" ref="I1198" ca="1">INDEX('Tiempos intermodal (horas)'!E$45:E$1645,MATCH(C1198&amp;D1198,'Tiempos intermodal (horas)'!C$45:C$1645&amp;'Tiempos intermodal (horas)'!D$45:D$1645,0))</f>
        <v>91.322065508868235</v>
      </c>
      <c r="J1198" s="2" cm="1">
        <f t="array" aca="1" ref="J1198" ca="1">INDEX('Tiempos carretera (horas)'!E$45:E$1645,MATCH(C1198&amp;D1198,'Tiempos carretera (horas)'!C$45:C$1645&amp;'Tiempos carretera (horas)'!D$45:D$1645,0))</f>
        <v>25</v>
      </c>
      <c r="K1198" s="12">
        <f t="shared" ca="1" si="114"/>
        <v>99.265352169872699</v>
      </c>
      <c r="L1198" s="12">
        <f t="shared" ca="1" si="115"/>
        <v>10.027607164990718</v>
      </c>
      <c r="M1198" s="12">
        <f t="shared" ca="1" si="116"/>
        <v>0.49877567375844284</v>
      </c>
      <c r="N1198" s="13">
        <f t="shared" ca="1" si="112"/>
        <v>89.237745004881987</v>
      </c>
      <c r="O1198" s="13">
        <f t="shared" ca="1" si="113"/>
        <v>-66.322065508868235</v>
      </c>
      <c r="P1198" s="12">
        <f t="shared" ca="1" si="117"/>
        <v>4.8973147541790125E-3</v>
      </c>
    </row>
    <row r="1199" spans="1:16" x14ac:dyDescent="0.25">
      <c r="A1199">
        <v>38</v>
      </c>
      <c r="B1199">
        <v>6</v>
      </c>
      <c r="C1199" s="2" t="s">
        <v>37</v>
      </c>
      <c r="D1199" s="2" t="s">
        <v>5</v>
      </c>
      <c r="E1199" s="11" cm="1">
        <f t="array" aca="1" ref="E1199" ca="1">INDEX('OD flujo mercancia multimodal'!E$45:E$1645,MATCH(C1199&amp;D1199,'OD flujo mercancia multimodal'!C$45:C$1645&amp;'OD flujo mercancia multimodal'!D$45:D$1645,0))</f>
        <v>13226.785714285699</v>
      </c>
      <c r="F1199" s="11" cm="1">
        <f t="array" aca="1" ref="F1199" ca="1">INDEX('OD flujo mercancia carretera'!E$45:E$1646,MATCH(C1199&amp;D1199,'OD flujo mercancia carretera'!C$45:C$1646&amp;'OD flujo mercancia carretera'!D$45:D$1646,0))</f>
        <v>134038.4652014653</v>
      </c>
      <c r="G1199" s="11" cm="1">
        <f t="array" aca="1" ref="G1199" ca="1">INDEX('Coste Carretera'!E$46:E$1646,MATCH(C1199&amp;D1199,'Coste Carretera'!C$46:C$1646&amp;'Coste Carretera'!D$46:D$1646,0))</f>
        <v>3018719835.4885688</v>
      </c>
      <c r="H1199" s="11" cm="1">
        <f t="array" aca="1" ref="H1199" ca="1">INDEX('Coste multimodal'!E$46:E$1646,MATCH(C1199&amp;D1199,'Coste multimodal'!C$46:C$1646&amp;'Coste multimodal'!D$46:D$1646,0))</f>
        <v>460270597.97768617</v>
      </c>
      <c r="I1199" s="12" cm="1">
        <f t="array" aca="1" ref="I1199" ca="1">INDEX('Tiempos intermodal (horas)'!E$45:E$1645,MATCH(C1199&amp;D1199,'Tiempos intermodal (horas)'!C$45:C$1645&amp;'Tiempos intermodal (horas)'!D$45:D$1645,0))</f>
        <v>92.335595151792404</v>
      </c>
      <c r="J1199" s="2" cm="1">
        <f t="array" aca="1" ref="J1199" ca="1">INDEX('Tiempos carretera (horas)'!E$45:E$1645,MATCH(C1199&amp;D1199,'Tiempos carretera (horas)'!C$45:C$1645&amp;'Tiempos carretera (horas)'!D$45:D$1645,0))</f>
        <v>29</v>
      </c>
      <c r="K1199" s="12">
        <f t="shared" ca="1" si="114"/>
        <v>22.521295144280483</v>
      </c>
      <c r="L1199" s="12">
        <f t="shared" ca="1" si="115"/>
        <v>34.798371117524574</v>
      </c>
      <c r="M1199" s="12">
        <f t="shared" ca="1" si="116"/>
        <v>8.9816067483921319E-2</v>
      </c>
      <c r="N1199" s="13">
        <f t="shared" ca="1" si="112"/>
        <v>-12.277075973244092</v>
      </c>
      <c r="O1199" s="13">
        <f t="shared" ca="1" si="113"/>
        <v>-63.335595151792404</v>
      </c>
      <c r="P1199" s="12">
        <f t="shared" ca="1" si="117"/>
        <v>2.3158828182170539</v>
      </c>
    </row>
    <row r="1200" spans="1:16" x14ac:dyDescent="0.25">
      <c r="A1200">
        <v>41</v>
      </c>
      <c r="B1200">
        <v>33</v>
      </c>
      <c r="C1200" s="2" t="s">
        <v>40</v>
      </c>
      <c r="D1200" s="2" t="s">
        <v>32</v>
      </c>
      <c r="E1200" s="11" cm="1">
        <f t="array" aca="1" ref="E1200" ca="1">INDEX('OD flujo mercancia multimodal'!E$45:E$1645,MATCH(C1200&amp;D1200,'OD flujo mercancia multimodal'!C$45:C$1645&amp;'OD flujo mercancia multimodal'!D$45:D$1645,0))</f>
        <v>71845.923076923049</v>
      </c>
      <c r="F1200" s="11" cm="1">
        <f t="array" aca="1" ref="F1200" ca="1">INDEX('OD flujo mercancia carretera'!E$45:E$1646,MATCH(C1200&amp;D1200,'OD flujo mercancia carretera'!C$45:C$1646&amp;'OD flujo mercancia carretera'!D$45:D$1646,0))</f>
        <v>166170.22307692311</v>
      </c>
      <c r="G1200" s="11" cm="1">
        <f t="array" aca="1" ref="G1200" ca="1">INDEX('Coste Carretera'!E$46:E$1646,MATCH(C1200&amp;D1200,'Coste Carretera'!C$46:C$1646&amp;'Coste Carretera'!D$46:D$1646,0))</f>
        <v>378743940.00000006</v>
      </c>
      <c r="H1200" s="11" cm="1">
        <f t="array" aca="1" ref="H1200" ca="1">INDEX('Coste multimodal'!E$46:E$1646,MATCH(C1200&amp;D1200,'Coste multimodal'!C$46:C$1646&amp;'Coste multimodal'!D$46:D$1646,0))</f>
        <v>143611667.06742454</v>
      </c>
      <c r="I1200" s="12" cm="1">
        <f t="array" aca="1" ref="I1200" ca="1">INDEX('Tiempos intermodal (horas)'!E$45:E$1645,MATCH(C1200&amp;D1200,'Tiempos intermodal (horas)'!C$45:C$1645&amp;'Tiempos intermodal (horas)'!D$45:D$1645,0))</f>
        <v>89.281290979260518</v>
      </c>
      <c r="J1200" s="2" cm="1">
        <f t="array" aca="1" ref="J1200" ca="1">INDEX('Tiempos carretera (horas)'!E$45:E$1645,MATCH(C1200&amp;D1200,'Tiempos carretera (horas)'!C$45:C$1645&amp;'Tiempos carretera (horas)'!D$45:D$1645,0))</f>
        <v>23.28</v>
      </c>
      <c r="K1200" s="12">
        <f t="shared" ca="1" si="114"/>
        <v>2.2792527625402106</v>
      </c>
      <c r="L1200" s="12">
        <f t="shared" ca="1" si="115"/>
        <v>1.9988840134138759</v>
      </c>
      <c r="M1200" s="12">
        <f t="shared" ca="1" si="116"/>
        <v>0.30185314835945665</v>
      </c>
      <c r="N1200" s="13">
        <f t="shared" ca="1" si="112"/>
        <v>0.28036874912633469</v>
      </c>
      <c r="O1200" s="13">
        <f t="shared" ca="1" si="113"/>
        <v>-66.001290979260517</v>
      </c>
      <c r="P1200" s="12">
        <f t="shared" ca="1" si="117"/>
        <v>0.83848883440358457</v>
      </c>
    </row>
    <row r="1201" spans="1:16" x14ac:dyDescent="0.25">
      <c r="A1201">
        <v>33</v>
      </c>
      <c r="B1201">
        <v>41</v>
      </c>
      <c r="C1201" s="2" t="s">
        <v>32</v>
      </c>
      <c r="D1201" s="2" t="s">
        <v>40</v>
      </c>
      <c r="E1201" s="11" cm="1">
        <f t="array" aca="1" ref="E1201" ca="1">INDEX('OD flujo mercancia multimodal'!E$45:E$1645,MATCH(C1201&amp;D1201,'OD flujo mercancia multimodal'!C$45:C$1645&amp;'OD flujo mercancia multimodal'!D$45:D$1645,0))</f>
        <v>52239.307692307688</v>
      </c>
      <c r="F1201" s="11" cm="1">
        <f t="array" aca="1" ref="F1201" ca="1">INDEX('OD flujo mercancia carretera'!E$45:E$1646,MATCH(C1201&amp;D1201,'OD flujo mercancia carretera'!C$45:C$1646&amp;'OD flujo mercancia carretera'!D$45:D$1646,0))</f>
        <v>113497.51318681322</v>
      </c>
      <c r="G1201" s="11" cm="1">
        <f t="array" aca="1" ref="G1201" ca="1">INDEX('Coste Carretera'!E$46:E$1646,MATCH(C1201&amp;D1201,'Coste Carretera'!C$46:C$1646&amp;'Coste Carretera'!D$46:D$1646,0))</f>
        <v>1157580561.6800001</v>
      </c>
      <c r="H1201" s="11" cm="1">
        <f t="array" aca="1" ref="H1201" ca="1">INDEX('Coste multimodal'!E$46:E$1646,MATCH(C1201&amp;D1201,'Coste multimodal'!C$46:C$1646&amp;'Coste multimodal'!D$46:D$1646,0))</f>
        <v>160939339.10279778</v>
      </c>
      <c r="I1201" s="12" cm="1">
        <f t="array" aca="1" ref="I1201" ca="1">INDEX('Tiempos intermodal (horas)'!E$45:E$1645,MATCH(C1201&amp;D1201,'Tiempos intermodal (horas)'!C$45:C$1645&amp;'Tiempos intermodal (horas)'!D$45:D$1645,0))</f>
        <v>91.455560804945577</v>
      </c>
      <c r="J1201" s="2" cm="1">
        <f t="array" aca="1" ref="J1201" ca="1">INDEX('Tiempos carretera (horas)'!E$45:E$1645,MATCH(C1201&amp;D1201,'Tiempos carretera (horas)'!C$45:C$1645&amp;'Tiempos carretera (horas)'!D$45:D$1645,0))</f>
        <v>23.23</v>
      </c>
      <c r="K1201" s="12">
        <f t="shared" ca="1" si="114"/>
        <v>10.199171146372697</v>
      </c>
      <c r="L1201" s="12">
        <f t="shared" ca="1" si="115"/>
        <v>3.0808091878004791</v>
      </c>
      <c r="M1201" s="12">
        <f t="shared" ca="1" si="116"/>
        <v>0.31519433892368487</v>
      </c>
      <c r="N1201" s="13">
        <f t="shared" ca="1" si="112"/>
        <v>7.1183619585722173</v>
      </c>
      <c r="O1201" s="13">
        <f t="shared" ca="1" si="113"/>
        <v>-68.225560804945573</v>
      </c>
      <c r="P1201" s="12">
        <f t="shared" ca="1" si="117"/>
        <v>0.77594569399706137</v>
      </c>
    </row>
    <row r="1202" spans="1:16" x14ac:dyDescent="0.25">
      <c r="A1202">
        <v>30</v>
      </c>
      <c r="B1202">
        <v>17</v>
      </c>
      <c r="C1202" s="2" t="s">
        <v>146</v>
      </c>
      <c r="D1202" s="2" t="s">
        <v>16</v>
      </c>
      <c r="E1202" s="11" cm="1">
        <f t="array" aca="1" ref="E1202" ca="1">INDEX('OD flujo mercancia multimodal'!E$45:E$1645,MATCH(C1202&amp;D1202,'OD flujo mercancia multimodal'!C$45:C$1645&amp;'OD flujo mercancia multimodal'!D$45:D$1645,0))</f>
        <v>66305.61538461539</v>
      </c>
      <c r="F1202" s="11" cm="1">
        <f t="array" aca="1" ref="F1202" ca="1">INDEX('OD flujo mercancia carretera'!E$45:E$1646,MATCH(C1202&amp;D1202,'OD flujo mercancia carretera'!C$45:C$1646&amp;'OD flujo mercancia carretera'!D$45:D$1646,0))</f>
        <v>400214.33846153808</v>
      </c>
      <c r="G1202" s="11" cm="1">
        <f t="array" aca="1" ref="G1202" ca="1">INDEX('Coste Carretera'!E$46:E$1646,MATCH(C1202&amp;D1202,'Coste Carretera'!C$46:C$1646&amp;'Coste Carretera'!D$46:D$1646,0))</f>
        <v>4781047857.5</v>
      </c>
      <c r="H1202" s="11" cm="1">
        <f t="array" aca="1" ref="H1202" ca="1">INDEX('Coste multimodal'!E$46:E$1646,MATCH(C1202&amp;D1202,'Coste multimodal'!C$46:C$1646&amp;'Coste multimodal'!D$46:D$1646,0))</f>
        <v>735723407.49215341</v>
      </c>
      <c r="I1202" s="12" cm="1">
        <f t="array" aca="1" ref="I1202" ca="1">INDEX('Tiempos intermodal (horas)'!E$45:E$1645,MATCH(C1202&amp;D1202,'Tiempos intermodal (horas)'!C$45:C$1645&amp;'Tiempos intermodal (horas)'!D$45:D$1645,0))</f>
        <v>80.328954837650144</v>
      </c>
      <c r="J1202" s="2" cm="1">
        <f t="array" aca="1" ref="J1202" ca="1">INDEX('Tiempos carretera (horas)'!E$45:E$1645,MATCH(C1202&amp;D1202,'Tiempos carretera (horas)'!C$45:C$1645&amp;'Tiempos carretera (horas)'!D$45:D$1645,0))</f>
        <v>11.86</v>
      </c>
      <c r="K1202" s="12">
        <f t="shared" ca="1" si="114"/>
        <v>11.946218308616332</v>
      </c>
      <c r="L1202" s="12">
        <f t="shared" ca="1" si="115"/>
        <v>11.095944185488401</v>
      </c>
      <c r="M1202" s="12">
        <f t="shared" ca="1" si="116"/>
        <v>0.14212814444048691</v>
      </c>
      <c r="N1202" s="13">
        <f t="shared" ca="1" si="112"/>
        <v>0.8502741231279316</v>
      </c>
      <c r="O1202" s="13">
        <f t="shared" ca="1" si="113"/>
        <v>-68.468954837650145</v>
      </c>
      <c r="P1202" s="12">
        <f t="shared" ca="1" si="117"/>
        <v>1.7977256595417463</v>
      </c>
    </row>
    <row r="1203" spans="1:16" x14ac:dyDescent="0.25">
      <c r="A1203">
        <v>17</v>
      </c>
      <c r="B1203">
        <v>30</v>
      </c>
      <c r="C1203" s="2" t="s">
        <v>16</v>
      </c>
      <c r="D1203" s="2" t="s">
        <v>146</v>
      </c>
      <c r="E1203" s="11" cm="1">
        <f t="array" aca="1" ref="E1203" ca="1">INDEX('OD flujo mercancia multimodal'!E$45:E$1645,MATCH(C1203&amp;D1203,'OD flujo mercancia multimodal'!C$45:C$1645&amp;'OD flujo mercancia multimodal'!D$45:D$1645,0))</f>
        <v>61968.146153846159</v>
      </c>
      <c r="F1203" s="11" cm="1">
        <f t="array" aca="1" ref="F1203" ca="1">INDEX('OD flujo mercancia carretera'!E$45:E$1646,MATCH(C1203&amp;D1203,'OD flujo mercancia carretera'!C$45:C$1646&amp;'OD flujo mercancia carretera'!D$45:D$1646,0))</f>
        <v>758446.86923076923</v>
      </c>
      <c r="G1203" s="11" cm="1">
        <f t="array" aca="1" ref="G1203" ca="1">INDEX('Coste Carretera'!E$46:E$1646,MATCH(C1203&amp;D1203,'Coste Carretera'!C$46:C$1646&amp;'Coste Carretera'!D$46:D$1646,0))</f>
        <v>5357029849.5</v>
      </c>
      <c r="H1203" s="11" cm="1">
        <f t="array" aca="1" ref="H1203" ca="1">INDEX('Coste multimodal'!E$46:E$1646,MATCH(C1203&amp;D1203,'Coste multimodal'!C$46:C$1646&amp;'Coste multimodal'!D$46:D$1646,0))</f>
        <v>735723407.49215341</v>
      </c>
      <c r="I1203" s="12" cm="1">
        <f t="array" aca="1" ref="I1203" ca="1">INDEX('Tiempos intermodal (horas)'!E$45:E$1645,MATCH(C1203&amp;D1203,'Tiempos intermodal (horas)'!C$45:C$1645&amp;'Tiempos intermodal (horas)'!D$45:D$1645,0))</f>
        <v>80.328954837650144</v>
      </c>
      <c r="J1203" s="2" cm="1">
        <f t="array" aca="1" ref="J1203" ca="1">INDEX('Tiempos carretera (horas)'!E$45:E$1645,MATCH(C1203&amp;D1203,'Tiempos carretera (horas)'!C$45:C$1645&amp;'Tiempos carretera (horas)'!D$45:D$1645,0))</f>
        <v>11.86</v>
      </c>
      <c r="K1203" s="12">
        <f t="shared" ca="1" si="114"/>
        <v>7.0631577066607152</v>
      </c>
      <c r="L1203" s="12">
        <f t="shared" ca="1" si="115"/>
        <v>11.872606381762632</v>
      </c>
      <c r="M1203" s="12">
        <f t="shared" ca="1" si="116"/>
        <v>7.5532681620649189E-2</v>
      </c>
      <c r="N1203" s="13">
        <f t="shared" ca="1" si="112"/>
        <v>-4.8094486751019163</v>
      </c>
      <c r="O1203" s="13">
        <f t="shared" ca="1" si="113"/>
        <v>-68.468954837650145</v>
      </c>
      <c r="P1203" s="12">
        <f t="shared" ca="1" si="117"/>
        <v>2.504652267870294</v>
      </c>
    </row>
    <row r="1204" spans="1:16" x14ac:dyDescent="0.25">
      <c r="A1204">
        <v>31</v>
      </c>
      <c r="B1204">
        <v>41</v>
      </c>
      <c r="C1204" s="2" t="s">
        <v>30</v>
      </c>
      <c r="D1204" s="2" t="s">
        <v>40</v>
      </c>
      <c r="E1204" s="11" cm="1">
        <f t="array" aca="1" ref="E1204" ca="1">INDEX('OD flujo mercancia multimodal'!E$45:E$1645,MATCH(C1204&amp;D1204,'OD flujo mercancia multimodal'!C$45:C$1645&amp;'OD flujo mercancia multimodal'!D$45:D$1645,0))</f>
        <v>23917.999999999993</v>
      </c>
      <c r="F1204" s="11" cm="1">
        <f t="array" aca="1" ref="F1204" ca="1">INDEX('OD flujo mercancia carretera'!E$45:E$1646,MATCH(C1204&amp;D1204,'OD flujo mercancia carretera'!C$45:C$1646&amp;'OD flujo mercancia carretera'!D$45:D$1646,0))</f>
        <v>40944.800366300391</v>
      </c>
      <c r="G1204" s="11" cm="1">
        <f t="array" aca="1" ref="G1204" ca="1">INDEX('Coste Carretera'!E$46:E$1646,MATCH(C1204&amp;D1204,'Coste Carretera'!C$46:C$1646&amp;'Coste Carretera'!D$46:D$1646,0))</f>
        <v>1435750632.7999997</v>
      </c>
      <c r="H1204" s="11" cm="1">
        <f t="array" aca="1" ref="H1204" ca="1">INDEX('Coste multimodal'!E$46:E$1646,MATCH(C1204&amp;D1204,'Coste multimodal'!C$46:C$1646&amp;'Coste multimodal'!D$46:D$1646,0))</f>
        <v>700129580.75631142</v>
      </c>
      <c r="I1204" s="12" cm="1">
        <f t="array" aca="1" ref="I1204" ca="1">INDEX('Tiempos intermodal (horas)'!E$45:E$1645,MATCH(C1204&amp;D1204,'Tiempos intermodal (horas)'!C$45:C$1645&amp;'Tiempos intermodal (horas)'!D$45:D$1645,0))</f>
        <v>92.577621064423795</v>
      </c>
      <c r="J1204" s="2" cm="1">
        <f t="array" aca="1" ref="J1204" ca="1">INDEX('Tiempos carretera (horas)'!E$45:E$1645,MATCH(C1204&amp;D1204,'Tiempos carretera (horas)'!C$45:C$1645&amp;'Tiempos carretera (horas)'!D$45:D$1645,0))</f>
        <v>25</v>
      </c>
      <c r="K1204" s="12">
        <f t="shared" ca="1" si="114"/>
        <v>35.065517964564165</v>
      </c>
      <c r="L1204" s="12">
        <f t="shared" ca="1" si="115"/>
        <v>29.272078800748876</v>
      </c>
      <c r="M1204" s="12">
        <f t="shared" ca="1" si="116"/>
        <v>0.36874756971527001</v>
      </c>
      <c r="N1204" s="13">
        <f t="shared" ca="1" si="112"/>
        <v>5.7934391638152896</v>
      </c>
      <c r="O1204" s="13">
        <f t="shared" ca="1" si="113"/>
        <v>-67.577621064423795</v>
      </c>
      <c r="P1204" s="12">
        <f t="shared" ca="1" si="117"/>
        <v>0.53759351350851248</v>
      </c>
    </row>
    <row r="1205" spans="1:16" x14ac:dyDescent="0.25">
      <c r="A1205">
        <v>41</v>
      </c>
      <c r="B1205">
        <v>31</v>
      </c>
      <c r="C1205" s="2" t="s">
        <v>40</v>
      </c>
      <c r="D1205" s="2" t="s">
        <v>30</v>
      </c>
      <c r="E1205" s="11" cm="1">
        <f t="array" aca="1" ref="E1205" ca="1">INDEX('OD flujo mercancia multimodal'!E$45:E$1645,MATCH(C1205&amp;D1205,'OD flujo mercancia multimodal'!C$45:C$1645&amp;'OD flujo mercancia multimodal'!D$45:D$1645,0))</f>
        <v>10323.615384615387</v>
      </c>
      <c r="F1205" s="11" cm="1">
        <f t="array" aca="1" ref="F1205" ca="1">INDEX('OD flujo mercancia carretera'!E$45:E$1646,MATCH(C1205&amp;D1205,'OD flujo mercancia carretera'!C$45:C$1646&amp;'OD flujo mercancia carretera'!D$45:D$1646,0))</f>
        <v>90913.192307692298</v>
      </c>
      <c r="G1205" s="11" cm="1">
        <f t="array" aca="1" ref="G1205" ca="1">INDEX('Coste Carretera'!E$46:E$1646,MATCH(C1205&amp;D1205,'Coste Carretera'!C$46:C$1646&amp;'Coste Carretera'!D$46:D$1646,0))</f>
        <v>1308351316.632</v>
      </c>
      <c r="H1205" s="11" cm="1">
        <f t="array" aca="1" ref="H1205" ca="1">INDEX('Coste multimodal'!E$46:E$1646,MATCH(C1205&amp;D1205,'Coste multimodal'!C$46:C$1646&amp;'Coste multimodal'!D$46:D$1646,0))</f>
        <v>595150838.09697008</v>
      </c>
      <c r="I1205" s="12" cm="1">
        <f t="array" aca="1" ref="I1205" ca="1">INDEX('Tiempos intermodal (horas)'!E$45:E$1645,MATCH(C1205&amp;D1205,'Tiempos intermodal (horas)'!C$45:C$1645&amp;'Tiempos intermodal (horas)'!D$45:D$1645,0))</f>
        <v>28.96210820884361</v>
      </c>
      <c r="J1205" s="2" cm="1">
        <f t="array" aca="1" ref="J1205" ca="1">INDEX('Tiempos carretera (horas)'!E$45:E$1645,MATCH(C1205&amp;D1205,'Tiempos carretera (horas)'!C$45:C$1645&amp;'Tiempos carretera (horas)'!D$45:D$1645,0))</f>
        <v>23.18</v>
      </c>
      <c r="K1205" s="12">
        <f t="shared" ca="1" si="114"/>
        <v>14.391215217742369</v>
      </c>
      <c r="L1205" s="12">
        <f t="shared" ca="1" si="115"/>
        <v>57.649458636737357</v>
      </c>
      <c r="M1205" s="12">
        <f t="shared" ca="1" si="116"/>
        <v>0.1019749201890313</v>
      </c>
      <c r="N1205" s="13">
        <f t="shared" ca="1" si="112"/>
        <v>-43.258243418994986</v>
      </c>
      <c r="O1205" s="13">
        <f t="shared" ca="1" si="113"/>
        <v>-5.78210820884361</v>
      </c>
      <c r="P1205" s="12">
        <f t="shared" ca="1" si="117"/>
        <v>2.1754710938812036</v>
      </c>
    </row>
    <row r="1206" spans="1:16" x14ac:dyDescent="0.25">
      <c r="A1206">
        <v>38</v>
      </c>
      <c r="B1206">
        <v>33</v>
      </c>
      <c r="C1206" s="2" t="s">
        <v>37</v>
      </c>
      <c r="D1206" s="2" t="s">
        <v>32</v>
      </c>
      <c r="E1206" s="11" cm="1">
        <f t="array" aca="1" ref="E1206" ca="1">INDEX('OD flujo mercancia multimodal'!E$45:E$1645,MATCH(C1206&amp;D1206,'OD flujo mercancia multimodal'!C$45:C$1645&amp;'OD flujo mercancia multimodal'!D$45:D$1645,0))</f>
        <v>64188.769230769198</v>
      </c>
      <c r="F1206" s="11" cm="1">
        <f t="array" aca="1" ref="F1206" ca="1">INDEX('OD flujo mercancia carretera'!E$45:E$1646,MATCH(C1206&amp;D1206,'OD flujo mercancia carretera'!C$45:C$1646&amp;'OD flujo mercancia carretera'!D$45:D$1646,0))</f>
        <v>104890.41538461541</v>
      </c>
      <c r="G1206" s="11" cm="1">
        <f t="array" aca="1" ref="G1206" ca="1">INDEX('Coste Carretera'!E$46:E$1646,MATCH(C1206&amp;D1206,'Coste Carretera'!C$46:C$1646&amp;'Coste Carretera'!D$46:D$1646,0))</f>
        <v>782859584.99999988</v>
      </c>
      <c r="H1206" s="11" cm="1">
        <f t="array" aca="1" ref="H1206" ca="1">INDEX('Coste multimodal'!E$46:E$1646,MATCH(C1206&amp;D1206,'Coste multimodal'!C$46:C$1646&amp;'Coste multimodal'!D$46:D$1646,0))</f>
        <v>3973122.1427977597</v>
      </c>
      <c r="I1206" s="12" cm="1">
        <f t="array" aca="1" ref="I1206" ca="1">INDEX('Tiempos intermodal (horas)'!E$45:E$1645,MATCH(C1206&amp;D1206,'Tiempos intermodal (horas)'!C$45:C$1645&amp;'Tiempos intermodal (horas)'!D$45:D$1645,0))</f>
        <v>92.055560804945571</v>
      </c>
      <c r="J1206" s="2" cm="1">
        <f t="array" aca="1" ref="J1206" ca="1">INDEX('Tiempos carretera (horas)'!E$45:E$1645,MATCH(C1206&amp;D1206,'Tiempos carretera (horas)'!C$45:C$1645&amp;'Tiempos carretera (horas)'!D$45:D$1645,0))</f>
        <v>23.48</v>
      </c>
      <c r="K1206" s="12">
        <f t="shared" ca="1" si="114"/>
        <v>7.4635950494560079</v>
      </c>
      <c r="L1206" s="12">
        <f t="shared" ca="1" si="115"/>
        <v>6.1897465715750548E-2</v>
      </c>
      <c r="M1206" s="12">
        <f t="shared" ca="1" si="116"/>
        <v>0.37963732423233265</v>
      </c>
      <c r="N1206" s="13">
        <f t="shared" ca="1" si="112"/>
        <v>7.4016975837402574</v>
      </c>
      <c r="O1206" s="13">
        <f t="shared" ca="1" si="113"/>
        <v>-68.575560804945567</v>
      </c>
      <c r="P1206" s="12">
        <f t="shared" ca="1" si="117"/>
        <v>0.49108788086540767</v>
      </c>
    </row>
    <row r="1207" spans="1:16" x14ac:dyDescent="0.25">
      <c r="A1207">
        <v>33</v>
      </c>
      <c r="B1207">
        <v>38</v>
      </c>
      <c r="C1207" s="2" t="s">
        <v>32</v>
      </c>
      <c r="D1207" s="2" t="s">
        <v>37</v>
      </c>
      <c r="E1207" s="11" cm="1">
        <f t="array" aca="1" ref="E1207" ca="1">INDEX('OD flujo mercancia multimodal'!E$45:E$1645,MATCH(C1207&amp;D1207,'OD flujo mercancia multimodal'!C$45:C$1645&amp;'OD flujo mercancia multimodal'!D$45:D$1645,0))</f>
        <v>30263.615384615383</v>
      </c>
      <c r="F1207" s="11" cm="1">
        <f t="array" aca="1" ref="F1207" ca="1">INDEX('OD flujo mercancia carretera'!E$45:E$1646,MATCH(C1207&amp;D1207,'OD flujo mercancia carretera'!C$45:C$1646&amp;'OD flujo mercancia carretera'!D$45:D$1646,0))</f>
        <v>99829.405128205137</v>
      </c>
      <c r="G1207" s="11" cm="1">
        <f t="array" aca="1" ref="G1207" ca="1">INDEX('Coste Carretera'!E$46:E$1646,MATCH(C1207&amp;D1207,'Coste Carretera'!C$46:C$1646&amp;'Coste Carretera'!D$46:D$1646,0))</f>
        <v>1317845790.1200058</v>
      </c>
      <c r="H1207" s="11" cm="1">
        <f t="array" aca="1" ref="H1207" ca="1">INDEX('Coste multimodal'!E$46:E$1646,MATCH(C1207&amp;D1207,'Coste multimodal'!C$46:C$1646&amp;'Coste multimodal'!D$46:D$1646,0))</f>
        <v>3973122.1427977597</v>
      </c>
      <c r="I1207" s="12" cm="1">
        <f t="array" aca="1" ref="I1207" ca="1">INDEX('Tiempos intermodal (horas)'!E$45:E$1645,MATCH(C1207&amp;D1207,'Tiempos intermodal (horas)'!C$45:C$1645&amp;'Tiempos intermodal (horas)'!D$45:D$1645,0))</f>
        <v>92.055560804945571</v>
      </c>
      <c r="J1207" s="2" cm="1">
        <f t="array" aca="1" ref="J1207" ca="1">INDEX('Tiempos carretera (horas)'!E$45:E$1645,MATCH(C1207&amp;D1207,'Tiempos carretera (horas)'!C$45:C$1645&amp;'Tiempos carretera (horas)'!D$45:D$1645,0))</f>
        <v>23.48</v>
      </c>
      <c r="K1207" s="12">
        <f t="shared" ca="1" si="114"/>
        <v>13.20097809285323</v>
      </c>
      <c r="L1207" s="12">
        <f t="shared" ca="1" si="115"/>
        <v>0.13128379052879155</v>
      </c>
      <c r="M1207" s="12">
        <f t="shared" ca="1" si="116"/>
        <v>0.2326305843719951</v>
      </c>
      <c r="N1207" s="13">
        <f t="shared" ca="1" si="112"/>
        <v>13.069694302324439</v>
      </c>
      <c r="O1207" s="13">
        <f t="shared" ca="1" si="113"/>
        <v>-68.575560804945567</v>
      </c>
      <c r="P1207" s="12">
        <f t="shared" ca="1" si="117"/>
        <v>1.193516601909085</v>
      </c>
    </row>
    <row r="1208" spans="1:16" x14ac:dyDescent="0.25">
      <c r="A1208">
        <v>11</v>
      </c>
      <c r="B1208">
        <v>4</v>
      </c>
      <c r="C1208" s="2" t="s">
        <v>10</v>
      </c>
      <c r="D1208" s="2" t="s">
        <v>3</v>
      </c>
      <c r="E1208" s="11" cm="1">
        <f t="array" aca="1" ref="E1208" ca="1">INDEX('OD flujo mercancia multimodal'!E$45:E$1645,MATCH(C1208&amp;D1208,'OD flujo mercancia multimodal'!C$45:C$1645&amp;'OD flujo mercancia multimodal'!D$45:D$1645,0))</f>
        <v>41833.840659340625</v>
      </c>
      <c r="F1208" s="11" cm="1">
        <f t="array" aca="1" ref="F1208" ca="1">INDEX('OD flujo mercancia carretera'!E$45:E$1646,MATCH(C1208&amp;D1208,'OD flujo mercancia carretera'!C$45:C$1646&amp;'OD flujo mercancia carretera'!D$45:D$1646,0))</f>
        <v>128784.61538461538</v>
      </c>
      <c r="G1208" s="11" cm="1">
        <f t="array" aca="1" ref="G1208" ca="1">INDEX('Coste Carretera'!E$46:E$1646,MATCH(C1208&amp;D1208,'Coste Carretera'!C$46:C$1646&amp;'Coste Carretera'!D$46:D$1646,0))</f>
        <v>5059951956.2199965</v>
      </c>
      <c r="H1208" s="11" cm="1">
        <f t="array" aca="1" ref="H1208" ca="1">INDEX('Coste multimodal'!E$46:E$1646,MATCH(C1208&amp;D1208,'Coste multimodal'!C$46:C$1646&amp;'Coste multimodal'!D$46:D$1646,0))</f>
        <v>662348015.38250303</v>
      </c>
      <c r="I1208" s="12" cm="1">
        <f t="array" aca="1" ref="I1208" ca="1">INDEX('Tiempos intermodal (horas)'!E$45:E$1645,MATCH(C1208&amp;D1208,'Tiempos intermodal (horas)'!C$45:C$1645&amp;'Tiempos intermodal (horas)'!D$45:D$1645,0))</f>
        <v>76.857317485454203</v>
      </c>
      <c r="J1208" s="2" cm="1">
        <f t="array" aca="1" ref="J1208" ca="1">INDEX('Tiempos carretera (horas)'!E$45:E$1645,MATCH(C1208&amp;D1208,'Tiempos carretera (horas)'!C$45:C$1645&amp;'Tiempos carretera (horas)'!D$45:D$1645,0))</f>
        <v>22.58</v>
      </c>
      <c r="K1208" s="12">
        <f t="shared" ca="1" si="114"/>
        <v>39.290034303464317</v>
      </c>
      <c r="L1208" s="12">
        <f t="shared" ca="1" si="115"/>
        <v>15.832828278333428</v>
      </c>
      <c r="M1208" s="12">
        <f t="shared" ca="1" si="116"/>
        <v>0.24518942223086981</v>
      </c>
      <c r="N1208" s="13">
        <f t="shared" ca="1" si="112"/>
        <v>23.457206025130887</v>
      </c>
      <c r="O1208" s="13">
        <f t="shared" ca="1" si="113"/>
        <v>-54.277317485454205</v>
      </c>
      <c r="P1208" s="12">
        <f t="shared" ca="1" si="117"/>
        <v>1.1244357636193101</v>
      </c>
    </row>
    <row r="1209" spans="1:16" x14ac:dyDescent="0.25">
      <c r="A1209">
        <v>17</v>
      </c>
      <c r="B1209">
        <v>20</v>
      </c>
      <c r="C1209" s="2" t="s">
        <v>16</v>
      </c>
      <c r="D1209" s="2" t="s">
        <v>19</v>
      </c>
      <c r="E1209" s="11" cm="1">
        <f t="array" aca="1" ref="E1209" ca="1">INDEX('OD flujo mercancia multimodal'!E$45:E$1645,MATCH(C1209&amp;D1209,'OD flujo mercancia multimodal'!C$45:C$1645&amp;'OD flujo mercancia multimodal'!D$45:D$1645,0))</f>
        <v>112672.53846153845</v>
      </c>
      <c r="F1209" s="11" cm="1">
        <f t="array" aca="1" ref="F1209" ca="1">INDEX('OD flujo mercancia carretera'!E$45:E$1646,MATCH(C1209&amp;D1209,'OD flujo mercancia carretera'!C$45:C$1646&amp;'OD flujo mercancia carretera'!D$45:D$1646,0))</f>
        <v>592077.43589743599</v>
      </c>
      <c r="G1209" s="11" cm="1">
        <f t="array" aca="1" ref="G1209" ca="1">INDEX('Coste Carretera'!E$46:E$1646,MATCH(C1209&amp;D1209,'Coste Carretera'!C$46:C$1646&amp;'Coste Carretera'!D$46:D$1646,0))</f>
        <v>10545094985.039999</v>
      </c>
      <c r="H1209" s="11" cm="1">
        <f t="array" aca="1" ref="H1209" ca="1">INDEX('Coste multimodal'!E$46:E$1646,MATCH(C1209&amp;D1209,'Coste multimodal'!C$46:C$1646&amp;'Coste multimodal'!D$46:D$1646,0))</f>
        <v>1067801284.4175502</v>
      </c>
      <c r="I1209" s="12" cm="1">
        <f t="array" aca="1" ref="I1209" ca="1">INDEX('Tiempos intermodal (horas)'!E$45:E$1645,MATCH(C1209&amp;D1209,'Tiempos intermodal (horas)'!C$45:C$1645&amp;'Tiempos intermodal (horas)'!D$45:D$1645,0))</f>
        <v>87.29179644097222</v>
      </c>
      <c r="J1209" s="2" cm="1">
        <f t="array" aca="1" ref="J1209" ca="1">INDEX('Tiempos carretera (horas)'!E$45:E$1645,MATCH(C1209&amp;D1209,'Tiempos carretera (horas)'!C$45:C$1645&amp;'Tiempos carretera (horas)'!D$45:D$1645,0))</f>
        <v>18.22</v>
      </c>
      <c r="K1209" s="12">
        <f t="shared" ca="1" si="114"/>
        <v>17.810330787317316</v>
      </c>
      <c r="L1209" s="12">
        <f t="shared" ca="1" si="115"/>
        <v>9.4770322830886737</v>
      </c>
      <c r="M1209" s="12">
        <f t="shared" ca="1" si="116"/>
        <v>0.159875902888855</v>
      </c>
      <c r="N1209" s="13">
        <f t="shared" ca="1" si="112"/>
        <v>8.333298504228642</v>
      </c>
      <c r="O1209" s="13">
        <f t="shared" ca="1" si="113"/>
        <v>-69.071796440972221</v>
      </c>
      <c r="P1209" s="12">
        <f t="shared" ca="1" si="117"/>
        <v>1.6591517082313072</v>
      </c>
    </row>
    <row r="1210" spans="1:16" x14ac:dyDescent="0.25">
      <c r="A1210">
        <v>20</v>
      </c>
      <c r="B1210">
        <v>17</v>
      </c>
      <c r="C1210" s="2" t="s">
        <v>19</v>
      </c>
      <c r="D1210" s="2" t="s">
        <v>16</v>
      </c>
      <c r="E1210" s="11" cm="1">
        <f t="array" aca="1" ref="E1210" ca="1">INDEX('OD flujo mercancia multimodal'!E$45:E$1645,MATCH(C1210&amp;D1210,'OD flujo mercancia multimodal'!C$45:C$1645&amp;'OD flujo mercancia multimodal'!D$45:D$1645,0))</f>
        <v>96441.076923076937</v>
      </c>
      <c r="F1210" s="11" cm="1">
        <f t="array" aca="1" ref="F1210" ca="1">INDEX('OD flujo mercancia carretera'!E$45:E$1646,MATCH(C1210&amp;D1210,'OD flujo mercancia carretera'!C$45:C$1646&amp;'OD flujo mercancia carretera'!D$45:D$1646,0))</f>
        <v>237015.87179487135</v>
      </c>
      <c r="G1210" s="11" cm="1">
        <f t="array" aca="1" ref="G1210" ca="1">INDEX('Coste Carretera'!E$46:E$1646,MATCH(C1210&amp;D1210,'Coste Carretera'!C$46:C$1646&amp;'Coste Carretera'!D$46:D$1646,0))</f>
        <v>9025982111.5200024</v>
      </c>
      <c r="H1210" s="11" cm="1">
        <f t="array" aca="1" ref="H1210" ca="1">INDEX('Coste multimodal'!E$46:E$1646,MATCH(C1210&amp;D1210,'Coste multimodal'!C$46:C$1646&amp;'Coste multimodal'!D$46:D$1646,0))</f>
        <v>1067801284.4175502</v>
      </c>
      <c r="I1210" s="12" cm="1">
        <f t="array" aca="1" ref="I1210" ca="1">INDEX('Tiempos intermodal (horas)'!E$45:E$1645,MATCH(C1210&amp;D1210,'Tiempos intermodal (horas)'!C$45:C$1645&amp;'Tiempos intermodal (horas)'!D$45:D$1645,0))</f>
        <v>87.29179644097222</v>
      </c>
      <c r="J1210" s="2" cm="1">
        <f t="array" aca="1" ref="J1210" ca="1">INDEX('Tiempos carretera (horas)'!E$45:E$1645,MATCH(C1210&amp;D1210,'Tiempos carretera (horas)'!C$45:C$1645&amp;'Tiempos carretera (horas)'!D$45:D$1645,0))</f>
        <v>18.22</v>
      </c>
      <c r="K1210" s="12">
        <f t="shared" ca="1" si="114"/>
        <v>38.081762386493942</v>
      </c>
      <c r="L1210" s="12">
        <f t="shared" ca="1" si="115"/>
        <v>11.072058903585729</v>
      </c>
      <c r="M1210" s="12">
        <f t="shared" ca="1" si="116"/>
        <v>0.28921597613684996</v>
      </c>
      <c r="N1210" s="13">
        <f t="shared" ca="1" si="112"/>
        <v>27.009703482908215</v>
      </c>
      <c r="O1210" s="13">
        <f t="shared" ca="1" si="113"/>
        <v>-69.071796440972221</v>
      </c>
      <c r="P1210" s="12">
        <f t="shared" ca="1" si="117"/>
        <v>0.89919488847305917</v>
      </c>
    </row>
    <row r="1211" spans="1:16" x14ac:dyDescent="0.25">
      <c r="A1211">
        <v>38</v>
      </c>
      <c r="B1211">
        <v>31</v>
      </c>
      <c r="C1211" s="2" t="s">
        <v>37</v>
      </c>
      <c r="D1211" s="2" t="s">
        <v>30</v>
      </c>
      <c r="E1211" s="11" cm="1">
        <f t="array" aca="1" ref="E1211" ca="1">INDEX('OD flujo mercancia multimodal'!E$45:E$1645,MATCH(C1211&amp;D1211,'OD flujo mercancia multimodal'!C$45:C$1645&amp;'OD flujo mercancia multimodal'!D$45:D$1645,0))</f>
        <v>2666.4615384615399</v>
      </c>
      <c r="F1211" s="11" cm="1">
        <f t="array" aca="1" ref="F1211" ca="1">INDEX('OD flujo mercancia carretera'!E$45:E$1646,MATCH(C1211&amp;D1211,'OD flujo mercancia carretera'!C$45:C$1646&amp;'OD flujo mercancia carretera'!D$45:D$1646,0))</f>
        <v>29633.38461538461</v>
      </c>
      <c r="G1211" s="11" cm="1">
        <f t="array" aca="1" ref="G1211" ca="1">INDEX('Coste Carretera'!E$46:E$1646,MATCH(C1211&amp;D1211,'Coste Carretera'!C$46:C$1646&amp;'Coste Carretera'!D$46:D$1646,0))</f>
        <v>1802967422.1960001</v>
      </c>
      <c r="H1211" s="11" cm="1">
        <f t="array" aca="1" ref="H1211" ca="1">INDEX('Coste multimodal'!E$46:E$1646,MATCH(C1211&amp;D1211,'Coste multimodal'!C$46:C$1646&amp;'Coste multimodal'!D$46:D$1646,0))</f>
        <v>543163363.79631138</v>
      </c>
      <c r="I1211" s="12" cm="1">
        <f t="array" aca="1" ref="I1211" ca="1">INDEX('Tiempos intermodal (horas)'!E$45:E$1645,MATCH(C1211&amp;D1211,'Tiempos intermodal (horas)'!C$45:C$1645&amp;'Tiempos intermodal (horas)'!D$45:D$1645,0))</f>
        <v>93.177621064423789</v>
      </c>
      <c r="J1211" s="2" cm="1">
        <f t="array" aca="1" ref="J1211" ca="1">INDEX('Tiempos carretera (horas)'!E$45:E$1645,MATCH(C1211&amp;D1211,'Tiempos carretera (horas)'!C$45:C$1645&amp;'Tiempos carretera (horas)'!D$45:D$1645,0))</f>
        <v>25</v>
      </c>
      <c r="K1211" s="12">
        <f t="shared" ca="1" si="114"/>
        <v>60.84243988990589</v>
      </c>
      <c r="L1211" s="12">
        <f t="shared" ca="1" si="115"/>
        <v>203.7019308029092</v>
      </c>
      <c r="M1211" s="12">
        <f t="shared" ca="1" si="116"/>
        <v>8.2553382011821982E-2</v>
      </c>
      <c r="N1211" s="13">
        <f t="shared" ca="1" si="112"/>
        <v>-142.8594909130033</v>
      </c>
      <c r="O1211" s="13">
        <f t="shared" ca="1" si="113"/>
        <v>-68.177621064423789</v>
      </c>
      <c r="P1211" s="12">
        <f t="shared" ca="1" si="117"/>
        <v>2.4081492574270911</v>
      </c>
    </row>
    <row r="1212" spans="1:16" x14ac:dyDescent="0.25">
      <c r="A1212">
        <v>31</v>
      </c>
      <c r="B1212">
        <v>38</v>
      </c>
      <c r="C1212" s="2" t="s">
        <v>30</v>
      </c>
      <c r="D1212" s="2" t="s">
        <v>37</v>
      </c>
      <c r="E1212" s="11" cm="1">
        <f t="array" aca="1" ref="E1212" ca="1">INDEX('OD flujo mercancia multimodal'!E$45:E$1645,MATCH(C1212&amp;D1212,'OD flujo mercancia multimodal'!C$45:C$1645&amp;'OD flujo mercancia multimodal'!D$45:D$1645,0))</f>
        <v>1942.3076923076924</v>
      </c>
      <c r="F1212" s="11" cm="1">
        <f t="array" aca="1" ref="F1212" ca="1">INDEX('OD flujo mercancia carretera'!E$45:E$1646,MATCH(C1212&amp;D1212,'OD flujo mercancia carretera'!C$45:C$1646&amp;'OD flujo mercancia carretera'!D$45:D$1646,0))</f>
        <v>27276.692307692312</v>
      </c>
      <c r="G1212" s="11" cm="1">
        <f t="array" aca="1" ref="G1212" ca="1">INDEX('Coste Carretera'!E$46:E$1646,MATCH(C1212&amp;D1212,'Coste Carretera'!C$46:C$1646&amp;'Coste Carretera'!D$46:D$1646,0))</f>
        <v>1616857061.760006</v>
      </c>
      <c r="H1212" s="11" cm="1">
        <f t="array" aca="1" ref="H1212" ca="1">INDEX('Coste multimodal'!E$46:E$1646,MATCH(C1212&amp;D1212,'Coste multimodal'!C$46:C$1646&amp;'Coste multimodal'!D$46:D$1646,0))</f>
        <v>543163363.79631138</v>
      </c>
      <c r="I1212" s="12" cm="1">
        <f t="array" aca="1" ref="I1212" ca="1">INDEX('Tiempos intermodal (horas)'!E$45:E$1645,MATCH(C1212&amp;D1212,'Tiempos intermodal (horas)'!C$45:C$1645&amp;'Tiempos intermodal (horas)'!D$45:D$1645,0))</f>
        <v>93.177621064423789</v>
      </c>
      <c r="J1212" s="2" cm="1">
        <f t="array" aca="1" ref="J1212" ca="1">INDEX('Tiempos carretera (horas)'!E$45:E$1645,MATCH(C1212&amp;D1212,'Tiempos carretera (horas)'!C$45:C$1645&amp;'Tiempos carretera (horas)'!D$45:D$1645,0))</f>
        <v>25</v>
      </c>
      <c r="K1212" s="12">
        <f t="shared" ca="1" si="114"/>
        <v>59.276141092226034</v>
      </c>
      <c r="L1212" s="12">
        <f t="shared" ca="1" si="115"/>
        <v>279.64846452879397</v>
      </c>
      <c r="M1212" s="12">
        <f t="shared" ca="1" si="116"/>
        <v>6.6474133006184058E-2</v>
      </c>
      <c r="N1212" s="13">
        <f t="shared" ca="1" si="112"/>
        <v>-220.37232343656794</v>
      </c>
      <c r="O1212" s="13">
        <f t="shared" ca="1" si="113"/>
        <v>-68.177621064423789</v>
      </c>
      <c r="P1212" s="12">
        <f t="shared" ca="1" si="117"/>
        <v>2.6421557776460642</v>
      </c>
    </row>
    <row r="1213" spans="1:16" x14ac:dyDescent="0.25">
      <c r="A1213">
        <v>24</v>
      </c>
      <c r="B1213">
        <v>17</v>
      </c>
      <c r="C1213" s="2" t="s">
        <v>23</v>
      </c>
      <c r="D1213" s="2" t="s">
        <v>16</v>
      </c>
      <c r="E1213" s="11" cm="1">
        <f t="array" aca="1" ref="E1213" ca="1">INDEX('OD flujo mercancia multimodal'!E$45:E$1645,MATCH(C1213&amp;D1213,'OD flujo mercancia multimodal'!C$45:C$1645&amp;'OD flujo mercancia multimodal'!D$45:D$1645,0))</f>
        <v>68208.769230769234</v>
      </c>
      <c r="F1213" s="11" cm="1">
        <f t="array" aca="1" ref="F1213" ca="1">INDEX('OD flujo mercancia carretera'!E$45:E$1646,MATCH(C1213&amp;D1213,'OD flujo mercancia carretera'!C$45:C$1646&amp;'OD flujo mercancia carretera'!D$45:D$1646,0))</f>
        <v>257497.538461538</v>
      </c>
      <c r="G1213" s="11" cm="1">
        <f t="array" aca="1" ref="G1213" ca="1">INDEX('Coste Carretera'!E$46:E$1646,MATCH(C1213&amp;D1213,'Coste Carretera'!C$46:C$1646&amp;'Coste Carretera'!D$46:D$1646,0))</f>
        <v>4037279779.1200004</v>
      </c>
      <c r="H1213" s="11" cm="1">
        <f t="array" aca="1" ref="H1213" ca="1">INDEX('Coste multimodal'!E$46:E$1646,MATCH(C1213&amp;D1213,'Coste multimodal'!C$46:C$1646&amp;'Coste multimodal'!D$46:D$1646,0))</f>
        <v>763160319.28415346</v>
      </c>
      <c r="I1213" s="12" cm="1">
        <f t="array" aca="1" ref="I1213" ca="1">INDEX('Tiempos intermodal (horas)'!E$45:E$1645,MATCH(C1213&amp;D1213,'Tiempos intermodal (horas)'!C$45:C$1645&amp;'Tiempos intermodal (horas)'!D$45:D$1645,0))</f>
        <v>81.140065948761261</v>
      </c>
      <c r="J1213" s="2" cm="1">
        <f t="array" aca="1" ref="J1213" ca="1">INDEX('Tiempos carretera (horas)'!E$45:E$1645,MATCH(C1213&amp;D1213,'Tiempos carretera (horas)'!C$45:C$1645&amp;'Tiempos carretera (horas)'!D$45:D$1645,0))</f>
        <v>11.5</v>
      </c>
      <c r="K1213" s="12">
        <f t="shared" ca="1" si="114"/>
        <v>15.67890630427538</v>
      </c>
      <c r="L1213" s="12">
        <f t="shared" ca="1" si="115"/>
        <v>11.188595365240646</v>
      </c>
      <c r="M1213" s="12">
        <f t="shared" ca="1" si="116"/>
        <v>0.20941801745886249</v>
      </c>
      <c r="N1213" s="13">
        <f t="shared" ca="1" si="112"/>
        <v>4.4903109390347336</v>
      </c>
      <c r="O1213" s="13">
        <f t="shared" ca="1" si="113"/>
        <v>-69.640065948761261</v>
      </c>
      <c r="P1213" s="12">
        <f t="shared" ca="1" si="117"/>
        <v>1.3284370230055329</v>
      </c>
    </row>
    <row r="1214" spans="1:16" x14ac:dyDescent="0.25">
      <c r="A1214">
        <v>17</v>
      </c>
      <c r="B1214">
        <v>24</v>
      </c>
      <c r="C1214" s="2" t="s">
        <v>16</v>
      </c>
      <c r="D1214" s="2" t="s">
        <v>23</v>
      </c>
      <c r="E1214" s="11" cm="1">
        <f t="array" aca="1" ref="E1214" ca="1">INDEX('OD flujo mercancia multimodal'!E$45:E$1645,MATCH(C1214&amp;D1214,'OD flujo mercancia multimodal'!C$45:C$1645&amp;'OD flujo mercancia multimodal'!D$45:D$1645,0))</f>
        <v>61797.923076923078</v>
      </c>
      <c r="F1214" s="11" cm="1">
        <f t="array" aca="1" ref="F1214" ca="1">INDEX('OD flujo mercancia carretera'!E$45:E$1646,MATCH(C1214&amp;D1214,'OD flujo mercancia carretera'!C$45:C$1646&amp;'OD flujo mercancia carretera'!D$45:D$1646,0))</f>
        <v>596564.43589743599</v>
      </c>
      <c r="G1214" s="11" cm="1">
        <f t="array" aca="1" ref="G1214" ca="1">INDEX('Coste Carretera'!E$46:E$1646,MATCH(C1214&amp;D1214,'Coste Carretera'!C$46:C$1646&amp;'Coste Carretera'!D$46:D$1646,0))</f>
        <v>3657821538.8399997</v>
      </c>
      <c r="H1214" s="11" cm="1">
        <f t="array" aca="1" ref="H1214" ca="1">INDEX('Coste multimodal'!E$46:E$1646,MATCH(C1214&amp;D1214,'Coste multimodal'!C$46:C$1646&amp;'Coste multimodal'!D$46:D$1646,0))</f>
        <v>763160319.28415346</v>
      </c>
      <c r="I1214" s="12" cm="1">
        <f t="array" aca="1" ref="I1214" ca="1">INDEX('Tiempos intermodal (horas)'!E$45:E$1645,MATCH(C1214&amp;D1214,'Tiempos intermodal (horas)'!C$45:C$1645&amp;'Tiempos intermodal (horas)'!D$45:D$1645,0))</f>
        <v>81.140065948761261</v>
      </c>
      <c r="J1214" s="2" cm="1">
        <f t="array" aca="1" ref="J1214" ca="1">INDEX('Tiempos carretera (horas)'!E$45:E$1645,MATCH(C1214&amp;D1214,'Tiempos carretera (horas)'!C$45:C$1645&amp;'Tiempos carretera (horas)'!D$45:D$1645,0))</f>
        <v>11.5</v>
      </c>
      <c r="K1214" s="12">
        <f t="shared" ca="1" si="114"/>
        <v>6.1314777059034551</v>
      </c>
      <c r="L1214" s="12">
        <f t="shared" ca="1" si="115"/>
        <v>12.349287504924854</v>
      </c>
      <c r="M1214" s="12">
        <f t="shared" ca="1" si="116"/>
        <v>9.386612438353252E-2</v>
      </c>
      <c r="N1214" s="13">
        <f t="shared" ca="1" si="112"/>
        <v>-6.2178097990213992</v>
      </c>
      <c r="O1214" s="13">
        <f t="shared" ca="1" si="113"/>
        <v>-69.640065948761261</v>
      </c>
      <c r="P1214" s="12">
        <f t="shared" ca="1" si="117"/>
        <v>2.2673175022727925</v>
      </c>
    </row>
    <row r="1215" spans="1:16" x14ac:dyDescent="0.25">
      <c r="A1215">
        <v>32</v>
      </c>
      <c r="B1215">
        <v>41</v>
      </c>
      <c r="C1215" s="2" t="s">
        <v>31</v>
      </c>
      <c r="D1215" s="2" t="s">
        <v>40</v>
      </c>
      <c r="E1215" s="11" cm="1">
        <f t="array" aca="1" ref="E1215" ca="1">INDEX('OD flujo mercancia multimodal'!E$45:E$1645,MATCH(C1215&amp;D1215,'OD flujo mercancia multimodal'!C$45:C$1645&amp;'OD flujo mercancia multimodal'!D$45:D$1645,0))</f>
        <v>22189.769230769223</v>
      </c>
      <c r="F1215" s="11" cm="1">
        <f t="array" aca="1" ref="F1215" ca="1">INDEX('OD flujo mercancia carretera'!E$45:E$1646,MATCH(C1215&amp;D1215,'OD flujo mercancia carretera'!C$45:C$1646&amp;'OD flujo mercancia carretera'!D$45:D$1646,0))</f>
        <v>67387.092673992694</v>
      </c>
      <c r="G1215" s="11" cm="1">
        <f t="array" aca="1" ref="G1215" ca="1">INDEX('Coste Carretera'!E$46:E$1646,MATCH(C1215&amp;D1215,'Coste Carretera'!C$46:C$1646&amp;'Coste Carretera'!D$46:D$1646,0))</f>
        <v>1415109820.3199999</v>
      </c>
      <c r="H1215" s="11" cm="1">
        <f t="array" aca="1" ref="H1215" ca="1">INDEX('Coste multimodal'!E$46:E$1646,MATCH(C1215&amp;D1215,'Coste multimodal'!C$46:C$1646&amp;'Coste multimodal'!D$46:D$1646,0))</f>
        <v>1088699736.0067976</v>
      </c>
      <c r="I1215" s="12" cm="1">
        <f t="array" aca="1" ref="I1215" ca="1">INDEX('Tiempos intermodal (horas)'!E$45:E$1645,MATCH(C1215&amp;D1215,'Tiempos intermodal (horas)'!C$45:C$1645&amp;'Tiempos intermodal (horas)'!D$45:D$1645,0))</f>
        <v>92.76333858272335</v>
      </c>
      <c r="J1215" s="2" cm="1">
        <f t="array" aca="1" ref="J1215" ca="1">INDEX('Tiempos carretera (horas)'!E$45:E$1645,MATCH(C1215&amp;D1215,'Tiempos carretera (horas)'!C$45:C$1645&amp;'Tiempos carretera (horas)'!D$45:D$1645,0))</f>
        <v>22.88</v>
      </c>
      <c r="K1215" s="12">
        <f t="shared" ca="1" si="114"/>
        <v>20.999716179566626</v>
      </c>
      <c r="L1215" s="12">
        <f t="shared" ca="1" si="115"/>
        <v>49.063139173937998</v>
      </c>
      <c r="M1215" s="12">
        <f t="shared" ca="1" si="116"/>
        <v>0.24771764447789404</v>
      </c>
      <c r="N1215" s="13">
        <f t="shared" ca="1" si="112"/>
        <v>-28.063422994371372</v>
      </c>
      <c r="O1215" s="13">
        <f t="shared" ca="1" si="113"/>
        <v>-69.883338582723354</v>
      </c>
      <c r="P1215" s="12">
        <f t="shared" ca="1" si="117"/>
        <v>1.1108221590304461</v>
      </c>
    </row>
    <row r="1216" spans="1:16" x14ac:dyDescent="0.25">
      <c r="A1216">
        <v>41</v>
      </c>
      <c r="B1216">
        <v>32</v>
      </c>
      <c r="C1216" s="2" t="s">
        <v>40</v>
      </c>
      <c r="D1216" s="2" t="s">
        <v>31</v>
      </c>
      <c r="E1216" s="11" cm="1">
        <f t="array" aca="1" ref="E1216" ca="1">INDEX('OD flujo mercancia multimodal'!E$45:E$1645,MATCH(C1216&amp;D1216,'OD flujo mercancia multimodal'!C$45:C$1645&amp;'OD flujo mercancia multimodal'!D$45:D$1645,0))</f>
        <v>8168.538461538461</v>
      </c>
      <c r="F1216" s="11" cm="1">
        <f t="array" aca="1" ref="F1216" ca="1">INDEX('OD flujo mercancia carretera'!E$45:E$1646,MATCH(C1216&amp;D1216,'OD flujo mercancia carretera'!C$45:C$1646&amp;'OD flujo mercancia carretera'!D$45:D$1646,0))</f>
        <v>116460</v>
      </c>
      <c r="G1216" s="11" cm="1">
        <f t="array" aca="1" ref="G1216" ca="1">INDEX('Coste Carretera'!E$46:E$1646,MATCH(C1216&amp;D1216,'Coste Carretera'!C$46:C$1646&amp;'Coste Carretera'!D$46:D$1646,0))</f>
        <v>659704059.36000025</v>
      </c>
      <c r="H1216" s="11" cm="1">
        <f t="array" aca="1" ref="H1216" ca="1">INDEX('Coste multimodal'!E$46:E$1646,MATCH(C1216&amp;D1216,'Coste multimodal'!C$46:C$1646&amp;'Coste multimodal'!D$46:D$1646,0))</f>
        <v>1071372063.9714243</v>
      </c>
      <c r="I1216" s="12" cm="1">
        <f t="array" aca="1" ref="I1216" ca="1">INDEX('Tiempos intermodal (horas)'!E$45:E$1645,MATCH(C1216&amp;D1216,'Tiempos intermodal (horas)'!C$45:C$1645&amp;'Tiempos intermodal (horas)'!D$45:D$1645,0))</f>
        <v>90.589068757038291</v>
      </c>
      <c r="J1216" s="2" cm="1">
        <f t="array" aca="1" ref="J1216" ca="1">INDEX('Tiempos carretera (horas)'!E$45:E$1645,MATCH(C1216&amp;D1216,'Tiempos carretera (horas)'!C$45:C$1645&amp;'Tiempos carretera (horas)'!D$45:D$1645,0))</f>
        <v>24</v>
      </c>
      <c r="K1216" s="12">
        <f t="shared" ca="1" si="114"/>
        <v>5.6646407295208681</v>
      </c>
      <c r="L1216" s="12">
        <f t="shared" ca="1" si="115"/>
        <v>131.15835458399033</v>
      </c>
      <c r="M1216" s="12">
        <f t="shared" ca="1" si="116"/>
        <v>6.5543081563612715E-2</v>
      </c>
      <c r="N1216" s="13">
        <f t="shared" ref="N1216:N1279" ca="1" si="118">K1216-L1216</f>
        <v>-125.49371385446946</v>
      </c>
      <c r="O1216" s="13">
        <f t="shared" ref="O1216:O1279" ca="1" si="119">J1216-I1216</f>
        <v>-66.589068757038291</v>
      </c>
      <c r="P1216" s="12">
        <f t="shared" ca="1" si="117"/>
        <v>2.6572578644165095</v>
      </c>
    </row>
    <row r="1217" spans="1:16" x14ac:dyDescent="0.25">
      <c r="A1217">
        <v>13</v>
      </c>
      <c r="B1217">
        <v>16</v>
      </c>
      <c r="C1217" s="2" t="s">
        <v>12</v>
      </c>
      <c r="D1217" s="2" t="s">
        <v>15</v>
      </c>
      <c r="E1217" s="11" cm="1">
        <f t="array" aca="1" ref="E1217" ca="1">INDEX('OD flujo mercancia multimodal'!E$45:E$1645,MATCH(C1217&amp;D1217,'OD flujo mercancia multimodal'!C$45:C$1645&amp;'OD flujo mercancia multimodal'!D$45:D$1645,0))</f>
        <v>39220.076923076958</v>
      </c>
      <c r="F1217" s="11" cm="1">
        <f t="array" aca="1" ref="F1217" ca="1">INDEX('OD flujo mercancia carretera'!E$45:E$1646,MATCH(C1217&amp;D1217,'OD flujo mercancia carretera'!C$45:C$1646&amp;'OD flujo mercancia carretera'!D$45:D$1646,0))</f>
        <v>553624.99999999977</v>
      </c>
      <c r="G1217" s="11" cm="1">
        <f t="array" aca="1" ref="G1217" ca="1">INDEX('Coste Carretera'!E$46:E$1646,MATCH(C1217&amp;D1217,'Coste Carretera'!C$46:C$1646&amp;'Coste Carretera'!D$46:D$1646,0))</f>
        <v>1561357537.5200014</v>
      </c>
      <c r="H1217" s="11" cm="1">
        <f t="array" aca="1" ref="H1217" ca="1">INDEX('Coste multimodal'!E$46:E$1646,MATCH(C1217&amp;D1217,'Coste multimodal'!C$46:C$1646&amp;'Coste multimodal'!D$46:D$1646,0))</f>
        <v>370470833.72026014</v>
      </c>
      <c r="I1217" s="12" cm="1">
        <f t="array" aca="1" ref="I1217" ca="1">INDEX('Tiempos intermodal (horas)'!E$45:E$1645,MATCH(C1217&amp;D1217,'Tiempos intermodal (horas)'!C$45:C$1645&amp;'Tiempos intermodal (horas)'!D$45:D$1645,0))</f>
        <v>89.801761701154291</v>
      </c>
      <c r="J1217" s="2" cm="1">
        <f t="array" aca="1" ref="J1217" ca="1">INDEX('Tiempos carretera (horas)'!E$45:E$1645,MATCH(C1217&amp;D1217,'Tiempos carretera (horas)'!C$45:C$1645&amp;'Tiempos carretera (horas)'!D$45:D$1645,0))</f>
        <v>7.38</v>
      </c>
      <c r="K1217" s="12">
        <f t="shared" ca="1" si="114"/>
        <v>2.8202439151411189</v>
      </c>
      <c r="L1217" s="12">
        <f t="shared" ca="1" si="115"/>
        <v>9.4459486769205281</v>
      </c>
      <c r="M1217" s="12">
        <f t="shared" ca="1" si="116"/>
        <v>6.6155693029674709E-2</v>
      </c>
      <c r="N1217" s="13">
        <f t="shared" ca="1" si="118"/>
        <v>-6.6257047617794091</v>
      </c>
      <c r="O1217" s="13">
        <f t="shared" ca="1" si="119"/>
        <v>-82.421761701154296</v>
      </c>
      <c r="P1217" s="12">
        <f t="shared" ca="1" si="117"/>
        <v>2.6472987801543684</v>
      </c>
    </row>
    <row r="1218" spans="1:16" x14ac:dyDescent="0.25">
      <c r="A1218">
        <v>16</v>
      </c>
      <c r="B1218">
        <v>13</v>
      </c>
      <c r="C1218" s="2" t="s">
        <v>15</v>
      </c>
      <c r="D1218" s="2" t="s">
        <v>12</v>
      </c>
      <c r="E1218" s="11" cm="1">
        <f t="array" aca="1" ref="E1218" ca="1">INDEX('OD flujo mercancia multimodal'!E$45:E$1645,MATCH(C1218&amp;D1218,'OD flujo mercancia multimodal'!C$45:C$1645&amp;'OD flujo mercancia multimodal'!D$45:D$1645,0))</f>
        <v>38612.846153846156</v>
      </c>
      <c r="F1218" s="11" cm="1">
        <f t="array" aca="1" ref="F1218" ca="1">INDEX('OD flujo mercancia carretera'!E$45:E$1646,MATCH(C1218&amp;D1218,'OD flujo mercancia carretera'!C$45:C$1646&amp;'OD flujo mercancia carretera'!D$45:D$1646,0))</f>
        <v>193143.07692307697</v>
      </c>
      <c r="G1218" s="11" cm="1">
        <f t="array" aca="1" ref="G1218" ca="1">INDEX('Coste Carretera'!E$46:E$1646,MATCH(C1218&amp;D1218,'Coste Carretera'!C$46:C$1646&amp;'Coste Carretera'!D$46:D$1646,0))</f>
        <v>1537183583.4400001</v>
      </c>
      <c r="H1218" s="11" cm="1">
        <f t="array" aca="1" ref="H1218" ca="1">INDEX('Coste multimodal'!E$46:E$1646,MATCH(C1218&amp;D1218,'Coste multimodal'!C$46:C$1646&amp;'Coste multimodal'!D$46:D$1646,0))</f>
        <v>370470833.72026014</v>
      </c>
      <c r="I1218" s="12" cm="1">
        <f t="array" aca="1" ref="I1218" ca="1">INDEX('Tiempos intermodal (horas)'!E$45:E$1645,MATCH(C1218&amp;D1218,'Tiempos intermodal (horas)'!C$45:C$1645&amp;'Tiempos intermodal (horas)'!D$45:D$1645,0))</f>
        <v>89.801761701154291</v>
      </c>
      <c r="J1218" s="2" cm="1">
        <f t="array" aca="1" ref="J1218" ca="1">INDEX('Tiempos carretera (horas)'!E$45:E$1645,MATCH(C1218&amp;D1218,'Tiempos carretera (horas)'!C$45:C$1645&amp;'Tiempos carretera (horas)'!D$45:D$1645,0))</f>
        <v>7.38</v>
      </c>
      <c r="K1218" s="12">
        <f t="shared" ca="1" si="114"/>
        <v>7.9587816862429595</v>
      </c>
      <c r="L1218" s="12">
        <f t="shared" ca="1" si="115"/>
        <v>9.5944969258205841</v>
      </c>
      <c r="M1218" s="12">
        <f t="shared" ca="1" si="116"/>
        <v>0.16660996466109734</v>
      </c>
      <c r="N1218" s="13">
        <f t="shared" ca="1" si="118"/>
        <v>-1.6357152395776247</v>
      </c>
      <c r="O1218" s="13">
        <f t="shared" ca="1" si="119"/>
        <v>-82.421761701154296</v>
      </c>
      <c r="P1218" s="12">
        <f t="shared" ca="1" si="117"/>
        <v>1.609846222444663</v>
      </c>
    </row>
    <row r="1219" spans="1:16" x14ac:dyDescent="0.25">
      <c r="A1219">
        <v>14</v>
      </c>
      <c r="B1219">
        <v>18</v>
      </c>
      <c r="C1219" s="2" t="s">
        <v>13</v>
      </c>
      <c r="D1219" s="2" t="s">
        <v>17</v>
      </c>
      <c r="E1219" s="11" cm="1">
        <f t="array" aca="1" ref="E1219" ca="1">INDEX('OD flujo mercancia multimodal'!E$45:E$1645,MATCH(C1219&amp;D1219,'OD flujo mercancia multimodal'!C$45:C$1645&amp;'OD flujo mercancia multimodal'!D$45:D$1645,0))</f>
        <v>35290.846153846127</v>
      </c>
      <c r="F1219" s="11" cm="1">
        <f t="array" aca="1" ref="F1219" ca="1">INDEX('OD flujo mercancia carretera'!E$45:E$1646,MATCH(C1219&amp;D1219,'OD flujo mercancia carretera'!C$45:C$1646&amp;'OD flujo mercancia carretera'!D$45:D$1646,0))</f>
        <v>156726.99999999997</v>
      </c>
      <c r="G1219" s="11" cm="1">
        <f t="array" aca="1" ref="G1219" ca="1">INDEX('Coste Carretera'!E$46:E$1646,MATCH(C1219&amp;D1219,'Coste Carretera'!C$46:C$1646&amp;'Coste Carretera'!D$46:D$1646,0))</f>
        <v>1404934231.9199989</v>
      </c>
      <c r="H1219" s="11" cm="1">
        <f t="array" aca="1" ref="H1219" ca="1">INDEX('Coste multimodal'!E$46:E$1646,MATCH(C1219&amp;D1219,'Coste multimodal'!C$46:C$1646&amp;'Coste multimodal'!D$46:D$1646,0))</f>
        <v>603883701.41226017</v>
      </c>
      <c r="I1219" s="12" cm="1">
        <f t="array" aca="1" ref="I1219" ca="1">INDEX('Tiempos intermodal (horas)'!E$45:E$1645,MATCH(C1219&amp;D1219,'Tiempos intermodal (horas)'!C$45:C$1645&amp;'Tiempos intermodal (horas)'!D$45:D$1645,0))</f>
        <v>89.769539478932074</v>
      </c>
      <c r="J1219" s="2" cm="1">
        <f t="array" aca="1" ref="J1219" ca="1">INDEX('Tiempos carretera (horas)'!E$45:E$1645,MATCH(C1219&amp;D1219,'Tiempos carretera (horas)'!C$45:C$1645&amp;'Tiempos carretera (horas)'!D$45:D$1645,0))</f>
        <v>7.26</v>
      </c>
      <c r="K1219" s="12">
        <f t="shared" ca="1" si="114"/>
        <v>8.964213134431203</v>
      </c>
      <c r="L1219" s="12">
        <f t="shared" ca="1" si="115"/>
        <v>17.111624322627545</v>
      </c>
      <c r="M1219" s="12">
        <f t="shared" ca="1" si="116"/>
        <v>0.18378940739482538</v>
      </c>
      <c r="N1219" s="13">
        <f t="shared" ca="1" si="118"/>
        <v>-8.147411188196342</v>
      </c>
      <c r="O1219" s="13">
        <f t="shared" ca="1" si="119"/>
        <v>-82.509539478932069</v>
      </c>
      <c r="P1219" s="12">
        <f t="shared" ca="1" si="117"/>
        <v>1.4908818237285029</v>
      </c>
    </row>
    <row r="1220" spans="1:16" x14ac:dyDescent="0.25">
      <c r="A1220">
        <v>18</v>
      </c>
      <c r="B1220">
        <v>14</v>
      </c>
      <c r="C1220" s="2" t="s">
        <v>17</v>
      </c>
      <c r="D1220" s="2" t="s">
        <v>13</v>
      </c>
      <c r="E1220" s="11" cm="1">
        <f t="array" aca="1" ref="E1220" ca="1">INDEX('OD flujo mercancia multimodal'!E$45:E$1645,MATCH(C1220&amp;D1220,'OD flujo mercancia multimodal'!C$45:C$1645&amp;'OD flujo mercancia multimodal'!D$45:D$1645,0))</f>
        <v>30646.999999999985</v>
      </c>
      <c r="F1220" s="11" cm="1">
        <f t="array" aca="1" ref="F1220" ca="1">INDEX('OD flujo mercancia carretera'!E$45:E$1646,MATCH(C1220&amp;D1220,'OD flujo mercancia carretera'!C$45:C$1646&amp;'OD flujo mercancia carretera'!D$45:D$1646,0))</f>
        <v>225760.38461538436</v>
      </c>
      <c r="G1220" s="11" cm="1">
        <f t="array" aca="1" ref="G1220" ca="1">INDEX('Coste Carretera'!E$46:E$1646,MATCH(C1220&amp;D1220,'Coste Carretera'!C$46:C$1646&amp;'Coste Carretera'!D$46:D$1646,0))</f>
        <v>1220061973.5199993</v>
      </c>
      <c r="H1220" s="11" cm="1">
        <f t="array" aca="1" ref="H1220" ca="1">INDEX('Coste multimodal'!E$46:E$1646,MATCH(C1220&amp;D1220,'Coste multimodal'!C$46:C$1646&amp;'Coste multimodal'!D$46:D$1646,0))</f>
        <v>603883701.41226017</v>
      </c>
      <c r="I1220" s="12" cm="1">
        <f t="array" aca="1" ref="I1220" ca="1">INDEX('Tiempos intermodal (horas)'!E$45:E$1645,MATCH(C1220&amp;D1220,'Tiempos intermodal (horas)'!C$45:C$1645&amp;'Tiempos intermodal (horas)'!D$45:D$1645,0))</f>
        <v>89.769539478932074</v>
      </c>
      <c r="J1220" s="2" cm="1">
        <f t="array" aca="1" ref="J1220" ca="1">INDEX('Tiempos carretera (horas)'!E$45:E$1645,MATCH(C1220&amp;D1220,'Tiempos carretera (horas)'!C$45:C$1645&amp;'Tiempos carretera (horas)'!D$45:D$1645,0))</f>
        <v>7.26</v>
      </c>
      <c r="K1220" s="12">
        <f t="shared" ca="1" si="114"/>
        <v>5.4042341201648476</v>
      </c>
      <c r="L1220" s="12">
        <f t="shared" ca="1" si="115"/>
        <v>19.704496407878764</v>
      </c>
      <c r="M1220" s="12">
        <f t="shared" ca="1" si="116"/>
        <v>0.11952463867595324</v>
      </c>
      <c r="N1220" s="13">
        <f t="shared" ca="1" si="118"/>
        <v>-14.300262287713917</v>
      </c>
      <c r="O1220" s="13">
        <f t="shared" ca="1" si="119"/>
        <v>-82.509539478932069</v>
      </c>
      <c r="P1220" s="12">
        <f t="shared" ca="1" si="117"/>
        <v>1.9969394134407075</v>
      </c>
    </row>
    <row r="1221" spans="1:16" x14ac:dyDescent="0.25">
      <c r="A1221">
        <v>13</v>
      </c>
      <c r="B1221">
        <v>18</v>
      </c>
      <c r="C1221" s="2" t="s">
        <v>12</v>
      </c>
      <c r="D1221" s="2" t="s">
        <v>17</v>
      </c>
      <c r="E1221" s="11" cm="1">
        <f t="array" aca="1" ref="E1221" ca="1">INDEX('OD flujo mercancia multimodal'!E$45:E$1645,MATCH(C1221&amp;D1221,'OD flujo mercancia multimodal'!C$45:C$1645&amp;'OD flujo mercancia multimodal'!D$45:D$1645,0))</f>
        <v>25545.615384615354</v>
      </c>
      <c r="F1221" s="11" cm="1">
        <f t="array" aca="1" ref="F1221" ca="1">INDEX('OD flujo mercancia carretera'!E$45:E$1646,MATCH(C1221&amp;D1221,'OD flujo mercancia carretera'!C$45:C$1646&amp;'OD flujo mercancia carretera'!D$45:D$1646,0))</f>
        <v>75679.692307692298</v>
      </c>
      <c r="G1221" s="11" cm="1">
        <f t="array" aca="1" ref="G1221" ca="1">INDEX('Coste Carretera'!E$46:E$1646,MATCH(C1221&amp;D1221,'Coste Carretera'!C$46:C$1646&amp;'Coste Carretera'!D$46:D$1646,0))</f>
        <v>1073324575.9999986</v>
      </c>
      <c r="H1221" s="11" cm="1">
        <f t="array" aca="1" ref="H1221" ca="1">INDEX('Coste multimodal'!E$46:E$1646,MATCH(C1221&amp;D1221,'Coste multimodal'!C$46:C$1646&amp;'Coste multimodal'!D$46:D$1646,0))</f>
        <v>563760826.0202601</v>
      </c>
      <c r="I1221" s="12" cm="1">
        <f t="array" aca="1" ref="I1221" ca="1">INDEX('Tiempos intermodal (horas)'!E$45:E$1645,MATCH(C1221&amp;D1221,'Tiempos intermodal (horas)'!C$45:C$1645&amp;'Tiempos intermodal (horas)'!D$45:D$1645,0))</f>
        <v>90.267317256709845</v>
      </c>
      <c r="J1221" s="2" cm="1">
        <f t="array" aca="1" ref="J1221" ca="1">INDEX('Tiempos carretera (horas)'!E$45:E$1645,MATCH(C1221&amp;D1221,'Tiempos carretera (horas)'!C$45:C$1645&amp;'Tiempos carretera (horas)'!D$45:D$1645,0))</f>
        <v>7.6</v>
      </c>
      <c r="K1221" s="12">
        <f t="shared" ca="1" si="114"/>
        <v>14.182464849832677</v>
      </c>
      <c r="L1221" s="12">
        <f t="shared" ca="1" si="115"/>
        <v>22.068790183061342</v>
      </c>
      <c r="M1221" s="12">
        <f t="shared" ca="1" si="116"/>
        <v>0.25236391932999402</v>
      </c>
      <c r="N1221" s="13">
        <f t="shared" ca="1" si="118"/>
        <v>-7.8863253332286654</v>
      </c>
      <c r="O1221" s="13">
        <f t="shared" ca="1" si="119"/>
        <v>-82.66731725670985</v>
      </c>
      <c r="P1221" s="12">
        <f t="shared" ca="1" si="117"/>
        <v>1.0860441663231564</v>
      </c>
    </row>
    <row r="1222" spans="1:16" x14ac:dyDescent="0.25">
      <c r="A1222">
        <v>18</v>
      </c>
      <c r="B1222">
        <v>13</v>
      </c>
      <c r="C1222" s="2" t="s">
        <v>17</v>
      </c>
      <c r="D1222" s="2" t="s">
        <v>12</v>
      </c>
      <c r="E1222" s="11" cm="1">
        <f t="array" aca="1" ref="E1222" ca="1">INDEX('OD flujo mercancia multimodal'!E$45:E$1645,MATCH(C1222&amp;D1222,'OD flujo mercancia multimodal'!C$45:C$1645&amp;'OD flujo mercancia multimodal'!D$45:D$1645,0))</f>
        <v>10022.000000000004</v>
      </c>
      <c r="F1222" s="11" cm="1">
        <f t="array" aca="1" ref="F1222" ca="1">INDEX('OD flujo mercancia carretera'!E$45:E$1646,MATCH(C1222&amp;D1222,'OD flujo mercancia carretera'!C$45:C$1646&amp;'OD flujo mercancia carretera'!D$45:D$1646,0))</f>
        <v>79296.153846153888</v>
      </c>
      <c r="G1222" s="11" cm="1">
        <f t="array" aca="1" ref="G1222" ca="1">INDEX('Coste Carretera'!E$46:E$1646,MATCH(C1222&amp;D1222,'Coste Carretera'!C$46:C$1646&amp;'Coste Carretera'!D$46:D$1646,0))</f>
        <v>421084352.00000012</v>
      </c>
      <c r="H1222" s="11" cm="1">
        <f t="array" aca="1" ref="H1222" ca="1">INDEX('Coste multimodal'!E$46:E$1646,MATCH(C1222&amp;D1222,'Coste multimodal'!C$46:C$1646&amp;'Coste multimodal'!D$46:D$1646,0))</f>
        <v>563760826.0202601</v>
      </c>
      <c r="I1222" s="12" cm="1">
        <f t="array" aca="1" ref="I1222" ca="1">INDEX('Tiempos intermodal (horas)'!E$45:E$1645,MATCH(C1222&amp;D1222,'Tiempos intermodal (horas)'!C$45:C$1645&amp;'Tiempos intermodal (horas)'!D$45:D$1645,0))</f>
        <v>90.267317256709845</v>
      </c>
      <c r="J1222" s="2" cm="1">
        <f t="array" aca="1" ref="J1222" ca="1">INDEX('Tiempos carretera (horas)'!E$45:E$1645,MATCH(C1222&amp;D1222,'Tiempos carretera (horas)'!C$45:C$1645&amp;'Tiempos carretera (horas)'!D$45:D$1645,0))</f>
        <v>7.6</v>
      </c>
      <c r="K1222" s="12">
        <f t="shared" ca="1" si="114"/>
        <v>5.3102746044526352</v>
      </c>
      <c r="L1222" s="12">
        <f t="shared" ca="1" si="115"/>
        <v>56.252327481566539</v>
      </c>
      <c r="M1222" s="12">
        <f t="shared" ca="1" si="116"/>
        <v>0.11220563310413249</v>
      </c>
      <c r="N1222" s="13">
        <f t="shared" ca="1" si="118"/>
        <v>-50.942052877113902</v>
      </c>
      <c r="O1222" s="13">
        <f t="shared" ca="1" si="119"/>
        <v>-82.66731725670985</v>
      </c>
      <c r="P1222" s="12">
        <f t="shared" ca="1" si="117"/>
        <v>2.0684069496175077</v>
      </c>
    </row>
    <row r="1223" spans="1:16" x14ac:dyDescent="0.25">
      <c r="A1223">
        <v>16</v>
      </c>
      <c r="B1223">
        <v>14</v>
      </c>
      <c r="C1223" s="2" t="s">
        <v>15</v>
      </c>
      <c r="D1223" s="2" t="s">
        <v>13</v>
      </c>
      <c r="E1223" s="11" cm="1">
        <f t="array" aca="1" ref="E1223" ca="1">INDEX('OD flujo mercancia multimodal'!E$45:E$1645,MATCH(C1223&amp;D1223,'OD flujo mercancia multimodal'!C$45:C$1645&amp;'OD flujo mercancia multimodal'!D$45:D$1645,0))</f>
        <v>59237.846153846142</v>
      </c>
      <c r="F1223" s="11" cm="1">
        <f t="array" aca="1" ref="F1223" ca="1">INDEX('OD flujo mercancia carretera'!E$45:E$1646,MATCH(C1223&amp;D1223,'OD flujo mercancia carretera'!C$45:C$1646&amp;'OD flujo mercancia carretera'!D$45:D$1646,0))</f>
        <v>339607.30769230745</v>
      </c>
      <c r="G1223" s="11" cm="1">
        <f t="array" aca="1" ref="G1223" ca="1">INDEX('Coste Carretera'!E$46:E$1646,MATCH(C1223&amp;D1223,'Coste Carretera'!C$46:C$1646&amp;'Coste Carretera'!D$46:D$1646,0))</f>
        <v>1820035432.8</v>
      </c>
      <c r="H1223" s="11" cm="1">
        <f t="array" aca="1" ref="H1223" ca="1">INDEX('Coste multimodal'!E$46:E$1646,MATCH(C1223&amp;D1223,'Coste multimodal'!C$46:C$1646&amp;'Coste multimodal'!D$46:D$1646,0))</f>
        <v>410593709.11226016</v>
      </c>
      <c r="I1223" s="12" cm="1">
        <f t="array" aca="1" ref="I1223" ca="1">INDEX('Tiempos intermodal (horas)'!E$45:E$1645,MATCH(C1223&amp;D1223,'Tiempos intermodal (horas)'!C$45:C$1645&amp;'Tiempos intermodal (horas)'!D$45:D$1645,0))</f>
        <v>89.303983923376521</v>
      </c>
      <c r="J1223" s="2" cm="1">
        <f t="array" aca="1" ref="J1223" ca="1">INDEX('Tiempos carretera (horas)'!E$45:E$1645,MATCH(C1223&amp;D1223,'Tiempos carretera (horas)'!C$45:C$1645&amp;'Tiempos carretera (horas)'!D$45:D$1645,0))</f>
        <v>5.9</v>
      </c>
      <c r="K1223" s="12">
        <f t="shared" ca="1" si="114"/>
        <v>5.3592351859783784</v>
      </c>
      <c r="L1223" s="12">
        <f t="shared" ca="1" si="115"/>
        <v>6.9312734302646737</v>
      </c>
      <c r="M1223" s="12">
        <f t="shared" ca="1" si="116"/>
        <v>0.14852341963441767</v>
      </c>
      <c r="N1223" s="13">
        <f t="shared" ca="1" si="118"/>
        <v>-1.5720382442862952</v>
      </c>
      <c r="O1223" s="13">
        <f t="shared" ca="1" si="119"/>
        <v>-83.403983923376515</v>
      </c>
      <c r="P1223" s="12">
        <f t="shared" ca="1" si="117"/>
        <v>1.7462293419658126</v>
      </c>
    </row>
    <row r="1224" spans="1:16" x14ac:dyDescent="0.25">
      <c r="A1224">
        <v>14</v>
      </c>
      <c r="B1224">
        <v>16</v>
      </c>
      <c r="C1224" s="2" t="s">
        <v>13</v>
      </c>
      <c r="D1224" s="2" t="s">
        <v>15</v>
      </c>
      <c r="E1224" s="11" cm="1">
        <f t="array" aca="1" ref="E1224" ca="1">INDEX('OD flujo mercancia multimodal'!E$45:E$1645,MATCH(C1224&amp;D1224,'OD flujo mercancia multimodal'!C$45:C$1645&amp;'OD flujo mercancia multimodal'!D$45:D$1645,0))</f>
        <v>48965.307692307724</v>
      </c>
      <c r="F1224" s="11" cm="1">
        <f t="array" aca="1" ref="F1224" ca="1">INDEX('OD flujo mercancia carretera'!E$45:E$1646,MATCH(C1224&amp;D1224,'OD flujo mercancia carretera'!C$45:C$1646&amp;'OD flujo mercancia carretera'!D$45:D$1646,0))</f>
        <v>634672.3076923074</v>
      </c>
      <c r="G1224" s="11" cm="1">
        <f t="array" aca="1" ref="G1224" ca="1">INDEX('Coste Carretera'!E$46:E$1646,MATCH(C1224&amp;D1224,'Coste Carretera'!C$46:C$1646&amp;'Coste Carretera'!D$46:D$1646,0))</f>
        <v>1504419906.6000009</v>
      </c>
      <c r="H1224" s="11" cm="1">
        <f t="array" aca="1" ref="H1224" ca="1">INDEX('Coste multimodal'!E$46:E$1646,MATCH(C1224&amp;D1224,'Coste multimodal'!C$46:C$1646&amp;'Coste multimodal'!D$46:D$1646,0))</f>
        <v>410593709.11226016</v>
      </c>
      <c r="I1224" s="12" cm="1">
        <f t="array" aca="1" ref="I1224" ca="1">INDEX('Tiempos intermodal (horas)'!E$45:E$1645,MATCH(C1224&amp;D1224,'Tiempos intermodal (horas)'!C$45:C$1645&amp;'Tiempos intermodal (horas)'!D$45:D$1645,0))</f>
        <v>89.303983923376521</v>
      </c>
      <c r="J1224" s="2" cm="1">
        <f t="array" aca="1" ref="J1224" ca="1">INDEX('Tiempos carretera (horas)'!E$45:E$1645,MATCH(C1224&amp;D1224,'Tiempos carretera (horas)'!C$45:C$1645&amp;'Tiempos carretera (horas)'!D$45:D$1645,0))</f>
        <v>5.9</v>
      </c>
      <c r="K1224" s="12">
        <f t="shared" ca="1" si="114"/>
        <v>2.3703884482846411</v>
      </c>
      <c r="L1224" s="12">
        <f t="shared" ca="1" si="115"/>
        <v>8.3854003673862945</v>
      </c>
      <c r="M1224" s="12">
        <f t="shared" ca="1" si="116"/>
        <v>7.1624654042419536E-2</v>
      </c>
      <c r="N1224" s="13">
        <f t="shared" ca="1" si="118"/>
        <v>-6.0150119191016529</v>
      </c>
      <c r="O1224" s="13">
        <f t="shared" ca="1" si="119"/>
        <v>-83.403983923376515</v>
      </c>
      <c r="P1224" s="12">
        <f t="shared" ca="1" si="117"/>
        <v>2.5619967737379716</v>
      </c>
    </row>
    <row r="1225" spans="1:16" x14ac:dyDescent="0.25">
      <c r="A1225">
        <v>16</v>
      </c>
      <c r="B1225">
        <v>12</v>
      </c>
      <c r="C1225" s="2" t="s">
        <v>15</v>
      </c>
      <c r="D1225" s="2" t="s">
        <v>11</v>
      </c>
      <c r="E1225" s="11" cm="1">
        <f t="array" aca="1" ref="E1225" ca="1">INDEX('OD flujo mercancia multimodal'!E$45:E$1645,MATCH(C1225&amp;D1225,'OD flujo mercancia multimodal'!C$45:C$1645&amp;'OD flujo mercancia multimodal'!D$45:D$1645,0))</f>
        <v>53534.461538461539</v>
      </c>
      <c r="F1225" s="11" cm="1">
        <f t="array" aca="1" ref="F1225" ca="1">INDEX('OD flujo mercancia carretera'!E$45:E$1646,MATCH(C1225&amp;D1225,'OD flujo mercancia carretera'!C$45:C$1646&amp;'OD flujo mercancia carretera'!D$45:D$1646,0))</f>
        <v>211454.61538461538</v>
      </c>
      <c r="G1225" s="11" cm="1">
        <f t="array" aca="1" ref="G1225" ca="1">INDEX('Coste Carretera'!E$46:E$1646,MATCH(C1225&amp;D1225,'Coste Carretera'!C$46:C$1646&amp;'Coste Carretera'!D$46:D$1646,0))</f>
        <v>2260550455.6799998</v>
      </c>
      <c r="H1225" s="11" cm="1">
        <f t="array" aca="1" ref="H1225" ca="1">INDEX('Coste multimodal'!E$46:E$1646,MATCH(C1225&amp;D1225,'Coste multimodal'!C$46:C$1646&amp;'Coste multimodal'!D$46:D$1646,0))</f>
        <v>507870763.09514827</v>
      </c>
      <c r="I1225" s="12" cm="1">
        <f t="array" aca="1" ref="I1225" ca="1">INDEX('Tiempos intermodal (horas)'!E$45:E$1645,MATCH(C1225&amp;D1225,'Tiempos intermodal (horas)'!C$45:C$1645&amp;'Tiempos intermodal (horas)'!D$45:D$1645,0))</f>
        <v>79.004965782188449</v>
      </c>
      <c r="J1225" s="2" cm="1">
        <f t="array" aca="1" ref="J1225" ca="1">INDEX('Tiempos carretera (horas)'!E$45:E$1645,MATCH(C1225&amp;D1225,'Tiempos carretera (horas)'!C$45:C$1645&amp;'Tiempos carretera (horas)'!D$45:D$1645,0))</f>
        <v>7.85</v>
      </c>
      <c r="K1225" s="12">
        <f t="shared" ca="1" si="114"/>
        <v>10.690475833635878</v>
      </c>
      <c r="L1225" s="12">
        <f t="shared" ca="1" si="115"/>
        <v>9.486800623375494</v>
      </c>
      <c r="M1225" s="12">
        <f t="shared" ca="1" si="116"/>
        <v>0.20202516330136103</v>
      </c>
      <c r="N1225" s="13">
        <f t="shared" ca="1" si="118"/>
        <v>1.2036752102603838</v>
      </c>
      <c r="O1225" s="13">
        <f t="shared" ca="1" si="119"/>
        <v>-71.154965782188455</v>
      </c>
      <c r="P1225" s="12">
        <f t="shared" ca="1" si="117"/>
        <v>1.3736848035518114</v>
      </c>
    </row>
    <row r="1226" spans="1:16" x14ac:dyDescent="0.25">
      <c r="A1226">
        <v>12</v>
      </c>
      <c r="B1226">
        <v>16</v>
      </c>
      <c r="C1226" s="2" t="s">
        <v>11</v>
      </c>
      <c r="D1226" s="2" t="s">
        <v>15</v>
      </c>
      <c r="E1226" s="11" cm="1">
        <f t="array" aca="1" ref="E1226" ca="1">INDEX('OD flujo mercancia multimodal'!E$45:E$1645,MATCH(C1226&amp;D1226,'OD flujo mercancia multimodal'!C$45:C$1645&amp;'OD flujo mercancia multimodal'!D$45:D$1645,0))</f>
        <v>42767.615384615419</v>
      </c>
      <c r="F1226" s="11" cm="1">
        <f t="array" aca="1" ref="F1226" ca="1">INDEX('OD flujo mercancia carretera'!E$45:E$1646,MATCH(C1226&amp;D1226,'OD flujo mercancia carretera'!C$45:C$1646&amp;'OD flujo mercancia carretera'!D$45:D$1646,0))</f>
        <v>572013.92307692277</v>
      </c>
      <c r="G1226" s="11" cm="1">
        <f t="array" aca="1" ref="G1226" ca="1">INDEX('Coste Carretera'!E$46:E$1646,MATCH(C1226&amp;D1226,'Coste Carretera'!C$46:C$1646&amp;'Coste Carretera'!D$46:D$1646,0))</f>
        <v>1805908748.6400018</v>
      </c>
      <c r="H1226" s="11" cm="1">
        <f t="array" aca="1" ref="H1226" ca="1">INDEX('Coste multimodal'!E$46:E$1646,MATCH(C1226&amp;D1226,'Coste multimodal'!C$46:C$1646&amp;'Coste multimodal'!D$46:D$1646,0))</f>
        <v>507870763.09514827</v>
      </c>
      <c r="I1226" s="12" cm="1">
        <f t="array" aca="1" ref="I1226" ca="1">INDEX('Tiempos intermodal (horas)'!E$45:E$1645,MATCH(C1226&amp;D1226,'Tiempos intermodal (horas)'!C$45:C$1645&amp;'Tiempos intermodal (horas)'!D$45:D$1645,0))</f>
        <v>79.004965782188449</v>
      </c>
      <c r="J1226" s="2" cm="1">
        <f t="array" aca="1" ref="J1226" ca="1">INDEX('Tiempos carretera (horas)'!E$45:E$1645,MATCH(C1226&amp;D1226,'Tiempos carretera (horas)'!C$45:C$1645&amp;'Tiempos carretera (horas)'!D$45:D$1645,0))</f>
        <v>7.85</v>
      </c>
      <c r="K1226" s="12">
        <f t="shared" ca="1" si="114"/>
        <v>3.1571062797314959</v>
      </c>
      <c r="L1226" s="12">
        <f t="shared" ca="1" si="115"/>
        <v>11.875124636428573</v>
      </c>
      <c r="M1226" s="12">
        <f t="shared" ca="1" si="116"/>
        <v>6.9565549238253574E-2</v>
      </c>
      <c r="N1226" s="13">
        <f t="shared" ca="1" si="118"/>
        <v>-8.7180183566970779</v>
      </c>
      <c r="O1226" s="13">
        <f t="shared" ca="1" si="119"/>
        <v>-71.154965782188455</v>
      </c>
      <c r="P1226" s="12">
        <f t="shared" ca="1" si="117"/>
        <v>2.5933821658355534</v>
      </c>
    </row>
    <row r="1227" spans="1:16" x14ac:dyDescent="0.25">
      <c r="A1227">
        <v>1</v>
      </c>
      <c r="B1227">
        <v>17</v>
      </c>
      <c r="C1227" s="2" t="s">
        <v>0</v>
      </c>
      <c r="D1227" s="2" t="s">
        <v>16</v>
      </c>
      <c r="E1227" s="11" cm="1">
        <f t="array" aca="1" ref="E1227" ca="1">INDEX('OD flujo mercancia multimodal'!E$45:E$1645,MATCH(C1227&amp;D1227,'OD flujo mercancia multimodal'!C$45:C$1645&amp;'OD flujo mercancia multimodal'!D$45:D$1645,0))</f>
        <v>150090.37912087914</v>
      </c>
      <c r="F1227" s="11" cm="1">
        <f t="array" aca="1" ref="F1227" ca="1">INDEX('OD flujo mercancia carretera'!E$45:E$1646,MATCH(C1227&amp;D1227,'OD flujo mercancia carretera'!C$45:C$1646&amp;'OD flujo mercancia carretera'!D$45:D$1646,0))</f>
        <v>223445.538461538</v>
      </c>
      <c r="G1227" s="11" cm="1">
        <f t="array" aca="1" ref="G1227" ca="1">INDEX('Coste Carretera'!E$46:E$1646,MATCH(C1227&amp;D1227,'Coste Carretera'!C$46:C$1646&amp;'Coste Carretera'!D$46:D$1646,0))</f>
        <v>16104451531.448574</v>
      </c>
      <c r="H1227" s="11" cm="1">
        <f t="array" aca="1" ref="H1227" ca="1">INDEX('Coste multimodal'!E$46:E$1646,MATCH(C1227&amp;D1227,'Coste multimodal'!C$46:C$1646&amp;'Coste multimodal'!D$46:D$1646,0))</f>
        <v>1330469918.8076894</v>
      </c>
      <c r="I1227" s="12" cm="1">
        <f t="array" aca="1" ref="I1227" ca="1">INDEX('Tiempos intermodal (horas)'!E$45:E$1645,MATCH(C1227&amp;D1227,'Tiempos intermodal (horas)'!C$45:C$1645&amp;'Tiempos intermodal (horas)'!D$45:D$1645,0))</f>
        <v>92.625820552974844</v>
      </c>
      <c r="J1227" s="2" cm="1">
        <f t="array" aca="1" ref="J1227" ca="1">INDEX('Tiempos carretera (horas)'!E$45:E$1645,MATCH(C1227&amp;D1227,'Tiempos carretera (horas)'!C$45:C$1645&amp;'Tiempos carretera (horas)'!D$45:D$1645,0))</f>
        <v>21.4</v>
      </c>
      <c r="K1227" s="12">
        <f t="shared" ca="1" si="114"/>
        <v>72.073274061905934</v>
      </c>
      <c r="L1227" s="12">
        <f t="shared" ca="1" si="115"/>
        <v>8.8644583790154954</v>
      </c>
      <c r="M1227" s="12">
        <f t="shared" ca="1" si="116"/>
        <v>0.40180976461992607</v>
      </c>
      <c r="N1227" s="13">
        <f t="shared" ca="1" si="118"/>
        <v>63.208815682890439</v>
      </c>
      <c r="O1227" s="13">
        <f t="shared" ca="1" si="119"/>
        <v>-71.225820552974852</v>
      </c>
      <c r="P1227" s="12">
        <f t="shared" ca="1" si="117"/>
        <v>0.39793006845056639</v>
      </c>
    </row>
    <row r="1228" spans="1:16" x14ac:dyDescent="0.25">
      <c r="A1228">
        <v>17</v>
      </c>
      <c r="B1228">
        <v>1</v>
      </c>
      <c r="C1228" s="2" t="s">
        <v>16</v>
      </c>
      <c r="D1228" s="2" t="s">
        <v>0</v>
      </c>
      <c r="E1228" s="11" cm="1">
        <f t="array" aca="1" ref="E1228" ca="1">INDEX('OD flujo mercancia multimodal'!E$45:E$1645,MATCH(C1228&amp;D1228,'OD flujo mercancia multimodal'!C$45:C$1645&amp;'OD flujo mercancia multimodal'!D$45:D$1645,0))</f>
        <v>146692.91758241755</v>
      </c>
      <c r="F1228" s="11" cm="1">
        <f t="array" aca="1" ref="F1228" ca="1">INDEX('OD flujo mercancia carretera'!E$45:E$1646,MATCH(C1228&amp;D1228,'OD flujo mercancia carretera'!C$45:C$1646&amp;'OD flujo mercancia carretera'!D$45:D$1646,0))</f>
        <v>577484.61538461549</v>
      </c>
      <c r="G1228" s="11" cm="1">
        <f t="array" aca="1" ref="G1228" ca="1">INDEX('Coste Carretera'!E$46:E$1646,MATCH(C1228&amp;D1228,'Coste Carretera'!C$46:C$1646&amp;'Coste Carretera'!D$46:D$1646,0))</f>
        <v>15739909480.208569</v>
      </c>
      <c r="H1228" s="11" cm="1">
        <f t="array" aca="1" ref="H1228" ca="1">INDEX('Coste multimodal'!E$46:E$1646,MATCH(C1228&amp;D1228,'Coste multimodal'!C$46:C$1646&amp;'Coste multimodal'!D$46:D$1646,0))</f>
        <v>1330469918.8076894</v>
      </c>
      <c r="I1228" s="12" cm="1">
        <f t="array" aca="1" ref="I1228" ca="1">INDEX('Tiempos intermodal (horas)'!E$45:E$1645,MATCH(C1228&amp;D1228,'Tiempos intermodal (horas)'!C$45:C$1645&amp;'Tiempos intermodal (horas)'!D$45:D$1645,0))</f>
        <v>92.625820552974844</v>
      </c>
      <c r="J1228" s="2" cm="1">
        <f t="array" aca="1" ref="J1228" ca="1">INDEX('Tiempos carretera (horas)'!E$45:E$1645,MATCH(C1228&amp;D1228,'Tiempos carretera (horas)'!C$45:C$1645&amp;'Tiempos carretera (horas)'!D$45:D$1645,0))</f>
        <v>21.4</v>
      </c>
      <c r="K1228" s="12">
        <f t="shared" ca="1" si="114"/>
        <v>27.255980611233245</v>
      </c>
      <c r="L1228" s="12">
        <f t="shared" ca="1" si="115"/>
        <v>9.069762472071508</v>
      </c>
      <c r="M1228" s="12">
        <f t="shared" ca="1" si="116"/>
        <v>0.20256485585986203</v>
      </c>
      <c r="N1228" s="13">
        <f t="shared" ca="1" si="118"/>
        <v>18.186218139161738</v>
      </c>
      <c r="O1228" s="13">
        <f t="shared" ca="1" si="119"/>
        <v>-71.225820552974852</v>
      </c>
      <c r="P1228" s="12">
        <f t="shared" ca="1" si="117"/>
        <v>1.3703403962694152</v>
      </c>
    </row>
    <row r="1229" spans="1:16" x14ac:dyDescent="0.25">
      <c r="A1229">
        <v>17</v>
      </c>
      <c r="B1229">
        <v>27</v>
      </c>
      <c r="C1229" s="2" t="s">
        <v>16</v>
      </c>
      <c r="D1229" s="2" t="s">
        <v>145</v>
      </c>
      <c r="E1229" s="11" cm="1">
        <f t="array" aca="1" ref="E1229" ca="1">INDEX('OD flujo mercancia multimodal'!E$45:E$1645,MATCH(C1229&amp;D1229,'OD flujo mercancia multimodal'!C$45:C$1645&amp;'OD flujo mercancia multimodal'!D$45:D$1645,0))</f>
        <v>113696.84615384616</v>
      </c>
      <c r="F1229" s="11" cm="1">
        <f t="array" aca="1" ref="F1229" ca="1">INDEX('OD flujo mercancia carretera'!E$45:E$1646,MATCH(C1229&amp;D1229,'OD flujo mercancia carretera'!C$45:C$1646&amp;'OD flujo mercancia carretera'!D$45:D$1646,0))</f>
        <v>945518.86923076923</v>
      </c>
      <c r="G1229" s="11" cm="1">
        <f t="array" aca="1" ref="G1229" ca="1">INDEX('Coste Carretera'!E$46:E$1646,MATCH(C1229&amp;D1229,'Coste Carretera'!C$46:C$1646&amp;'Coste Carretera'!D$46:D$1646,0))</f>
        <v>10211022795.6</v>
      </c>
      <c r="H1229" s="11" cm="1">
        <f t="array" aca="1" ref="H1229" ca="1">INDEX('Coste multimodal'!E$46:E$1646,MATCH(C1229&amp;D1229,'Coste multimodal'!C$46:C$1646&amp;'Coste multimodal'!D$46:D$1646,0))</f>
        <v>1477958967.5775502</v>
      </c>
      <c r="I1229" s="12" cm="1">
        <f t="array" aca="1" ref="I1229" ca="1">INDEX('Tiempos intermodal (horas)'!E$45:E$1645,MATCH(C1229&amp;D1229,'Tiempos intermodal (horas)'!C$45:C$1645&amp;'Tiempos intermodal (horas)'!D$45:D$1645,0))</f>
        <v>88.738463107638893</v>
      </c>
      <c r="J1229" s="2" cm="1">
        <f t="array" aca="1" ref="J1229" ca="1">INDEX('Tiempos carretera (horas)'!E$45:E$1645,MATCH(C1229&amp;D1229,'Tiempos carretera (horas)'!C$45:C$1645&amp;'Tiempos carretera (horas)'!D$45:D$1645,0))</f>
        <v>17.5</v>
      </c>
      <c r="K1229" s="12">
        <f t="shared" ca="1" si="114"/>
        <v>10.799385530938393</v>
      </c>
      <c r="L1229" s="12">
        <f t="shared" ca="1" si="115"/>
        <v>12.999120182961676</v>
      </c>
      <c r="M1229" s="12">
        <f t="shared" ca="1" si="116"/>
        <v>0.10734059597346639</v>
      </c>
      <c r="N1229" s="13">
        <f t="shared" ca="1" si="118"/>
        <v>-2.1997346520232828</v>
      </c>
      <c r="O1229" s="13">
        <f t="shared" ca="1" si="119"/>
        <v>-71.238463107638893</v>
      </c>
      <c r="P1229" s="12">
        <f t="shared" ca="1" si="117"/>
        <v>2.1181981827210699</v>
      </c>
    </row>
    <row r="1230" spans="1:16" x14ac:dyDescent="0.25">
      <c r="A1230">
        <v>27</v>
      </c>
      <c r="B1230">
        <v>17</v>
      </c>
      <c r="C1230" s="2" t="s">
        <v>145</v>
      </c>
      <c r="D1230" s="2" t="s">
        <v>16</v>
      </c>
      <c r="E1230" s="11" cm="1">
        <f t="array" aca="1" ref="E1230" ca="1">INDEX('OD flujo mercancia multimodal'!E$45:E$1645,MATCH(C1230&amp;D1230,'OD flujo mercancia multimodal'!C$45:C$1645&amp;'OD flujo mercancia multimodal'!D$45:D$1645,0))</f>
        <v>97735.307692307702</v>
      </c>
      <c r="F1230" s="11" cm="1">
        <f t="array" aca="1" ref="F1230" ca="1">INDEX('OD flujo mercancia carretera'!E$45:E$1646,MATCH(C1230&amp;D1230,'OD flujo mercancia carretera'!C$45:C$1646&amp;'OD flujo mercancia carretera'!D$45:D$1646,0))</f>
        <v>595185.73846153799</v>
      </c>
      <c r="G1230" s="11" cm="1">
        <f t="array" aca="1" ref="G1230" ca="1">INDEX('Coste Carretera'!E$46:E$1646,MATCH(C1230&amp;D1230,'Coste Carretera'!C$46:C$1646&amp;'Coste Carretera'!D$46:D$1646,0))</f>
        <v>8777529795.6000004</v>
      </c>
      <c r="H1230" s="11" cm="1">
        <f t="array" aca="1" ref="H1230" ca="1">INDEX('Coste multimodal'!E$46:E$1646,MATCH(C1230&amp;D1230,'Coste multimodal'!C$46:C$1646&amp;'Coste multimodal'!D$46:D$1646,0))</f>
        <v>1477958967.5775502</v>
      </c>
      <c r="I1230" s="12" cm="1">
        <f t="array" aca="1" ref="I1230" ca="1">INDEX('Tiempos intermodal (horas)'!E$45:E$1645,MATCH(C1230&amp;D1230,'Tiempos intermodal (horas)'!C$45:C$1645&amp;'Tiempos intermodal (horas)'!D$45:D$1645,0))</f>
        <v>88.738463107638893</v>
      </c>
      <c r="J1230" s="2" cm="1">
        <f t="array" aca="1" ref="J1230" ca="1">INDEX('Tiempos carretera (horas)'!E$45:E$1645,MATCH(C1230&amp;D1230,'Tiempos carretera (horas)'!C$45:C$1645&amp;'Tiempos carretera (horas)'!D$45:D$1645,0))</f>
        <v>17.5</v>
      </c>
      <c r="K1230" s="12">
        <f t="shared" ca="1" si="114"/>
        <v>14.747547241787988</v>
      </c>
      <c r="L1230" s="12">
        <f t="shared" ca="1" si="115"/>
        <v>15.122057754506601</v>
      </c>
      <c r="M1230" s="12">
        <f t="shared" ca="1" si="116"/>
        <v>0.14104825973291052</v>
      </c>
      <c r="N1230" s="13">
        <f t="shared" ca="1" si="118"/>
        <v>-0.37451051271861324</v>
      </c>
      <c r="O1230" s="13">
        <f t="shared" ca="1" si="119"/>
        <v>-71.238463107638893</v>
      </c>
      <c r="P1230" s="12">
        <f t="shared" ca="1" si="117"/>
        <v>1.8066106396831725</v>
      </c>
    </row>
    <row r="1231" spans="1:16" x14ac:dyDescent="0.25">
      <c r="A1231">
        <v>17</v>
      </c>
      <c r="B1231">
        <v>34</v>
      </c>
      <c r="C1231" s="2" t="s">
        <v>16</v>
      </c>
      <c r="D1231" s="2" t="s">
        <v>33</v>
      </c>
      <c r="E1231" s="11" cm="1">
        <f t="array" aca="1" ref="E1231" ca="1">INDEX('OD flujo mercancia multimodal'!E$45:E$1645,MATCH(C1231&amp;D1231,'OD flujo mercancia multimodal'!C$45:C$1645&amp;'OD flujo mercancia multimodal'!D$45:D$1645,0))</f>
        <v>350990.15384615411</v>
      </c>
      <c r="F1231" s="11" cm="1">
        <f t="array" aca="1" ref="F1231" ca="1">INDEX('OD flujo mercancia carretera'!E$45:E$1646,MATCH(C1231&amp;D1231,'OD flujo mercancia carretera'!C$45:C$1646&amp;'OD flujo mercancia carretera'!D$45:D$1646,0))</f>
        <v>796017.15811965824</v>
      </c>
      <c r="G1231" s="11" cm="1">
        <f t="array" aca="1" ref="G1231" ca="1">INDEX('Coste Carretera'!E$46:E$1646,MATCH(C1231&amp;D1231,'Coste Carretera'!C$46:C$1646&amp;'Coste Carretera'!D$46:D$1646,0))</f>
        <v>13441796978.799995</v>
      </c>
      <c r="H1231" s="11" cm="1">
        <f t="array" aca="1" ref="H1231" ca="1">INDEX('Coste multimodal'!E$46:E$1646,MATCH(C1231&amp;D1231,'Coste multimodal'!C$46:C$1646&amp;'Coste multimodal'!D$46:D$1646,0))</f>
        <v>3736170009.9619079</v>
      </c>
      <c r="I1231" s="12" cm="1">
        <f t="array" aca="1" ref="I1231" ca="1">INDEX('Tiempos intermodal (horas)'!E$45:E$1645,MATCH(C1231&amp;D1231,'Tiempos intermodal (horas)'!C$45:C$1645&amp;'Tiempos intermodal (horas)'!D$45:D$1645,0))</f>
        <v>93.895786687077717</v>
      </c>
      <c r="J1231" s="2" cm="1">
        <f t="array" aca="1" ref="J1231" ca="1">INDEX('Tiempos carretera (horas)'!E$45:E$1645,MATCH(C1231&amp;D1231,'Tiempos carretera (horas)'!C$45:C$1645&amp;'Tiempos carretera (horas)'!D$45:D$1645,0))</f>
        <v>22.46</v>
      </c>
      <c r="K1231" s="12">
        <f t="shared" ca="1" si="114"/>
        <v>16.886315629869134</v>
      </c>
      <c r="L1231" s="12">
        <f t="shared" ca="1" si="115"/>
        <v>10.644657603698892</v>
      </c>
      <c r="M1231" s="12">
        <f t="shared" ca="1" si="116"/>
        <v>0.30600515810540507</v>
      </c>
      <c r="N1231" s="13">
        <f t="shared" ca="1" si="118"/>
        <v>6.2416580261702421</v>
      </c>
      <c r="O1231" s="13">
        <f t="shared" ca="1" si="119"/>
        <v>-71.435786687077723</v>
      </c>
      <c r="P1231" s="12">
        <f t="shared" ca="1" si="117"/>
        <v>0.81886256968672422</v>
      </c>
    </row>
    <row r="1232" spans="1:16" x14ac:dyDescent="0.25">
      <c r="A1232">
        <v>34</v>
      </c>
      <c r="B1232">
        <v>17</v>
      </c>
      <c r="C1232" s="2" t="s">
        <v>33</v>
      </c>
      <c r="D1232" s="2" t="s">
        <v>16</v>
      </c>
      <c r="E1232" s="11" cm="1">
        <f t="array" aca="1" ref="E1232" ca="1">INDEX('OD flujo mercancia multimodal'!E$45:E$1645,MATCH(C1232&amp;D1232,'OD flujo mercancia multimodal'!C$45:C$1645&amp;'OD flujo mercancia multimodal'!D$45:D$1645,0))</f>
        <v>189143.07692307694</v>
      </c>
      <c r="F1232" s="11" cm="1">
        <f t="array" aca="1" ref="F1232" ca="1">INDEX('OD flujo mercancia carretera'!E$45:E$1646,MATCH(C1232&amp;D1232,'OD flujo mercancia carretera'!C$45:C$1646&amp;'OD flujo mercancia carretera'!D$45:D$1646,0))</f>
        <v>450044.76495726453</v>
      </c>
      <c r="G1232" s="11" cm="1">
        <f t="array" aca="1" ref="G1232" ca="1">INDEX('Coste Carretera'!E$46:E$1646,MATCH(C1232&amp;D1232,'Coste Carretera'!C$46:C$1646&amp;'Coste Carretera'!D$46:D$1646,0))</f>
        <v>10744720572</v>
      </c>
      <c r="H1232" s="11" cm="1">
        <f t="array" aca="1" ref="H1232" ca="1">INDEX('Coste multimodal'!E$46:E$1646,MATCH(C1232&amp;D1232,'Coste multimodal'!C$46:C$1646&amp;'Coste multimodal'!D$46:D$1646,0))</f>
        <v>3736170009.9619079</v>
      </c>
      <c r="I1232" s="12" cm="1">
        <f t="array" aca="1" ref="I1232" ca="1">INDEX('Tiempos intermodal (horas)'!E$45:E$1645,MATCH(C1232&amp;D1232,'Tiempos intermodal (horas)'!C$45:C$1645&amp;'Tiempos intermodal (horas)'!D$45:D$1645,0))</f>
        <v>93.895786687077717</v>
      </c>
      <c r="J1232" s="2" cm="1">
        <f t="array" aca="1" ref="J1232" ca="1">INDEX('Tiempos carretera (horas)'!E$45:E$1645,MATCH(C1232&amp;D1232,'Tiempos carretera (horas)'!C$45:C$1645&amp;'Tiempos carretera (horas)'!D$45:D$1645,0))</f>
        <v>22.46</v>
      </c>
      <c r="K1232" s="12">
        <f t="shared" ca="1" si="114"/>
        <v>23.874781818693748</v>
      </c>
      <c r="L1232" s="12">
        <f t="shared" ca="1" si="115"/>
        <v>19.753141752480744</v>
      </c>
      <c r="M1232" s="12">
        <f t="shared" ca="1" si="116"/>
        <v>0.29591156860346735</v>
      </c>
      <c r="N1232" s="13">
        <f t="shared" ca="1" si="118"/>
        <v>4.1216400662130042</v>
      </c>
      <c r="O1232" s="13">
        <f t="shared" ca="1" si="119"/>
        <v>-71.435786687077723</v>
      </c>
      <c r="P1232" s="12">
        <f t="shared" ca="1" si="117"/>
        <v>0.86684330607862015</v>
      </c>
    </row>
    <row r="1233" spans="1:16" x14ac:dyDescent="0.25">
      <c r="A1233">
        <v>10</v>
      </c>
      <c r="B1233">
        <v>21</v>
      </c>
      <c r="C1233" s="2" t="s">
        <v>9</v>
      </c>
      <c r="D1233" s="2" t="s">
        <v>20</v>
      </c>
      <c r="E1233" s="11" cm="1">
        <f t="array" aca="1" ref="E1233" ca="1">INDEX('OD flujo mercancia multimodal'!E$45:E$1645,MATCH(C1233&amp;D1233,'OD flujo mercancia multimodal'!C$45:C$1645&amp;'OD flujo mercancia multimodal'!D$45:D$1645,0))</f>
        <v>51355.87912087913</v>
      </c>
      <c r="F1233" s="11" cm="1">
        <f t="array" aca="1" ref="F1233" ca="1">INDEX('OD flujo mercancia carretera'!E$45:E$1646,MATCH(C1233&amp;D1233,'OD flujo mercancia carretera'!C$45:C$1646&amp;'OD flujo mercancia carretera'!D$45:D$1646,0))</f>
        <v>197941.25641025609</v>
      </c>
      <c r="G1233" s="11" cm="1">
        <f t="array" aca="1" ref="G1233" ca="1">INDEX('Coste Carretera'!E$46:E$1646,MATCH(C1233&amp;D1233,'Coste Carretera'!C$46:C$1646&amp;'Coste Carretera'!D$46:D$1646,0))</f>
        <v>2130796509.4285719</v>
      </c>
      <c r="H1233" s="11" cm="1">
        <f t="array" aca="1" ref="H1233" ca="1">INDEX('Coste multimodal'!E$46:E$1646,MATCH(C1233&amp;D1233,'Coste multimodal'!C$46:C$1646&amp;'Coste multimodal'!D$46:D$1646,0))</f>
        <v>496820862.62137318</v>
      </c>
      <c r="I1233" s="12" cm="1">
        <f t="array" aca="1" ref="I1233" ca="1">INDEX('Tiempos intermodal (horas)'!E$45:E$1645,MATCH(C1233&amp;D1233,'Tiempos intermodal (horas)'!C$45:C$1645&amp;'Tiempos intermodal (horas)'!D$45:D$1645,0))</f>
        <v>34.671666707723354</v>
      </c>
      <c r="J1233" s="2" cm="1">
        <f t="array" aca="1" ref="J1233" ca="1">INDEX('Tiempos carretera (horas)'!E$45:E$1645,MATCH(C1233&amp;D1233,'Tiempos carretera (horas)'!C$45:C$1645&amp;'Tiempos carretera (horas)'!D$45:D$1645,0))</f>
        <v>8.8000000000000007</v>
      </c>
      <c r="K1233" s="12">
        <f t="shared" ca="1" si="114"/>
        <v>10.764792282677293</v>
      </c>
      <c r="L1233" s="12">
        <f t="shared" ca="1" si="115"/>
        <v>9.6740796015190167</v>
      </c>
      <c r="M1233" s="12">
        <f t="shared" ca="1" si="116"/>
        <v>0.20600268435280594</v>
      </c>
      <c r="N1233" s="13">
        <f t="shared" ca="1" si="118"/>
        <v>1.0907126811582764</v>
      </c>
      <c r="O1233" s="13">
        <f t="shared" ca="1" si="119"/>
        <v>-25.871666707723353</v>
      </c>
      <c r="P1233" s="12">
        <f t="shared" ca="1" si="117"/>
        <v>1.3491908809008917</v>
      </c>
    </row>
    <row r="1234" spans="1:16" x14ac:dyDescent="0.25">
      <c r="A1234">
        <v>21</v>
      </c>
      <c r="B1234">
        <v>10</v>
      </c>
      <c r="C1234" s="2" t="s">
        <v>20</v>
      </c>
      <c r="D1234" s="2" t="s">
        <v>9</v>
      </c>
      <c r="E1234" s="11" cm="1">
        <f t="array" aca="1" ref="E1234" ca="1">INDEX('OD flujo mercancia multimodal'!E$45:E$1645,MATCH(C1234&amp;D1234,'OD flujo mercancia multimodal'!C$45:C$1645&amp;'OD flujo mercancia multimodal'!D$45:D$1645,0))</f>
        <v>44269.752747252758</v>
      </c>
      <c r="F1234" s="11" cm="1">
        <f t="array" aca="1" ref="F1234" ca="1">INDEX('OD flujo mercancia carretera'!E$45:E$1646,MATCH(C1234&amp;D1234,'OD flujo mercancia carretera'!C$45:C$1646&amp;'OD flujo mercancia carretera'!D$45:D$1646,0))</f>
        <v>204512.92307692312</v>
      </c>
      <c r="G1234" s="11" cm="1">
        <f t="array" aca="1" ref="G1234" ca="1">INDEX('Coste Carretera'!E$46:E$1646,MATCH(C1234&amp;D1234,'Coste Carretera'!C$46:C$1646&amp;'Coste Carretera'!D$46:D$1646,0))</f>
        <v>1836787457.2857144</v>
      </c>
      <c r="H1234" s="11" cm="1">
        <f t="array" aca="1" ref="H1234" ca="1">INDEX('Coste multimodal'!E$46:E$1646,MATCH(C1234&amp;D1234,'Coste multimodal'!C$46:C$1646&amp;'Coste multimodal'!D$46:D$1646,0))</f>
        <v>496820862.62137318</v>
      </c>
      <c r="I1234" s="12" cm="1">
        <f t="array" aca="1" ref="I1234" ca="1">INDEX('Tiempos intermodal (horas)'!E$45:E$1645,MATCH(C1234&amp;D1234,'Tiempos intermodal (horas)'!C$45:C$1645&amp;'Tiempos intermodal (horas)'!D$45:D$1645,0))</f>
        <v>34.671666707723354</v>
      </c>
      <c r="J1234" s="2" cm="1">
        <f t="array" aca="1" ref="J1234" ca="1">INDEX('Tiempos carretera (horas)'!E$45:E$1645,MATCH(C1234&amp;D1234,'Tiempos carretera (horas)'!C$45:C$1645&amp;'Tiempos carretera (horas)'!D$45:D$1645,0))</f>
        <v>8.8000000000000007</v>
      </c>
      <c r="K1234" s="12">
        <f t="shared" ca="1" si="114"/>
        <v>8.9812781982234267</v>
      </c>
      <c r="L1234" s="12">
        <f t="shared" ca="1" si="115"/>
        <v>11.222580470639841</v>
      </c>
      <c r="M1234" s="12">
        <f t="shared" ca="1" si="116"/>
        <v>0.17794548032974719</v>
      </c>
      <c r="N1234" s="13">
        <f t="shared" ca="1" si="118"/>
        <v>-2.241302272416414</v>
      </c>
      <c r="O1234" s="13">
        <f t="shared" ca="1" si="119"/>
        <v>-25.871666707723353</v>
      </c>
      <c r="P1234" s="12">
        <f t="shared" ca="1" si="117"/>
        <v>1.5303295053963262</v>
      </c>
    </row>
    <row r="1235" spans="1:16" x14ac:dyDescent="0.25">
      <c r="A1235">
        <v>11</v>
      </c>
      <c r="B1235">
        <v>12</v>
      </c>
      <c r="C1235" s="2" t="s">
        <v>10</v>
      </c>
      <c r="D1235" s="2" t="s">
        <v>11</v>
      </c>
      <c r="E1235" s="11" cm="1">
        <f t="array" aca="1" ref="E1235" ca="1">INDEX('OD flujo mercancia multimodal'!E$45:E$1645,MATCH(C1235&amp;D1235,'OD flujo mercancia multimodal'!C$45:C$1645&amp;'OD flujo mercancia multimodal'!D$45:D$1645,0))</f>
        <v>28909.76923076923</v>
      </c>
      <c r="F1235" s="11" cm="1">
        <f t="array" aca="1" ref="F1235" ca="1">INDEX('OD flujo mercancia carretera'!E$45:E$1646,MATCH(C1235&amp;D1235,'OD flujo mercancia carretera'!C$45:C$1646&amp;'OD flujo mercancia carretera'!D$45:D$1646,0))</f>
        <v>139717.30769230769</v>
      </c>
      <c r="G1235" s="11" cm="1">
        <f t="array" aca="1" ref="G1235" ca="1">INDEX('Coste Carretera'!E$46:E$1646,MATCH(C1235&amp;D1235,'Coste Carretera'!C$46:C$1646&amp;'Coste Carretera'!D$46:D$1646,0))</f>
        <v>493460850.99999994</v>
      </c>
      <c r="H1235" s="11" cm="1">
        <f t="array" aca="1" ref="H1235" ca="1">INDEX('Coste multimodal'!E$46:E$1646,MATCH(C1235&amp;D1235,'Coste multimodal'!C$46:C$1646&amp;'Coste multimodal'!D$46:D$1646,0))</f>
        <v>555722512.06324506</v>
      </c>
      <c r="I1235" s="12" cm="1">
        <f t="array" aca="1" ref="I1235" ca="1">INDEX('Tiempos intermodal (horas)'!E$45:E$1645,MATCH(C1235&amp;D1235,'Tiempos intermodal (horas)'!C$45:C$1645&amp;'Tiempos intermodal (horas)'!D$45:D$1645,0))</f>
        <v>28.369068842524165</v>
      </c>
      <c r="J1235" s="2" cm="1">
        <f t="array" aca="1" ref="J1235" ca="1">INDEX('Tiempos carretera (horas)'!E$45:E$1645,MATCH(C1235&amp;D1235,'Tiempos carretera (horas)'!C$45:C$1645&amp;'Tiempos carretera (horas)'!D$45:D$1645,0))</f>
        <v>3.75</v>
      </c>
      <c r="K1235" s="12">
        <f t="shared" ca="1" si="114"/>
        <v>3.5318519884932487</v>
      </c>
      <c r="L1235" s="12">
        <f t="shared" ca="1" si="115"/>
        <v>19.222654723641956</v>
      </c>
      <c r="M1235" s="12">
        <f t="shared" ca="1" si="116"/>
        <v>0.17144203504136576</v>
      </c>
      <c r="N1235" s="13">
        <f t="shared" ca="1" si="118"/>
        <v>-15.690802735148708</v>
      </c>
      <c r="O1235" s="13">
        <f t="shared" ca="1" si="119"/>
        <v>-24.619068842524165</v>
      </c>
      <c r="P1235" s="12">
        <f t="shared" ca="1" si="117"/>
        <v>1.5754415767811709</v>
      </c>
    </row>
    <row r="1236" spans="1:16" x14ac:dyDescent="0.25">
      <c r="A1236">
        <v>12</v>
      </c>
      <c r="B1236">
        <v>11</v>
      </c>
      <c r="C1236" s="2" t="s">
        <v>11</v>
      </c>
      <c r="D1236" s="2" t="s">
        <v>10</v>
      </c>
      <c r="E1236" s="11" cm="1">
        <f t="array" aca="1" ref="E1236" ca="1">INDEX('OD flujo mercancia multimodal'!E$45:E$1645,MATCH(C1236&amp;D1236,'OD flujo mercancia multimodal'!C$45:C$1645&amp;'OD flujo mercancia multimodal'!D$45:D$1645,0))</f>
        <v>26603.769230769212</v>
      </c>
      <c r="F1236" s="11" cm="1">
        <f t="array" aca="1" ref="F1236" ca="1">INDEX('OD flujo mercancia carretera'!E$45:E$1646,MATCH(C1236&amp;D1236,'OD flujo mercancia carretera'!C$45:C$1646&amp;'OD flujo mercancia carretera'!D$45:D$1646,0))</f>
        <v>138746.23076923075</v>
      </c>
      <c r="G1236" s="11" cm="1">
        <f t="array" aca="1" ref="G1236" ca="1">INDEX('Coste Carretera'!E$46:E$1646,MATCH(C1236&amp;D1236,'Coste Carretera'!C$46:C$1646&amp;'Coste Carretera'!D$46:D$1646,0))</f>
        <v>454099736.9999997</v>
      </c>
      <c r="H1236" s="11" cm="1">
        <f t="array" aca="1" ref="H1236" ca="1">INDEX('Coste multimodal'!E$46:E$1646,MATCH(C1236&amp;D1236,'Coste multimodal'!C$46:C$1646&amp;'Coste multimodal'!D$46:D$1646,0))</f>
        <v>555722512.06324506</v>
      </c>
      <c r="I1236" s="12" cm="1">
        <f t="array" aca="1" ref="I1236" ca="1">INDEX('Tiempos intermodal (horas)'!E$45:E$1645,MATCH(C1236&amp;D1236,'Tiempos intermodal (horas)'!C$45:C$1645&amp;'Tiempos intermodal (horas)'!D$45:D$1645,0))</f>
        <v>28.369068842524165</v>
      </c>
      <c r="J1236" s="2" cm="1">
        <f t="array" aca="1" ref="J1236" ca="1">INDEX('Tiempos carretera (horas)'!E$45:E$1645,MATCH(C1236&amp;D1236,'Tiempos carretera (horas)'!C$45:C$1645&amp;'Tiempos carretera (horas)'!D$45:D$1645,0))</f>
        <v>3.75</v>
      </c>
      <c r="K1236" s="12">
        <f t="shared" ca="1" si="114"/>
        <v>3.2728798071298941</v>
      </c>
      <c r="L1236" s="12">
        <f t="shared" ca="1" si="115"/>
        <v>20.888863801318468</v>
      </c>
      <c r="M1236" s="12">
        <f t="shared" ca="1" si="116"/>
        <v>0.16089367542043675</v>
      </c>
      <c r="N1236" s="13">
        <f t="shared" ca="1" si="118"/>
        <v>-17.615983994188575</v>
      </c>
      <c r="O1236" s="13">
        <f t="shared" ca="1" si="119"/>
        <v>-24.619068842524165</v>
      </c>
      <c r="P1236" s="12">
        <f t="shared" ca="1" si="117"/>
        <v>1.6515936804764291</v>
      </c>
    </row>
    <row r="1237" spans="1:16" x14ac:dyDescent="0.25">
      <c r="A1237">
        <v>12</v>
      </c>
      <c r="B1237">
        <v>18</v>
      </c>
      <c r="C1237" s="2" t="s">
        <v>11</v>
      </c>
      <c r="D1237" s="2" t="s">
        <v>17</v>
      </c>
      <c r="E1237" s="11" cm="1">
        <f t="array" aca="1" ref="E1237" ca="1">INDEX('OD flujo mercancia multimodal'!E$45:E$1645,MATCH(C1237&amp;D1237,'OD flujo mercancia multimodal'!C$45:C$1645&amp;'OD flujo mercancia multimodal'!D$45:D$1645,0))</f>
        <v>29093.153846153815</v>
      </c>
      <c r="F1237" s="11" cm="1">
        <f t="array" aca="1" ref="F1237" ca="1">INDEX('OD flujo mercancia carretera'!E$45:E$1646,MATCH(C1237&amp;D1237,'OD flujo mercancia carretera'!C$45:C$1646&amp;'OD flujo mercancia carretera'!D$45:D$1646,0))</f>
        <v>94068.615384615376</v>
      </c>
      <c r="G1237" s="11" cm="1">
        <f t="array" aca="1" ref="G1237" ca="1">INDEX('Coste Carretera'!E$46:E$1646,MATCH(C1237&amp;D1237,'Coste Carretera'!C$46:C$1646&amp;'Coste Carretera'!D$46:D$1646,0))</f>
        <v>1298776573.9999986</v>
      </c>
      <c r="H1237" s="11" cm="1">
        <f t="array" aca="1" ref="H1237" ca="1">INDEX('Coste multimodal'!E$46:E$1646,MATCH(C1237&amp;D1237,'Coste multimodal'!C$46:C$1646&amp;'Coste multimodal'!D$46:D$1646,0))</f>
        <v>701160755.39514828</v>
      </c>
      <c r="I1237" s="12" cm="1">
        <f t="array" aca="1" ref="I1237" ca="1">INDEX('Tiempos intermodal (horas)'!E$45:E$1645,MATCH(C1237&amp;D1237,'Tiempos intermodal (horas)'!C$45:C$1645&amp;'Tiempos intermodal (horas)'!D$45:D$1645,0))</f>
        <v>79.470521337744003</v>
      </c>
      <c r="J1237" s="2" cm="1">
        <f t="array" aca="1" ref="J1237" ca="1">INDEX('Tiempos carretera (horas)'!E$45:E$1645,MATCH(C1237&amp;D1237,'Tiempos carretera (horas)'!C$45:C$1645&amp;'Tiempos carretera (horas)'!D$45:D$1645,0))</f>
        <v>7.93</v>
      </c>
      <c r="K1237" s="12">
        <f t="shared" ca="1" si="114"/>
        <v>13.806693855221869</v>
      </c>
      <c r="L1237" s="12">
        <f t="shared" ca="1" si="115"/>
        <v>24.100541285517707</v>
      </c>
      <c r="M1237" s="12">
        <f t="shared" ca="1" si="116"/>
        <v>0.23621903150515597</v>
      </c>
      <c r="N1237" s="13">
        <f t="shared" ca="1" si="118"/>
        <v>-10.293847430295838</v>
      </c>
      <c r="O1237" s="13">
        <f t="shared" ca="1" si="119"/>
        <v>-71.540521337743996</v>
      </c>
      <c r="P1237" s="12">
        <f t="shared" ca="1" si="117"/>
        <v>1.1735215834055919</v>
      </c>
    </row>
    <row r="1238" spans="1:16" x14ac:dyDescent="0.25">
      <c r="A1238">
        <v>18</v>
      </c>
      <c r="B1238">
        <v>12</v>
      </c>
      <c r="C1238" s="2" t="s">
        <v>17</v>
      </c>
      <c r="D1238" s="2" t="s">
        <v>11</v>
      </c>
      <c r="E1238" s="11" cm="1">
        <f t="array" aca="1" ref="E1238" ca="1">INDEX('OD flujo mercancia multimodal'!E$45:E$1645,MATCH(C1238&amp;D1238,'OD flujo mercancia multimodal'!C$45:C$1645&amp;'OD flujo mercancia multimodal'!D$45:D$1645,0))</f>
        <v>24943.615384615383</v>
      </c>
      <c r="F1238" s="11" cm="1">
        <f t="array" aca="1" ref="F1238" ca="1">INDEX('OD flujo mercancia carretera'!E$45:E$1646,MATCH(C1238&amp;D1238,'OD flujo mercancia carretera'!C$45:C$1646&amp;'OD flujo mercancia carretera'!D$45:D$1646,0))</f>
        <v>97607.692307692283</v>
      </c>
      <c r="G1238" s="11" cm="1">
        <f t="array" aca="1" ref="G1238" ca="1">INDEX('Coste Carretera'!E$46:E$1646,MATCH(C1238&amp;D1238,'Coste Carretera'!C$46:C$1646&amp;'Coste Carretera'!D$46:D$1646,0))</f>
        <v>1113532878</v>
      </c>
      <c r="H1238" s="11" cm="1">
        <f t="array" aca="1" ref="H1238" ca="1">INDEX('Coste multimodal'!E$46:E$1646,MATCH(C1238&amp;D1238,'Coste multimodal'!C$46:C$1646&amp;'Coste multimodal'!D$46:D$1646,0))</f>
        <v>701160755.39514828</v>
      </c>
      <c r="I1238" s="12" cm="1">
        <f t="array" aca="1" ref="I1238" ca="1">INDEX('Tiempos intermodal (horas)'!E$45:E$1645,MATCH(C1238&amp;D1238,'Tiempos intermodal (horas)'!C$45:C$1645&amp;'Tiempos intermodal (horas)'!D$45:D$1645,0))</f>
        <v>79.470521337744003</v>
      </c>
      <c r="J1238" s="2" cm="1">
        <f t="array" aca="1" ref="J1238" ca="1">INDEX('Tiempos carretera (horas)'!E$45:E$1645,MATCH(C1238&amp;D1238,'Tiempos carretera (horas)'!C$45:C$1645&amp;'Tiempos carretera (horas)'!D$45:D$1645,0))</f>
        <v>7.93</v>
      </c>
      <c r="K1238" s="12">
        <f t="shared" ca="1" si="114"/>
        <v>11.408249203246909</v>
      </c>
      <c r="L1238" s="12">
        <f t="shared" ca="1" si="115"/>
        <v>28.109828690976659</v>
      </c>
      <c r="M1238" s="12">
        <f t="shared" ca="1" si="116"/>
        <v>0.20353610136288292</v>
      </c>
      <c r="N1238" s="13">
        <f t="shared" ca="1" si="118"/>
        <v>-16.701579487729752</v>
      </c>
      <c r="O1238" s="13">
        <f t="shared" ca="1" si="119"/>
        <v>-71.540521337743996</v>
      </c>
      <c r="P1238" s="12">
        <f t="shared" ca="1" si="117"/>
        <v>1.3643384118990778</v>
      </c>
    </row>
    <row r="1239" spans="1:16" x14ac:dyDescent="0.25">
      <c r="A1239">
        <v>41</v>
      </c>
      <c r="B1239">
        <v>4</v>
      </c>
      <c r="C1239" s="2" t="s">
        <v>40</v>
      </c>
      <c r="D1239" s="2" t="s">
        <v>3</v>
      </c>
      <c r="E1239" s="11" cm="1">
        <f t="array" aca="1" ref="E1239" ca="1">INDEX('OD flujo mercancia multimodal'!E$45:E$1645,MATCH(C1239&amp;D1239,'OD flujo mercancia multimodal'!C$45:C$1645&amp;'OD flujo mercancia multimodal'!D$45:D$1645,0))</f>
        <v>38819.225274725242</v>
      </c>
      <c r="F1239" s="11" cm="1">
        <f t="array" aca="1" ref="F1239" ca="1">INDEX('OD flujo mercancia carretera'!E$45:E$1646,MATCH(C1239&amp;D1239,'OD flujo mercancia carretera'!C$45:C$1646&amp;'OD flujo mercancia carretera'!D$45:D$1646,0))</f>
        <v>97728.884615384595</v>
      </c>
      <c r="G1239" s="11" cm="1">
        <f t="array" aca="1" ref="G1239" ca="1">INDEX('Coste Carretera'!E$46:E$1646,MATCH(C1239&amp;D1239,'Coste Carretera'!C$46:C$1646&amp;'Coste Carretera'!D$46:D$1646,0))</f>
        <v>4466691821.4999962</v>
      </c>
      <c r="H1239" s="11" cm="1">
        <f t="array" aca="1" ref="H1239" ca="1">INDEX('Coste multimodal'!E$46:E$1646,MATCH(C1239&amp;D1239,'Coste multimodal'!C$46:C$1646&amp;'Coste multimodal'!D$46:D$1646,0))</f>
        <v>413446894.86839873</v>
      </c>
      <c r="I1239" s="12" cm="1">
        <f t="array" aca="1" ref="I1239" ca="1">INDEX('Tiempos intermodal (horas)'!E$45:E$1645,MATCH(C1239&amp;D1239,'Tiempos intermodal (horas)'!C$45:C$1645&amp;'Tiempos intermodal (horas)'!D$45:D$1645,0))</f>
        <v>27.706552653288053</v>
      </c>
      <c r="J1239" s="2" cm="1">
        <f t="array" aca="1" ref="J1239" ca="1">INDEX('Tiempos carretera (horas)'!E$45:E$1645,MATCH(C1239&amp;D1239,'Tiempos carretera (horas)'!C$45:C$1645&amp;'Tiempos carretera (horas)'!D$45:D$1645,0))</f>
        <v>25</v>
      </c>
      <c r="K1239" s="12">
        <f t="shared" ca="1" si="114"/>
        <v>45.704929909707005</v>
      </c>
      <c r="L1239" s="12">
        <f t="shared" ca="1" si="115"/>
        <v>10.650570482600262</v>
      </c>
      <c r="M1239" s="12">
        <f t="shared" ca="1" si="116"/>
        <v>0.28428972986858542</v>
      </c>
      <c r="N1239" s="13">
        <f t="shared" ca="1" si="118"/>
        <v>35.054359427106746</v>
      </c>
      <c r="O1239" s="13">
        <f t="shared" ca="1" si="119"/>
        <v>-2.7065526532880533</v>
      </c>
      <c r="P1239" s="12">
        <f t="shared" ca="1" si="117"/>
        <v>0.92328154068368384</v>
      </c>
    </row>
    <row r="1240" spans="1:16" x14ac:dyDescent="0.25">
      <c r="A1240">
        <v>9</v>
      </c>
      <c r="B1240">
        <v>17</v>
      </c>
      <c r="C1240" s="2" t="s">
        <v>148</v>
      </c>
      <c r="D1240" s="2" t="s">
        <v>16</v>
      </c>
      <c r="E1240" s="11" cm="1">
        <f t="array" aca="1" ref="E1240" ca="1">INDEX('OD flujo mercancia multimodal'!E$45:E$1645,MATCH(C1240&amp;D1240,'OD flujo mercancia multimodal'!C$45:C$1645&amp;'OD flujo mercancia multimodal'!D$45:D$1645,0))</f>
        <v>65387.807692307702</v>
      </c>
      <c r="F1240" s="11" cm="1">
        <f t="array" aca="1" ref="F1240" ca="1">INDEX('OD flujo mercancia carretera'!E$45:E$1646,MATCH(C1240&amp;D1240,'OD flujo mercancia carretera'!C$45:C$1646&amp;'OD flujo mercancia carretera'!D$45:D$1646,0))</f>
        <v>750591.83547008515</v>
      </c>
      <c r="G1240" s="11" cm="1">
        <f t="array" aca="1" ref="G1240" ca="1">INDEX('Coste Carretera'!E$46:E$1646,MATCH(C1240&amp;D1240,'Coste Carretera'!C$46:C$1646&amp;'Coste Carretera'!D$46:D$1646,0))</f>
        <v>7816165594.1600008</v>
      </c>
      <c r="H1240" s="11" cm="1">
        <f t="array" aca="1" ref="H1240" ca="1">INDEX('Coste multimodal'!E$46:E$1646,MATCH(C1240&amp;D1240,'Coste multimodal'!C$46:C$1646&amp;'Coste multimodal'!D$46:D$1646,0))</f>
        <v>1197809292.5462608</v>
      </c>
      <c r="I1240" s="12" cm="1">
        <f t="array" aca="1" ref="I1240" ca="1">INDEX('Tiempos intermodal (horas)'!E$45:E$1645,MATCH(C1240&amp;D1240,'Tiempos intermodal (horas)'!C$45:C$1645&amp;'Tiempos intermodal (horas)'!D$45:D$1645,0))</f>
        <v>95.086931664085952</v>
      </c>
      <c r="J1240" s="2" cm="1">
        <f t="array" aca="1" ref="J1240" ca="1">INDEX('Tiempos carretera (horas)'!E$45:E$1645,MATCH(C1240&amp;D1240,'Tiempos carretera (horas)'!C$45:C$1645&amp;'Tiempos carretera (horas)'!D$45:D$1645,0))</f>
        <v>22.36</v>
      </c>
      <c r="K1240" s="12">
        <f t="shared" ca="1" si="114"/>
        <v>10.413336816093723</v>
      </c>
      <c r="L1240" s="12">
        <f t="shared" ca="1" si="115"/>
        <v>18.318541863075378</v>
      </c>
      <c r="M1240" s="12">
        <f t="shared" ca="1" si="116"/>
        <v>8.0134116384193294E-2</v>
      </c>
      <c r="N1240" s="13">
        <f t="shared" ca="1" si="118"/>
        <v>-7.9052050469816546</v>
      </c>
      <c r="O1240" s="13">
        <f t="shared" ca="1" si="119"/>
        <v>-72.726931664085953</v>
      </c>
      <c r="P1240" s="12">
        <f t="shared" ca="1" si="117"/>
        <v>2.4405261949433381</v>
      </c>
    </row>
    <row r="1241" spans="1:16" x14ac:dyDescent="0.25">
      <c r="A1241">
        <v>17</v>
      </c>
      <c r="B1241">
        <v>9</v>
      </c>
      <c r="C1241" s="2" t="s">
        <v>16</v>
      </c>
      <c r="D1241" s="2" t="s">
        <v>148</v>
      </c>
      <c r="E1241" s="11" cm="1">
        <f t="array" aca="1" ref="E1241" ca="1">INDEX('OD flujo mercancia multimodal'!E$45:E$1645,MATCH(C1241&amp;D1241,'OD flujo mercancia multimodal'!C$45:C$1645&amp;'OD flujo mercancia multimodal'!D$45:D$1645,0))</f>
        <v>54810.3006993007</v>
      </c>
      <c r="F1241" s="11" cm="1">
        <f t="array" aca="1" ref="F1241" ca="1">INDEX('OD flujo mercancia carretera'!E$45:E$1646,MATCH(C1241&amp;D1241,'OD flujo mercancia carretera'!C$45:C$1646&amp;'OD flujo mercancia carretera'!D$45:D$1646,0))</f>
        <v>1099080.3910256412</v>
      </c>
      <c r="G1241" s="11" cm="1">
        <f t="array" aca="1" ref="G1241" ca="1">INDEX('Coste Carretera'!E$46:E$1646,MATCH(C1241&amp;D1241,'Coste Carretera'!C$46:C$1646&amp;'Coste Carretera'!D$46:D$1646,0))</f>
        <v>5901205835.09091</v>
      </c>
      <c r="H1241" s="11" cm="1">
        <f t="array" aca="1" ref="H1241" ca="1">INDEX('Coste multimodal'!E$46:E$1646,MATCH(C1241&amp;D1241,'Coste multimodal'!C$46:C$1646&amp;'Coste multimodal'!D$46:D$1646,0))</f>
        <v>1197809292.5462608</v>
      </c>
      <c r="I1241" s="12" cm="1">
        <f t="array" aca="1" ref="I1241" ca="1">INDEX('Tiempos intermodal (horas)'!E$45:E$1645,MATCH(C1241&amp;D1241,'Tiempos intermodal (horas)'!C$45:C$1645&amp;'Tiempos intermodal (horas)'!D$45:D$1645,0))</f>
        <v>95.086931664085952</v>
      </c>
      <c r="J1241" s="2" cm="1">
        <f t="array" aca="1" ref="J1241" ca="1">INDEX('Tiempos carretera (horas)'!E$45:E$1645,MATCH(C1241&amp;D1241,'Tiempos carretera (horas)'!C$45:C$1645&amp;'Tiempos carretera (horas)'!D$45:D$1645,0))</f>
        <v>22.36</v>
      </c>
      <c r="K1241" s="12">
        <f t="shared" ca="1" si="114"/>
        <v>5.3692212901587801</v>
      </c>
      <c r="L1241" s="12">
        <f t="shared" ca="1" si="115"/>
        <v>21.853725983326765</v>
      </c>
      <c r="M1241" s="12">
        <f t="shared" ca="1" si="116"/>
        <v>4.7500427113564135E-2</v>
      </c>
      <c r="N1241" s="13">
        <f t="shared" ca="1" si="118"/>
        <v>-16.484504693167985</v>
      </c>
      <c r="O1241" s="13">
        <f t="shared" ca="1" si="119"/>
        <v>-72.726931664085953</v>
      </c>
      <c r="P1241" s="12">
        <f t="shared" ca="1" si="117"/>
        <v>2.9983509557228878</v>
      </c>
    </row>
    <row r="1242" spans="1:16" x14ac:dyDescent="0.25">
      <c r="A1242">
        <v>17</v>
      </c>
      <c r="B1242">
        <v>21</v>
      </c>
      <c r="C1242" s="2" t="s">
        <v>16</v>
      </c>
      <c r="D1242" s="2" t="s">
        <v>20</v>
      </c>
      <c r="E1242" s="11" cm="1">
        <f t="array" aca="1" ref="E1242" ca="1">INDEX('OD flujo mercancia multimodal'!E$45:E$1645,MATCH(C1242&amp;D1242,'OD flujo mercancia multimodal'!C$45:C$1645&amp;'OD flujo mercancia multimodal'!D$45:D$1645,0))</f>
        <v>91517.153846153858</v>
      </c>
      <c r="F1242" s="11" cm="1">
        <f t="array" aca="1" ref="F1242" ca="1">INDEX('OD flujo mercancia carretera'!E$45:E$1646,MATCH(C1242&amp;D1242,'OD flujo mercancia carretera'!C$45:C$1646&amp;'OD flujo mercancia carretera'!D$45:D$1646,0))</f>
        <v>636229.10256410227</v>
      </c>
      <c r="G1242" s="11" cm="1">
        <f t="array" aca="1" ref="G1242" ca="1">INDEX('Coste Carretera'!E$46:E$1646,MATCH(C1242&amp;D1242,'Coste Carretera'!C$46:C$1646&amp;'Coste Carretera'!D$46:D$1646,0))</f>
        <v>9199604480.8799992</v>
      </c>
      <c r="H1242" s="11" cm="1">
        <f t="array" aca="1" ref="H1242" ca="1">INDEX('Coste multimodal'!E$46:E$1646,MATCH(C1242&amp;D1242,'Coste multimodal'!C$46:C$1646&amp;'Coste multimodal'!D$46:D$1646,0))</f>
        <v>923778687.37454462</v>
      </c>
      <c r="I1242" s="12" cm="1">
        <f t="array" aca="1" ref="I1242" ca="1">INDEX('Tiempos intermodal (horas)'!E$45:E$1645,MATCH(C1242&amp;D1242,'Tiempos intermodal (horas)'!C$45:C$1645&amp;'Tiempos intermodal (horas)'!D$45:D$1645,0))</f>
        <v>92.458877387152782</v>
      </c>
      <c r="J1242" s="2" cm="1">
        <f t="array" aca="1" ref="J1242" ca="1">INDEX('Tiempos carretera (horas)'!E$45:E$1645,MATCH(C1242&amp;D1242,'Tiempos carretera (horas)'!C$45:C$1645&amp;'Tiempos carretera (horas)'!D$45:D$1645,0))</f>
        <v>19.43</v>
      </c>
      <c r="K1242" s="12">
        <f t="shared" ref="K1242:K1305" ca="1" si="120">G1242/(F1242*1000)</f>
        <v>14.459578230238387</v>
      </c>
      <c r="L1242" s="12">
        <f t="shared" ref="L1242:L1305" ca="1" si="121">H1242/(E1242*1000)</f>
        <v>10.094049569411602</v>
      </c>
      <c r="M1242" s="12">
        <f t="shared" ref="M1242:M1305" ca="1" si="122">E1242/(E1242+F1242)</f>
        <v>0.12575420765141307</v>
      </c>
      <c r="N1242" s="13">
        <f t="shared" ca="1" si="118"/>
        <v>4.3655286608267847</v>
      </c>
      <c r="O1242" s="13">
        <f t="shared" ca="1" si="119"/>
        <v>-73.028877387152789</v>
      </c>
      <c r="P1242" s="12">
        <f t="shared" ref="P1242:P1305" ca="1" si="123">LN(1/M1242-1)</f>
        <v>1.939032294193441</v>
      </c>
    </row>
    <row r="1243" spans="1:16" x14ac:dyDescent="0.25">
      <c r="A1243">
        <v>21</v>
      </c>
      <c r="B1243">
        <v>17</v>
      </c>
      <c r="C1243" s="2" t="s">
        <v>20</v>
      </c>
      <c r="D1243" s="2" t="s">
        <v>16</v>
      </c>
      <c r="E1243" s="11" cm="1">
        <f t="array" aca="1" ref="E1243" ca="1">INDEX('OD flujo mercancia multimodal'!E$45:E$1645,MATCH(C1243&amp;D1243,'OD flujo mercancia multimodal'!C$45:C$1645&amp;'OD flujo mercancia multimodal'!D$45:D$1645,0))</f>
        <v>87659.846153846156</v>
      </c>
      <c r="F1243" s="11" cm="1">
        <f t="array" aca="1" ref="F1243" ca="1">INDEX('OD flujo mercancia carretera'!E$45:E$1646,MATCH(C1243&amp;D1243,'OD flujo mercancia carretera'!C$45:C$1646&amp;'OD flujo mercancia carretera'!D$45:D$1646,0))</f>
        <v>285428.53846153803</v>
      </c>
      <c r="G1243" s="11" cm="1">
        <f t="array" aca="1" ref="G1243" ca="1">INDEX('Coste Carretera'!E$46:E$1646,MATCH(C1243&amp;D1243,'Coste Carretera'!C$46:C$1646&amp;'Coste Carretera'!D$46:D$1646,0))</f>
        <v>8811855259.6800003</v>
      </c>
      <c r="H1243" s="11" cm="1">
        <f t="array" aca="1" ref="H1243" ca="1">INDEX('Coste multimodal'!E$46:E$1646,MATCH(C1243&amp;D1243,'Coste multimodal'!C$46:C$1646&amp;'Coste multimodal'!D$46:D$1646,0))</f>
        <v>923778687.37454462</v>
      </c>
      <c r="I1243" s="12" cm="1">
        <f t="array" aca="1" ref="I1243" ca="1">INDEX('Tiempos intermodal (horas)'!E$45:E$1645,MATCH(C1243&amp;D1243,'Tiempos intermodal (horas)'!C$45:C$1645&amp;'Tiempos intermodal (horas)'!D$45:D$1645,0))</f>
        <v>92.458877387152782</v>
      </c>
      <c r="J1243" s="2" cm="1">
        <f t="array" aca="1" ref="J1243" ca="1">INDEX('Tiempos carretera (horas)'!E$45:E$1645,MATCH(C1243&amp;D1243,'Tiempos carretera (horas)'!C$45:C$1645&amp;'Tiempos carretera (horas)'!D$45:D$1645,0))</f>
        <v>19.43</v>
      </c>
      <c r="K1243" s="12">
        <f t="shared" ca="1" si="120"/>
        <v>30.872369340416927</v>
      </c>
      <c r="L1243" s="12">
        <f t="shared" ca="1" si="121"/>
        <v>10.538219354769115</v>
      </c>
      <c r="M1243" s="12">
        <f t="shared" ca="1" si="122"/>
        <v>0.23495731780611306</v>
      </c>
      <c r="N1243" s="13">
        <f t="shared" ca="1" si="118"/>
        <v>20.334149985647812</v>
      </c>
      <c r="O1243" s="13">
        <f t="shared" ca="1" si="119"/>
        <v>-73.028877387152789</v>
      </c>
      <c r="P1243" s="12">
        <f t="shared" ca="1" si="123"/>
        <v>1.1805277546964943</v>
      </c>
    </row>
    <row r="1244" spans="1:16" x14ac:dyDescent="0.25">
      <c r="A1244">
        <v>36</v>
      </c>
      <c r="B1244">
        <v>17</v>
      </c>
      <c r="C1244" s="2" t="s">
        <v>35</v>
      </c>
      <c r="D1244" s="2" t="s">
        <v>16</v>
      </c>
      <c r="E1244" s="11" cm="1">
        <f t="array" aca="1" ref="E1244" ca="1">INDEX('OD flujo mercancia multimodal'!E$45:E$1645,MATCH(C1244&amp;D1244,'OD flujo mercancia multimodal'!C$45:C$1645&amp;'OD flujo mercancia multimodal'!D$45:D$1645,0))</f>
        <v>66578.538461538468</v>
      </c>
      <c r="F1244" s="11" cm="1">
        <f t="array" aca="1" ref="F1244" ca="1">INDEX('OD flujo mercancia carretera'!E$45:E$1646,MATCH(C1244&amp;D1244,'OD flujo mercancia carretera'!C$45:C$1646&amp;'OD flujo mercancia carretera'!D$45:D$1646,0))</f>
        <v>268042.4615384611</v>
      </c>
      <c r="G1244" s="11" cm="1">
        <f t="array" aca="1" ref="G1244" ca="1">INDEX('Coste Carretera'!E$46:E$1646,MATCH(C1244&amp;D1244,'Coste Carretera'!C$46:C$1646&amp;'Coste Carretera'!D$46:D$1646,0))</f>
        <v>8321699666.000001</v>
      </c>
      <c r="H1244" s="11" cm="1">
        <f t="array" aca="1" ref="H1244" ca="1">INDEX('Coste multimodal'!E$46:E$1646,MATCH(C1244&amp;D1244,'Coste multimodal'!C$46:C$1646&amp;'Coste multimodal'!D$46:D$1646,0))</f>
        <v>1133379239.6302609</v>
      </c>
      <c r="I1244" s="12" cm="1">
        <f t="array" aca="1" ref="I1244" ca="1">INDEX('Tiempos intermodal (horas)'!E$45:E$1645,MATCH(C1244&amp;D1244,'Tiempos intermodal (horas)'!C$45:C$1645&amp;'Tiempos intermodal (horas)'!D$45:D$1645,0))</f>
        <v>94.131376108530404</v>
      </c>
      <c r="J1244" s="2" cm="1">
        <f t="array" aca="1" ref="J1244" ca="1">INDEX('Tiempos carretera (horas)'!E$45:E$1645,MATCH(C1244&amp;D1244,'Tiempos carretera (horas)'!C$45:C$1645&amp;'Tiempos carretera (horas)'!D$45:D$1645,0))</f>
        <v>20.83</v>
      </c>
      <c r="K1244" s="12">
        <f t="shared" ca="1" si="120"/>
        <v>31.046199241107665</v>
      </c>
      <c r="L1244" s="12">
        <f t="shared" ca="1" si="121"/>
        <v>17.023191944728538</v>
      </c>
      <c r="M1244" s="12">
        <f t="shared" ca="1" si="122"/>
        <v>0.1989670058410517</v>
      </c>
      <c r="N1244" s="13">
        <f t="shared" ca="1" si="118"/>
        <v>14.023007296379127</v>
      </c>
      <c r="O1244" s="13">
        <f t="shared" ca="1" si="119"/>
        <v>-73.301376108530405</v>
      </c>
      <c r="P1244" s="12">
        <f t="shared" ca="1" si="123"/>
        <v>1.3927631262452209</v>
      </c>
    </row>
    <row r="1245" spans="1:16" x14ac:dyDescent="0.25">
      <c r="A1245">
        <v>17</v>
      </c>
      <c r="B1245">
        <v>36</v>
      </c>
      <c r="C1245" s="2" t="s">
        <v>16</v>
      </c>
      <c r="D1245" s="2" t="s">
        <v>35</v>
      </c>
      <c r="E1245" s="11" cm="1">
        <f t="array" aca="1" ref="E1245" ca="1">INDEX('OD flujo mercancia multimodal'!E$45:E$1645,MATCH(C1245&amp;D1245,'OD flujo mercancia multimodal'!C$45:C$1645&amp;'OD flujo mercancia multimodal'!D$45:D$1645,0))</f>
        <v>57932.692307692305</v>
      </c>
      <c r="F1245" s="11" cm="1">
        <f t="array" aca="1" ref="F1245" ca="1">INDEX('OD flujo mercancia carretera'!E$45:E$1646,MATCH(C1245&amp;D1245,'OD flujo mercancia carretera'!C$45:C$1646&amp;'OD flujo mercancia carretera'!D$45:D$1646,0))</f>
        <v>620273.69230769237</v>
      </c>
      <c r="G1245" s="11" cm="1">
        <f t="array" aca="1" ref="G1245" ca="1">INDEX('Coste Carretera'!E$46:E$1646,MATCH(C1245&amp;D1245,'Coste Carretera'!C$46:C$1646&amp;'Coste Carretera'!D$46:D$1646,0))</f>
        <v>8668613254.0000019</v>
      </c>
      <c r="H1245" s="11" cm="1">
        <f t="array" aca="1" ref="H1245" ca="1">INDEX('Coste multimodal'!E$46:E$1646,MATCH(C1245&amp;D1245,'Coste multimodal'!C$46:C$1646&amp;'Coste multimodal'!D$46:D$1646,0))</f>
        <v>1133379239.6302609</v>
      </c>
      <c r="I1245" s="12" cm="1">
        <f t="array" aca="1" ref="I1245" ca="1">INDEX('Tiempos intermodal (horas)'!E$45:E$1645,MATCH(C1245&amp;D1245,'Tiempos intermodal (horas)'!C$45:C$1645&amp;'Tiempos intermodal (horas)'!D$45:D$1645,0))</f>
        <v>94.131376108530404</v>
      </c>
      <c r="J1245" s="2" cm="1">
        <f t="array" aca="1" ref="J1245" ca="1">INDEX('Tiempos carretera (horas)'!E$45:E$1645,MATCH(C1245&amp;D1245,'Tiempos carretera (horas)'!C$45:C$1645&amp;'Tiempos carretera (horas)'!D$45:D$1645,0))</f>
        <v>20.83</v>
      </c>
      <c r="K1245" s="12">
        <f t="shared" ca="1" si="120"/>
        <v>13.975464962489264</v>
      </c>
      <c r="L1245" s="12">
        <f t="shared" ca="1" si="121"/>
        <v>19.563724634281684</v>
      </c>
      <c r="M1245" s="12">
        <f t="shared" ca="1" si="122"/>
        <v>8.5420446669115802E-2</v>
      </c>
      <c r="N1245" s="13">
        <f t="shared" ca="1" si="118"/>
        <v>-5.5882596717924198</v>
      </c>
      <c r="O1245" s="13">
        <f t="shared" ca="1" si="119"/>
        <v>-73.301376108530405</v>
      </c>
      <c r="P1245" s="12">
        <f t="shared" ca="1" si="123"/>
        <v>2.370878960621988</v>
      </c>
    </row>
    <row r="1246" spans="1:16" x14ac:dyDescent="0.25">
      <c r="A1246">
        <v>3</v>
      </c>
      <c r="B1246">
        <v>17</v>
      </c>
      <c r="C1246" s="2" t="s">
        <v>2</v>
      </c>
      <c r="D1246" s="2" t="s">
        <v>16</v>
      </c>
      <c r="E1246" s="11" cm="1">
        <f t="array" aca="1" ref="E1246" ca="1">INDEX('OD flujo mercancia multimodal'!E$45:E$1645,MATCH(C1246&amp;D1246,'OD flujo mercancia multimodal'!C$45:C$1645&amp;'OD flujo mercancia multimodal'!D$45:D$1645,0))</f>
        <v>79447.879120879137</v>
      </c>
      <c r="F1246" s="11" cm="1">
        <f t="array" aca="1" ref="F1246" ca="1">INDEX('OD flujo mercancia carretera'!E$45:E$1646,MATCH(C1246&amp;D1246,'OD flujo mercancia carretera'!C$45:C$1646&amp;'OD flujo mercancia carretera'!D$45:D$1646,0))</f>
        <v>212964.30769230722</v>
      </c>
      <c r="G1246" s="11" cm="1">
        <f t="array" aca="1" ref="G1246" ca="1">INDEX('Coste Carretera'!E$46:E$1646,MATCH(C1246&amp;D1246,'Coste Carretera'!C$46:C$1646&amp;'Coste Carretera'!D$46:D$1646,0))</f>
        <v>8236717554.9600029</v>
      </c>
      <c r="H1246" s="11" cm="1">
        <f t="array" aca="1" ref="H1246" ca="1">INDEX('Coste multimodal'!E$46:E$1646,MATCH(C1246&amp;D1246,'Coste multimodal'!C$46:C$1646&amp;'Coste multimodal'!D$46:D$1646,0))</f>
        <v>1328261680.1155157</v>
      </c>
      <c r="I1246" s="12" cm="1">
        <f t="array" aca="1" ref="I1246" ca="1">INDEX('Tiempos intermodal (horas)'!E$45:E$1645,MATCH(C1246&amp;D1246,'Tiempos intermodal (horas)'!C$45:C$1645&amp;'Tiempos intermodal (horas)'!D$45:D$1645,0))</f>
        <v>93.531128525009379</v>
      </c>
      <c r="J1246" s="2" cm="1">
        <f t="array" aca="1" ref="J1246" ca="1">INDEX('Tiempos carretera (horas)'!E$45:E$1645,MATCH(C1246&amp;D1246,'Tiempos carretera (horas)'!C$45:C$1645&amp;'Tiempos carretera (horas)'!D$45:D$1645,0))</f>
        <v>19.86</v>
      </c>
      <c r="K1246" s="12">
        <f t="shared" ca="1" si="120"/>
        <v>38.676516474584496</v>
      </c>
      <c r="L1246" s="12">
        <f t="shared" ca="1" si="121"/>
        <v>16.718654982527337</v>
      </c>
      <c r="M1246" s="12">
        <f t="shared" ca="1" si="122"/>
        <v>0.27169824892297006</v>
      </c>
      <c r="N1246" s="13">
        <f t="shared" ca="1" si="118"/>
        <v>21.957861492057159</v>
      </c>
      <c r="O1246" s="13">
        <f t="shared" ca="1" si="119"/>
        <v>-73.671128525009379</v>
      </c>
      <c r="P1246" s="12">
        <f t="shared" ca="1" si="123"/>
        <v>0.98602338403577316</v>
      </c>
    </row>
    <row r="1247" spans="1:16" x14ac:dyDescent="0.25">
      <c r="A1247">
        <v>17</v>
      </c>
      <c r="B1247">
        <v>35</v>
      </c>
      <c r="C1247" s="2" t="s">
        <v>16</v>
      </c>
      <c r="D1247" s="2" t="s">
        <v>34</v>
      </c>
      <c r="E1247" s="11" cm="1">
        <f t="array" aca="1" ref="E1247" ca="1">INDEX('OD flujo mercancia multimodal'!E$45:E$1645,MATCH(C1247&amp;D1247,'OD flujo mercancia multimodal'!C$45:C$1645&amp;'OD flujo mercancia multimodal'!D$45:D$1645,0))</f>
        <v>77308.461538461561</v>
      </c>
      <c r="F1247" s="11" cm="1">
        <f t="array" aca="1" ref="F1247" ca="1">INDEX('OD flujo mercancia carretera'!E$45:E$1646,MATCH(C1247&amp;D1247,'OD flujo mercancia carretera'!C$45:C$1646&amp;'OD flujo mercancia carretera'!D$45:D$1646,0))</f>
        <v>544427.30769230775</v>
      </c>
      <c r="G1247" s="11" cm="1">
        <f t="array" aca="1" ref="G1247" ca="1">INDEX('Coste Carretera'!E$46:E$1646,MATCH(C1247&amp;D1247,'Coste Carretera'!C$46:C$1646&amp;'Coste Carretera'!D$46:D$1646,0))</f>
        <v>40001786249.600029</v>
      </c>
      <c r="H1247" s="11" cm="1">
        <f t="array" aca="1" ref="H1247" ca="1">INDEX('Coste multimodal'!E$46:E$1646,MATCH(C1247&amp;D1247,'Coste multimodal'!C$46:C$1646&amp;'Coste multimodal'!D$46:D$1646,0))</f>
        <v>3106435401.0339079</v>
      </c>
      <c r="I1247" s="12" cm="1">
        <f t="array" aca="1" ref="I1247" ca="1">INDEX('Tiempos intermodal (horas)'!E$45:E$1645,MATCH(C1247&amp;D1247,'Tiempos intermodal (horas)'!C$45:C$1645&amp;'Tiempos intermodal (horas)'!D$45:D$1645,0))</f>
        <v>94.820231131522164</v>
      </c>
      <c r="J1247" s="2" cm="1">
        <f t="array" aca="1" ref="J1247" ca="1">INDEX('Tiempos carretera (horas)'!E$45:E$1645,MATCH(C1247&amp;D1247,'Tiempos carretera (horas)'!C$45:C$1645&amp;'Tiempos carretera (horas)'!D$45:D$1645,0))</f>
        <v>21.15</v>
      </c>
      <c r="K1247" s="12">
        <f t="shared" ca="1" si="120"/>
        <v>73.474981295772395</v>
      </c>
      <c r="L1247" s="12">
        <f t="shared" ca="1" si="121"/>
        <v>40.182346656690768</v>
      </c>
      <c r="M1247" s="12">
        <f t="shared" ca="1" si="122"/>
        <v>0.12434295301058516</v>
      </c>
      <c r="N1247" s="13">
        <f t="shared" ca="1" si="118"/>
        <v>33.292634639081626</v>
      </c>
      <c r="O1247" s="13">
        <f t="shared" ca="1" si="119"/>
        <v>-73.670231131522172</v>
      </c>
      <c r="P1247" s="12">
        <f t="shared" ca="1" si="123"/>
        <v>1.951931017369047</v>
      </c>
    </row>
    <row r="1248" spans="1:16" x14ac:dyDescent="0.25">
      <c r="A1248">
        <v>35</v>
      </c>
      <c r="B1248">
        <v>17</v>
      </c>
      <c r="C1248" s="2" t="s">
        <v>34</v>
      </c>
      <c r="D1248" s="2" t="s">
        <v>16</v>
      </c>
      <c r="E1248" s="11" cm="1">
        <f t="array" aca="1" ref="E1248" ca="1">INDEX('OD flujo mercancia multimodal'!E$45:E$1645,MATCH(C1248&amp;D1248,'OD flujo mercancia multimodal'!C$45:C$1645&amp;'OD flujo mercancia multimodal'!D$45:D$1645,0))</f>
        <v>74214.61538461539</v>
      </c>
      <c r="F1248" s="11" cm="1">
        <f t="array" aca="1" ref="F1248" ca="1">INDEX('OD flujo mercancia carretera'!E$45:E$1646,MATCH(C1248&amp;D1248,'OD flujo mercancia carretera'!C$45:C$1646&amp;'OD flujo mercancia carretera'!D$45:D$1646,0))</f>
        <v>189542.92307692263</v>
      </c>
      <c r="G1248" s="11" cm="1">
        <f t="array" aca="1" ref="G1248" ca="1">INDEX('Coste Carretera'!E$46:E$1646,MATCH(C1248&amp;D1248,'Coste Carretera'!C$46:C$1646&amp;'Coste Carretera'!D$46:D$1646,0))</f>
        <v>21556333848</v>
      </c>
      <c r="H1248" s="11" cm="1">
        <f t="array" aca="1" ref="H1248" ca="1">INDEX('Coste multimodal'!E$46:E$1646,MATCH(C1248&amp;D1248,'Coste multimodal'!C$46:C$1646&amp;'Coste multimodal'!D$46:D$1646,0))</f>
        <v>3106435401.0339079</v>
      </c>
      <c r="I1248" s="12" cm="1">
        <f t="array" aca="1" ref="I1248" ca="1">INDEX('Tiempos intermodal (horas)'!E$45:E$1645,MATCH(C1248&amp;D1248,'Tiempos intermodal (horas)'!C$45:C$1645&amp;'Tiempos intermodal (horas)'!D$45:D$1645,0))</f>
        <v>94.820231131522164</v>
      </c>
      <c r="J1248" s="2" cm="1">
        <f t="array" aca="1" ref="J1248" ca="1">INDEX('Tiempos carretera (horas)'!E$45:E$1645,MATCH(C1248&amp;D1248,'Tiempos carretera (horas)'!C$45:C$1645&amp;'Tiempos carretera (horas)'!D$45:D$1645,0))</f>
        <v>21.15</v>
      </c>
      <c r="K1248" s="12">
        <f t="shared" ca="1" si="120"/>
        <v>113.72798043877241</v>
      </c>
      <c r="L1248" s="12">
        <f t="shared" ca="1" si="121"/>
        <v>41.857461430405372</v>
      </c>
      <c r="M1248" s="12">
        <f t="shared" ca="1" si="122"/>
        <v>0.28137438579954599</v>
      </c>
      <c r="N1248" s="13">
        <f t="shared" ca="1" si="118"/>
        <v>71.87051900836704</v>
      </c>
      <c r="O1248" s="13">
        <f t="shared" ca="1" si="119"/>
        <v>-73.670231131522172</v>
      </c>
      <c r="P1248" s="12">
        <f t="shared" ca="1" si="123"/>
        <v>0.93765440226065877</v>
      </c>
    </row>
    <row r="1249" spans="1:16" x14ac:dyDescent="0.25">
      <c r="A1249">
        <v>17</v>
      </c>
      <c r="B1249">
        <v>2</v>
      </c>
      <c r="C1249" s="2" t="s">
        <v>16</v>
      </c>
      <c r="D1249" s="2" t="s">
        <v>1</v>
      </c>
      <c r="E1249" s="11" cm="1">
        <f t="array" aca="1" ref="E1249" ca="1">INDEX('OD flujo mercancia multimodal'!E$45:E$1645,MATCH(C1249&amp;D1249,'OD flujo mercancia multimodal'!C$45:C$1645&amp;'OD flujo mercancia multimodal'!D$45:D$1645,0))</f>
        <v>75431.917582417547</v>
      </c>
      <c r="F1249" s="11" cm="1">
        <f t="array" aca="1" ref="F1249" ca="1">INDEX('OD flujo mercancia carretera'!E$45:E$1646,MATCH(C1249&amp;D1249,'OD flujo mercancia carretera'!C$45:C$1646&amp;'OD flujo mercancia carretera'!D$45:D$1646,0))</f>
        <v>567873</v>
      </c>
      <c r="G1249" s="11" cm="1">
        <f t="array" aca="1" ref="G1249" ca="1">INDEX('Coste Carretera'!E$46:E$1646,MATCH(C1249&amp;D1249,'Coste Carretera'!C$46:C$1646&amp;'Coste Carretera'!D$46:D$1646,0))</f>
        <v>7883751779.7428532</v>
      </c>
      <c r="H1249" s="11" cm="1">
        <f t="array" aca="1" ref="H1249" ca="1">INDEX('Coste multimodal'!E$46:E$1646,MATCH(C1249&amp;D1249,'Coste multimodal'!C$46:C$1646&amp;'Coste multimodal'!D$46:D$1646,0))</f>
        <v>1206938450.2462609</v>
      </c>
      <c r="I1249" s="12" cm="1">
        <f t="array" aca="1" ref="I1249" ca="1">INDEX('Tiempos intermodal (horas)'!E$45:E$1645,MATCH(C1249&amp;D1249,'Tiempos intermodal (horas)'!C$45:C$1645&amp;'Tiempos intermodal (horas)'!D$45:D$1645,0))</f>
        <v>93.003598330752624</v>
      </c>
      <c r="J1249" s="2" cm="1">
        <f t="array" aca="1" ref="J1249" ca="1">INDEX('Tiempos carretera (horas)'!E$45:E$1645,MATCH(C1249&amp;D1249,'Tiempos carretera (horas)'!C$45:C$1645&amp;'Tiempos carretera (horas)'!D$45:D$1645,0))</f>
        <v>19.260000000000002</v>
      </c>
      <c r="K1249" s="12">
        <f t="shared" ca="1" si="120"/>
        <v>13.882948792675217</v>
      </c>
      <c r="L1249" s="12">
        <f t="shared" ca="1" si="121"/>
        <v>16.000368132330056</v>
      </c>
      <c r="M1249" s="12">
        <f t="shared" ca="1" si="122"/>
        <v>0.11725686454550305</v>
      </c>
      <c r="N1249" s="13">
        <f t="shared" ca="1" si="118"/>
        <v>-2.1174193396548393</v>
      </c>
      <c r="O1249" s="13">
        <f t="shared" ca="1" si="119"/>
        <v>-73.743598330752619</v>
      </c>
      <c r="P1249" s="12">
        <f t="shared" ca="1" si="123"/>
        <v>2.0186673066164387</v>
      </c>
    </row>
    <row r="1250" spans="1:16" x14ac:dyDescent="0.25">
      <c r="A1250">
        <v>2</v>
      </c>
      <c r="B1250">
        <v>17</v>
      </c>
      <c r="C1250" s="2" t="s">
        <v>1</v>
      </c>
      <c r="D1250" s="2" t="s">
        <v>16</v>
      </c>
      <c r="E1250" s="11" cm="1">
        <f t="array" aca="1" ref="E1250" ca="1">INDEX('OD flujo mercancia multimodal'!E$45:E$1645,MATCH(C1250&amp;D1250,'OD flujo mercancia multimodal'!C$45:C$1645&amp;'OD flujo mercancia multimodal'!D$45:D$1645,0))</f>
        <v>70890.307692307702</v>
      </c>
      <c r="F1250" s="11" cm="1">
        <f t="array" aca="1" ref="F1250" ca="1">INDEX('OD flujo mercancia carretera'!E$45:E$1646,MATCH(C1250&amp;D1250,'OD flujo mercancia carretera'!C$45:C$1646&amp;'OD flujo mercancia carretera'!D$45:D$1646,0))</f>
        <v>214013.538461538</v>
      </c>
      <c r="G1250" s="11" cm="1">
        <f t="array" aca="1" ref="G1250" ca="1">INDEX('Coste Carretera'!E$46:E$1646,MATCH(C1250&amp;D1250,'Coste Carretera'!C$46:C$1646&amp;'Coste Carretera'!D$46:D$1646,0))</f>
        <v>7409086330.4000006</v>
      </c>
      <c r="H1250" s="11" cm="1">
        <f t="array" aca="1" ref="H1250" ca="1">INDEX('Coste multimodal'!E$46:E$1646,MATCH(C1250&amp;D1250,'Coste multimodal'!C$46:C$1646&amp;'Coste multimodal'!D$46:D$1646,0))</f>
        <v>1206938450.2462609</v>
      </c>
      <c r="I1250" s="12" cm="1">
        <f t="array" aca="1" ref="I1250" ca="1">INDEX('Tiempos intermodal (horas)'!E$45:E$1645,MATCH(C1250&amp;D1250,'Tiempos intermodal (horas)'!C$45:C$1645&amp;'Tiempos intermodal (horas)'!D$45:D$1645,0))</f>
        <v>93.003598330752624</v>
      </c>
      <c r="J1250" s="2" cm="1">
        <f t="array" aca="1" ref="J1250" ca="1">INDEX('Tiempos carretera (horas)'!E$45:E$1645,MATCH(C1250&amp;D1250,'Tiempos carretera (horas)'!C$45:C$1645&amp;'Tiempos carretera (horas)'!D$45:D$1645,0))</f>
        <v>19.260000000000002</v>
      </c>
      <c r="K1250" s="12">
        <f t="shared" ca="1" si="120"/>
        <v>34.619708564519357</v>
      </c>
      <c r="L1250" s="12">
        <f t="shared" ca="1" si="121"/>
        <v>17.025436756246801</v>
      </c>
      <c r="M1250" s="12">
        <f t="shared" ca="1" si="122"/>
        <v>0.24882186972662884</v>
      </c>
      <c r="N1250" s="13">
        <f t="shared" ca="1" si="118"/>
        <v>17.594271808272556</v>
      </c>
      <c r="O1250" s="13">
        <f t="shared" ca="1" si="119"/>
        <v>-73.743598330752619</v>
      </c>
      <c r="P1250" s="12">
        <f t="shared" ca="1" si="123"/>
        <v>1.1049055565831676</v>
      </c>
    </row>
    <row r="1251" spans="1:16" x14ac:dyDescent="0.25">
      <c r="A1251">
        <v>37</v>
      </c>
      <c r="B1251">
        <v>5</v>
      </c>
      <c r="C1251" s="2" t="s">
        <v>36</v>
      </c>
      <c r="D1251" s="2" t="s">
        <v>4</v>
      </c>
      <c r="E1251" s="11" cm="1">
        <f t="array" aca="1" ref="E1251" ca="1">INDEX('OD flujo mercancia multimodal'!E$45:E$1645,MATCH(C1251&amp;D1251,'OD flujo mercancia multimodal'!C$45:C$1645&amp;'OD flujo mercancia multimodal'!D$45:D$1645,0))</f>
        <v>70473.796703296743</v>
      </c>
      <c r="F1251" s="11" cm="1">
        <f t="array" aca="1" ref="F1251" ca="1">INDEX('OD flujo mercancia carretera'!E$45:E$1646,MATCH(C1251&amp;D1251,'OD flujo mercancia carretera'!C$45:C$1646&amp;'OD flujo mercancia carretera'!D$45:D$1646,0))</f>
        <v>144916.0366300366</v>
      </c>
      <c r="G1251" s="11" cm="1">
        <f t="array" aca="1" ref="G1251" ca="1">INDEX('Coste Carretera'!E$46:E$1646,MATCH(C1251&amp;D1251,'Coste Carretera'!C$46:C$1646&amp;'Coste Carretera'!D$46:D$1646,0))</f>
        <v>8175937888.0800037</v>
      </c>
      <c r="H1251" s="11" cm="1">
        <f t="array" aca="1" ref="H1251" ca="1">INDEX('Coste multimodal'!E$46:E$1646,MATCH(C1251&amp;D1251,'Coste multimodal'!C$46:C$1646&amp;'Coste multimodal'!D$46:D$1646,0))</f>
        <v>424627234.21190143</v>
      </c>
      <c r="I1251" s="12" cm="1">
        <f t="array" aca="1" ref="I1251" ca="1">INDEX('Tiempos intermodal (horas)'!E$45:E$1645,MATCH(C1251&amp;D1251,'Tiempos intermodal (horas)'!C$45:C$1645&amp;'Tiempos intermodal (horas)'!D$45:D$1645,0))</f>
        <v>78.547071016328829</v>
      </c>
      <c r="J1251" s="2" cm="1">
        <f t="array" aca="1" ref="J1251" ca="1">INDEX('Tiempos carretera (horas)'!E$45:E$1645,MATCH(C1251&amp;D1251,'Tiempos carretera (horas)'!C$45:C$1645&amp;'Tiempos carretera (horas)'!D$45:D$1645,0))</f>
        <v>25</v>
      </c>
      <c r="K1251" s="12">
        <f t="shared" ca="1" si="120"/>
        <v>56.418448076611185</v>
      </c>
      <c r="L1251" s="12">
        <f t="shared" ca="1" si="121"/>
        <v>6.0253208153327371</v>
      </c>
      <c r="M1251" s="12">
        <f t="shared" ca="1" si="122"/>
        <v>0.32719184379623339</v>
      </c>
      <c r="N1251" s="13">
        <f t="shared" ca="1" si="118"/>
        <v>50.393127261278451</v>
      </c>
      <c r="O1251" s="13">
        <f t="shared" ca="1" si="119"/>
        <v>-53.547071016328829</v>
      </c>
      <c r="P1251" s="12">
        <f t="shared" ca="1" si="123"/>
        <v>0.72091355421659065</v>
      </c>
    </row>
    <row r="1252" spans="1:16" x14ac:dyDescent="0.25">
      <c r="A1252">
        <v>40</v>
      </c>
      <c r="B1252">
        <v>3</v>
      </c>
      <c r="C1252" s="2" t="s">
        <v>39</v>
      </c>
      <c r="D1252" s="2" t="s">
        <v>2</v>
      </c>
      <c r="E1252" s="11" cm="1">
        <f t="array" aca="1" ref="E1252" ca="1">INDEX('OD flujo mercancia multimodal'!E$45:E$1645,MATCH(C1252&amp;D1252,'OD flujo mercancia multimodal'!C$45:C$1645&amp;'OD flujo mercancia multimodal'!D$45:D$1645,0))</f>
        <v>19186.637362637379</v>
      </c>
      <c r="F1252" s="11" cm="1">
        <f t="array" aca="1" ref="F1252" ca="1">INDEX('OD flujo mercancia carretera'!E$45:E$1646,MATCH(C1252&amp;D1252,'OD flujo mercancia carretera'!C$45:C$1646&amp;'OD flujo mercancia carretera'!D$45:D$1646,0))</f>
        <v>141624.97435897432</v>
      </c>
      <c r="G1252" s="11" cm="1">
        <f t="array" aca="1" ref="G1252" ca="1">INDEX('Coste Carretera'!E$46:E$1646,MATCH(C1252&amp;D1252,'Coste Carretera'!C$46:C$1646&amp;'Coste Carretera'!D$46:D$1646,0))</f>
        <v>1555182925.0285728</v>
      </c>
      <c r="H1252" s="11" cm="1">
        <f t="array" aca="1" ref="H1252" ca="1">INDEX('Coste multimodal'!E$46:E$1646,MATCH(C1252&amp;D1252,'Coste multimodal'!C$46:C$1646&amp;'Coste multimodal'!D$46:D$1646,0))</f>
        <v>580053352.87923586</v>
      </c>
      <c r="I1252" s="12" cm="1">
        <f t="array" aca="1" ref="I1252" ca="1">INDEX('Tiempos intermodal (horas)'!E$45:E$1645,MATCH(C1252&amp;D1252,'Tiempos intermodal (horas)'!C$45:C$1645&amp;'Tiempos intermodal (horas)'!D$45:D$1645,0))</f>
        <v>65.029963406766129</v>
      </c>
      <c r="J1252" s="2" cm="1">
        <f t="array" aca="1" ref="J1252" ca="1">INDEX('Tiempos carretera (horas)'!E$45:E$1645,MATCH(C1252&amp;D1252,'Tiempos carretera (horas)'!C$45:C$1645&amp;'Tiempos carretera (horas)'!D$45:D$1645,0))</f>
        <v>17.899999999999999</v>
      </c>
      <c r="K1252" s="12">
        <f t="shared" ca="1" si="120"/>
        <v>10.980993515216309</v>
      </c>
      <c r="L1252" s="12">
        <f t="shared" ca="1" si="121"/>
        <v>30.232152821566761</v>
      </c>
      <c r="M1252" s="12">
        <f t="shared" ca="1" si="122"/>
        <v>0.11931126836694007</v>
      </c>
      <c r="N1252" s="13">
        <f t="shared" ca="1" si="118"/>
        <v>-19.251159306350452</v>
      </c>
      <c r="O1252" s="13">
        <f t="shared" ca="1" si="119"/>
        <v>-47.12996340676613</v>
      </c>
      <c r="P1252" s="12">
        <f t="shared" ca="1" si="123"/>
        <v>1.9989684722616967</v>
      </c>
    </row>
    <row r="1253" spans="1:16" x14ac:dyDescent="0.25">
      <c r="A1253">
        <v>38</v>
      </c>
      <c r="B1253">
        <v>4</v>
      </c>
      <c r="C1253" s="2" t="s">
        <v>37</v>
      </c>
      <c r="D1253" s="2" t="s">
        <v>3</v>
      </c>
      <c r="E1253" s="11" cm="1">
        <f t="array" aca="1" ref="E1253" ca="1">INDEX('OD flujo mercancia multimodal'!E$45:E$1645,MATCH(C1253&amp;D1253,'OD flujo mercancia multimodal'!C$45:C$1645&amp;'OD flujo mercancia multimodal'!D$45:D$1645,0))</f>
        <v>31162.071428571398</v>
      </c>
      <c r="F1253" s="11" cm="1">
        <f t="array" aca="1" ref="F1253" ca="1">INDEX('OD flujo mercancia carretera'!E$45:E$1646,MATCH(C1253&amp;D1253,'OD flujo mercancia carretera'!C$45:C$1646&amp;'OD flujo mercancia carretera'!D$45:D$1646,0))</f>
        <v>36449.076923076907</v>
      </c>
      <c r="G1253" s="11" cm="1">
        <f t="array" aca="1" ref="G1253" ca="1">INDEX('Coste Carretera'!E$46:E$1646,MATCH(C1253&amp;D1253,'Coste Carretera'!C$46:C$1646&amp;'Coste Carretera'!D$46:D$1646,0))</f>
        <v>5215273810.0714235</v>
      </c>
      <c r="H1253" s="11" cm="1">
        <f t="array" aca="1" ref="H1253" ca="1">INDEX('Coste multimodal'!E$46:E$1646,MATCH(C1253&amp;D1253,'Coste multimodal'!C$46:C$1646&amp;'Coste multimodal'!D$46:D$1646,0))</f>
        <v>361459420.56774008</v>
      </c>
      <c r="I1253" s="12" cm="1">
        <f t="array" aca="1" ref="I1253" ca="1">INDEX('Tiempos intermodal (horas)'!E$45:E$1645,MATCH(C1253&amp;D1253,'Tiempos intermodal (horas)'!C$45:C$1645&amp;'Tiempos intermodal (horas)'!D$45:D$1645,0))</f>
        <v>91.922065508868243</v>
      </c>
      <c r="J1253" s="2" cm="1">
        <f t="array" aca="1" ref="J1253" ca="1">INDEX('Tiempos carretera (horas)'!E$45:E$1645,MATCH(C1253&amp;D1253,'Tiempos carretera (horas)'!C$45:C$1645&amp;'Tiempos carretera (horas)'!D$45:D$1645,0))</f>
        <v>26</v>
      </c>
      <c r="K1253" s="12">
        <f t="shared" ca="1" si="120"/>
        <v>143.08383779040207</v>
      </c>
      <c r="L1253" s="12">
        <f t="shared" ca="1" si="121"/>
        <v>11.599338683125241</v>
      </c>
      <c r="M1253" s="12">
        <f t="shared" ca="1" si="122"/>
        <v>0.46090137778012902</v>
      </c>
      <c r="N1253" s="13">
        <f t="shared" ca="1" si="118"/>
        <v>131.48449910727683</v>
      </c>
      <c r="O1253" s="13">
        <f t="shared" ca="1" si="119"/>
        <v>-65.922065508868243</v>
      </c>
      <c r="P1253" s="12">
        <f t="shared" ca="1" si="123"/>
        <v>0.15671443770265911</v>
      </c>
    </row>
    <row r="1254" spans="1:16" x14ac:dyDescent="0.25">
      <c r="A1254">
        <v>37</v>
      </c>
      <c r="B1254">
        <v>6</v>
      </c>
      <c r="C1254" s="2" t="s">
        <v>36</v>
      </c>
      <c r="D1254" s="2" t="s">
        <v>5</v>
      </c>
      <c r="E1254" s="11" cm="1">
        <f t="array" aca="1" ref="E1254" ca="1">INDEX('OD flujo mercancia multimodal'!E$45:E$1645,MATCH(C1254&amp;D1254,'OD flujo mercancia multimodal'!C$45:C$1645&amp;'OD flujo mercancia multimodal'!D$45:D$1645,0))</f>
        <v>18801.939560439547</v>
      </c>
      <c r="F1254" s="11" cm="1">
        <f t="array" aca="1" ref="F1254" ca="1">INDEX('OD flujo mercancia carretera'!E$45:E$1646,MATCH(C1254&amp;D1254,'OD flujo mercancia carretera'!C$45:C$1646&amp;'OD flujo mercancia carretera'!D$45:D$1646,0))</f>
        <v>210705.34798534808</v>
      </c>
      <c r="G1254" s="11" cm="1">
        <f t="array" aca="1" ref="G1254" ca="1">INDEX('Coste Carretera'!E$46:E$1646,MATCH(C1254&amp;D1254,'Coste Carretera'!C$46:C$1646&amp;'Coste Carretera'!D$46:D$1646,0))</f>
        <v>2066091598.4599981</v>
      </c>
      <c r="H1254" s="11" cm="1">
        <f t="array" aca="1" ref="H1254" ca="1">INDEX('Coste multimodal'!E$46:E$1646,MATCH(C1254&amp;D1254,'Coste multimodal'!C$46:C$1646&amp;'Coste multimodal'!D$46:D$1646,0))</f>
        <v>544084007.97475851</v>
      </c>
      <c r="I1254" s="12" cm="1">
        <f t="array" aca="1" ref="I1254" ca="1">INDEX('Tiempos intermodal (horas)'!E$45:E$1645,MATCH(C1254&amp;D1254,'Tiempos intermodal (horas)'!C$45:C$1645&amp;'Tiempos intermodal (horas)'!D$45:D$1645,0))</f>
        <v>81.09151546077328</v>
      </c>
      <c r="J1254" s="2" cm="1">
        <f t="array" aca="1" ref="J1254" ca="1">INDEX('Tiempos carretera (horas)'!E$45:E$1645,MATCH(C1254&amp;D1254,'Tiempos carretera (horas)'!C$45:C$1645&amp;'Tiempos carretera (horas)'!D$45:D$1645,0))</f>
        <v>25</v>
      </c>
      <c r="K1254" s="12">
        <f t="shared" ca="1" si="120"/>
        <v>9.8055963847850176</v>
      </c>
      <c r="L1254" s="12">
        <f t="shared" ca="1" si="121"/>
        <v>28.93765327910878</v>
      </c>
      <c r="M1254" s="12">
        <f t="shared" ca="1" si="122"/>
        <v>8.1923061186841326E-2</v>
      </c>
      <c r="N1254" s="13">
        <f t="shared" ca="1" si="118"/>
        <v>-19.13205689432376</v>
      </c>
      <c r="O1254" s="13">
        <f t="shared" ca="1" si="119"/>
        <v>-56.09151546077328</v>
      </c>
      <c r="P1254" s="12">
        <f t="shared" ca="1" si="123"/>
        <v>2.416500669855361</v>
      </c>
    </row>
    <row r="1255" spans="1:16" x14ac:dyDescent="0.25">
      <c r="A1255">
        <v>12</v>
      </c>
      <c r="B1255">
        <v>15</v>
      </c>
      <c r="C1255" s="2" t="s">
        <v>11</v>
      </c>
      <c r="D1255" s="2" t="s">
        <v>14</v>
      </c>
      <c r="E1255" s="11" cm="1">
        <f t="array" aca="1" ref="E1255" ca="1">INDEX('OD flujo mercancia multimodal'!E$45:E$1645,MATCH(C1255&amp;D1255,'OD flujo mercancia multimodal'!C$45:C$1645&amp;'OD flujo mercancia multimodal'!D$45:D$1645,0))</f>
        <v>53075.153846153815</v>
      </c>
      <c r="F1255" s="11" cm="1">
        <f t="array" aca="1" ref="F1255" ca="1">INDEX('OD flujo mercancia carretera'!E$45:E$1646,MATCH(C1255&amp;D1255,'OD flujo mercancia carretera'!C$45:C$1646&amp;'OD flujo mercancia carretera'!D$45:D$1646,0))</f>
        <v>333800.69230769278</v>
      </c>
      <c r="G1255" s="11" cm="1">
        <f t="array" aca="1" ref="G1255" ca="1">INDEX('Coste Carretera'!E$46:E$1646,MATCH(C1255&amp;D1255,'Coste Carretera'!C$46:C$1646&amp;'Coste Carretera'!D$46:D$1646,0))</f>
        <v>2310843369.3199983</v>
      </c>
      <c r="H1255" s="11" cm="1">
        <f t="array" aca="1" ref="H1255" ca="1">INDEX('Coste multimodal'!E$46:E$1646,MATCH(C1255&amp;D1255,'Coste multimodal'!C$46:C$1646&amp;'Coste multimodal'!D$46:D$1646,0))</f>
        <v>608760395.84968972</v>
      </c>
      <c r="I1255" s="12" cm="1">
        <f t="array" aca="1" ref="I1255" ca="1">INDEX('Tiempos intermodal (horas)'!E$45:E$1645,MATCH(C1255&amp;D1255,'Tiempos intermodal (horas)'!C$45:C$1645&amp;'Tiempos intermodal (horas)'!D$45:D$1645,0))</f>
        <v>84.36148775924363</v>
      </c>
      <c r="J1255" s="2" cm="1">
        <f t="array" aca="1" ref="J1255" ca="1">INDEX('Tiempos carretera (horas)'!E$45:E$1645,MATCH(C1255&amp;D1255,'Tiempos carretera (horas)'!C$45:C$1645&amp;'Tiempos carretera (horas)'!D$45:D$1645,0))</f>
        <v>8.18</v>
      </c>
      <c r="K1255" s="12">
        <f t="shared" ca="1" si="120"/>
        <v>6.9228237765004259</v>
      </c>
      <c r="L1255" s="12">
        <f t="shared" ca="1" si="121"/>
        <v>11.469781088421746</v>
      </c>
      <c r="M1255" s="12">
        <f t="shared" ca="1" si="122"/>
        <v>0.13718911215007137</v>
      </c>
      <c r="N1255" s="13">
        <f t="shared" ca="1" si="118"/>
        <v>-4.5469573119213198</v>
      </c>
      <c r="O1255" s="13">
        <f t="shared" ca="1" si="119"/>
        <v>-76.181487759243623</v>
      </c>
      <c r="P1255" s="12">
        <f t="shared" ca="1" si="123"/>
        <v>1.8388351790041684</v>
      </c>
    </row>
    <row r="1256" spans="1:16" x14ac:dyDescent="0.25">
      <c r="A1256">
        <v>15</v>
      </c>
      <c r="B1256">
        <v>12</v>
      </c>
      <c r="C1256" s="2" t="s">
        <v>14</v>
      </c>
      <c r="D1256" s="2" t="s">
        <v>11</v>
      </c>
      <c r="E1256" s="11" cm="1">
        <f t="array" aca="1" ref="E1256" ca="1">INDEX('OD flujo mercancia multimodal'!E$45:E$1645,MATCH(C1256&amp;D1256,'OD flujo mercancia multimodal'!C$45:C$1645&amp;'OD flujo mercancia multimodal'!D$45:D$1645,0))</f>
        <v>44479.769230769234</v>
      </c>
      <c r="F1256" s="11" cm="1">
        <f t="array" aca="1" ref="F1256" ca="1">INDEX('OD flujo mercancia carretera'!E$45:E$1646,MATCH(C1256&amp;D1256,'OD flujo mercancia carretera'!C$45:C$1646&amp;'OD flujo mercancia carretera'!D$45:D$1646,0))</f>
        <v>337420</v>
      </c>
      <c r="G1256" s="11" cm="1">
        <f t="array" aca="1" ref="G1256" ca="1">INDEX('Coste Carretera'!E$46:E$1646,MATCH(C1256&amp;D1256,'Coste Carretera'!C$46:C$1646&amp;'Coste Carretera'!D$46:D$1646,0))</f>
        <v>1936608230.9199998</v>
      </c>
      <c r="H1256" s="11" cm="1">
        <f t="array" aca="1" ref="H1256" ca="1">INDEX('Coste multimodal'!E$46:E$1646,MATCH(C1256&amp;D1256,'Coste multimodal'!C$46:C$1646&amp;'Coste multimodal'!D$46:D$1646,0))</f>
        <v>608760395.84968972</v>
      </c>
      <c r="I1256" s="12" cm="1">
        <f t="array" aca="1" ref="I1256" ca="1">INDEX('Tiempos intermodal (horas)'!E$45:E$1645,MATCH(C1256&amp;D1256,'Tiempos intermodal (horas)'!C$45:C$1645&amp;'Tiempos intermodal (horas)'!D$45:D$1645,0))</f>
        <v>84.36148775924363</v>
      </c>
      <c r="J1256" s="2" cm="1">
        <f t="array" aca="1" ref="J1256" ca="1">INDEX('Tiempos carretera (horas)'!E$45:E$1645,MATCH(C1256&amp;D1256,'Tiempos carretera (horas)'!C$45:C$1645&amp;'Tiempos carretera (horas)'!D$45:D$1645,0))</f>
        <v>8.18</v>
      </c>
      <c r="K1256" s="12">
        <f t="shared" ca="1" si="120"/>
        <v>5.7394589263232758</v>
      </c>
      <c r="L1256" s="12">
        <f t="shared" ca="1" si="121"/>
        <v>13.686230984952479</v>
      </c>
      <c r="M1256" s="12">
        <f t="shared" ca="1" si="122"/>
        <v>0.11646974629065984</v>
      </c>
      <c r="N1256" s="13">
        <f t="shared" ca="1" si="118"/>
        <v>-7.946772058629203</v>
      </c>
      <c r="O1256" s="13">
        <f t="shared" ca="1" si="119"/>
        <v>-76.181487759243623</v>
      </c>
      <c r="P1256" s="12">
        <f t="shared" ca="1" si="123"/>
        <v>2.0262939834061267</v>
      </c>
    </row>
    <row r="1257" spans="1:16" x14ac:dyDescent="0.25">
      <c r="A1257">
        <v>11</v>
      </c>
      <c r="B1257">
        <v>5</v>
      </c>
      <c r="C1257" s="2" t="s">
        <v>10</v>
      </c>
      <c r="D1257" s="2" t="s">
        <v>4</v>
      </c>
      <c r="E1257" s="11" cm="1">
        <f t="array" aca="1" ref="E1257" ca="1">INDEX('OD flujo mercancia multimodal'!E$45:E$1645,MATCH(C1257&amp;D1257,'OD flujo mercancia multimodal'!C$45:C$1645&amp;'OD flujo mercancia multimodal'!D$45:D$1645,0))</f>
        <v>75570.412087912133</v>
      </c>
      <c r="F1257" s="11" cm="1">
        <f t="array" aca="1" ref="F1257" ca="1">INDEX('OD flujo mercancia carretera'!E$45:E$1646,MATCH(C1257&amp;D1257,'OD flujo mercancia carretera'!C$45:C$1646&amp;'OD flujo mercancia carretera'!D$45:D$1646,0))</f>
        <v>160584.69230769228</v>
      </c>
      <c r="G1257" s="11" cm="1">
        <f t="array" aca="1" ref="G1257" ca="1">INDEX('Coste Carretera'!E$46:E$1646,MATCH(C1257&amp;D1257,'Coste Carretera'!C$46:C$1646&amp;'Coste Carretera'!D$46:D$1646,0))</f>
        <v>9573126799.3714314</v>
      </c>
      <c r="H1257" s="11" cm="1">
        <f t="array" aca="1" ref="H1257" ca="1">INDEX('Coste multimodal'!E$46:E$1646,MATCH(C1257&amp;D1257,'Coste multimodal'!C$46:C$1646&amp;'Coste multimodal'!D$46:D$1646,0))</f>
        <v>611398864.31233716</v>
      </c>
      <c r="I1257" s="12" cm="1">
        <f t="array" aca="1" ref="I1257" ca="1">INDEX('Tiempos intermodal (horas)'!E$45:E$1645,MATCH(C1257&amp;D1257,'Tiempos intermodal (horas)'!C$45:C$1645&amp;'Tiempos intermodal (horas)'!D$45:D$1645,0))</f>
        <v>79.545309725741376</v>
      </c>
      <c r="J1257" s="2" cm="1">
        <f t="array" aca="1" ref="J1257" ca="1">INDEX('Tiempos carretera (horas)'!E$45:E$1645,MATCH(C1257&amp;D1257,'Tiempos carretera (horas)'!C$45:C$1645&amp;'Tiempos carretera (horas)'!D$45:D$1645,0))</f>
        <v>25</v>
      </c>
      <c r="K1257" s="12">
        <f t="shared" ca="1" si="120"/>
        <v>59.614192746520345</v>
      </c>
      <c r="L1257" s="12">
        <f t="shared" ca="1" si="121"/>
        <v>8.0904529619487615</v>
      </c>
      <c r="M1257" s="12">
        <f t="shared" ca="1" si="122"/>
        <v>0.32000329733003535</v>
      </c>
      <c r="N1257" s="13">
        <f t="shared" ca="1" si="118"/>
        <v>51.523739784571582</v>
      </c>
      <c r="O1257" s="13">
        <f t="shared" ca="1" si="119"/>
        <v>-54.545309725741376</v>
      </c>
      <c r="P1257" s="12">
        <f t="shared" ca="1" si="123"/>
        <v>0.75375664924659269</v>
      </c>
    </row>
    <row r="1258" spans="1:16" x14ac:dyDescent="0.25">
      <c r="A1258">
        <v>26</v>
      </c>
      <c r="B1258">
        <v>12</v>
      </c>
      <c r="C1258" s="2" t="s">
        <v>25</v>
      </c>
      <c r="D1258" s="2" t="s">
        <v>11</v>
      </c>
      <c r="E1258" s="11" cm="1">
        <f t="array" aca="1" ref="E1258" ca="1">INDEX('OD flujo mercancia multimodal'!E$45:E$1645,MATCH(C1258&amp;D1258,'OD flujo mercancia multimodal'!C$45:C$1645&amp;'OD flujo mercancia multimodal'!D$45:D$1645,0))</f>
        <v>19385.307692307691</v>
      </c>
      <c r="F1258" s="11" cm="1">
        <f t="array" aca="1" ref="F1258" ca="1">INDEX('OD flujo mercancia carretera'!E$45:E$1646,MATCH(C1258&amp;D1258,'OD flujo mercancia carretera'!C$45:C$1646&amp;'OD flujo mercancia carretera'!D$45:D$1646,0))</f>
        <v>89308.076923076907</v>
      </c>
      <c r="G1258" s="11" cm="1">
        <f t="array" aca="1" ref="G1258" ca="1">INDEX('Coste Carretera'!E$46:E$1646,MATCH(C1258&amp;D1258,'Coste Carretera'!C$46:C$1646&amp;'Coste Carretera'!D$46:D$1646,0))</f>
        <v>954993145.67999995</v>
      </c>
      <c r="H1258" s="11" cm="1">
        <f t="array" aca="1" ref="H1258" ca="1">INDEX('Coste multimodal'!E$46:E$1646,MATCH(C1258&amp;D1258,'Coste multimodal'!C$46:C$1646&amp;'Coste multimodal'!D$46:D$1646,0))</f>
        <v>465372851.99768972</v>
      </c>
      <c r="I1258" s="12" cm="1">
        <f t="array" aca="1" ref="I1258" ca="1">INDEX('Tiempos intermodal (horas)'!E$45:E$1645,MATCH(C1258&amp;D1258,'Tiempos intermodal (horas)'!C$45:C$1645&amp;'Tiempos intermodal (horas)'!D$45:D$1645,0))</f>
        <v>87.060376648132518</v>
      </c>
      <c r="J1258" s="2" cm="1">
        <f t="array" aca="1" ref="J1258" ca="1">INDEX('Tiempos carretera (horas)'!E$45:E$1645,MATCH(C1258&amp;D1258,'Tiempos carretera (horas)'!C$45:C$1645&amp;'Tiempos carretera (horas)'!D$45:D$1645,0))</f>
        <v>9.25</v>
      </c>
      <c r="K1258" s="12">
        <f t="shared" ca="1" si="120"/>
        <v>10.693244985025904</v>
      </c>
      <c r="L1258" s="12">
        <f t="shared" ca="1" si="121"/>
        <v>24.006472292537037</v>
      </c>
      <c r="M1258" s="12">
        <f t="shared" ca="1" si="122"/>
        <v>0.17834855139439526</v>
      </c>
      <c r="N1258" s="13">
        <f t="shared" ca="1" si="118"/>
        <v>-13.313227307511132</v>
      </c>
      <c r="O1258" s="13">
        <f t="shared" ca="1" si="119"/>
        <v>-77.810376648132518</v>
      </c>
      <c r="P1258" s="12">
        <f t="shared" ca="1" si="123"/>
        <v>1.5275764871614339</v>
      </c>
    </row>
    <row r="1259" spans="1:16" x14ac:dyDescent="0.25">
      <c r="A1259">
        <v>12</v>
      </c>
      <c r="B1259">
        <v>26</v>
      </c>
      <c r="C1259" s="2" t="s">
        <v>11</v>
      </c>
      <c r="D1259" s="2" t="s">
        <v>25</v>
      </c>
      <c r="E1259" s="11" cm="1">
        <f t="array" aca="1" ref="E1259" ca="1">INDEX('OD flujo mercancia multimodal'!E$45:E$1645,MATCH(C1259&amp;D1259,'OD flujo mercancia multimodal'!C$45:C$1645&amp;'OD flujo mercancia multimodal'!D$45:D$1645,0))</f>
        <v>9625.1538461538439</v>
      </c>
      <c r="F1259" s="11" cm="1">
        <f t="array" aca="1" ref="F1259" ca="1">INDEX('OD flujo mercancia carretera'!E$45:E$1646,MATCH(C1259&amp;D1259,'OD flujo mercancia carretera'!C$45:C$1646&amp;'OD flujo mercancia carretera'!D$45:D$1646,0))</f>
        <v>88111.230769230766</v>
      </c>
      <c r="G1259" s="11" cm="1">
        <f t="array" aca="1" ref="G1259" ca="1">INDEX('Coste Carretera'!E$46:E$1646,MATCH(C1259&amp;D1259,'Coste Carretera'!C$46:C$1646&amp;'Coste Carretera'!D$46:D$1646,0))</f>
        <v>474171269.0399999</v>
      </c>
      <c r="H1259" s="11" cm="1">
        <f t="array" aca="1" ref="H1259" ca="1">INDEX('Coste multimodal'!E$46:E$1646,MATCH(C1259&amp;D1259,'Coste multimodal'!C$46:C$1646&amp;'Coste multimodal'!D$46:D$1646,0))</f>
        <v>465372851.99768972</v>
      </c>
      <c r="I1259" s="12" cm="1">
        <f t="array" aca="1" ref="I1259" ca="1">INDEX('Tiempos intermodal (horas)'!E$45:E$1645,MATCH(C1259&amp;D1259,'Tiempos intermodal (horas)'!C$45:C$1645&amp;'Tiempos intermodal (horas)'!D$45:D$1645,0))</f>
        <v>87.060376648132518</v>
      </c>
      <c r="J1259" s="2" cm="1">
        <f t="array" aca="1" ref="J1259" ca="1">INDEX('Tiempos carretera (horas)'!E$45:E$1645,MATCH(C1259&amp;D1259,'Tiempos carretera (horas)'!C$45:C$1645&amp;'Tiempos carretera (horas)'!D$45:D$1645,0))</f>
        <v>9.25</v>
      </c>
      <c r="K1259" s="12">
        <f t="shared" ca="1" si="120"/>
        <v>5.3815077249560419</v>
      </c>
      <c r="L1259" s="12">
        <f t="shared" ca="1" si="121"/>
        <v>48.349653359946039</v>
      </c>
      <c r="M1259" s="12">
        <f t="shared" ca="1" si="122"/>
        <v>9.8480764190644679E-2</v>
      </c>
      <c r="N1259" s="13">
        <f t="shared" ca="1" si="118"/>
        <v>-42.968145634989995</v>
      </c>
      <c r="O1259" s="13">
        <f t="shared" ca="1" si="119"/>
        <v>-77.810376648132518</v>
      </c>
      <c r="P1259" s="12">
        <f t="shared" ca="1" si="123"/>
        <v>2.2142201382722848</v>
      </c>
    </row>
    <row r="1260" spans="1:16" x14ac:dyDescent="0.25">
      <c r="A1260">
        <v>41</v>
      </c>
      <c r="B1260">
        <v>3</v>
      </c>
      <c r="C1260" s="2" t="s">
        <v>40</v>
      </c>
      <c r="D1260" s="2" t="s">
        <v>2</v>
      </c>
      <c r="E1260" s="11" cm="1">
        <f t="array" aca="1" ref="E1260" ca="1">INDEX('OD flujo mercancia multimodal'!E$45:E$1645,MATCH(C1260&amp;D1260,'OD flujo mercancia multimodal'!C$45:C$1645&amp;'OD flujo mercancia multimodal'!D$45:D$1645,0))</f>
        <v>24162.868131868148</v>
      </c>
      <c r="F1260" s="11" cm="1">
        <f t="array" aca="1" ref="F1260" ca="1">INDEX('OD flujo mercancia carretera'!E$45:E$1646,MATCH(C1260&amp;D1260,'OD flujo mercancia carretera'!C$45:C$1646&amp;'OD flujo mercancia carretera'!D$45:D$1646,0))</f>
        <v>108621.9615384615</v>
      </c>
      <c r="G1260" s="11" cm="1">
        <f t="array" aca="1" ref="G1260" ca="1">INDEX('Coste Carretera'!E$46:E$1646,MATCH(C1260&amp;D1260,'Coste Carretera'!C$46:C$1646&amp;'Coste Carretera'!D$46:D$1646,0))</f>
        <v>2019395117.3485732</v>
      </c>
      <c r="H1260" s="11" cm="1">
        <f t="array" aca="1" ref="H1260" ca="1">INDEX('Coste multimodal'!E$46:E$1646,MATCH(C1260&amp;D1260,'Coste multimodal'!C$46:C$1646&amp;'Coste multimodal'!D$46:D$1646,0))</f>
        <v>801586773.67050898</v>
      </c>
      <c r="I1260" s="12" cm="1">
        <f t="array" aca="1" ref="I1260" ca="1">INDEX('Tiempos intermodal (horas)'!E$45:E$1645,MATCH(C1260&amp;D1260,'Tiempos intermodal (horas)'!C$45:C$1645&amp;'Tiempos intermodal (horas)'!D$45:D$1645,0))</f>
        <v>73.865783876454572</v>
      </c>
      <c r="J1260" s="2" cm="1">
        <f t="array" aca="1" ref="J1260" ca="1">INDEX('Tiempos carretera (horas)'!E$45:E$1645,MATCH(C1260&amp;D1260,'Tiempos carretera (horas)'!C$45:C$1645&amp;'Tiempos carretera (horas)'!D$45:D$1645,0))</f>
        <v>19.98</v>
      </c>
      <c r="K1260" s="12">
        <f t="shared" ca="1" si="120"/>
        <v>18.591038945964293</v>
      </c>
      <c r="L1260" s="12">
        <f t="shared" ca="1" si="121"/>
        <v>33.174322240881025</v>
      </c>
      <c r="M1260" s="12">
        <f t="shared" ca="1" si="122"/>
        <v>0.18197009546842283</v>
      </c>
      <c r="N1260" s="13">
        <f t="shared" ca="1" si="118"/>
        <v>-14.583283294916733</v>
      </c>
      <c r="O1260" s="13">
        <f t="shared" ca="1" si="119"/>
        <v>-53.885783876454568</v>
      </c>
      <c r="P1260" s="12">
        <f t="shared" ca="1" si="123"/>
        <v>1.5030565310783119</v>
      </c>
    </row>
    <row r="1261" spans="1:16" x14ac:dyDescent="0.25">
      <c r="A1261">
        <v>38</v>
      </c>
      <c r="B1261">
        <v>3</v>
      </c>
      <c r="C1261" s="2" t="s">
        <v>37</v>
      </c>
      <c r="D1261" s="2" t="s">
        <v>2</v>
      </c>
      <c r="E1261" s="11" cm="1">
        <f t="array" aca="1" ref="E1261" ca="1">INDEX('OD flujo mercancia multimodal'!E$45:E$1645,MATCH(C1261&amp;D1261,'OD flujo mercancia multimodal'!C$45:C$1645&amp;'OD flujo mercancia multimodal'!D$45:D$1645,0))</f>
        <v>16505.714285714301</v>
      </c>
      <c r="F1261" s="11" cm="1">
        <f t="array" aca="1" ref="F1261" ca="1">INDEX('OD flujo mercancia carretera'!E$45:E$1646,MATCH(C1261&amp;D1261,'OD flujo mercancia carretera'!C$45:C$1646&amp;'OD flujo mercancia carretera'!D$45:D$1646,0))</f>
        <v>47342.153846153808</v>
      </c>
      <c r="G1261" s="11" cm="1">
        <f t="array" aca="1" ref="G1261" ca="1">INDEX('Coste Carretera'!E$46:E$1646,MATCH(C1261&amp;D1261,'Coste Carretera'!C$46:C$1646&amp;'Coste Carretera'!D$46:D$1646,0))</f>
        <v>2543194017.068574</v>
      </c>
      <c r="H1261" s="11" cm="1">
        <f t="array" aca="1" ref="H1261" ca="1">INDEX('Coste multimodal'!E$46:E$1646,MATCH(C1261&amp;D1261,'Coste multimodal'!C$46:C$1646&amp;'Coste multimodal'!D$46:D$1646,0))</f>
        <v>228270751.64191073</v>
      </c>
      <c r="I1261" s="12" cm="1">
        <f t="array" aca="1" ref="I1261" ca="1">INDEX('Tiempos intermodal (horas)'!E$45:E$1645,MATCH(C1261&amp;D1261,'Tiempos intermodal (horas)'!C$45:C$1645&amp;'Tiempos intermodal (horas)'!D$45:D$1645,0))</f>
        <v>76.778452561936945</v>
      </c>
      <c r="J1261" s="2" cm="1">
        <f t="array" aca="1" ref="J1261" ca="1">INDEX('Tiempos carretera (horas)'!E$45:E$1645,MATCH(C1261&amp;D1261,'Tiempos carretera (horas)'!C$45:C$1645&amp;'Tiempos carretera (horas)'!D$45:D$1645,0))</f>
        <v>21.03</v>
      </c>
      <c r="K1261" s="12">
        <f t="shared" ca="1" si="120"/>
        <v>53.719440508201323</v>
      </c>
      <c r="L1261" s="12">
        <f t="shared" ca="1" si="121"/>
        <v>13.829801466967057</v>
      </c>
      <c r="M1261" s="12">
        <f t="shared" ca="1" si="122"/>
        <v>0.25851629457109276</v>
      </c>
      <c r="N1261" s="13">
        <f t="shared" ca="1" si="118"/>
        <v>39.889639041234268</v>
      </c>
      <c r="O1261" s="13">
        <f t="shared" ca="1" si="119"/>
        <v>-55.748452561936944</v>
      </c>
      <c r="P1261" s="12">
        <f t="shared" ca="1" si="123"/>
        <v>1.0536944591369557</v>
      </c>
    </row>
    <row r="1262" spans="1:16" x14ac:dyDescent="0.25">
      <c r="A1262">
        <v>17</v>
      </c>
      <c r="B1262">
        <v>33</v>
      </c>
      <c r="C1262" s="2" t="s">
        <v>16</v>
      </c>
      <c r="D1262" s="2" t="s">
        <v>32</v>
      </c>
      <c r="E1262" s="11" cm="1">
        <f t="array" aca="1" ref="E1262" ca="1">INDEX('OD flujo mercancia multimodal'!E$45:E$1645,MATCH(C1262&amp;D1262,'OD flujo mercancia multimodal'!C$45:C$1645&amp;'OD flujo mercancia multimodal'!D$45:D$1645,0))</f>
        <v>118379.61538461535</v>
      </c>
      <c r="F1262" s="11" cm="1">
        <f t="array" aca="1" ref="F1262" ca="1">INDEX('OD flujo mercancia carretera'!E$45:E$1646,MATCH(C1262&amp;D1262,'OD flujo mercancia carretera'!C$45:C$1646&amp;'OD flujo mercancia carretera'!D$45:D$1646,0))</f>
        <v>628455.4923076923</v>
      </c>
      <c r="G1262" s="11" cm="1">
        <f t="array" aca="1" ref="G1262" ca="1">INDEX('Coste Carretera'!E$46:E$1646,MATCH(C1262&amp;D1262,'Coste Carretera'!C$46:C$1646&amp;'Coste Carretera'!D$46:D$1646,0))</f>
        <v>6409576347.96</v>
      </c>
      <c r="H1262" s="11" cm="1">
        <f t="array" aca="1" ref="H1262" ca="1">INDEX('Coste multimodal'!E$46:E$1646,MATCH(C1262&amp;D1262,'Coste multimodal'!C$46:C$1646&amp;'Coste multimodal'!D$46:D$1646,0))</f>
        <v>744504423.98968673</v>
      </c>
      <c r="I1262" s="12" cm="1">
        <f t="array" aca="1" ref="I1262" ca="1">INDEX('Tiempos intermodal (horas)'!E$45:E$1645,MATCH(C1262&amp;D1262,'Tiempos intermodal (horas)'!C$45:C$1645&amp;'Tiempos intermodal (horas)'!D$45:D$1645,0))</f>
        <v>100.75206530358484</v>
      </c>
      <c r="J1262" s="2" cm="1">
        <f t="array" aca="1" ref="J1262" ca="1">INDEX('Tiempos carretera (horas)'!E$45:E$1645,MATCH(C1262&amp;D1262,'Tiempos carretera (horas)'!C$45:C$1645&amp;'Tiempos carretera (horas)'!D$45:D$1645,0))</f>
        <v>21.78</v>
      </c>
      <c r="K1262" s="12">
        <f t="shared" ca="1" si="120"/>
        <v>10.198934413675021</v>
      </c>
      <c r="L1262" s="12">
        <f t="shared" ca="1" si="121"/>
        <v>6.2891269039081772</v>
      </c>
      <c r="M1262" s="12">
        <f t="shared" ca="1" si="122"/>
        <v>0.15850836973961213</v>
      </c>
      <c r="N1262" s="13">
        <f t="shared" ca="1" si="118"/>
        <v>3.9098075097668437</v>
      </c>
      <c r="O1262" s="13">
        <f t="shared" ca="1" si="119"/>
        <v>-78.972065303584841</v>
      </c>
      <c r="P1262" s="12">
        <f t="shared" ca="1" si="123"/>
        <v>1.6693686695154621</v>
      </c>
    </row>
    <row r="1263" spans="1:16" x14ac:dyDescent="0.25">
      <c r="A1263">
        <v>33</v>
      </c>
      <c r="B1263">
        <v>17</v>
      </c>
      <c r="C1263" s="2" t="s">
        <v>32</v>
      </c>
      <c r="D1263" s="2" t="s">
        <v>16</v>
      </c>
      <c r="E1263" s="11" cm="1">
        <f t="array" aca="1" ref="E1263" ca="1">INDEX('OD flujo mercancia multimodal'!E$45:E$1645,MATCH(C1263&amp;D1263,'OD flujo mercancia multimodal'!C$45:C$1645&amp;'OD flujo mercancia multimodal'!D$45:D$1645,0))</f>
        <v>94626.923076923093</v>
      </c>
      <c r="F1263" s="11" cm="1">
        <f t="array" aca="1" ref="F1263" ca="1">INDEX('OD flujo mercancia carretera'!E$45:E$1646,MATCH(C1263&amp;D1263,'OD flujo mercancia carretera'!C$45:C$1646&amp;'OD flujo mercancia carretera'!D$45:D$1646,0))</f>
        <v>268135.55897435849</v>
      </c>
      <c r="G1263" s="11" cm="1">
        <f t="array" aca="1" ref="G1263" ca="1">INDEX('Coste Carretera'!E$46:E$1646,MATCH(C1263&amp;D1263,'Coste Carretera'!C$46:C$1646&amp;'Coste Carretera'!D$46:D$1646,0))</f>
        <v>7566669059.4400005</v>
      </c>
      <c r="H1263" s="11" cm="1">
        <f t="array" aca="1" ref="H1263" ca="1">INDEX('Coste multimodal'!E$46:E$1646,MATCH(C1263&amp;D1263,'Coste multimodal'!C$46:C$1646&amp;'Coste multimodal'!D$46:D$1646,0))</f>
        <v>744504423.98968673</v>
      </c>
      <c r="I1263" s="12" cm="1">
        <f t="array" aca="1" ref="I1263" ca="1">INDEX('Tiempos intermodal (horas)'!E$45:E$1645,MATCH(C1263&amp;D1263,'Tiempos intermodal (horas)'!C$45:C$1645&amp;'Tiempos intermodal (horas)'!D$45:D$1645,0))</f>
        <v>100.75206530358484</v>
      </c>
      <c r="J1263" s="2" cm="1">
        <f t="array" aca="1" ref="J1263" ca="1">INDEX('Tiempos carretera (horas)'!E$45:E$1645,MATCH(C1263&amp;D1263,'Tiempos carretera (horas)'!C$45:C$1645&amp;'Tiempos carretera (horas)'!D$45:D$1645,0))</f>
        <v>21.78</v>
      </c>
      <c r="K1263" s="12">
        <f t="shared" ca="1" si="120"/>
        <v>28.21956583596431</v>
      </c>
      <c r="L1263" s="12">
        <f t="shared" ca="1" si="121"/>
        <v>7.867786458452974</v>
      </c>
      <c r="M1263" s="12">
        <f t="shared" ca="1" si="122"/>
        <v>0.26085090867678606</v>
      </c>
      <c r="N1263" s="13">
        <f t="shared" ca="1" si="118"/>
        <v>20.351779377511335</v>
      </c>
      <c r="O1263" s="13">
        <f t="shared" ca="1" si="119"/>
        <v>-78.972065303584841</v>
      </c>
      <c r="P1263" s="12">
        <f t="shared" ca="1" si="123"/>
        <v>1.0415506350080332</v>
      </c>
    </row>
    <row r="1264" spans="1:16" x14ac:dyDescent="0.25">
      <c r="A1264">
        <v>37</v>
      </c>
      <c r="B1264">
        <v>4</v>
      </c>
      <c r="C1264" s="2" t="s">
        <v>36</v>
      </c>
      <c r="D1264" s="2" t="s">
        <v>3</v>
      </c>
      <c r="E1264" s="11" cm="1">
        <f t="array" aca="1" ref="E1264" ca="1">INDEX('OD flujo mercancia multimodal'!E$45:E$1645,MATCH(C1264&amp;D1264,'OD flujo mercancia multimodal'!C$45:C$1645&amp;'OD flujo mercancia multimodal'!D$45:D$1645,0))</f>
        <v>36737.225274725242</v>
      </c>
      <c r="F1264" s="11" cm="1">
        <f t="array" aca="1" ref="F1264" ca="1">INDEX('OD flujo mercancia carretera'!E$45:E$1646,MATCH(C1264&amp;D1264,'OD flujo mercancia carretera'!C$45:C$1646&amp;'OD flujo mercancia carretera'!D$45:D$1646,0))</f>
        <v>113115.95970695969</v>
      </c>
      <c r="G1264" s="11" cm="1">
        <f t="array" aca="1" ref="G1264" ca="1">INDEX('Coste Carretera'!E$46:E$1646,MATCH(C1264&amp;D1264,'Coste Carretera'!C$46:C$1646&amp;'Coste Carretera'!D$46:D$1646,0))</f>
        <v>3867834841.6142821</v>
      </c>
      <c r="H1264" s="11" cm="1">
        <f t="array" aca="1" ref="H1264" ca="1">INDEX('Coste multimodal'!E$46:E$1646,MATCH(C1264&amp;D1264,'Coste multimodal'!C$46:C$1646&amp;'Coste multimodal'!D$46:D$1646,0))</f>
        <v>409163525.0713802</v>
      </c>
      <c r="I1264" s="12" cm="1">
        <f t="array" aca="1" ref="I1264" ca="1">INDEX('Tiempos intermodal (horas)'!E$45:E$1645,MATCH(C1264&amp;D1264,'Tiempos intermodal (horas)'!C$45:C$1645&amp;'Tiempos intermodal (horas)'!D$45:D$1645,0))</f>
        <v>81.339699289132867</v>
      </c>
      <c r="J1264" s="2" cm="1">
        <f t="array" aca="1" ref="J1264" ca="1">INDEX('Tiempos carretera (horas)'!E$45:E$1645,MATCH(C1264&amp;D1264,'Tiempos carretera (horas)'!C$45:C$1645&amp;'Tiempos carretera (horas)'!D$45:D$1645,0))</f>
        <v>23.22</v>
      </c>
      <c r="K1264" s="12">
        <f t="shared" ca="1" si="120"/>
        <v>34.19353777870397</v>
      </c>
      <c r="L1264" s="12">
        <f t="shared" ca="1" si="121"/>
        <v>11.137572911715781</v>
      </c>
      <c r="M1264" s="12">
        <f t="shared" ca="1" si="122"/>
        <v>0.2451547845260364</v>
      </c>
      <c r="N1264" s="13">
        <f t="shared" ca="1" si="118"/>
        <v>23.055964866988191</v>
      </c>
      <c r="O1264" s="13">
        <f t="shared" ca="1" si="119"/>
        <v>-58.119699289132868</v>
      </c>
      <c r="P1264" s="12">
        <f t="shared" ca="1" si="123"/>
        <v>1.1246229309783233</v>
      </c>
    </row>
    <row r="1265" spans="1:16" x14ac:dyDescent="0.25">
      <c r="A1265">
        <v>22</v>
      </c>
      <c r="B1265">
        <v>15</v>
      </c>
      <c r="C1265" s="2" t="s">
        <v>21</v>
      </c>
      <c r="D1265" s="2" t="s">
        <v>14</v>
      </c>
      <c r="E1265" s="11" cm="1">
        <f t="array" aca="1" ref="E1265" ca="1">INDEX('OD flujo mercancia multimodal'!E$45:E$1645,MATCH(C1265&amp;D1265,'OD flujo mercancia multimodal'!C$45:C$1645&amp;'OD flujo mercancia multimodal'!D$45:D$1645,0))</f>
        <v>56383.307692307659</v>
      </c>
      <c r="F1265" s="11" cm="1">
        <f t="array" aca="1" ref="F1265" ca="1">INDEX('OD flujo mercancia carretera'!E$45:E$1646,MATCH(C1265&amp;D1265,'OD flujo mercancia carretera'!C$45:C$1646&amp;'OD flujo mercancia carretera'!D$45:D$1646,0))</f>
        <v>419479.12820512871</v>
      </c>
      <c r="G1265" s="11" cm="1">
        <f t="array" aca="1" ref="G1265" ca="1">INDEX('Coste Carretera'!E$46:E$1646,MATCH(C1265&amp;D1265,'Coste Carretera'!C$46:C$1646&amp;'Coste Carretera'!D$46:D$1646,0))</f>
        <v>2753963727.599998</v>
      </c>
      <c r="H1265" s="11" cm="1">
        <f t="array" aca="1" ref="H1265" ca="1">INDEX('Coste multimodal'!E$46:E$1646,MATCH(C1265&amp;D1265,'Coste multimodal'!C$46:C$1646&amp;'Coste multimodal'!D$46:D$1646,0))</f>
        <v>611223995.95107543</v>
      </c>
      <c r="I1265" s="12" cm="1">
        <f t="array" aca="1" ref="I1265" ca="1">INDEX('Tiempos intermodal (horas)'!E$45:E$1645,MATCH(C1265&amp;D1265,'Tiempos intermodal (horas)'!C$45:C$1645&amp;'Tiempos intermodal (horas)'!D$45:D$1645,0))</f>
        <v>101.71886811420796</v>
      </c>
      <c r="J1265" s="2" cm="1">
        <f t="array" aca="1" ref="J1265" ca="1">INDEX('Tiempos carretera (horas)'!E$45:E$1645,MATCH(C1265&amp;D1265,'Tiempos carretera (horas)'!C$45:C$1645&amp;'Tiempos carretera (horas)'!D$45:D$1645,0))</f>
        <v>10.15</v>
      </c>
      <c r="K1265" s="12">
        <f t="shared" ca="1" si="120"/>
        <v>6.5651984626355171</v>
      </c>
      <c r="L1265" s="12">
        <f t="shared" ca="1" si="121"/>
        <v>10.840513282523586</v>
      </c>
      <c r="M1265" s="12">
        <f t="shared" ca="1" si="122"/>
        <v>0.11848656972886189</v>
      </c>
      <c r="N1265" s="13">
        <f t="shared" ca="1" si="118"/>
        <v>-4.2753148198880693</v>
      </c>
      <c r="O1265" s="13">
        <f t="shared" ca="1" si="119"/>
        <v>-91.568868114207959</v>
      </c>
      <c r="P1265" s="12">
        <f t="shared" ca="1" si="123"/>
        <v>2.006840618892864</v>
      </c>
    </row>
    <row r="1266" spans="1:16" x14ac:dyDescent="0.25">
      <c r="A1266">
        <v>15</v>
      </c>
      <c r="B1266">
        <v>22</v>
      </c>
      <c r="C1266" s="2" t="s">
        <v>14</v>
      </c>
      <c r="D1266" s="2" t="s">
        <v>21</v>
      </c>
      <c r="E1266" s="11" cm="1">
        <f t="array" aca="1" ref="E1266" ca="1">INDEX('OD flujo mercancia multimodal'!E$45:E$1645,MATCH(C1266&amp;D1266,'OD flujo mercancia multimodal'!C$45:C$1645&amp;'OD flujo mercancia multimodal'!D$45:D$1645,0))</f>
        <v>48007.923076923034</v>
      </c>
      <c r="F1266" s="11" cm="1">
        <f t="array" aca="1" ref="F1266" ca="1">INDEX('OD flujo mercancia carretera'!E$45:E$1646,MATCH(C1266&amp;D1266,'OD flujo mercancia carretera'!C$45:C$1646&amp;'OD flujo mercancia carretera'!D$45:D$1646,0))</f>
        <v>421829.25641025614</v>
      </c>
      <c r="G1266" s="11" cm="1">
        <f t="array" aca="1" ref="G1266" ca="1">INDEX('Coste Carretera'!E$46:E$1646,MATCH(C1266&amp;D1266,'Coste Carretera'!C$46:C$1646&amp;'Coste Carretera'!D$46:D$1646,0))</f>
        <v>2344879791.599998</v>
      </c>
      <c r="H1266" s="11" cm="1">
        <f t="array" aca="1" ref="H1266" ca="1">INDEX('Coste multimodal'!E$46:E$1646,MATCH(C1266&amp;D1266,'Coste multimodal'!C$46:C$1646&amp;'Coste multimodal'!D$46:D$1646,0))</f>
        <v>611223995.95107543</v>
      </c>
      <c r="I1266" s="12" cm="1">
        <f t="array" aca="1" ref="I1266" ca="1">INDEX('Tiempos intermodal (horas)'!E$45:E$1645,MATCH(C1266&amp;D1266,'Tiempos intermodal (horas)'!C$45:C$1645&amp;'Tiempos intermodal (horas)'!D$45:D$1645,0))</f>
        <v>101.71886811420796</v>
      </c>
      <c r="J1266" s="2" cm="1">
        <f t="array" aca="1" ref="J1266" ca="1">INDEX('Tiempos carretera (horas)'!E$45:E$1645,MATCH(C1266&amp;D1266,'Tiempos carretera (horas)'!C$45:C$1645&amp;'Tiempos carretera (horas)'!D$45:D$1645,0))</f>
        <v>10.15</v>
      </c>
      <c r="K1266" s="12">
        <f t="shared" ca="1" si="120"/>
        <v>5.558836320540677</v>
      </c>
      <c r="L1266" s="12">
        <f t="shared" ca="1" si="121"/>
        <v>12.731731697114078</v>
      </c>
      <c r="M1266" s="12">
        <f t="shared" ca="1" si="122"/>
        <v>0.10217991502784651</v>
      </c>
      <c r="N1266" s="13">
        <f t="shared" ca="1" si="118"/>
        <v>-7.1728953765734014</v>
      </c>
      <c r="O1266" s="13">
        <f t="shared" ca="1" si="119"/>
        <v>-91.568868114207959</v>
      </c>
      <c r="P1266" s="12">
        <f t="shared" ca="1" si="123"/>
        <v>2.1732345651092806</v>
      </c>
    </row>
    <row r="1267" spans="1:16" x14ac:dyDescent="0.25">
      <c r="A1267">
        <v>29</v>
      </c>
      <c r="B1267">
        <v>15</v>
      </c>
      <c r="C1267" s="2" t="s">
        <v>147</v>
      </c>
      <c r="D1267" s="2" t="s">
        <v>14</v>
      </c>
      <c r="E1267" s="11" cm="1">
        <f t="array" aca="1" ref="E1267" ca="1">INDEX('OD flujo mercancia multimodal'!E$45:E$1645,MATCH(C1267&amp;D1267,'OD flujo mercancia multimodal'!C$45:C$1645&amp;'OD flujo mercancia multimodal'!D$45:D$1645,0))</f>
        <v>70996.569230769193</v>
      </c>
      <c r="F1267" s="11" cm="1">
        <f t="array" aca="1" ref="F1267" ca="1">INDEX('OD flujo mercancia carretera'!E$45:E$1646,MATCH(C1267&amp;D1267,'OD flujo mercancia carretera'!C$45:C$1646&amp;'OD flujo mercancia carretera'!D$45:D$1646,0))</f>
        <v>655023.56153846206</v>
      </c>
      <c r="G1267" s="11" cm="1">
        <f t="array" aca="1" ref="G1267" ca="1">INDEX('Coste Carretera'!E$46:E$1646,MATCH(C1267&amp;D1267,'Coste Carretera'!C$46:C$1646&amp;'Coste Carretera'!D$46:D$1646,0))</f>
        <v>3501286687.2239976</v>
      </c>
      <c r="H1267" s="11" cm="1">
        <f t="array" aca="1" ref="H1267" ca="1">INDEX('Coste multimodal'!E$46:E$1646,MATCH(C1267&amp;D1267,'Coste multimodal'!C$46:C$1646&amp;'Coste multimodal'!D$46:D$1646,0))</f>
        <v>791178725.95107543</v>
      </c>
      <c r="I1267" s="12" cm="1">
        <f t="array" aca="1" ref="I1267" ca="1">INDEX('Tiempos intermodal (horas)'!E$45:E$1645,MATCH(C1267&amp;D1267,'Tiempos intermodal (horas)'!C$45:C$1645&amp;'Tiempos intermodal (horas)'!D$45:D$1645,0))</f>
        <v>102.16331255865241</v>
      </c>
      <c r="J1267" s="2" cm="1">
        <f t="array" aca="1" ref="J1267" ca="1">INDEX('Tiempos carretera (horas)'!E$45:E$1645,MATCH(C1267&amp;D1267,'Tiempos carretera (horas)'!C$45:C$1645&amp;'Tiempos carretera (horas)'!D$45:D$1645,0))</f>
        <v>10.43</v>
      </c>
      <c r="K1267" s="12">
        <f t="shared" ca="1" si="120"/>
        <v>5.3452835788081909</v>
      </c>
      <c r="L1267" s="12">
        <f t="shared" ca="1" si="121"/>
        <v>11.143900818353723</v>
      </c>
      <c r="M1267" s="12">
        <f t="shared" ca="1" si="122"/>
        <v>9.7788706155498839E-2</v>
      </c>
      <c r="N1267" s="13">
        <f t="shared" ca="1" si="118"/>
        <v>-5.798617239545532</v>
      </c>
      <c r="O1267" s="13">
        <f t="shared" ca="1" si="119"/>
        <v>-91.733312558652415</v>
      </c>
      <c r="P1267" s="12">
        <f t="shared" ca="1" si="123"/>
        <v>2.222039651622286</v>
      </c>
    </row>
    <row r="1268" spans="1:16" x14ac:dyDescent="0.25">
      <c r="A1268">
        <v>15</v>
      </c>
      <c r="B1268">
        <v>29</v>
      </c>
      <c r="C1268" s="2" t="s">
        <v>14</v>
      </c>
      <c r="D1268" s="2" t="s">
        <v>147</v>
      </c>
      <c r="E1268" s="11" cm="1">
        <f t="array" aca="1" ref="E1268" ca="1">INDEX('OD flujo mercancia multimodal'!E$45:E$1645,MATCH(C1268&amp;D1268,'OD flujo mercancia multimodal'!C$45:C$1645&amp;'OD flujo mercancia multimodal'!D$45:D$1645,0))</f>
        <v>62812.069230769237</v>
      </c>
      <c r="F1268" s="11" cm="1">
        <f t="array" aca="1" ref="F1268" ca="1">INDEX('OD flujo mercancia carretera'!E$45:E$1646,MATCH(C1268&amp;D1268,'OD flujo mercancia carretera'!C$45:C$1646&amp;'OD flujo mercancia carretera'!D$45:D$1646,0))</f>
        <v>656770.32307692314</v>
      </c>
      <c r="G1268" s="11" cm="1">
        <f t="array" aca="1" ref="G1268" ca="1">INDEX('Coste Carretera'!E$46:E$1646,MATCH(C1268&amp;D1268,'Coste Carretera'!C$46:C$1646&amp;'Coste Carretera'!D$46:D$1646,0))</f>
        <v>3097657593.5640001</v>
      </c>
      <c r="H1268" s="11" cm="1">
        <f t="array" aca="1" ref="H1268" ca="1">INDEX('Coste multimodal'!E$46:E$1646,MATCH(C1268&amp;D1268,'Coste multimodal'!C$46:C$1646&amp;'Coste multimodal'!D$46:D$1646,0))</f>
        <v>791178725.95107543</v>
      </c>
      <c r="I1268" s="12" cm="1">
        <f t="array" aca="1" ref="I1268" ca="1">INDEX('Tiempos intermodal (horas)'!E$45:E$1645,MATCH(C1268&amp;D1268,'Tiempos intermodal (horas)'!C$45:C$1645&amp;'Tiempos intermodal (horas)'!D$45:D$1645,0))</f>
        <v>102.16331255865241</v>
      </c>
      <c r="J1268" s="2" cm="1">
        <f t="array" aca="1" ref="J1268" ca="1">INDEX('Tiempos carretera (horas)'!E$45:E$1645,MATCH(C1268&amp;D1268,'Tiempos carretera (horas)'!C$45:C$1645&amp;'Tiempos carretera (horas)'!D$45:D$1645,0))</f>
        <v>10.43</v>
      </c>
      <c r="K1268" s="12">
        <f t="shared" ca="1" si="120"/>
        <v>4.7165005554022148</v>
      </c>
      <c r="L1268" s="12">
        <f t="shared" ca="1" si="121"/>
        <v>12.595966597507141</v>
      </c>
      <c r="M1268" s="12">
        <f t="shared" ca="1" si="122"/>
        <v>8.7289613951408204E-2</v>
      </c>
      <c r="N1268" s="13">
        <f t="shared" ca="1" si="118"/>
        <v>-7.8794660421049265</v>
      </c>
      <c r="O1268" s="13">
        <f t="shared" ca="1" si="119"/>
        <v>-91.733312558652415</v>
      </c>
      <c r="P1268" s="12">
        <f t="shared" ca="1" si="123"/>
        <v>2.3471871327956766</v>
      </c>
    </row>
    <row r="1269" spans="1:16" x14ac:dyDescent="0.25">
      <c r="A1269">
        <v>32</v>
      </c>
      <c r="B1269">
        <v>17</v>
      </c>
      <c r="C1269" s="2" t="s">
        <v>31</v>
      </c>
      <c r="D1269" s="2" t="s">
        <v>16</v>
      </c>
      <c r="E1269" s="11" cm="1">
        <f t="array" aca="1" ref="E1269" ca="1">INDEX('OD flujo mercancia multimodal'!E$45:E$1645,MATCH(C1269&amp;D1269,'OD flujo mercancia multimodal'!C$45:C$1645&amp;'OD flujo mercancia multimodal'!D$45:D$1645,0))</f>
        <v>64577.384615384624</v>
      </c>
      <c r="F1269" s="11" cm="1">
        <f t="array" aca="1" ref="F1269" ca="1">INDEX('OD flujo mercancia carretera'!E$45:E$1646,MATCH(C1269&amp;D1269,'OD flujo mercancia carretera'!C$45:C$1646&amp;'OD flujo mercancia carretera'!D$45:D$1646,0))</f>
        <v>222025.13846153801</v>
      </c>
      <c r="G1269" s="11" cm="1">
        <f t="array" aca="1" ref="G1269" ca="1">INDEX('Coste Carretera'!E$46:E$1646,MATCH(C1269&amp;D1269,'Coste Carretera'!C$46:C$1646&amp;'Coste Carretera'!D$46:D$1646,0))</f>
        <v>8089547647.1599998</v>
      </c>
      <c r="H1269" s="11" cm="1">
        <f t="array" aca="1" ref="H1269" ca="1">INDEX('Coste multimodal'!E$46:E$1646,MATCH(C1269&amp;D1269,'Coste multimodal'!C$46:C$1646&amp;'Coste multimodal'!D$46:D$1646,0))</f>
        <v>665600803.62568665</v>
      </c>
      <c r="I1269" s="12" cm="1">
        <f t="array" aca="1" ref="I1269" ca="1">INDEX('Tiempos intermodal (horas)'!E$45:E$1645,MATCH(C1269&amp;D1269,'Tiempos intermodal (horas)'!C$45:C$1645&amp;'Tiempos intermodal (horas)'!D$45:D$1645,0))</f>
        <v>102.05984308136262</v>
      </c>
      <c r="J1269" s="2" cm="1">
        <f t="array" aca="1" ref="J1269" ca="1">INDEX('Tiempos carretera (horas)'!E$45:E$1645,MATCH(C1269&amp;D1269,'Tiempos carretera (horas)'!C$45:C$1645&amp;'Tiempos carretera (horas)'!D$45:D$1645,0))</f>
        <v>22.66</v>
      </c>
      <c r="K1269" s="12">
        <f t="shared" ca="1" si="120"/>
        <v>36.435278019481444</v>
      </c>
      <c r="L1269" s="12">
        <f t="shared" ca="1" si="121"/>
        <v>10.307026331120833</v>
      </c>
      <c r="M1269" s="12">
        <f t="shared" ca="1" si="122"/>
        <v>0.22532036327556121</v>
      </c>
      <c r="N1269" s="13">
        <f t="shared" ca="1" si="118"/>
        <v>26.128251688360614</v>
      </c>
      <c r="O1269" s="13">
        <f t="shared" ca="1" si="119"/>
        <v>-79.399843081362619</v>
      </c>
      <c r="P1269" s="12">
        <f t="shared" ca="1" si="123"/>
        <v>1.2349263456328721</v>
      </c>
    </row>
    <row r="1270" spans="1:16" x14ac:dyDescent="0.25">
      <c r="A1270">
        <v>17</v>
      </c>
      <c r="B1270">
        <v>32</v>
      </c>
      <c r="C1270" s="2" t="s">
        <v>16</v>
      </c>
      <c r="D1270" s="2" t="s">
        <v>31</v>
      </c>
      <c r="E1270" s="11" cm="1">
        <f t="array" aca="1" ref="E1270" ca="1">INDEX('OD flujo mercancia multimodal'!E$45:E$1645,MATCH(C1270&amp;D1270,'OD flujo mercancia multimodal'!C$45:C$1645&amp;'OD flujo mercancia multimodal'!D$45:D$1645,0))</f>
        <v>54702.230769230773</v>
      </c>
      <c r="F1270" s="11" cm="1">
        <f t="array" aca="1" ref="F1270" ca="1">INDEX('OD flujo mercancia carretera'!E$45:E$1646,MATCH(C1270&amp;D1270,'OD flujo mercancia carretera'!C$45:C$1646&amp;'OD flujo mercancia carretera'!D$45:D$1646,0))</f>
        <v>578745.26923076925</v>
      </c>
      <c r="G1270" s="11" cm="1">
        <f t="array" aca="1" ref="G1270" ca="1">INDEX('Coste Carretera'!E$46:E$1646,MATCH(C1270&amp;D1270,'Coste Carretera'!C$46:C$1646&amp;'Coste Carretera'!D$46:D$1646,0))</f>
        <v>6936816693.4000006</v>
      </c>
      <c r="H1270" s="11" cm="1">
        <f t="array" aca="1" ref="H1270" ca="1">INDEX('Coste multimodal'!E$46:E$1646,MATCH(C1270&amp;D1270,'Coste multimodal'!C$46:C$1646&amp;'Coste multimodal'!D$46:D$1646,0))</f>
        <v>665600803.62568665</v>
      </c>
      <c r="I1270" s="12" cm="1">
        <f t="array" aca="1" ref="I1270" ca="1">INDEX('Tiempos intermodal (horas)'!E$45:E$1645,MATCH(C1270&amp;D1270,'Tiempos intermodal (horas)'!C$45:C$1645&amp;'Tiempos intermodal (horas)'!D$45:D$1645,0))</f>
        <v>102.05984308136262</v>
      </c>
      <c r="J1270" s="2" cm="1">
        <f t="array" aca="1" ref="J1270" ca="1">INDEX('Tiempos carretera (horas)'!E$45:E$1645,MATCH(C1270&amp;D1270,'Tiempos carretera (horas)'!C$45:C$1645&amp;'Tiempos carretera (horas)'!D$45:D$1645,0))</f>
        <v>22.66</v>
      </c>
      <c r="K1270" s="12">
        <f t="shared" ca="1" si="120"/>
        <v>11.985958351970579</v>
      </c>
      <c r="L1270" s="12">
        <f t="shared" ca="1" si="121"/>
        <v>12.16770859736268</v>
      </c>
      <c r="M1270" s="12">
        <f t="shared" ca="1" si="122"/>
        <v>8.6356376446715427E-2</v>
      </c>
      <c r="N1270" s="13">
        <f t="shared" ca="1" si="118"/>
        <v>-0.1817502453921005</v>
      </c>
      <c r="O1270" s="13">
        <f t="shared" ca="1" si="119"/>
        <v>-79.399843081362619</v>
      </c>
      <c r="P1270" s="12">
        <f t="shared" ca="1" si="123"/>
        <v>2.35895794076814</v>
      </c>
    </row>
    <row r="1271" spans="1:16" x14ac:dyDescent="0.25">
      <c r="A1271">
        <v>11</v>
      </c>
      <c r="B1271">
        <v>6</v>
      </c>
      <c r="C1271" s="2" t="s">
        <v>10</v>
      </c>
      <c r="D1271" s="2" t="s">
        <v>5</v>
      </c>
      <c r="E1271" s="11" cm="1">
        <f t="array" aca="1" ref="E1271" ca="1">INDEX('OD flujo mercancia multimodal'!E$45:E$1645,MATCH(C1271&amp;D1271,'OD flujo mercancia multimodal'!C$45:C$1645&amp;'OD flujo mercancia multimodal'!D$45:D$1645,0))</f>
        <v>23898.55494505493</v>
      </c>
      <c r="F1271" s="11" cm="1">
        <f t="array" aca="1" ref="F1271" ca="1">INDEX('OD flujo mercancia carretera'!E$45:E$1646,MATCH(C1271&amp;D1271,'OD flujo mercancia carretera'!C$45:C$1646&amp;'OD flujo mercancia carretera'!D$45:D$1646,0))</f>
        <v>226374.00366300379</v>
      </c>
      <c r="G1271" s="11" cm="1">
        <f t="array" aca="1" ref="G1271" ca="1">INDEX('Coste Carretera'!E$46:E$1646,MATCH(C1271&amp;D1271,'Coste Carretera'!C$46:C$1646&amp;'Coste Carretera'!D$46:D$1646,0))</f>
        <v>3460454355.4542832</v>
      </c>
      <c r="H1271" s="11" cm="1">
        <f t="array" aca="1" ref="H1271" ca="1">INDEX('Coste multimodal'!E$46:E$1646,MATCH(C1271&amp;D1271,'Coste multimodal'!C$46:C$1646&amp;'Coste multimodal'!D$46:D$1646,0))</f>
        <v>730855638.07519436</v>
      </c>
      <c r="I1271" s="12" cm="1">
        <f t="array" aca="1" ref="I1271" ca="1">INDEX('Tiempos intermodal (horas)'!E$45:E$1645,MATCH(C1271&amp;D1271,'Tiempos intermodal (horas)'!C$45:C$1645&amp;'Tiempos intermodal (horas)'!D$45:D$1645,0))</f>
        <v>82.089754170185813</v>
      </c>
      <c r="J1271" s="2" cm="1">
        <f t="array" aca="1" ref="J1271" ca="1">INDEX('Tiempos carretera (horas)'!E$45:E$1645,MATCH(C1271&amp;D1271,'Tiempos carretera (horas)'!C$45:C$1645&amp;'Tiempos carretera (horas)'!D$45:D$1645,0))</f>
        <v>26</v>
      </c>
      <c r="K1271" s="12">
        <f t="shared" ca="1" si="120"/>
        <v>15.286447646195974</v>
      </c>
      <c r="L1271" s="12">
        <f t="shared" ca="1" si="121"/>
        <v>30.581582851159897</v>
      </c>
      <c r="M1271" s="12">
        <f t="shared" ca="1" si="122"/>
        <v>9.5490113170902793E-2</v>
      </c>
      <c r="N1271" s="13">
        <f t="shared" ca="1" si="118"/>
        <v>-15.295135204963923</v>
      </c>
      <c r="O1271" s="13">
        <f t="shared" ca="1" si="119"/>
        <v>-56.089754170185813</v>
      </c>
      <c r="P1271" s="12">
        <f t="shared" ca="1" si="123"/>
        <v>2.2483705203665725</v>
      </c>
    </row>
    <row r="1272" spans="1:16" x14ac:dyDescent="0.25">
      <c r="A1272">
        <v>36</v>
      </c>
      <c r="B1272">
        <v>16</v>
      </c>
      <c r="C1272" s="2" t="s">
        <v>35</v>
      </c>
      <c r="D1272" s="2" t="s">
        <v>15</v>
      </c>
      <c r="E1272" s="11" cm="1">
        <f t="array" aca="1" ref="E1272" ca="1">INDEX('OD flujo mercancia multimodal'!E$45:E$1645,MATCH(C1272&amp;D1272,'OD flujo mercancia multimodal'!C$45:C$1645&amp;'OD flujo mercancia multimodal'!D$45:D$1645,0))</f>
        <v>39519.461538461568</v>
      </c>
      <c r="F1272" s="11" cm="1">
        <f t="array" aca="1" ref="F1272" ca="1">INDEX('OD flujo mercancia carretera'!E$45:E$1646,MATCH(C1272&amp;D1272,'OD flujo mercancia carretera'!C$45:C$1646&amp;'OD flujo mercancia carretera'!D$45:D$1646,0))</f>
        <v>623158.61538461514</v>
      </c>
      <c r="G1272" s="11" cm="1">
        <f t="array" aca="1" ref="G1272" ca="1">INDEX('Coste Carretera'!E$46:E$1646,MATCH(C1272&amp;D1272,'Coste Carretera'!C$46:C$1646&amp;'Coste Carretera'!D$46:D$1646,0))</f>
        <v>4467802419.5200033</v>
      </c>
      <c r="H1272" s="11" cm="1">
        <f t="array" aca="1" ref="H1272" ca="1">INDEX('Coste multimodal'!E$46:E$1646,MATCH(C1272&amp;D1272,'Coste multimodal'!C$46:C$1646&amp;'Coste multimodal'!D$46:D$1646,0))</f>
        <v>446158941.40542221</v>
      </c>
      <c r="I1272" s="12" cm="1">
        <f t="array" aca="1" ref="I1272" ca="1">INDEX('Tiempos intermodal (horas)'!E$45:E$1645,MATCH(C1272&amp;D1272,'Tiempos intermodal (horas)'!C$45:C$1645&amp;'Tiempos intermodal (horas)'!D$45:D$1645,0))</f>
        <v>113.73647470908409</v>
      </c>
      <c r="J1272" s="2" cm="1">
        <f t="array" aca="1" ref="J1272" ca="1">INDEX('Tiempos carretera (horas)'!E$45:E$1645,MATCH(C1272&amp;D1272,'Tiempos carretera (horas)'!C$45:C$1645&amp;'Tiempos carretera (horas)'!D$45:D$1645,0))</f>
        <v>18.2</v>
      </c>
      <c r="K1272" s="12">
        <f t="shared" ca="1" si="120"/>
        <v>7.1696070779065835</v>
      </c>
      <c r="L1272" s="12">
        <f t="shared" ca="1" si="121"/>
        <v>11.289600719159761</v>
      </c>
      <c r="M1272" s="12">
        <f t="shared" ca="1" si="122"/>
        <v>5.9635987540069116E-2</v>
      </c>
      <c r="N1272" s="13">
        <f t="shared" ca="1" si="118"/>
        <v>-4.1199936412531777</v>
      </c>
      <c r="O1272" s="13">
        <f t="shared" ca="1" si="119"/>
        <v>-95.536474709084089</v>
      </c>
      <c r="P1272" s="12">
        <f t="shared" ca="1" si="123"/>
        <v>2.7580078379678761</v>
      </c>
    </row>
    <row r="1273" spans="1:16" x14ac:dyDescent="0.25">
      <c r="A1273">
        <v>16</v>
      </c>
      <c r="B1273">
        <v>36</v>
      </c>
      <c r="C1273" s="2" t="s">
        <v>15</v>
      </c>
      <c r="D1273" s="2" t="s">
        <v>35</v>
      </c>
      <c r="E1273" s="11" cm="1">
        <f t="array" aca="1" ref="E1273" ca="1">INDEX('OD flujo mercancia multimodal'!E$45:E$1645,MATCH(C1273&amp;D1273,'OD flujo mercancia multimodal'!C$45:C$1645&amp;'OD flujo mercancia multimodal'!D$45:D$1645,0))</f>
        <v>39038.307692307688</v>
      </c>
      <c r="F1273" s="11" cm="1">
        <f t="array" aca="1" ref="F1273" ca="1">INDEX('OD flujo mercancia carretera'!E$45:E$1646,MATCH(C1273&amp;D1273,'OD flujo mercancia carretera'!C$45:C$1646&amp;'OD flujo mercancia carretera'!D$45:D$1646,0))</f>
        <v>260781.46153846156</v>
      </c>
      <c r="G1273" s="11" cm="1">
        <f t="array" aca="1" ref="G1273" ca="1">INDEX('Coste Carretera'!E$46:E$1646,MATCH(C1273&amp;D1273,'Coste Carretera'!C$46:C$1646&amp;'Coste Carretera'!D$46:D$1646,0))</f>
        <v>5534504805.2800016</v>
      </c>
      <c r="H1273" s="11" cm="1">
        <f t="array" aca="1" ref="H1273" ca="1">INDEX('Coste multimodal'!E$46:E$1646,MATCH(C1273&amp;D1273,'Coste multimodal'!C$46:C$1646&amp;'Coste multimodal'!D$46:D$1646,0))</f>
        <v>446158941.40542221</v>
      </c>
      <c r="I1273" s="12" cm="1">
        <f t="array" aca="1" ref="I1273" ca="1">INDEX('Tiempos intermodal (horas)'!E$45:E$1645,MATCH(C1273&amp;D1273,'Tiempos intermodal (horas)'!C$45:C$1645&amp;'Tiempos intermodal (horas)'!D$45:D$1645,0))</f>
        <v>113.73647470908409</v>
      </c>
      <c r="J1273" s="2" cm="1">
        <f t="array" aca="1" ref="J1273" ca="1">INDEX('Tiempos carretera (horas)'!E$45:E$1645,MATCH(C1273&amp;D1273,'Tiempos carretera (horas)'!C$45:C$1645&amp;'Tiempos carretera (horas)'!D$45:D$1645,0))</f>
        <v>18.2</v>
      </c>
      <c r="K1273" s="12">
        <f t="shared" ca="1" si="120"/>
        <v>21.222769335786321</v>
      </c>
      <c r="L1273" s="12">
        <f t="shared" ca="1" si="121"/>
        <v>11.428746986728006</v>
      </c>
      <c r="M1273" s="12">
        <f t="shared" ca="1" si="122"/>
        <v>0.13020591601569864</v>
      </c>
      <c r="N1273" s="13">
        <f t="shared" ca="1" si="118"/>
        <v>9.7940223490583147</v>
      </c>
      <c r="O1273" s="13">
        <f t="shared" ca="1" si="119"/>
        <v>-95.536474709084089</v>
      </c>
      <c r="P1273" s="12">
        <f t="shared" ca="1" si="123"/>
        <v>1.8991393319079906</v>
      </c>
    </row>
    <row r="1274" spans="1:16" x14ac:dyDescent="0.25">
      <c r="A1274">
        <v>13</v>
      </c>
      <c r="B1274">
        <v>15</v>
      </c>
      <c r="C1274" s="2" t="s">
        <v>12</v>
      </c>
      <c r="D1274" s="2" t="s">
        <v>14</v>
      </c>
      <c r="E1274" s="11" cm="1">
        <f t="array" aca="1" ref="E1274" ca="1">INDEX('OD flujo mercancia multimodal'!E$45:E$1645,MATCH(C1274&amp;D1274,'OD flujo mercancia multimodal'!C$45:C$1645&amp;'OD flujo mercancia multimodal'!D$45:D$1645,0))</f>
        <v>49527.615384615354</v>
      </c>
      <c r="F1274" s="11" cm="1">
        <f t="array" aca="1" ref="F1274" ca="1">INDEX('OD flujo mercancia carretera'!E$45:E$1646,MATCH(C1274&amp;D1274,'OD flujo mercancia carretera'!C$45:C$1646&amp;'OD flujo mercancia carretera'!D$45:D$1646,0))</f>
        <v>315411.76923076971</v>
      </c>
      <c r="G1274" s="11" cm="1">
        <f t="array" aca="1" ref="G1274" ca="1">INDEX('Coste Carretera'!E$46:E$1646,MATCH(C1274&amp;D1274,'Coste Carretera'!C$46:C$1646&amp;'Coste Carretera'!D$46:D$1646,0))</f>
        <v>1565916596.7199988</v>
      </c>
      <c r="H1274" s="11" cm="1">
        <f t="array" aca="1" ref="H1274" ca="1">INDEX('Coste multimodal'!E$46:E$1646,MATCH(C1274&amp;D1274,'Coste multimodal'!C$46:C$1646&amp;'Coste multimodal'!D$46:D$1646,0))</f>
        <v>491465223.55535555</v>
      </c>
      <c r="I1274" s="12" cm="1">
        <f t="array" aca="1" ref="I1274" ca="1">INDEX('Tiempos intermodal (horas)'!E$45:E$1645,MATCH(C1274&amp;D1274,'Tiempos intermodal (horas)'!C$45:C$1645&amp;'Tiempos intermodal (horas)'!D$45:D$1645,0))</f>
        <v>89.801761701154291</v>
      </c>
      <c r="J1274" s="2" cm="1">
        <f t="array" aca="1" ref="J1274" ca="1">INDEX('Tiempos carretera (horas)'!E$45:E$1645,MATCH(C1274&amp;D1274,'Tiempos carretera (horas)'!C$45:C$1645&amp;'Tiempos carretera (horas)'!D$45:D$1645,0))</f>
        <v>6.93</v>
      </c>
      <c r="K1274" s="12">
        <f t="shared" ca="1" si="120"/>
        <v>4.9646739579153198</v>
      </c>
      <c r="L1274" s="12">
        <f t="shared" ca="1" si="121"/>
        <v>9.9230544361725563</v>
      </c>
      <c r="M1274" s="12">
        <f t="shared" ca="1" si="122"/>
        <v>0.13571463501209446</v>
      </c>
      <c r="N1274" s="13">
        <f t="shared" ca="1" si="118"/>
        <v>-4.9583804782572365</v>
      </c>
      <c r="O1274" s="13">
        <f t="shared" ca="1" si="119"/>
        <v>-82.871761701154298</v>
      </c>
      <c r="P1274" s="12">
        <f t="shared" ca="1" si="123"/>
        <v>1.8513485885139784</v>
      </c>
    </row>
    <row r="1275" spans="1:16" x14ac:dyDescent="0.25">
      <c r="A1275">
        <v>15</v>
      </c>
      <c r="B1275">
        <v>13</v>
      </c>
      <c r="C1275" s="2" t="s">
        <v>14</v>
      </c>
      <c r="D1275" s="2" t="s">
        <v>12</v>
      </c>
      <c r="E1275" s="11" cm="1">
        <f t="array" aca="1" ref="E1275" ca="1">INDEX('OD flujo mercancia multimodal'!E$45:E$1645,MATCH(C1275&amp;D1275,'OD flujo mercancia multimodal'!C$45:C$1645&amp;'OD flujo mercancia multimodal'!D$45:D$1645,0))</f>
        <v>29558.153846153851</v>
      </c>
      <c r="F1275" s="11" cm="1">
        <f t="array" aca="1" ref="F1275" ca="1">INDEX('OD flujo mercancia carretera'!E$45:E$1646,MATCH(C1275&amp;D1275,'OD flujo mercancia carretera'!C$45:C$1646&amp;'OD flujo mercancia carretera'!D$45:D$1646,0))</f>
        <v>319108.46153846162</v>
      </c>
      <c r="G1275" s="11" cm="1">
        <f t="array" aca="1" ref="G1275" ca="1">INDEX('Coste Carretera'!E$46:E$1646,MATCH(C1275&amp;D1275,'Coste Carretera'!C$46:C$1646&amp;'Coste Carretera'!D$46:D$1646,0))</f>
        <v>934541332.48000002</v>
      </c>
      <c r="H1275" s="11" cm="1">
        <f t="array" aca="1" ref="H1275" ca="1">INDEX('Coste multimodal'!E$46:E$1646,MATCH(C1275&amp;D1275,'Coste multimodal'!C$46:C$1646&amp;'Coste multimodal'!D$46:D$1646,0))</f>
        <v>491465223.55535555</v>
      </c>
      <c r="I1275" s="12" cm="1">
        <f t="array" aca="1" ref="I1275" ca="1">INDEX('Tiempos intermodal (horas)'!E$45:E$1645,MATCH(C1275&amp;D1275,'Tiempos intermodal (horas)'!C$45:C$1645&amp;'Tiempos intermodal (horas)'!D$45:D$1645,0))</f>
        <v>89.801761701154291</v>
      </c>
      <c r="J1275" s="2" cm="1">
        <f t="array" aca="1" ref="J1275" ca="1">INDEX('Tiempos carretera (horas)'!E$45:E$1645,MATCH(C1275&amp;D1275,'Tiempos carretera (horas)'!C$45:C$1645&amp;'Tiempos carretera (horas)'!D$45:D$1645,0))</f>
        <v>6.93</v>
      </c>
      <c r="K1275" s="12">
        <f t="shared" ca="1" si="120"/>
        <v>2.928600915107233</v>
      </c>
      <c r="L1275" s="12">
        <f t="shared" ca="1" si="121"/>
        <v>16.627060881859023</v>
      </c>
      <c r="M1275" s="12">
        <f t="shared" ca="1" si="122"/>
        <v>8.4774832295165789E-2</v>
      </c>
      <c r="N1275" s="13">
        <f t="shared" ca="1" si="118"/>
        <v>-13.698459966751791</v>
      </c>
      <c r="O1275" s="13">
        <f t="shared" ca="1" si="119"/>
        <v>-82.871761701154298</v>
      </c>
      <c r="P1275" s="12">
        <f t="shared" ca="1" si="123"/>
        <v>2.3791714101497163</v>
      </c>
    </row>
    <row r="1276" spans="1:16" x14ac:dyDescent="0.25">
      <c r="A1276">
        <v>36</v>
      </c>
      <c r="B1276">
        <v>18</v>
      </c>
      <c r="C1276" s="2" t="s">
        <v>35</v>
      </c>
      <c r="D1276" s="2" t="s">
        <v>17</v>
      </c>
      <c r="E1276" s="11" cm="1">
        <f t="array" aca="1" ref="E1276" ca="1">INDEX('OD flujo mercancia multimodal'!E$45:E$1645,MATCH(C1276&amp;D1276,'OD flujo mercancia multimodal'!C$45:C$1645&amp;'OD flujo mercancia multimodal'!D$45:D$1645,0))</f>
        <v>25844.999999999971</v>
      </c>
      <c r="F1276" s="11" cm="1">
        <f t="array" aca="1" ref="F1276" ca="1">INDEX('OD flujo mercancia carretera'!E$45:E$1646,MATCH(C1276&amp;D1276,'OD flujo mercancia carretera'!C$45:C$1646&amp;'OD flujo mercancia carretera'!D$45:D$1646,0))</f>
        <v>145213.30769230769</v>
      </c>
      <c r="G1276" s="11" cm="1">
        <f t="array" aca="1" ref="G1276" ca="1">INDEX('Coste Carretera'!E$46:E$1646,MATCH(C1276&amp;D1276,'Coste Carretera'!C$46:C$1646&amp;'Coste Carretera'!D$46:D$1646,0))</f>
        <v>3564329826.3199973</v>
      </c>
      <c r="H1276" s="11" cm="1">
        <f t="array" aca="1" ref="H1276" ca="1">INDEX('Coste multimodal'!E$46:E$1646,MATCH(C1276&amp;D1276,'Coste multimodal'!C$46:C$1646&amp;'Coste multimodal'!D$46:D$1646,0))</f>
        <v>439571934.31342226</v>
      </c>
      <c r="I1276" s="12" cm="1">
        <f t="array" aca="1" ref="I1276" ca="1">INDEX('Tiempos intermodal (horas)'!E$45:E$1645,MATCH(C1276&amp;D1276,'Tiempos intermodal (horas)'!C$45:C$1645&amp;'Tiempos intermodal (horas)'!D$45:D$1645,0))</f>
        <v>115.7775858201952</v>
      </c>
      <c r="J1276" s="2" cm="1">
        <f t="array" aca="1" ref="J1276" ca="1">INDEX('Tiempos carretera (horas)'!E$45:E$1645,MATCH(C1276&amp;D1276,'Tiempos carretera (horas)'!C$45:C$1645&amp;'Tiempos carretera (horas)'!D$45:D$1645,0))</f>
        <v>19.63</v>
      </c>
      <c r="K1276" s="12">
        <f t="shared" ca="1" si="120"/>
        <v>24.545476464680853</v>
      </c>
      <c r="L1276" s="12">
        <f t="shared" ca="1" si="121"/>
        <v>17.00800674457043</v>
      </c>
      <c r="M1276" s="12">
        <f t="shared" ca="1" si="122"/>
        <v>0.15108883250785368</v>
      </c>
      <c r="N1276" s="13">
        <f t="shared" ca="1" si="118"/>
        <v>7.5374697201104226</v>
      </c>
      <c r="O1276" s="13">
        <f t="shared" ca="1" si="119"/>
        <v>-96.147585820195204</v>
      </c>
      <c r="P1276" s="12">
        <f t="shared" ca="1" si="123"/>
        <v>1.7260865903164875</v>
      </c>
    </row>
    <row r="1277" spans="1:16" x14ac:dyDescent="0.25">
      <c r="A1277">
        <v>18</v>
      </c>
      <c r="B1277">
        <v>36</v>
      </c>
      <c r="C1277" s="2" t="s">
        <v>17</v>
      </c>
      <c r="D1277" s="2" t="s">
        <v>35</v>
      </c>
      <c r="E1277" s="11" cm="1">
        <f t="array" aca="1" ref="E1277" ca="1">INDEX('OD flujo mercancia multimodal'!E$45:E$1645,MATCH(C1277&amp;D1277,'OD flujo mercancia multimodal'!C$45:C$1645&amp;'OD flujo mercancia multimodal'!D$45:D$1645,0))</f>
        <v>10447.461538461535</v>
      </c>
      <c r="F1277" s="11" cm="1">
        <f t="array" aca="1" ref="F1277" ca="1">INDEX('OD flujo mercancia carretera'!E$45:E$1646,MATCH(C1277&amp;D1277,'OD flujo mercancia carretera'!C$45:C$1646&amp;'OD flujo mercancia carretera'!D$45:D$1646,0))</f>
        <v>146934.5384615385</v>
      </c>
      <c r="G1277" s="11" cm="1">
        <f t="array" aca="1" ref="G1277" ca="1">INDEX('Coste Carretera'!E$46:E$1646,MATCH(C1277&amp;D1277,'Coste Carretera'!C$46:C$1646&amp;'Coste Carretera'!D$46:D$1646,0))</f>
        <v>3174922694.1600018</v>
      </c>
      <c r="H1277" s="11" cm="1">
        <f t="array" aca="1" ref="H1277" ca="1">INDEX('Coste multimodal'!E$46:E$1646,MATCH(C1277&amp;D1277,'Coste multimodal'!C$46:C$1646&amp;'Coste multimodal'!D$46:D$1646,0))</f>
        <v>439571934.31342226</v>
      </c>
      <c r="I1277" s="12" cm="1">
        <f t="array" aca="1" ref="I1277" ca="1">INDEX('Tiempos intermodal (horas)'!E$45:E$1645,MATCH(C1277&amp;D1277,'Tiempos intermodal (horas)'!C$45:C$1645&amp;'Tiempos intermodal (horas)'!D$45:D$1645,0))</f>
        <v>115.7775858201952</v>
      </c>
      <c r="J1277" s="2" cm="1">
        <f t="array" aca="1" ref="J1277" ca="1">INDEX('Tiempos carretera (horas)'!E$45:E$1645,MATCH(C1277&amp;D1277,'Tiempos carretera (horas)'!C$45:C$1645&amp;'Tiempos carretera (horas)'!D$45:D$1645,0))</f>
        <v>19.63</v>
      </c>
      <c r="K1277" s="12">
        <f t="shared" ca="1" si="120"/>
        <v>21.607735848920694</v>
      </c>
      <c r="L1277" s="12">
        <f t="shared" ca="1" si="121"/>
        <v>42.074520465585977</v>
      </c>
      <c r="M1277" s="12">
        <f t="shared" ca="1" si="122"/>
        <v>6.6382823565982976E-2</v>
      </c>
      <c r="N1277" s="13">
        <f t="shared" ca="1" si="118"/>
        <v>-20.466784616665283</v>
      </c>
      <c r="O1277" s="13">
        <f t="shared" ca="1" si="119"/>
        <v>-96.147585820195204</v>
      </c>
      <c r="P1277" s="12">
        <f t="shared" ca="1" si="123"/>
        <v>2.6436281370852446</v>
      </c>
    </row>
    <row r="1278" spans="1:16" x14ac:dyDescent="0.25">
      <c r="A1278">
        <v>6</v>
      </c>
      <c r="B1278">
        <v>4</v>
      </c>
      <c r="C1278" s="2" t="s">
        <v>5</v>
      </c>
      <c r="D1278" s="2" t="s">
        <v>3</v>
      </c>
      <c r="E1278" s="11" cm="1">
        <f t="array" aca="1" ref="E1278" ca="1">INDEX('OD flujo mercancia multimodal'!E$45:E$1645,MATCH(C1278&amp;D1278,'OD flujo mercancia multimodal'!C$45:C$1645&amp;'OD flujo mercancia multimodal'!D$45:D$1645,0))</f>
        <v>42648.285714285681</v>
      </c>
      <c r="F1278" s="11" cm="1">
        <f t="array" aca="1" ref="F1278" ca="1">INDEX('OD flujo mercancia carretera'!E$45:E$1646,MATCH(C1278&amp;D1278,'OD flujo mercancia carretera'!C$45:C$1646&amp;'OD flujo mercancia carretera'!D$45:D$1646,0))</f>
        <v>158878.08424908423</v>
      </c>
      <c r="G1278" s="11" cm="1">
        <f t="array" aca="1" ref="G1278" ca="1">INDEX('Coste Carretera'!E$46:E$1646,MATCH(C1278&amp;D1278,'Coste Carretera'!C$46:C$1646&amp;'Coste Carretera'!D$46:D$1646,0))</f>
        <v>788440563.93142796</v>
      </c>
      <c r="H1278" s="11" cm="1">
        <f t="array" aca="1" ref="H1278" ca="1">INDEX('Coste multimodal'!E$46:E$1646,MATCH(C1278&amp;D1278,'Coste multimodal'!C$46:C$1646&amp;'Coste multimodal'!D$46:D$1646,0))</f>
        <v>15107290474.289719</v>
      </c>
      <c r="I1278" s="12" cm="1">
        <f t="array" aca="1" ref="I1278" ca="1">INDEX('Tiempos intermodal (horas)'!E$45:E$1645,MATCH(C1278&amp;D1278,'Tiempos intermodal (horas)'!C$45:C$1645&amp;'Tiempos intermodal (horas)'!D$45:D$1645,0))</f>
        <v>19.898548466679571</v>
      </c>
      <c r="J1278" s="2" cm="1">
        <f t="array" aca="1" ref="J1278" ca="1">INDEX('Tiempos carretera (horas)'!E$45:E$1645,MATCH(C1278&amp;D1278,'Tiempos carretera (horas)'!C$45:C$1645&amp;'Tiempos carretera (horas)'!D$45:D$1645,0))</f>
        <v>3.4</v>
      </c>
      <c r="K1278" s="12">
        <f t="shared" ca="1" si="120"/>
        <v>4.9625507989845525</v>
      </c>
      <c r="L1278" s="12">
        <f t="shared" ca="1" si="121"/>
        <v>354.22972392133704</v>
      </c>
      <c r="M1278" s="12">
        <f t="shared" ca="1" si="122"/>
        <v>0.21162632821718355</v>
      </c>
      <c r="N1278" s="13">
        <f t="shared" ca="1" si="118"/>
        <v>-349.26717312235246</v>
      </c>
      <c r="O1278" s="13">
        <f t="shared" ca="1" si="119"/>
        <v>-16.498548466679573</v>
      </c>
      <c r="P1278" s="12">
        <f t="shared" ca="1" si="123"/>
        <v>1.3151500635184454</v>
      </c>
    </row>
    <row r="1279" spans="1:16" x14ac:dyDescent="0.25">
      <c r="A1279">
        <v>4</v>
      </c>
      <c r="B1279">
        <v>17</v>
      </c>
      <c r="C1279" s="2" t="s">
        <v>3</v>
      </c>
      <c r="D1279" s="2" t="s">
        <v>16</v>
      </c>
      <c r="E1279" s="11" cm="1">
        <f t="array" aca="1" ref="E1279" ca="1">INDEX('OD flujo mercancia multimodal'!E$45:E$1645,MATCH(C1279&amp;D1279,'OD flujo mercancia multimodal'!C$45:C$1645&amp;'OD flujo mercancia multimodal'!D$45:D$1645,0))</f>
        <v>94087.450549450557</v>
      </c>
      <c r="F1279" s="11" cm="1">
        <f t="array" aca="1" ref="F1279" ca="1">INDEX('OD flujo mercancia carretera'!E$45:E$1646,MATCH(C1279&amp;D1279,'OD flujo mercancia carretera'!C$45:C$1646&amp;'OD flujo mercancia carretera'!D$45:D$1646,0))</f>
        <v>206591.69230769185</v>
      </c>
      <c r="G1279" s="11" cm="1">
        <f t="array" aca="1" ref="G1279" ca="1">INDEX('Coste Carretera'!E$46:E$1646,MATCH(C1279&amp;D1279,'Coste Carretera'!C$46:C$1646&amp;'Coste Carretera'!D$46:D$1646,0))</f>
        <v>12269677217.794289</v>
      </c>
      <c r="H1279" s="11" cm="1">
        <f t="array" aca="1" ref="H1279" ca="1">INDEX('Coste multimodal'!E$46:E$1646,MATCH(C1279&amp;D1279,'Coste multimodal'!C$46:C$1646&amp;'Coste multimodal'!D$46:D$1646,0))</f>
        <v>1286218830.054142</v>
      </c>
      <c r="I1279" s="12" cm="1">
        <f t="array" aca="1" ref="I1279" ca="1">INDEX('Tiempos intermodal (horas)'!E$45:E$1645,MATCH(C1279&amp;D1279,'Tiempos intermodal (horas)'!C$45:C$1645&amp;'Tiempos intermodal (horas)'!D$45:D$1645,0))</f>
        <v>109.03002710327515</v>
      </c>
      <c r="J1279" s="2" cm="1">
        <f t="array" aca="1" ref="J1279" ca="1">INDEX('Tiempos carretera (horas)'!E$45:E$1645,MATCH(C1279&amp;D1279,'Tiempos carretera (horas)'!C$45:C$1645&amp;'Tiempos carretera (horas)'!D$45:D$1645,0))</f>
        <v>25</v>
      </c>
      <c r="K1279" s="12">
        <f t="shared" ca="1" si="120"/>
        <v>59.390951691901421</v>
      </c>
      <c r="L1279" s="12">
        <f t="shared" ca="1" si="121"/>
        <v>13.670461071512721</v>
      </c>
      <c r="M1279" s="12">
        <f t="shared" ca="1" si="122"/>
        <v>0.31291645192082068</v>
      </c>
      <c r="N1279" s="13">
        <f t="shared" ca="1" si="118"/>
        <v>45.720490620388702</v>
      </c>
      <c r="O1279" s="13">
        <f t="shared" ca="1" si="119"/>
        <v>-84.030027103275145</v>
      </c>
      <c r="P1279" s="12">
        <f t="shared" ca="1" si="123"/>
        <v>0.78651966961434561</v>
      </c>
    </row>
    <row r="1280" spans="1:16" x14ac:dyDescent="0.25">
      <c r="A1280">
        <v>14</v>
      </c>
      <c r="B1280">
        <v>15</v>
      </c>
      <c r="C1280" s="2" t="s">
        <v>13</v>
      </c>
      <c r="D1280" s="2" t="s">
        <v>14</v>
      </c>
      <c r="E1280" s="11" cm="1">
        <f t="array" aca="1" ref="E1280" ca="1">INDEX('OD flujo mercancia multimodal'!E$45:E$1645,MATCH(C1280&amp;D1280,'OD flujo mercancia multimodal'!C$45:C$1645&amp;'OD flujo mercancia multimodal'!D$45:D$1645,0))</f>
        <v>59272.84615384612</v>
      </c>
      <c r="F1280" s="11" cm="1">
        <f t="array" aca="1" ref="F1280" ca="1">INDEX('OD flujo mercancia carretera'!E$45:E$1646,MATCH(C1280&amp;D1280,'OD flujo mercancia carretera'!C$45:C$1646&amp;'OD flujo mercancia carretera'!D$45:D$1646,0))</f>
        <v>396459.0769230774</v>
      </c>
      <c r="G1280" s="11" cm="1">
        <f t="array" aca="1" ref="G1280" ca="1">INDEX('Coste Carretera'!E$46:E$1646,MATCH(C1280&amp;D1280,'Coste Carretera'!C$46:C$1646&amp;'Coste Carretera'!D$46:D$1646,0))</f>
        <v>1603200088.1999991</v>
      </c>
      <c r="H1280" s="11" cm="1">
        <f t="array" aca="1" ref="H1280" ca="1">INDEX('Coste multimodal'!E$46:E$1646,MATCH(C1280&amp;D1280,'Coste multimodal'!C$46:C$1646&amp;'Coste multimodal'!D$46:D$1646,0))</f>
        <v>531588098.94735563</v>
      </c>
      <c r="I1280" s="12" cm="1">
        <f t="array" aca="1" ref="I1280" ca="1">INDEX('Tiempos intermodal (horas)'!E$45:E$1645,MATCH(C1280&amp;D1280,'Tiempos intermodal (horas)'!C$45:C$1645&amp;'Tiempos intermodal (horas)'!D$45:D$1645,0))</f>
        <v>89.303983923376521</v>
      </c>
      <c r="J1280" s="2" cm="1">
        <f t="array" aca="1" ref="J1280" ca="1">INDEX('Tiempos carretera (horas)'!E$45:E$1645,MATCH(C1280&amp;D1280,'Tiempos carretera (horas)'!C$45:C$1645&amp;'Tiempos carretera (horas)'!D$45:D$1645,0))</f>
        <v>5.2</v>
      </c>
      <c r="K1280" s="12">
        <f t="shared" ca="1" si="120"/>
        <v>4.0437971571806353</v>
      </c>
      <c r="L1280" s="12">
        <f t="shared" ca="1" si="121"/>
        <v>8.96849288403644</v>
      </c>
      <c r="M1280" s="12">
        <f t="shared" ca="1" si="122"/>
        <v>0.13006077290714915</v>
      </c>
      <c r="N1280" s="13">
        <f t="shared" ref="N1280:N1343" ca="1" si="124">K1280-L1280</f>
        <v>-4.9246957268558047</v>
      </c>
      <c r="O1280" s="13">
        <f t="shared" ref="O1280:O1343" ca="1" si="125">J1280-I1280</f>
        <v>-84.103983923376518</v>
      </c>
      <c r="P1280" s="12">
        <f t="shared" ca="1" si="123"/>
        <v>1.9004215301722938</v>
      </c>
    </row>
    <row r="1281" spans="1:16" x14ac:dyDescent="0.25">
      <c r="A1281">
        <v>15</v>
      </c>
      <c r="B1281">
        <v>14</v>
      </c>
      <c r="C1281" s="2" t="s">
        <v>14</v>
      </c>
      <c r="D1281" s="2" t="s">
        <v>13</v>
      </c>
      <c r="E1281" s="11" cm="1">
        <f t="array" aca="1" ref="E1281" ca="1">INDEX('OD flujo mercancia multimodal'!E$45:E$1645,MATCH(C1281&amp;D1281,'OD flujo mercancia multimodal'!C$45:C$1645&amp;'OD flujo mercancia multimodal'!D$45:D$1645,0))</f>
        <v>50183.153846153829</v>
      </c>
      <c r="F1281" s="11" cm="1">
        <f t="array" aca="1" ref="F1281" ca="1">INDEX('OD flujo mercancia carretera'!E$45:E$1646,MATCH(C1281&amp;D1281,'OD flujo mercancia carretera'!C$45:C$1646&amp;'OD flujo mercancia carretera'!D$45:D$1646,0))</f>
        <v>465572.69230769214</v>
      </c>
      <c r="G1281" s="11" cm="1">
        <f t="array" aca="1" ref="G1281" ca="1">INDEX('Coste Carretera'!E$46:E$1646,MATCH(C1281&amp;D1281,'Coste Carretera'!C$46:C$1646&amp;'Coste Carretera'!D$46:D$1646,0))</f>
        <v>1357343908.5999994</v>
      </c>
      <c r="H1281" s="11" cm="1">
        <f t="array" aca="1" ref="H1281" ca="1">INDEX('Coste multimodal'!E$46:E$1646,MATCH(C1281&amp;D1281,'Coste multimodal'!C$46:C$1646&amp;'Coste multimodal'!D$46:D$1646,0))</f>
        <v>531588098.94735563</v>
      </c>
      <c r="I1281" s="12" cm="1">
        <f t="array" aca="1" ref="I1281" ca="1">INDEX('Tiempos intermodal (horas)'!E$45:E$1645,MATCH(C1281&amp;D1281,'Tiempos intermodal (horas)'!C$45:C$1645&amp;'Tiempos intermodal (horas)'!D$45:D$1645,0))</f>
        <v>89.303983923376521</v>
      </c>
      <c r="J1281" s="2" cm="1">
        <f t="array" aca="1" ref="J1281" ca="1">INDEX('Tiempos carretera (horas)'!E$45:E$1645,MATCH(C1281&amp;D1281,'Tiempos carretera (horas)'!C$45:C$1645&amp;'Tiempos carretera (horas)'!D$45:D$1645,0))</f>
        <v>5.2</v>
      </c>
      <c r="K1281" s="12">
        <f t="shared" ca="1" si="120"/>
        <v>2.9154285271159011</v>
      </c>
      <c r="L1281" s="12">
        <f t="shared" ca="1" si="121"/>
        <v>10.592959154720363</v>
      </c>
      <c r="M1281" s="12">
        <f t="shared" ca="1" si="122"/>
        <v>9.7300213309040387E-2</v>
      </c>
      <c r="N1281" s="13">
        <f t="shared" ca="1" si="124"/>
        <v>-7.6775306276044617</v>
      </c>
      <c r="O1281" s="13">
        <f t="shared" ca="1" si="125"/>
        <v>-84.103983923376518</v>
      </c>
      <c r="P1281" s="12">
        <f t="shared" ca="1" si="123"/>
        <v>2.2275888545313651</v>
      </c>
    </row>
    <row r="1282" spans="1:16" x14ac:dyDescent="0.25">
      <c r="A1282">
        <v>13</v>
      </c>
      <c r="B1282">
        <v>26</v>
      </c>
      <c r="C1282" s="2" t="s">
        <v>12</v>
      </c>
      <c r="D1282" s="2" t="s">
        <v>25</v>
      </c>
      <c r="E1282" s="11" cm="1">
        <f t="array" aca="1" ref="E1282" ca="1">INDEX('OD flujo mercancia multimodal'!E$45:E$1645,MATCH(C1282&amp;D1282,'OD flujo mercancia multimodal'!C$45:C$1645&amp;'OD flujo mercancia multimodal'!D$45:D$1645,0))</f>
        <v>6077.6153846153829</v>
      </c>
      <c r="F1282" s="11" cm="1">
        <f t="array" aca="1" ref="F1282" ca="1">INDEX('OD flujo mercancia carretera'!E$45:E$1646,MATCH(C1282&amp;D1282,'OD flujo mercancia carretera'!C$45:C$1646&amp;'OD flujo mercancia carretera'!D$45:D$1646,0))</f>
        <v>69722.307692307688</v>
      </c>
      <c r="G1282" s="11" cm="1">
        <f t="array" aca="1" ref="G1282" ca="1">INDEX('Coste Carretera'!E$46:E$1646,MATCH(C1282&amp;D1282,'Coste Carretera'!C$46:C$1646&amp;'Coste Carretera'!D$46:D$1646,0))</f>
        <v>254399498.91999993</v>
      </c>
      <c r="H1282" s="11" cm="1">
        <f t="array" aca="1" ref="H1282" ca="1">INDEX('Coste multimodal'!E$46:E$1646,MATCH(C1282&amp;D1282,'Coste multimodal'!C$46:C$1646&amp;'Coste multimodal'!D$46:D$1646,0))</f>
        <v>348077679.70335555</v>
      </c>
      <c r="I1282" s="12" cm="1">
        <f t="array" aca="1" ref="I1282" ca="1">INDEX('Tiempos intermodal (horas)'!E$45:E$1645,MATCH(C1282&amp;D1282,'Tiempos intermodal (horas)'!C$45:C$1645&amp;'Tiempos intermodal (horas)'!D$45:D$1645,0))</f>
        <v>92.500650590043179</v>
      </c>
      <c r="J1282" s="2" cm="1">
        <f t="array" aca="1" ref="J1282" ca="1">INDEX('Tiempos carretera (horas)'!E$45:E$1645,MATCH(C1282&amp;D1282,'Tiempos carretera (horas)'!C$45:C$1645&amp;'Tiempos carretera (horas)'!D$45:D$1645,0))</f>
        <v>8.08</v>
      </c>
      <c r="K1282" s="12">
        <f t="shared" ca="1" si="120"/>
        <v>3.6487532805525209</v>
      </c>
      <c r="L1282" s="12">
        <f t="shared" ca="1" si="121"/>
        <v>57.272080853366369</v>
      </c>
      <c r="M1282" s="12">
        <f t="shared" ca="1" si="122"/>
        <v>8.0179703856001469E-2</v>
      </c>
      <c r="N1282" s="13">
        <f t="shared" ca="1" si="124"/>
        <v>-53.623327572813849</v>
      </c>
      <c r="O1282" s="13">
        <f t="shared" ca="1" si="125"/>
        <v>-84.420650590043181</v>
      </c>
      <c r="P1282" s="12">
        <f t="shared" ca="1" si="123"/>
        <v>2.4399079069674703</v>
      </c>
    </row>
    <row r="1283" spans="1:16" x14ac:dyDescent="0.25">
      <c r="A1283">
        <v>26</v>
      </c>
      <c r="B1283">
        <v>13</v>
      </c>
      <c r="C1283" s="2" t="s">
        <v>25</v>
      </c>
      <c r="D1283" s="2" t="s">
        <v>12</v>
      </c>
      <c r="E1283" s="11" cm="1">
        <f t="array" aca="1" ref="E1283" ca="1">INDEX('OD flujo mercancia multimodal'!E$45:E$1645,MATCH(C1283&amp;D1283,'OD flujo mercancia multimodal'!C$45:C$1645&amp;'OD flujo mercancia multimodal'!D$45:D$1645,0))</f>
        <v>4463.6923076923122</v>
      </c>
      <c r="F1283" s="11" cm="1">
        <f t="array" aca="1" ref="F1283" ca="1">INDEX('OD flujo mercancia carretera'!E$45:E$1646,MATCH(C1283&amp;D1283,'OD flujo mercancia carretera'!C$45:C$1646&amp;'OD flujo mercancia carretera'!D$45:D$1646,0))</f>
        <v>70996.538461538512</v>
      </c>
      <c r="G1283" s="11" cm="1">
        <f t="array" aca="1" ref="G1283" ca="1">INDEX('Coste Carretera'!E$46:E$1646,MATCH(C1283&amp;D1283,'Coste Carretera'!C$46:C$1646&amp;'Coste Carretera'!D$46:D$1646,0))</f>
        <v>186843196.64000016</v>
      </c>
      <c r="H1283" s="11" cm="1">
        <f t="array" aca="1" ref="H1283" ca="1">INDEX('Coste multimodal'!E$46:E$1646,MATCH(C1283&amp;D1283,'Coste multimodal'!C$46:C$1646&amp;'Coste multimodal'!D$46:D$1646,0))</f>
        <v>348077679.70335555</v>
      </c>
      <c r="I1283" s="12" cm="1">
        <f t="array" aca="1" ref="I1283" ca="1">INDEX('Tiempos intermodal (horas)'!E$45:E$1645,MATCH(C1283&amp;D1283,'Tiempos intermodal (horas)'!C$45:C$1645&amp;'Tiempos intermodal (horas)'!D$45:D$1645,0))</f>
        <v>92.500650590043179</v>
      </c>
      <c r="J1283" s="2" cm="1">
        <f t="array" aca="1" ref="J1283" ca="1">INDEX('Tiempos carretera (horas)'!E$45:E$1645,MATCH(C1283&amp;D1283,'Tiempos carretera (horas)'!C$45:C$1645&amp;'Tiempos carretera (horas)'!D$45:D$1645,0))</f>
        <v>8.08</v>
      </c>
      <c r="K1283" s="12">
        <f t="shared" ca="1" si="120"/>
        <v>2.631722626043524</v>
      </c>
      <c r="L1283" s="12">
        <f t="shared" ca="1" si="121"/>
        <v>77.979765563928069</v>
      </c>
      <c r="M1283" s="12">
        <f t="shared" ca="1" si="122"/>
        <v>5.9152910906712979E-2</v>
      </c>
      <c r="N1283" s="13">
        <f t="shared" ca="1" si="124"/>
        <v>-75.348042937884543</v>
      </c>
      <c r="O1283" s="13">
        <f t="shared" ca="1" si="125"/>
        <v>-84.420650590043181</v>
      </c>
      <c r="P1283" s="12">
        <f t="shared" ca="1" si="123"/>
        <v>2.7666548265748396</v>
      </c>
    </row>
    <row r="1284" spans="1:16" x14ac:dyDescent="0.25">
      <c r="A1284">
        <v>25</v>
      </c>
      <c r="B1284">
        <v>26</v>
      </c>
      <c r="C1284" s="2" t="s">
        <v>24</v>
      </c>
      <c r="D1284" s="2" t="s">
        <v>25</v>
      </c>
      <c r="E1284" s="11" cm="1">
        <f t="array" aca="1" ref="E1284" ca="1">INDEX('OD flujo mercancia multimodal'!E$45:E$1645,MATCH(C1284&amp;D1284,'OD flujo mercancia multimodal'!C$45:C$1645&amp;'OD flujo mercancia multimodal'!D$45:D$1645,0))</f>
        <v>7969.076923076922</v>
      </c>
      <c r="F1284" s="11" cm="1">
        <f t="array" aca="1" ref="F1284" ca="1">INDEX('OD flujo mercancia carretera'!E$45:E$1646,MATCH(C1284&amp;D1284,'OD flujo mercancia carretera'!C$45:C$1646&amp;'OD flujo mercancia carretera'!D$45:D$1646,0))</f>
        <v>111665.33333333333</v>
      </c>
      <c r="G1284" s="11" cm="1">
        <f t="array" aca="1" ref="G1284" ca="1">INDEX('Coste Carretera'!E$46:E$1646,MATCH(C1284&amp;D1284,'Coste Carretera'!C$46:C$1646&amp;'Coste Carretera'!D$46:D$1646,0))</f>
        <v>261166414.07999995</v>
      </c>
      <c r="H1284" s="11" cm="1">
        <f t="array" aca="1" ref="H1284" ca="1">INDEX('Coste multimodal'!E$46:E$1646,MATCH(C1284&amp;D1284,'Coste multimodal'!C$46:C$1646&amp;'Coste multimodal'!D$46:D$1646,0))</f>
        <v>359322591.82647252</v>
      </c>
      <c r="I1284" s="12" cm="1">
        <f t="array" aca="1" ref="I1284" ca="1">INDEX('Tiempos intermodal (horas)'!E$45:E$1645,MATCH(C1284&amp;D1284,'Tiempos intermodal (horas)'!C$45:C$1645&amp;'Tiempos intermodal (horas)'!D$45:D$1645,0))</f>
        <v>103.24553478087464</v>
      </c>
      <c r="J1284" s="2" cm="1">
        <f t="array" aca="1" ref="J1284" ca="1">INDEX('Tiempos carretera (horas)'!E$45:E$1645,MATCH(C1284&amp;D1284,'Tiempos carretera (horas)'!C$45:C$1645&amp;'Tiempos carretera (horas)'!D$45:D$1645,0))</f>
        <v>6.2</v>
      </c>
      <c r="K1284" s="12">
        <f t="shared" ca="1" si="120"/>
        <v>2.3388316345269793</v>
      </c>
      <c r="L1284" s="12">
        <f t="shared" ca="1" si="121"/>
        <v>45.089612673450681</v>
      </c>
      <c r="M1284" s="12">
        <f t="shared" ca="1" si="122"/>
        <v>6.661191296046802E-2</v>
      </c>
      <c r="N1284" s="13">
        <f t="shared" ca="1" si="124"/>
        <v>-42.750781038923705</v>
      </c>
      <c r="O1284" s="13">
        <f t="shared" ca="1" si="125"/>
        <v>-97.045534780874632</v>
      </c>
      <c r="P1284" s="12">
        <f t="shared" ca="1" si="123"/>
        <v>2.639937635628967</v>
      </c>
    </row>
    <row r="1285" spans="1:16" x14ac:dyDescent="0.25">
      <c r="A1285">
        <v>26</v>
      </c>
      <c r="B1285">
        <v>25</v>
      </c>
      <c r="C1285" s="2" t="s">
        <v>25</v>
      </c>
      <c r="D1285" s="2" t="s">
        <v>24</v>
      </c>
      <c r="E1285" s="11" cm="1">
        <f t="array" aca="1" ref="E1285" ca="1">INDEX('OD flujo mercancia multimodal'!E$45:E$1645,MATCH(C1285&amp;D1285,'OD flujo mercancia multimodal'!C$45:C$1645&amp;'OD flujo mercancia multimodal'!D$45:D$1645,0))</f>
        <v>6359.0000000000027</v>
      </c>
      <c r="F1285" s="11" cm="1">
        <f t="array" aca="1" ref="F1285" ca="1">INDEX('OD flujo mercancia carretera'!E$45:E$1646,MATCH(C1285&amp;D1285,'OD flujo mercancia carretera'!C$45:C$1646&amp;'OD flujo mercancia carretera'!D$45:D$1646,0))</f>
        <v>107873.33333333331</v>
      </c>
      <c r="G1285" s="11" cm="1">
        <f t="array" aca="1" ref="G1285" ca="1">INDEX('Coste Carretera'!E$46:E$1646,MATCH(C1285&amp;D1285,'Coste Carretera'!C$46:C$1646&amp;'Coste Carretera'!D$46:D$1646,0))</f>
        <v>208400200.32000011</v>
      </c>
      <c r="H1285" s="11" cm="1">
        <f t="array" aca="1" ref="H1285" ca="1">INDEX('Coste multimodal'!E$46:E$1646,MATCH(C1285&amp;D1285,'Coste multimodal'!C$46:C$1646&amp;'Coste multimodal'!D$46:D$1646,0))</f>
        <v>359322591.82647252</v>
      </c>
      <c r="I1285" s="12" cm="1">
        <f t="array" aca="1" ref="I1285" ca="1">INDEX('Tiempos intermodal (horas)'!E$45:E$1645,MATCH(C1285&amp;D1285,'Tiempos intermodal (horas)'!C$45:C$1645&amp;'Tiempos intermodal (horas)'!D$45:D$1645,0))</f>
        <v>103.24553478087464</v>
      </c>
      <c r="J1285" s="2" cm="1">
        <f t="array" aca="1" ref="J1285" ca="1">INDEX('Tiempos carretera (horas)'!E$45:E$1645,MATCH(C1285&amp;D1285,'Tiempos carretera (horas)'!C$45:C$1645&amp;'Tiempos carretera (horas)'!D$45:D$1645,0))</f>
        <v>6.2</v>
      </c>
      <c r="K1285" s="12">
        <f t="shared" ca="1" si="120"/>
        <v>1.9318972899079181</v>
      </c>
      <c r="L1285" s="12">
        <f t="shared" ca="1" si="121"/>
        <v>56.50614748018122</v>
      </c>
      <c r="M1285" s="12">
        <f t="shared" ca="1" si="122"/>
        <v>5.5667251245269181E-2</v>
      </c>
      <c r="N1285" s="13">
        <f t="shared" ca="1" si="124"/>
        <v>-54.574250190273304</v>
      </c>
      <c r="O1285" s="13">
        <f t="shared" ca="1" si="125"/>
        <v>-97.045534780874632</v>
      </c>
      <c r="P1285" s="12">
        <f t="shared" ca="1" si="123"/>
        <v>2.8310865670182808</v>
      </c>
    </row>
    <row r="1286" spans="1:16" x14ac:dyDescent="0.25">
      <c r="A1286">
        <v>26</v>
      </c>
      <c r="B1286">
        <v>22</v>
      </c>
      <c r="C1286" s="2" t="s">
        <v>25</v>
      </c>
      <c r="D1286" s="2" t="s">
        <v>21</v>
      </c>
      <c r="E1286" s="11" cm="1">
        <f t="array" aca="1" ref="E1286" ca="1">INDEX('OD flujo mercancia multimodal'!E$45:E$1645,MATCH(C1286&amp;D1286,'OD flujo mercancia multimodal'!C$45:C$1645&amp;'OD flujo mercancia multimodal'!D$45:D$1645,0))</f>
        <v>22913.461538461492</v>
      </c>
      <c r="F1286" s="11" cm="1">
        <f t="array" aca="1" ref="F1286" ca="1">INDEX('OD flujo mercancia carretera'!E$45:E$1646,MATCH(C1286&amp;D1286,'OD flujo mercancia carretera'!C$45:C$1646&amp;'OD flujo mercancia carretera'!D$45:D$1646,0))</f>
        <v>173717.33333333299</v>
      </c>
      <c r="G1286" s="11" cm="1">
        <f t="array" aca="1" ref="G1286" ca="1">INDEX('Coste Carretera'!E$46:E$1646,MATCH(C1286&amp;D1286,'Coste Carretera'!C$46:C$1646&amp;'Coste Carretera'!D$46:D$1646,0))</f>
        <v>910985154.99999809</v>
      </c>
      <c r="H1286" s="11" cm="1">
        <f t="array" aca="1" ref="H1286" ca="1">INDEX('Coste multimodal'!E$46:E$1646,MATCH(C1286&amp;D1286,'Coste multimodal'!C$46:C$1646&amp;'Coste multimodal'!D$46:D$1646,0))</f>
        <v>756680293.9888202</v>
      </c>
      <c r="I1286" s="12" cm="1">
        <f t="array" aca="1" ref="I1286" ca="1">INDEX('Tiempos intermodal (horas)'!E$45:E$1645,MATCH(C1286&amp;D1286,'Tiempos intermodal (horas)'!C$45:C$1645&amp;'Tiempos intermodal (horas)'!D$45:D$1645,0))</f>
        <v>111.54412987143392</v>
      </c>
      <c r="J1286" s="2" cm="1">
        <f t="array" aca="1" ref="J1286" ca="1">INDEX('Tiempos carretera (horas)'!E$45:E$1645,MATCH(C1286&amp;D1286,'Tiempos carretera (horas)'!C$45:C$1645&amp;'Tiempos carretera (horas)'!D$45:D$1645,0))</f>
        <v>7.2</v>
      </c>
      <c r="K1286" s="12">
        <f t="shared" ca="1" si="120"/>
        <v>5.244065963480903</v>
      </c>
      <c r="L1286" s="12">
        <f t="shared" ca="1" si="121"/>
        <v>33.023395121627132</v>
      </c>
      <c r="M1286" s="12">
        <f t="shared" ca="1" si="122"/>
        <v>0.11653038148679269</v>
      </c>
      <c r="N1286" s="13">
        <f t="shared" ca="1" si="124"/>
        <v>-27.779329158146229</v>
      </c>
      <c r="O1286" s="13">
        <f t="shared" ca="1" si="125"/>
        <v>-104.34412987143392</v>
      </c>
      <c r="P1286" s="12">
        <f t="shared" ca="1" si="123"/>
        <v>2.025704879219187</v>
      </c>
    </row>
    <row r="1287" spans="1:16" x14ac:dyDescent="0.25">
      <c r="A1287">
        <v>22</v>
      </c>
      <c r="B1287">
        <v>26</v>
      </c>
      <c r="C1287" s="2" t="s">
        <v>21</v>
      </c>
      <c r="D1287" s="2" t="s">
        <v>25</v>
      </c>
      <c r="E1287" s="11" cm="1">
        <f t="array" aca="1" ref="E1287" ca="1">INDEX('OD flujo mercancia multimodal'!E$45:E$1645,MATCH(C1287&amp;D1287,'OD flujo mercancia multimodal'!C$45:C$1645&amp;'OD flujo mercancia multimodal'!D$45:D$1645,0))</f>
        <v>12933.307692307691</v>
      </c>
      <c r="F1287" s="11" cm="1">
        <f t="array" aca="1" ref="F1287" ca="1">INDEX('OD flujo mercancia carretera'!E$45:E$1646,MATCH(C1287&amp;D1287,'OD flujo mercancia carretera'!C$45:C$1646&amp;'OD flujo mercancia carretera'!D$45:D$1646,0))</f>
        <v>173789.66666666666</v>
      </c>
      <c r="G1287" s="11" cm="1">
        <f t="array" aca="1" ref="G1287" ca="1">INDEX('Coste Carretera'!E$46:E$1646,MATCH(C1287&amp;D1287,'Coste Carretera'!C$46:C$1646&amp;'Coste Carretera'!D$46:D$1646,0))</f>
        <v>514197791.23999995</v>
      </c>
      <c r="H1287" s="11" cm="1">
        <f t="array" aca="1" ref="H1287" ca="1">INDEX('Coste multimodal'!E$46:E$1646,MATCH(C1287&amp;D1287,'Coste multimodal'!C$46:C$1646&amp;'Coste multimodal'!D$46:D$1646,0))</f>
        <v>756680293.9888202</v>
      </c>
      <c r="I1287" s="12" cm="1">
        <f t="array" aca="1" ref="I1287" ca="1">INDEX('Tiempos intermodal (horas)'!E$45:E$1645,MATCH(C1287&amp;D1287,'Tiempos intermodal (horas)'!C$45:C$1645&amp;'Tiempos intermodal (horas)'!D$45:D$1645,0))</f>
        <v>111.54412987143392</v>
      </c>
      <c r="J1287" s="2" cm="1">
        <f t="array" aca="1" ref="J1287" ca="1">INDEX('Tiempos carretera (horas)'!E$45:E$1645,MATCH(C1287&amp;D1287,'Tiempos carretera (horas)'!C$45:C$1645&amp;'Tiempos carretera (horas)'!D$45:D$1645,0))</f>
        <v>7.2</v>
      </c>
      <c r="K1287" s="12">
        <f t="shared" ca="1" si="120"/>
        <v>2.9587362764567895</v>
      </c>
      <c r="L1287" s="12">
        <f t="shared" ca="1" si="121"/>
        <v>58.506324290024345</v>
      </c>
      <c r="M1287" s="12">
        <f t="shared" ca="1" si="122"/>
        <v>6.9264683345518302E-2</v>
      </c>
      <c r="N1287" s="13">
        <f t="shared" ca="1" si="124"/>
        <v>-55.547588013567555</v>
      </c>
      <c r="O1287" s="13">
        <f t="shared" ca="1" si="125"/>
        <v>-104.34412987143392</v>
      </c>
      <c r="P1287" s="12">
        <f t="shared" ca="1" si="123"/>
        <v>2.5980397803455109</v>
      </c>
    </row>
    <row r="1288" spans="1:16" x14ac:dyDescent="0.25">
      <c r="A1288">
        <v>5</v>
      </c>
      <c r="B1288">
        <v>17</v>
      </c>
      <c r="C1288" s="2" t="s">
        <v>4</v>
      </c>
      <c r="D1288" s="2" t="s">
        <v>16</v>
      </c>
      <c r="E1288" s="11" cm="1">
        <f t="array" aca="1" ref="E1288" ca="1">INDEX('OD flujo mercancia multimodal'!E$45:E$1645,MATCH(C1288&amp;D1288,'OD flujo mercancia multimodal'!C$45:C$1645&amp;'OD flujo mercancia multimodal'!D$45:D$1645,0))</f>
        <v>111013.37912087914</v>
      </c>
      <c r="F1288" s="11" cm="1">
        <f t="array" aca="1" ref="F1288" ca="1">INDEX('OD flujo mercancia carretera'!E$45:E$1646,MATCH(C1288&amp;D1288,'OD flujo mercancia carretera'!C$45:C$1646&amp;'OD flujo mercancia carretera'!D$45:D$1646,0))</f>
        <v>240681.61538461491</v>
      </c>
      <c r="G1288" s="11" cm="1">
        <f t="array" aca="1" ref="G1288" ca="1">INDEX('Coste Carretera'!E$46:E$1646,MATCH(C1288&amp;D1288,'Coste Carretera'!C$46:C$1646&amp;'Coste Carretera'!D$46:D$1646,0))</f>
        <v>15211572749.757147</v>
      </c>
      <c r="H1288" s="11" cm="1">
        <f t="array" aca="1" ref="H1288" ca="1">INDEX('Coste multimodal'!E$46:E$1646,MATCH(C1288&amp;D1288,'Coste multimodal'!C$46:C$1646&amp;'Coste multimodal'!D$46:D$1646,0))</f>
        <v>1157917952.2419538</v>
      </c>
      <c r="I1288" s="12" cm="1">
        <f t="array" aca="1" ref="I1288" ca="1">INDEX('Tiempos intermodal (horas)'!E$45:E$1645,MATCH(C1288&amp;D1288,'Tiempos intermodal (horas)'!C$45:C$1645&amp;'Tiempos intermodal (horas)'!D$45:D$1645,0))</f>
        <v>110.86237903528527</v>
      </c>
      <c r="J1288" s="2" cm="1">
        <f t="array" aca="1" ref="J1288" ca="1">INDEX('Tiempos carretera (horas)'!E$45:E$1645,MATCH(C1288&amp;D1288,'Tiempos carretera (horas)'!C$45:C$1645&amp;'Tiempos carretera (horas)'!D$45:D$1645,0))</f>
        <v>26</v>
      </c>
      <c r="K1288" s="12">
        <f t="shared" ca="1" si="120"/>
        <v>63.202055235705039</v>
      </c>
      <c r="L1288" s="12">
        <f t="shared" ca="1" si="121"/>
        <v>10.430436055649938</v>
      </c>
      <c r="M1288" s="12">
        <f t="shared" ca="1" si="122"/>
        <v>0.31565242853959624</v>
      </c>
      <c r="N1288" s="13">
        <f t="shared" ca="1" si="124"/>
        <v>52.771619180055097</v>
      </c>
      <c r="O1288" s="13">
        <f t="shared" ca="1" si="125"/>
        <v>-84.862379035285272</v>
      </c>
      <c r="P1288" s="12">
        <f t="shared" ca="1" si="123"/>
        <v>0.77382423541282919</v>
      </c>
    </row>
    <row r="1289" spans="1:16" x14ac:dyDescent="0.25">
      <c r="A1289">
        <v>17</v>
      </c>
      <c r="B1289">
        <v>8</v>
      </c>
      <c r="C1289" s="2" t="s">
        <v>16</v>
      </c>
      <c r="D1289" s="2" t="s">
        <v>7</v>
      </c>
      <c r="E1289" s="11" cm="1">
        <f t="array" aca="1" ref="E1289" ca="1">INDEX('OD flujo mercancia multimodal'!E$45:E$1645,MATCH(C1289&amp;D1289,'OD flujo mercancia multimodal'!C$45:C$1645&amp;'OD flujo mercancia multimodal'!D$45:D$1645,0))</f>
        <v>88814.703296703257</v>
      </c>
      <c r="F1289" s="11" cm="1">
        <f t="array" aca="1" ref="F1289" ca="1">INDEX('OD flujo mercancia carretera'!E$45:E$1646,MATCH(C1289&amp;D1289,'OD flujo mercancia carretera'!C$45:C$1646&amp;'OD flujo mercancia carretera'!D$45:D$1646,0))</f>
        <v>648747.61538461526</v>
      </c>
      <c r="G1289" s="11" cm="1">
        <f t="array" aca="1" ref="G1289" ca="1">INDEX('Coste Carretera'!E$46:E$1646,MATCH(C1289&amp;D1289,'Coste Carretera'!C$46:C$1646&amp;'Coste Carretera'!D$46:D$1646,0))</f>
        <v>11516769548.12571</v>
      </c>
      <c r="H1289" s="11" cm="1">
        <f t="array" aca="1" ref="H1289" ca="1">INDEX('Coste multimodal'!E$46:E$1646,MATCH(C1289&amp;D1289,'Coste multimodal'!C$46:C$1646&amp;'Coste multimodal'!D$46:D$1646,0))</f>
        <v>1203282642.5975704</v>
      </c>
      <c r="I1289" s="12" cm="1">
        <f t="array" aca="1" ref="I1289" ca="1">INDEX('Tiempos intermodal (horas)'!E$45:E$1645,MATCH(C1289&amp;D1289,'Tiempos intermodal (horas)'!C$45:C$1645&amp;'Tiempos intermodal (horas)'!D$45:D$1645,0))</f>
        <v>109.18336043660848</v>
      </c>
      <c r="J1289" s="2" cm="1">
        <f t="array" aca="1" ref="J1289" ca="1">INDEX('Tiempos carretera (horas)'!E$45:E$1645,MATCH(C1289&amp;D1289,'Tiempos carretera (horas)'!C$45:C$1645&amp;'Tiempos carretera (horas)'!D$45:D$1645,0))</f>
        <v>24</v>
      </c>
      <c r="K1289" s="12">
        <f t="shared" ca="1" si="120"/>
        <v>17.752311183907626</v>
      </c>
      <c r="L1289" s="12">
        <f t="shared" ca="1" si="121"/>
        <v>13.548236923989537</v>
      </c>
      <c r="M1289" s="12">
        <f t="shared" ca="1" si="122"/>
        <v>0.12041654114799996</v>
      </c>
      <c r="N1289" s="13">
        <f t="shared" ca="1" si="124"/>
        <v>4.2040742599180891</v>
      </c>
      <c r="O1289" s="13">
        <f t="shared" ca="1" si="125"/>
        <v>-85.183360436608481</v>
      </c>
      <c r="P1289" s="12">
        <f t="shared" ca="1" si="123"/>
        <v>1.988491544808388</v>
      </c>
    </row>
    <row r="1290" spans="1:16" x14ac:dyDescent="0.25">
      <c r="A1290">
        <v>8</v>
      </c>
      <c r="B1290">
        <v>17</v>
      </c>
      <c r="C1290" s="2" t="s">
        <v>7</v>
      </c>
      <c r="D1290" s="2" t="s">
        <v>16</v>
      </c>
      <c r="E1290" s="11" cm="1">
        <f t="array" aca="1" ref="E1290" ca="1">INDEX('OD flujo mercancia multimodal'!E$45:E$1645,MATCH(C1290&amp;D1290,'OD flujo mercancia multimodal'!C$45:C$1645&amp;'OD flujo mercancia multimodal'!D$45:D$1645,0))</f>
        <v>71429.950549450557</v>
      </c>
      <c r="F1290" s="11" cm="1">
        <f t="array" aca="1" ref="F1290" ca="1">INDEX('OD flujo mercancia carretera'!E$45:E$1646,MATCH(C1290&amp;D1290,'OD flujo mercancia carretera'!C$45:C$1646&amp;'OD flujo mercancia carretera'!D$45:D$1646,0))</f>
        <v>292539.4615384611</v>
      </c>
      <c r="G1290" s="11" cm="1">
        <f t="array" aca="1" ref="G1290" ca="1">INDEX('Coste Carretera'!E$46:E$1646,MATCH(C1290&amp;D1290,'Coste Carretera'!C$46:C$1646&amp;'Coste Carretera'!D$46:D$1646,0))</f>
        <v>9262455976.054287</v>
      </c>
      <c r="H1290" s="11" cm="1">
        <f t="array" aca="1" ref="H1290" ca="1">INDEX('Coste multimodal'!E$46:E$1646,MATCH(C1290&amp;D1290,'Coste multimodal'!C$46:C$1646&amp;'Coste multimodal'!D$46:D$1646,0))</f>
        <v>1203282642.5975704</v>
      </c>
      <c r="I1290" s="12" cm="1">
        <f t="array" aca="1" ref="I1290" ca="1">INDEX('Tiempos intermodal (horas)'!E$45:E$1645,MATCH(C1290&amp;D1290,'Tiempos intermodal (horas)'!C$45:C$1645&amp;'Tiempos intermodal (horas)'!D$45:D$1645,0))</f>
        <v>109.18336043660848</v>
      </c>
      <c r="J1290" s="2" cm="1">
        <f t="array" aca="1" ref="J1290" ca="1">INDEX('Tiempos carretera (horas)'!E$45:E$1645,MATCH(C1290&amp;D1290,'Tiempos carretera (horas)'!C$45:C$1645&amp;'Tiempos carretera (horas)'!D$45:D$1645,0))</f>
        <v>24</v>
      </c>
      <c r="K1290" s="12">
        <f t="shared" ca="1" si="120"/>
        <v>31.662244564692763</v>
      </c>
      <c r="L1290" s="12">
        <f t="shared" ca="1" si="121"/>
        <v>16.845631746091502</v>
      </c>
      <c r="M1290" s="12">
        <f t="shared" ca="1" si="122"/>
        <v>0.19625261952561462</v>
      </c>
      <c r="N1290" s="13">
        <f t="shared" ca="1" si="124"/>
        <v>14.816612818601261</v>
      </c>
      <c r="O1290" s="13">
        <f t="shared" ca="1" si="125"/>
        <v>-85.183360436608481</v>
      </c>
      <c r="P1290" s="12">
        <f t="shared" ca="1" si="123"/>
        <v>1.4098823119420147</v>
      </c>
    </row>
    <row r="1291" spans="1:16" x14ac:dyDescent="0.25">
      <c r="A1291">
        <v>26</v>
      </c>
      <c r="B1291">
        <v>14</v>
      </c>
      <c r="C1291" s="2" t="s">
        <v>25</v>
      </c>
      <c r="D1291" s="2" t="s">
        <v>13</v>
      </c>
      <c r="E1291" s="11" cm="1">
        <f t="array" aca="1" ref="E1291" ca="1">INDEX('OD flujo mercancia multimodal'!E$45:E$1645,MATCH(C1291&amp;D1291,'OD flujo mercancia multimodal'!C$45:C$1645&amp;'OD flujo mercancia multimodal'!D$45:D$1645,0))</f>
        <v>25088.69230769229</v>
      </c>
      <c r="F1291" s="11" cm="1">
        <f t="array" aca="1" ref="F1291" ca="1">INDEX('OD flujo mercancia carretera'!E$45:E$1646,MATCH(C1291&amp;D1291,'OD flujo mercancia carretera'!C$45:C$1646&amp;'OD flujo mercancia carretera'!D$45:D$1646,0))</f>
        <v>217460.76923076899</v>
      </c>
      <c r="G1291" s="11" cm="1">
        <f t="array" aca="1" ref="G1291" ca="1">INDEX('Coste Carretera'!E$46:E$1646,MATCH(C1291&amp;D1291,'Coste Carretera'!C$46:C$1646&amp;'Coste Carretera'!D$46:D$1646,0))</f>
        <v>867019042.95999932</v>
      </c>
      <c r="H1291" s="11" cm="1">
        <f t="array" aca="1" ref="H1291" ca="1">INDEX('Coste multimodal'!E$46:E$1646,MATCH(C1291&amp;D1291,'Coste multimodal'!C$46:C$1646&amp;'Coste multimodal'!D$46:D$1646,0))</f>
        <v>388200555.09535563</v>
      </c>
      <c r="I1291" s="12" cm="1">
        <f t="array" aca="1" ref="I1291" ca="1">INDEX('Tiempos intermodal (horas)'!E$45:E$1645,MATCH(C1291&amp;D1291,'Tiempos intermodal (horas)'!C$45:C$1645&amp;'Tiempos intermodal (horas)'!D$45:D$1645,0))</f>
        <v>92.002872812265409</v>
      </c>
      <c r="J1291" s="2" cm="1">
        <f t="array" aca="1" ref="J1291" ca="1">INDEX('Tiempos carretera (horas)'!E$45:E$1645,MATCH(C1291&amp;D1291,'Tiempos carretera (horas)'!C$45:C$1645&amp;'Tiempos carretera (horas)'!D$45:D$1645,0))</f>
        <v>6.65</v>
      </c>
      <c r="K1291" s="12">
        <f t="shared" ca="1" si="120"/>
        <v>3.9870135934262252</v>
      </c>
      <c r="L1291" s="12">
        <f t="shared" ca="1" si="121"/>
        <v>15.473128305548705</v>
      </c>
      <c r="M1291" s="12">
        <f t="shared" ca="1" si="122"/>
        <v>0.10343742735423041</v>
      </c>
      <c r="N1291" s="13">
        <f t="shared" ca="1" si="124"/>
        <v>-11.486114712122481</v>
      </c>
      <c r="O1291" s="13">
        <f t="shared" ca="1" si="125"/>
        <v>-85.352872812265403</v>
      </c>
      <c r="P1291" s="12">
        <f t="shared" ca="1" si="123"/>
        <v>2.1596012239471425</v>
      </c>
    </row>
    <row r="1292" spans="1:16" x14ac:dyDescent="0.25">
      <c r="A1292">
        <v>14</v>
      </c>
      <c r="B1292">
        <v>26</v>
      </c>
      <c r="C1292" s="2" t="s">
        <v>13</v>
      </c>
      <c r="D1292" s="2" t="s">
        <v>25</v>
      </c>
      <c r="E1292" s="11" cm="1">
        <f t="array" aca="1" ref="E1292" ca="1">INDEX('OD flujo mercancia multimodal'!E$45:E$1645,MATCH(C1292&amp;D1292,'OD flujo mercancia multimodal'!C$45:C$1645&amp;'OD flujo mercancia multimodal'!D$45:D$1645,0))</f>
        <v>15822.846153846152</v>
      </c>
      <c r="F1292" s="11" cm="1">
        <f t="array" aca="1" ref="F1292" ca="1">INDEX('OD flujo mercancia carretera'!E$45:E$1646,MATCH(C1292&amp;D1292,'OD flujo mercancia carretera'!C$45:C$1646&amp;'OD flujo mercancia carretera'!D$45:D$1646,0))</f>
        <v>150769.61538461538</v>
      </c>
      <c r="G1292" s="11" cm="1">
        <f t="array" aca="1" ref="G1292" ca="1">INDEX('Coste Carretera'!E$46:E$1646,MATCH(C1292&amp;D1292,'Coste Carretera'!C$46:C$1646&amp;'Coste Carretera'!D$46:D$1646,0))</f>
        <v>546808449.03999996</v>
      </c>
      <c r="H1292" s="11" cm="1">
        <f t="array" aca="1" ref="H1292" ca="1">INDEX('Coste multimodal'!E$46:E$1646,MATCH(C1292&amp;D1292,'Coste multimodal'!C$46:C$1646&amp;'Coste multimodal'!D$46:D$1646,0))</f>
        <v>388200555.09535563</v>
      </c>
      <c r="I1292" s="12" cm="1">
        <f t="array" aca="1" ref="I1292" ca="1">INDEX('Tiempos intermodal (horas)'!E$45:E$1645,MATCH(C1292&amp;D1292,'Tiempos intermodal (horas)'!C$45:C$1645&amp;'Tiempos intermodal (horas)'!D$45:D$1645,0))</f>
        <v>92.002872812265409</v>
      </c>
      <c r="J1292" s="2" cm="1">
        <f t="array" aca="1" ref="J1292" ca="1">INDEX('Tiempos carretera (horas)'!E$45:E$1645,MATCH(C1292&amp;D1292,'Tiempos carretera (horas)'!C$45:C$1645&amp;'Tiempos carretera (horas)'!D$45:D$1645,0))</f>
        <v>6.65</v>
      </c>
      <c r="K1292" s="12">
        <f t="shared" ca="1" si="120"/>
        <v>3.6267814814349966</v>
      </c>
      <c r="L1292" s="12">
        <f t="shared" ca="1" si="121"/>
        <v>24.534179964897998</v>
      </c>
      <c r="M1292" s="12">
        <f t="shared" ca="1" si="122"/>
        <v>9.4979364658664939E-2</v>
      </c>
      <c r="N1292" s="13">
        <f t="shared" ca="1" si="124"/>
        <v>-20.907398483463002</v>
      </c>
      <c r="O1292" s="13">
        <f t="shared" ca="1" si="125"/>
        <v>-85.352872812265403</v>
      </c>
      <c r="P1292" s="12">
        <f t="shared" ca="1" si="123"/>
        <v>2.2542980910352939</v>
      </c>
    </row>
    <row r="1293" spans="1:16" x14ac:dyDescent="0.25">
      <c r="A1293">
        <v>6</v>
      </c>
      <c r="B1293">
        <v>17</v>
      </c>
      <c r="C1293" s="2" t="s">
        <v>5</v>
      </c>
      <c r="D1293" s="2" t="s">
        <v>16</v>
      </c>
      <c r="E1293" s="11" cm="1">
        <f t="array" aca="1" ref="E1293" ca="1">INDEX('OD flujo mercancia multimodal'!E$45:E$1645,MATCH(C1293&amp;D1293,'OD flujo mercancia multimodal'!C$45:C$1645&amp;'OD flujo mercancia multimodal'!D$45:D$1645,0))</f>
        <v>75978.521978021992</v>
      </c>
      <c r="F1293" s="11" cm="1">
        <f t="array" aca="1" ref="F1293" ca="1">INDEX('OD flujo mercancia carretera'!E$45:E$1646,MATCH(C1293&amp;D1293,'OD flujo mercancia carretera'!C$45:C$1646&amp;'OD flujo mercancia carretera'!D$45:D$1646,0))</f>
        <v>303236.23809523764</v>
      </c>
      <c r="G1293" s="11" cm="1">
        <f t="array" aca="1" ref="G1293" ca="1">INDEX('Coste Carretera'!E$46:E$1646,MATCH(C1293&amp;D1293,'Coste Carretera'!C$46:C$1646&amp;'Coste Carretera'!D$46:D$1646,0))</f>
        <v>11320742031.048573</v>
      </c>
      <c r="H1293" s="11" cm="1">
        <f t="array" aca="1" ref="H1293" ca="1">INDEX('Coste multimodal'!E$46:E$1646,MATCH(C1293&amp;D1293,'Coste multimodal'!C$46:C$1646&amp;'Coste multimodal'!D$46:D$1646,0))</f>
        <v>1277374726.0048108</v>
      </c>
      <c r="I1293" s="12" cm="1">
        <f t="array" aca="1" ref="I1293" ca="1">INDEX('Tiempos intermodal (horas)'!E$45:E$1645,MATCH(C1293&amp;D1293,'Tiempos intermodal (horas)'!C$45:C$1645&amp;'Tiempos intermodal (horas)'!D$45:D$1645,0))</f>
        <v>113.40682347972972</v>
      </c>
      <c r="J1293" s="2" cm="1">
        <f t="array" aca="1" ref="J1293" ca="1">INDEX('Tiempos carretera (horas)'!E$45:E$1645,MATCH(C1293&amp;D1293,'Tiempos carretera (horas)'!C$45:C$1645&amp;'Tiempos carretera (horas)'!D$45:D$1645,0))</f>
        <v>28</v>
      </c>
      <c r="K1293" s="12">
        <f t="shared" ca="1" si="120"/>
        <v>37.333077676201285</v>
      </c>
      <c r="L1293" s="12">
        <f t="shared" ca="1" si="121"/>
        <v>16.812313437398952</v>
      </c>
      <c r="M1293" s="12">
        <f t="shared" ca="1" si="122"/>
        <v>0.20035750181069922</v>
      </c>
      <c r="N1293" s="13">
        <f t="shared" ca="1" si="124"/>
        <v>20.520764238802332</v>
      </c>
      <c r="O1293" s="13">
        <f t="shared" ca="1" si="125"/>
        <v>-85.406823479729724</v>
      </c>
      <c r="P1293" s="12">
        <f t="shared" ca="1" si="123"/>
        <v>1.3840614706166665</v>
      </c>
    </row>
    <row r="1294" spans="1:16" x14ac:dyDescent="0.25">
      <c r="A1294">
        <v>26</v>
      </c>
      <c r="B1294">
        <v>29</v>
      </c>
      <c r="C1294" s="2" t="s">
        <v>25</v>
      </c>
      <c r="D1294" s="2" t="s">
        <v>147</v>
      </c>
      <c r="E1294" s="11" cm="1">
        <f t="array" aca="1" ref="E1294" ca="1">INDEX('OD flujo mercancia multimodal'!E$45:E$1645,MATCH(C1294&amp;D1294,'OD flujo mercancia multimodal'!C$45:C$1645&amp;'OD flujo mercancia multimodal'!D$45:D$1645,0))</f>
        <v>37717.607692307698</v>
      </c>
      <c r="F1294" s="11" cm="1">
        <f t="array" aca="1" ref="F1294" ca="1">INDEX('OD flujo mercancia carretera'!E$45:E$1646,MATCH(C1294&amp;D1294,'OD flujo mercancia carretera'!C$45:C$1646&amp;'OD flujo mercancia carretera'!D$45:D$1646,0))</f>
        <v>408658.4</v>
      </c>
      <c r="G1294" s="11" cm="1">
        <f t="array" aca="1" ref="G1294" ca="1">INDEX('Coste Carretera'!E$46:E$1646,MATCH(C1294&amp;D1294,'Coste Carretera'!C$46:C$1646&amp;'Coste Carretera'!D$46:D$1646,0))</f>
        <v>1469849136.9520001</v>
      </c>
      <c r="H1294" s="11" cm="1">
        <f t="array" aca="1" ref="H1294" ca="1">INDEX('Coste multimodal'!E$46:E$1646,MATCH(C1294&amp;D1294,'Coste multimodal'!C$46:C$1646&amp;'Coste multimodal'!D$46:D$1646,0))</f>
        <v>693984268.59107542</v>
      </c>
      <c r="I1294" s="12" cm="1">
        <f t="array" aca="1" ref="I1294" ca="1">INDEX('Tiempos intermodal (horas)'!E$45:E$1645,MATCH(C1294&amp;D1294,'Tiempos intermodal (horas)'!C$45:C$1645&amp;'Tiempos intermodal (horas)'!D$45:D$1645,0))</f>
        <v>113.8873479319163</v>
      </c>
      <c r="J1294" s="2" cm="1">
        <f t="array" aca="1" ref="J1294" ca="1">INDEX('Tiempos carretera (horas)'!E$45:E$1645,MATCH(C1294&amp;D1294,'Tiempos carretera (horas)'!C$45:C$1645&amp;'Tiempos carretera (horas)'!D$45:D$1645,0))</f>
        <v>6.96</v>
      </c>
      <c r="K1294" s="12">
        <f t="shared" ca="1" si="120"/>
        <v>3.5967672191541888</v>
      </c>
      <c r="L1294" s="12">
        <f t="shared" ca="1" si="121"/>
        <v>18.399477354249321</v>
      </c>
      <c r="M1294" s="12">
        <f t="shared" ca="1" si="122"/>
        <v>8.4497390187482688E-2</v>
      </c>
      <c r="N1294" s="13">
        <f t="shared" ca="1" si="124"/>
        <v>-14.802710135095133</v>
      </c>
      <c r="O1294" s="13">
        <f t="shared" ca="1" si="125"/>
        <v>-106.9273479319163</v>
      </c>
      <c r="P1294" s="12">
        <f t="shared" ca="1" si="123"/>
        <v>2.3827525662759306</v>
      </c>
    </row>
    <row r="1295" spans="1:16" x14ac:dyDescent="0.25">
      <c r="A1295">
        <v>29</v>
      </c>
      <c r="B1295">
        <v>26</v>
      </c>
      <c r="C1295" s="2" t="s">
        <v>147</v>
      </c>
      <c r="D1295" s="2" t="s">
        <v>25</v>
      </c>
      <c r="E1295" s="11" cm="1">
        <f t="array" aca="1" ref="E1295" ca="1">INDEX('OD flujo mercancia multimodal'!E$45:E$1645,MATCH(C1295&amp;D1295,'OD flujo mercancia multimodal'!C$45:C$1645&amp;'OD flujo mercancia multimodal'!D$45:D$1645,0))</f>
        <v>27546.56923076923</v>
      </c>
      <c r="F1295" s="11" cm="1">
        <f t="array" aca="1" ref="F1295" ca="1">INDEX('OD flujo mercancia carretera'!E$45:E$1646,MATCH(C1295&amp;D1295,'OD flujo mercancia carretera'!C$45:C$1646&amp;'OD flujo mercancia carretera'!D$45:D$1646,0))</f>
        <v>409334.1</v>
      </c>
      <c r="G1295" s="11" cm="1">
        <f t="array" aca="1" ref="G1295" ca="1">INDEX('Coste Carretera'!E$46:E$1646,MATCH(C1295&amp;D1295,'Coste Carretera'!C$46:C$1646&amp;'Coste Carretera'!D$46:D$1646,0))</f>
        <v>1073485395.4719998</v>
      </c>
      <c r="H1295" s="11" cm="1">
        <f t="array" aca="1" ref="H1295" ca="1">INDEX('Coste multimodal'!E$46:E$1646,MATCH(C1295&amp;D1295,'Coste multimodal'!C$46:C$1646&amp;'Coste multimodal'!D$46:D$1646,0))</f>
        <v>693984268.59107542</v>
      </c>
      <c r="I1295" s="12" cm="1">
        <f t="array" aca="1" ref="I1295" ca="1">INDEX('Tiempos intermodal (horas)'!E$45:E$1645,MATCH(C1295&amp;D1295,'Tiempos intermodal (horas)'!C$45:C$1645&amp;'Tiempos intermodal (horas)'!D$45:D$1645,0))</f>
        <v>113.8873479319163</v>
      </c>
      <c r="J1295" s="2" cm="1">
        <f t="array" aca="1" ref="J1295" ca="1">INDEX('Tiempos carretera (horas)'!E$45:E$1645,MATCH(C1295&amp;D1295,'Tiempos carretera (horas)'!C$45:C$1645&amp;'Tiempos carretera (horas)'!D$45:D$1645,0))</f>
        <v>6.96</v>
      </c>
      <c r="K1295" s="12">
        <f t="shared" ca="1" si="120"/>
        <v>2.6225164125637219</v>
      </c>
      <c r="L1295" s="12">
        <f t="shared" ca="1" si="121"/>
        <v>25.193128871231714</v>
      </c>
      <c r="M1295" s="12">
        <f t="shared" ca="1" si="122"/>
        <v>6.3052845252392187E-2</v>
      </c>
      <c r="N1295" s="13">
        <f t="shared" ca="1" si="124"/>
        <v>-22.570612458667991</v>
      </c>
      <c r="O1295" s="13">
        <f t="shared" ca="1" si="125"/>
        <v>-106.9273479319163</v>
      </c>
      <c r="P1295" s="12">
        <f t="shared" ca="1" si="123"/>
        <v>2.6986536939855315</v>
      </c>
    </row>
    <row r="1296" spans="1:16" x14ac:dyDescent="0.25">
      <c r="A1296">
        <v>19</v>
      </c>
      <c r="B1296">
        <v>15</v>
      </c>
      <c r="C1296" s="2" t="s">
        <v>18</v>
      </c>
      <c r="D1296" s="2" t="s">
        <v>14</v>
      </c>
      <c r="E1296" s="11" cm="1">
        <f t="array" aca="1" ref="E1296" ca="1">INDEX('OD flujo mercancia multimodal'!E$45:E$1645,MATCH(C1296&amp;D1296,'OD flujo mercancia multimodal'!C$45:C$1645&amp;'OD flujo mercancia multimodal'!D$45:D$1645,0))</f>
        <v>49526.692307692276</v>
      </c>
      <c r="F1296" s="11" cm="1">
        <f t="array" aca="1" ref="F1296" ca="1">INDEX('OD flujo mercancia carretera'!E$45:E$1646,MATCH(C1296&amp;D1296,'OD flujo mercancia carretera'!C$45:C$1646&amp;'OD flujo mercancia carretera'!D$45:D$1646,0))</f>
        <v>332352.46153846203</v>
      </c>
      <c r="G1296" s="11" cm="1">
        <f t="array" aca="1" ref="G1296" ca="1">INDEX('Coste Carretera'!E$46:E$1646,MATCH(C1296&amp;D1296,'Coste Carretera'!C$46:C$1646&amp;'Coste Carretera'!D$46:D$1646,0))</f>
        <v>2814435514.1599979</v>
      </c>
      <c r="H1296" s="11" cm="1">
        <f t="array" aca="1" ref="H1296" ca="1">INDEX('Coste multimodal'!E$46:E$1646,MATCH(C1296&amp;D1296,'Coste multimodal'!C$46:C$1646&amp;'Coste multimodal'!D$46:D$1646,0))</f>
        <v>388398317.97092253</v>
      </c>
      <c r="I1296" s="12" cm="1">
        <f t="array" aca="1" ref="I1296" ca="1">INDEX('Tiempos intermodal (horas)'!E$45:E$1645,MATCH(C1296&amp;D1296,'Tiempos intermodal (horas)'!C$45:C$1645&amp;'Tiempos intermodal (horas)'!D$45:D$1645,0))</f>
        <v>109.13957015413853</v>
      </c>
      <c r="J1296" s="2" cm="1">
        <f t="array" aca="1" ref="J1296" ca="1">INDEX('Tiempos carretera (horas)'!E$45:E$1645,MATCH(C1296&amp;D1296,'Tiempos carretera (horas)'!C$45:C$1645&amp;'Tiempos carretera (horas)'!D$45:D$1645,0))</f>
        <v>12</v>
      </c>
      <c r="K1296" s="12">
        <f t="shared" ca="1" si="120"/>
        <v>8.4682252724470732</v>
      </c>
      <c r="L1296" s="12">
        <f t="shared" ca="1" si="121"/>
        <v>7.8422018486099905</v>
      </c>
      <c r="M1296" s="12">
        <f t="shared" ca="1" si="122"/>
        <v>0.12969205521924049</v>
      </c>
      <c r="N1296" s="13">
        <f t="shared" ca="1" si="124"/>
        <v>0.62602342383708276</v>
      </c>
      <c r="O1296" s="13">
        <f t="shared" ca="1" si="125"/>
        <v>-97.139570154138525</v>
      </c>
      <c r="P1296" s="12">
        <f t="shared" ca="1" si="123"/>
        <v>1.9036842741475928</v>
      </c>
    </row>
    <row r="1297" spans="1:16" x14ac:dyDescent="0.25">
      <c r="A1297">
        <v>15</v>
      </c>
      <c r="B1297">
        <v>19</v>
      </c>
      <c r="C1297" s="2" t="s">
        <v>14</v>
      </c>
      <c r="D1297" s="2" t="s">
        <v>18</v>
      </c>
      <c r="E1297" s="11" cm="1">
        <f t="array" aca="1" ref="E1297" ca="1">INDEX('OD flujo mercancia multimodal'!E$45:E$1645,MATCH(C1297&amp;D1297,'OD flujo mercancia multimodal'!C$45:C$1645&amp;'OD flujo mercancia multimodal'!D$45:D$1645,0))</f>
        <v>27551.692307692312</v>
      </c>
      <c r="F1297" s="11" cm="1">
        <f t="array" aca="1" ref="F1297" ca="1">INDEX('OD flujo mercancia carretera'!E$45:E$1646,MATCH(C1297&amp;D1297,'OD flujo mercancia carretera'!C$45:C$1646&amp;'OD flujo mercancia carretera'!D$45:D$1646,0))</f>
        <v>386735.30769230775</v>
      </c>
      <c r="G1297" s="11" cm="1">
        <f t="array" aca="1" ref="G1297" ca="1">INDEX('Coste Carretera'!E$46:E$1646,MATCH(C1297&amp;D1297,'Coste Carretera'!C$46:C$1646&amp;'Coste Carretera'!D$46:D$1646,0))</f>
        <v>1565670100.1600001</v>
      </c>
      <c r="H1297" s="11" cm="1">
        <f t="array" aca="1" ref="H1297" ca="1">INDEX('Coste multimodal'!E$46:E$1646,MATCH(C1297&amp;D1297,'Coste multimodal'!C$46:C$1646&amp;'Coste multimodal'!D$46:D$1646,0))</f>
        <v>388398317.97092253</v>
      </c>
      <c r="I1297" s="12" cm="1">
        <f t="array" aca="1" ref="I1297" ca="1">INDEX('Tiempos intermodal (horas)'!E$45:E$1645,MATCH(C1297&amp;D1297,'Tiempos intermodal (horas)'!C$45:C$1645&amp;'Tiempos intermodal (horas)'!D$45:D$1645,0))</f>
        <v>109.13957015413853</v>
      </c>
      <c r="J1297" s="2" cm="1">
        <f t="array" aca="1" ref="J1297" ca="1">INDEX('Tiempos carretera (horas)'!E$45:E$1645,MATCH(C1297&amp;D1297,'Tiempos carretera (horas)'!C$45:C$1645&amp;'Tiempos carretera (horas)'!D$45:D$1645,0))</f>
        <v>12</v>
      </c>
      <c r="K1297" s="12">
        <f t="shared" ca="1" si="120"/>
        <v>4.048428134225774</v>
      </c>
      <c r="L1297" s="12">
        <f t="shared" ca="1" si="121"/>
        <v>14.097076638101225</v>
      </c>
      <c r="M1297" s="12">
        <f t="shared" ca="1" si="122"/>
        <v>6.650387848928957E-2</v>
      </c>
      <c r="N1297" s="13">
        <f t="shared" ca="1" si="124"/>
        <v>-10.048648503875452</v>
      </c>
      <c r="O1297" s="13">
        <f t="shared" ca="1" si="125"/>
        <v>-97.139570154138525</v>
      </c>
      <c r="P1297" s="12">
        <f t="shared" ca="1" si="123"/>
        <v>2.6416765390825412</v>
      </c>
    </row>
    <row r="1298" spans="1:16" x14ac:dyDescent="0.25">
      <c r="A1298">
        <v>10</v>
      </c>
      <c r="B1298">
        <v>17</v>
      </c>
      <c r="C1298" s="2" t="s">
        <v>9</v>
      </c>
      <c r="D1298" s="2" t="s">
        <v>16</v>
      </c>
      <c r="E1298" s="11" cm="1">
        <f t="array" aca="1" ref="E1298" ca="1">INDEX('OD flujo mercancia multimodal'!E$45:E$1645,MATCH(C1298&amp;D1298,'OD flujo mercancia multimodal'!C$45:C$1645&amp;'OD flujo mercancia multimodal'!D$45:D$1645,0))</f>
        <v>78521.879120879137</v>
      </c>
      <c r="F1298" s="11" cm="1">
        <f t="array" aca="1" ref="F1298" ca="1">INDEX('OD flujo mercancia carretera'!E$45:E$1646,MATCH(C1298&amp;D1298,'OD flujo mercancia carretera'!C$45:C$1646&amp;'OD flujo mercancia carretera'!D$45:D$1646,0))</f>
        <v>266084.4615384611</v>
      </c>
      <c r="G1298" s="11" cm="1">
        <f t="array" aca="1" ref="G1298" ca="1">INDEX('Coste Carretera'!E$46:E$1646,MATCH(C1298&amp;D1298,'Coste Carretera'!C$46:C$1646&amp;'Coste Carretera'!D$46:D$1646,0))</f>
        <v>11015121443.205717</v>
      </c>
      <c r="H1298" s="11" cm="1">
        <f t="array" aca="1" ref="H1298" ca="1">INDEX('Coste multimodal'!E$46:E$1646,MATCH(C1298&amp;D1298,'Coste multimodal'!C$46:C$1646&amp;'Coste multimodal'!D$46:D$1646,0))</f>
        <v>1205253729.3019538</v>
      </c>
      <c r="I1298" s="12" cm="1">
        <f t="array" aca="1" ref="I1298" ca="1">INDEX('Tiempos intermodal (horas)'!E$45:E$1645,MATCH(C1298&amp;D1298,'Tiempos intermodal (horas)'!C$45:C$1645&amp;'Tiempos intermodal (horas)'!D$45:D$1645,0))</f>
        <v>111.85015681306305</v>
      </c>
      <c r="J1298" s="2" cm="1">
        <f t="array" aca="1" ref="J1298" ca="1">INDEX('Tiempos carretera (horas)'!E$45:E$1645,MATCH(C1298&amp;D1298,'Tiempos carretera (horas)'!C$45:C$1645&amp;'Tiempos carretera (horas)'!D$45:D$1645,0))</f>
        <v>26</v>
      </c>
      <c r="K1298" s="12">
        <f t="shared" ca="1" si="120"/>
        <v>41.397086396995562</v>
      </c>
      <c r="L1298" s="12">
        <f t="shared" ca="1" si="121"/>
        <v>15.349272620520797</v>
      </c>
      <c r="M1298" s="12">
        <f t="shared" ca="1" si="122"/>
        <v>0.22785964695438307</v>
      </c>
      <c r="N1298" s="13">
        <f t="shared" ca="1" si="124"/>
        <v>26.047813776474765</v>
      </c>
      <c r="O1298" s="13">
        <f t="shared" ca="1" si="125"/>
        <v>-85.850156813063052</v>
      </c>
      <c r="P1298" s="12">
        <f t="shared" ca="1" si="123"/>
        <v>1.2204364820918849</v>
      </c>
    </row>
    <row r="1299" spans="1:16" x14ac:dyDescent="0.25">
      <c r="A1299">
        <v>17</v>
      </c>
      <c r="B1299">
        <v>10</v>
      </c>
      <c r="C1299" s="2" t="s">
        <v>16</v>
      </c>
      <c r="D1299" s="2" t="s">
        <v>9</v>
      </c>
      <c r="E1299" s="11" cm="1">
        <f t="array" aca="1" ref="E1299" ca="1">INDEX('OD flujo mercancia multimodal'!E$45:E$1645,MATCH(C1299&amp;D1299,'OD flujo mercancia multimodal'!C$45:C$1645&amp;'OD flujo mercancia multimodal'!D$45:D$1645,0))</f>
        <v>75293.060439560461</v>
      </c>
      <c r="F1299" s="11" cm="1">
        <f t="array" aca="1" ref="F1299" ca="1">INDEX('OD flujo mercancia carretera'!E$45:E$1646,MATCH(C1299&amp;D1299,'OD flujo mercancia carretera'!C$45:C$1646&amp;'OD flujo mercancia carretera'!D$45:D$1646,0))</f>
        <v>623456.69230769237</v>
      </c>
      <c r="G1299" s="11" cm="1">
        <f t="array" aca="1" ref="G1299" ca="1">INDEX('Coste Carretera'!E$46:E$1646,MATCH(C1299&amp;D1299,'Coste Carretera'!C$46:C$1646&amp;'Coste Carretera'!D$46:D$1646,0))</f>
        <v>10562179788.077145</v>
      </c>
      <c r="H1299" s="11" cm="1">
        <f t="array" aca="1" ref="H1299" ca="1">INDEX('Coste multimodal'!E$46:E$1646,MATCH(C1299&amp;D1299,'Coste multimodal'!C$46:C$1646&amp;'Coste multimodal'!D$46:D$1646,0))</f>
        <v>1205253729.3019538</v>
      </c>
      <c r="I1299" s="12" cm="1">
        <f t="array" aca="1" ref="I1299" ca="1">INDEX('Tiempos intermodal (horas)'!E$45:E$1645,MATCH(C1299&amp;D1299,'Tiempos intermodal (horas)'!C$45:C$1645&amp;'Tiempos intermodal (horas)'!D$45:D$1645,0))</f>
        <v>111.85015681306305</v>
      </c>
      <c r="J1299" s="2" cm="1">
        <f t="array" aca="1" ref="J1299" ca="1">INDEX('Tiempos carretera (horas)'!E$45:E$1645,MATCH(C1299&amp;D1299,'Tiempos carretera (horas)'!C$45:C$1645&amp;'Tiempos carretera (horas)'!D$45:D$1645,0))</f>
        <v>26</v>
      </c>
      <c r="K1299" s="12">
        <f t="shared" ca="1" si="120"/>
        <v>16.941320733893782</v>
      </c>
      <c r="L1299" s="12">
        <f t="shared" ca="1" si="121"/>
        <v>16.00750085420475</v>
      </c>
      <c r="M1299" s="12">
        <f t="shared" ca="1" si="122"/>
        <v>0.10775397077928552</v>
      </c>
      <c r="N1299" s="13">
        <f t="shared" ca="1" si="124"/>
        <v>0.93381987968903246</v>
      </c>
      <c r="O1299" s="13">
        <f t="shared" ca="1" si="125"/>
        <v>-85.850156813063052</v>
      </c>
      <c r="P1299" s="12">
        <f t="shared" ca="1" si="123"/>
        <v>2.1138913319766051</v>
      </c>
    </row>
    <row r="1300" spans="1:16" x14ac:dyDescent="0.25">
      <c r="A1300">
        <v>15</v>
      </c>
      <c r="B1300">
        <v>20</v>
      </c>
      <c r="C1300" s="2" t="s">
        <v>14</v>
      </c>
      <c r="D1300" s="2" t="s">
        <v>19</v>
      </c>
      <c r="E1300" s="11" cm="1">
        <f t="array" aca="1" ref="E1300" ca="1">INDEX('OD flujo mercancia multimodal'!E$45:E$1645,MATCH(C1300&amp;D1300,'OD flujo mercancia multimodal'!C$45:C$1645&amp;'OD flujo mercancia multimodal'!D$45:D$1645,0))</f>
        <v>84723.461538461532</v>
      </c>
      <c r="F1300" s="11" cm="1">
        <f t="array" aca="1" ref="F1300" ca="1">INDEX('OD flujo mercancia carretera'!E$45:E$1646,MATCH(C1300&amp;D1300,'OD flujo mercancia carretera'!C$45:C$1646&amp;'OD flujo mercancia carretera'!D$45:D$1646,0))</f>
        <v>358550.58974358981</v>
      </c>
      <c r="G1300" s="11" cm="1">
        <f t="array" aca="1" ref="G1300" ca="1">INDEX('Coste Carretera'!E$46:E$1646,MATCH(C1300&amp;D1300,'Coste Carretera'!C$46:C$1646&amp;'Coste Carretera'!D$46:D$1646,0))</f>
        <v>4974737991.5999994</v>
      </c>
      <c r="H1300" s="11" cm="1">
        <f t="array" aca="1" ref="H1300" ca="1">INDEX('Coste multimodal'!E$46:E$1646,MATCH(C1300&amp;D1300,'Coste multimodal'!C$46:C$1646&amp;'Coste multimodal'!D$46:D$1646,0))</f>
        <v>101836461703.58255</v>
      </c>
      <c r="I1300" s="12" cm="1">
        <f t="array" aca="1" ref="I1300" ca="1">INDEX('Tiempos intermodal (horas)'!E$45:E$1645,MATCH(C1300&amp;D1300,'Tiempos intermodal (horas)'!C$45:C$1645&amp;'Tiempos intermodal (horas)'!D$45:D$1645,0))</f>
        <v>107.97955868172862</v>
      </c>
      <c r="J1300" s="2" cm="1">
        <f t="array" aca="1" ref="J1300" ca="1">INDEX('Tiempos carretera (horas)'!E$45:E$1645,MATCH(C1300&amp;D1300,'Tiempos carretera (horas)'!C$45:C$1645&amp;'Tiempos carretera (horas)'!D$45:D$1645,0))</f>
        <v>11.82</v>
      </c>
      <c r="K1300" s="12">
        <f t="shared" ca="1" si="120"/>
        <v>13.874577629777662</v>
      </c>
      <c r="L1300" s="12">
        <f t="shared" ca="1" si="121"/>
        <v>1201.9865554873759</v>
      </c>
      <c r="M1300" s="12">
        <f t="shared" ca="1" si="122"/>
        <v>0.19113111018662526</v>
      </c>
      <c r="N1300" s="13">
        <f t="shared" ca="1" si="124"/>
        <v>-1188.1119778575983</v>
      </c>
      <c r="O1300" s="13">
        <f t="shared" ca="1" si="125"/>
        <v>-96.159558681728612</v>
      </c>
      <c r="P1300" s="12">
        <f t="shared" ca="1" si="123"/>
        <v>1.4426772060954496</v>
      </c>
    </row>
    <row r="1301" spans="1:16" x14ac:dyDescent="0.25">
      <c r="A1301">
        <v>20</v>
      </c>
      <c r="B1301">
        <v>15</v>
      </c>
      <c r="C1301" s="2" t="s">
        <v>19</v>
      </c>
      <c r="D1301" s="2" t="s">
        <v>14</v>
      </c>
      <c r="E1301" s="11" cm="1">
        <f t="array" aca="1" ref="E1301" ca="1">INDEX('OD flujo mercancia multimodal'!E$45:E$1645,MATCH(C1301&amp;D1301,'OD flujo mercancia multimodal'!C$45:C$1645&amp;'OD flujo mercancia multimodal'!D$45:D$1645,0))</f>
        <v>79689.538461538425</v>
      </c>
      <c r="F1301" s="11" cm="1">
        <f t="array" aca="1" ref="F1301" ca="1">INDEX('OD flujo mercancia carretera'!E$45:E$1646,MATCH(C1301&amp;D1301,'OD flujo mercancia carretera'!C$45:C$1646&amp;'OD flujo mercancia carretera'!D$45:D$1646,0))</f>
        <v>353918.79487179534</v>
      </c>
      <c r="G1301" s="11" cm="1">
        <f t="array" aca="1" ref="G1301" ca="1">INDEX('Coste Carretera'!E$46:E$1646,MATCH(C1301&amp;D1301,'Coste Carretera'!C$46:C$1646&amp;'Coste Carretera'!D$46:D$1646,0))</f>
        <v>4679159318.0799971</v>
      </c>
      <c r="H1301" s="11" cm="1">
        <f t="array" aca="1" ref="H1301" ca="1">INDEX('Coste multimodal'!E$46:E$1646,MATCH(C1301&amp;D1301,'Coste multimodal'!C$46:C$1646&amp;'Coste multimodal'!D$46:D$1646,0))</f>
        <v>101836461703.58255</v>
      </c>
      <c r="I1301" s="12" cm="1">
        <f t="array" aca="1" ref="I1301" ca="1">INDEX('Tiempos intermodal (horas)'!E$45:E$1645,MATCH(C1301&amp;D1301,'Tiempos intermodal (horas)'!C$45:C$1645&amp;'Tiempos intermodal (horas)'!D$45:D$1645,0))</f>
        <v>107.97955868172862</v>
      </c>
      <c r="J1301" s="2" cm="1">
        <f t="array" aca="1" ref="J1301" ca="1">INDEX('Tiempos carretera (horas)'!E$45:E$1645,MATCH(C1301&amp;D1301,'Tiempos carretera (horas)'!C$45:C$1645&amp;'Tiempos carretera (horas)'!D$45:D$1645,0))</f>
        <v>11.82</v>
      </c>
      <c r="K1301" s="12">
        <f t="shared" ca="1" si="120"/>
        <v>13.220996979759128</v>
      </c>
      <c r="L1301" s="12">
        <f t="shared" ca="1" si="121"/>
        <v>1277.9150647576305</v>
      </c>
      <c r="M1301" s="12">
        <f t="shared" ca="1" si="122"/>
        <v>0.18378230383380934</v>
      </c>
      <c r="N1301" s="13">
        <f t="shared" ca="1" si="124"/>
        <v>-1264.6940677778714</v>
      </c>
      <c r="O1301" s="13">
        <f t="shared" ca="1" si="125"/>
        <v>-96.159558681728612</v>
      </c>
      <c r="P1301" s="12">
        <f t="shared" ca="1" si="123"/>
        <v>1.4909291780822642</v>
      </c>
    </row>
    <row r="1302" spans="1:16" x14ac:dyDescent="0.25">
      <c r="A1302">
        <v>7</v>
      </c>
      <c r="B1302">
        <v>17</v>
      </c>
      <c r="C1302" s="2" t="s">
        <v>6</v>
      </c>
      <c r="D1302" s="2" t="s">
        <v>16</v>
      </c>
      <c r="E1302" s="11" cm="1">
        <f t="array" aca="1" ref="E1302" ca="1">INDEX('OD flujo mercancia multimodal'!E$45:E$1645,MATCH(C1302&amp;D1302,'OD flujo mercancia multimodal'!C$45:C$1645&amp;'OD flujo mercancia multimodal'!D$45:D$1645,0))</f>
        <v>67273.450549450557</v>
      </c>
      <c r="F1302" s="11" cm="1">
        <f t="array" aca="1" ref="F1302" ca="1">INDEX('OD flujo mercancia carretera'!E$45:E$1646,MATCH(C1302&amp;D1302,'OD flujo mercancia carretera'!C$45:C$1646&amp;'OD flujo mercancia carretera'!D$45:D$1646,0))</f>
        <v>231543.23076923031</v>
      </c>
      <c r="G1302" s="11" cm="1">
        <f t="array" aca="1" ref="G1302" ca="1">INDEX('Coste Carretera'!E$46:E$1646,MATCH(C1302&amp;D1302,'Coste Carretera'!C$46:C$1646&amp;'Coste Carretera'!D$46:D$1646,0))</f>
        <v>9150992203.2000027</v>
      </c>
      <c r="H1302" s="11" cm="1">
        <f t="array" aca="1" ref="H1302" ca="1">INDEX('Coste multimodal'!E$46:E$1646,MATCH(C1302&amp;D1302,'Coste multimodal'!C$46:C$1646&amp;'Coste multimodal'!D$46:D$1646,0))</f>
        <v>1138685728.4705253</v>
      </c>
      <c r="I1302" s="12" cm="1">
        <f t="array" aca="1" ref="I1302" ca="1">INDEX('Tiempos intermodal (horas)'!E$45:E$1645,MATCH(C1302&amp;D1302,'Tiempos intermodal (horas)'!C$45:C$1645&amp;'Tiempos intermodal (horas)'!D$45:D$1645,0))</f>
        <v>111.30126792417417</v>
      </c>
      <c r="J1302" s="2" cm="1">
        <f t="array" aca="1" ref="J1302" ca="1">INDEX('Tiempos carretera (horas)'!E$45:E$1645,MATCH(C1302&amp;D1302,'Tiempos carretera (horas)'!C$45:C$1645&amp;'Tiempos carretera (horas)'!D$45:D$1645,0))</f>
        <v>25</v>
      </c>
      <c r="K1302" s="12">
        <f t="shared" ca="1" si="120"/>
        <v>39.52174361910162</v>
      </c>
      <c r="L1302" s="12">
        <f t="shared" ca="1" si="121"/>
        <v>16.926227496440276</v>
      </c>
      <c r="M1302" s="12">
        <f t="shared" ca="1" si="122"/>
        <v>0.22513284818160811</v>
      </c>
      <c r="N1302" s="13">
        <f t="shared" ca="1" si="124"/>
        <v>22.595516122661344</v>
      </c>
      <c r="O1302" s="13">
        <f t="shared" ca="1" si="125"/>
        <v>-86.301267924174169</v>
      </c>
      <c r="P1302" s="12">
        <f t="shared" ca="1" si="123"/>
        <v>1.2360009333230908</v>
      </c>
    </row>
    <row r="1303" spans="1:16" x14ac:dyDescent="0.25">
      <c r="A1303">
        <v>17</v>
      </c>
      <c r="B1303">
        <v>7</v>
      </c>
      <c r="C1303" s="2" t="s">
        <v>16</v>
      </c>
      <c r="D1303" s="2" t="s">
        <v>6</v>
      </c>
      <c r="E1303" s="11" cm="1">
        <f t="array" aca="1" ref="E1303" ca="1">INDEX('OD flujo mercancia multimodal'!E$45:E$1645,MATCH(C1303&amp;D1303,'OD flujo mercancia multimodal'!C$45:C$1645&amp;'OD flujo mercancia multimodal'!D$45:D$1645,0))</f>
        <v>59167.631868131866</v>
      </c>
      <c r="F1303" s="11" cm="1">
        <f t="array" aca="1" ref="F1303" ca="1">INDEX('OD flujo mercancia carretera'!E$45:E$1646,MATCH(C1303&amp;D1303,'OD flujo mercancia carretera'!C$45:C$1646&amp;'OD flujo mercancia carretera'!D$45:D$1646,0))</f>
        <v>591149.84615384613</v>
      </c>
      <c r="G1303" s="11" cm="1">
        <f t="array" aca="1" ref="G1303" ca="1">INDEX('Coste Carretera'!E$46:E$1646,MATCH(C1303&amp;D1303,'Coste Carretera'!C$46:C$1646&amp;'Coste Carretera'!D$46:D$1646,0))</f>
        <v>8048383626.6000004</v>
      </c>
      <c r="H1303" s="11" cm="1">
        <f t="array" aca="1" ref="H1303" ca="1">INDEX('Coste multimodal'!E$46:E$1646,MATCH(C1303&amp;D1303,'Coste multimodal'!C$46:C$1646&amp;'Coste multimodal'!D$46:D$1646,0))</f>
        <v>1138685728.4705253</v>
      </c>
      <c r="I1303" s="12" cm="1">
        <f t="array" aca="1" ref="I1303" ca="1">INDEX('Tiempos intermodal (horas)'!E$45:E$1645,MATCH(C1303&amp;D1303,'Tiempos intermodal (horas)'!C$45:C$1645&amp;'Tiempos intermodal (horas)'!D$45:D$1645,0))</f>
        <v>111.30126792417417</v>
      </c>
      <c r="J1303" s="2" cm="1">
        <f t="array" aca="1" ref="J1303" ca="1">INDEX('Tiempos carretera (horas)'!E$45:E$1645,MATCH(C1303&amp;D1303,'Tiempos carretera (horas)'!C$45:C$1645&amp;'Tiempos carretera (horas)'!D$45:D$1645,0))</f>
        <v>25</v>
      </c>
      <c r="K1303" s="12">
        <f t="shared" ca="1" si="120"/>
        <v>13.614794419662958</v>
      </c>
      <c r="L1303" s="12">
        <f t="shared" ca="1" si="121"/>
        <v>19.245078643815553</v>
      </c>
      <c r="M1303" s="12">
        <f t="shared" ca="1" si="122"/>
        <v>9.0982687483808111E-2</v>
      </c>
      <c r="N1303" s="13">
        <f t="shared" ca="1" si="124"/>
        <v>-5.6302842241525948</v>
      </c>
      <c r="O1303" s="13">
        <f t="shared" ca="1" si="125"/>
        <v>-86.301267924174169</v>
      </c>
      <c r="P1303" s="12">
        <f t="shared" ca="1" si="123"/>
        <v>2.3016948986816588</v>
      </c>
    </row>
    <row r="1304" spans="1:16" x14ac:dyDescent="0.25">
      <c r="A1304">
        <v>18</v>
      </c>
      <c r="B1304">
        <v>29</v>
      </c>
      <c r="C1304" s="2" t="s">
        <v>17</v>
      </c>
      <c r="D1304" s="2" t="s">
        <v>147</v>
      </c>
      <c r="E1304" s="11" cm="1">
        <f t="array" aca="1" ref="E1304" ca="1">INDEX('OD flujo mercancia multimodal'!E$45:E$1645,MATCH(C1304&amp;D1304,'OD flujo mercancia multimodal'!C$45:C$1645&amp;'OD flujo mercancia multimodal'!D$45:D$1645,0))</f>
        <v>43275.915384615386</v>
      </c>
      <c r="F1304" s="11" cm="1">
        <f t="array" aca="1" ref="F1304" ca="1">INDEX('OD flujo mercancia carretera'!E$45:E$1646,MATCH(C1304&amp;D1304,'OD flujo mercancia carretera'!C$45:C$1646&amp;'OD flujo mercancia carretera'!D$45:D$1646,0))</f>
        <v>416958.0153846154</v>
      </c>
      <c r="G1304" s="11" cm="1">
        <f t="array" aca="1" ref="G1304" ca="1">INDEX('Coste Carretera'!E$46:E$1646,MATCH(C1304&amp;D1304,'Coste Carretera'!C$46:C$1646&amp;'Coste Carretera'!D$46:D$1646,0))</f>
        <v>3391093805.3919997</v>
      </c>
      <c r="H1304" s="11" cm="1">
        <f t="array" aca="1" ref="H1304" ca="1">INDEX('Coste multimodal'!E$46:E$1646,MATCH(C1304&amp;D1304,'Coste multimodal'!C$46:C$1646&amp;'Coste multimodal'!D$46:D$1646,0))</f>
        <v>1080242356.8861609</v>
      </c>
      <c r="I1304" s="12" cm="1">
        <f t="array" aca="1" ref="I1304" ca="1">INDEX('Tiempos intermodal (horas)'!E$45:E$1645,MATCH(C1304&amp;D1304,'Tiempos intermodal (horas)'!C$45:C$1645&amp;'Tiempos intermodal (horas)'!D$45:D$1645,0))</f>
        <v>110.9107965381006</v>
      </c>
      <c r="J1304" s="2" cm="1">
        <f t="array" aca="1" ref="J1304" ca="1">INDEX('Tiempos carretera (horas)'!E$45:E$1645,MATCH(C1304&amp;D1304,'Tiempos carretera (horas)'!C$45:C$1645&amp;'Tiempos carretera (horas)'!D$45:D$1645,0))</f>
        <v>15.25</v>
      </c>
      <c r="K1304" s="12">
        <f t="shared" ca="1" si="120"/>
        <v>8.1329382822007776</v>
      </c>
      <c r="L1304" s="12">
        <f t="shared" ca="1" si="121"/>
        <v>24.96174482470191</v>
      </c>
      <c r="M1304" s="12">
        <f t="shared" ca="1" si="122"/>
        <v>9.403025829122251E-2</v>
      </c>
      <c r="N1304" s="13">
        <f t="shared" ca="1" si="124"/>
        <v>-16.828806542501134</v>
      </c>
      <c r="O1304" s="13">
        <f t="shared" ca="1" si="125"/>
        <v>-95.660796538100598</v>
      </c>
      <c r="P1304" s="12">
        <f t="shared" ca="1" si="123"/>
        <v>2.2653892806253286</v>
      </c>
    </row>
    <row r="1305" spans="1:16" x14ac:dyDescent="0.25">
      <c r="A1305">
        <v>29</v>
      </c>
      <c r="B1305">
        <v>18</v>
      </c>
      <c r="C1305" s="2" t="s">
        <v>147</v>
      </c>
      <c r="D1305" s="2" t="s">
        <v>17</v>
      </c>
      <c r="E1305" s="11" cm="1">
        <f t="array" aca="1" ref="E1305" ca="1">INDEX('OD flujo mercancia multimodal'!E$45:E$1645,MATCH(C1305&amp;D1305,'OD flujo mercancia multimodal'!C$45:C$1645&amp;'OD flujo mercancia multimodal'!D$45:D$1645,0))</f>
        <v>47014.569230769201</v>
      </c>
      <c r="F1305" s="11" cm="1">
        <f t="array" aca="1" ref="F1305" ca="1">INDEX('OD flujo mercancia carretera'!E$45:E$1646,MATCH(C1305&amp;D1305,'OD flujo mercancia carretera'!C$45:C$1646&amp;'OD flujo mercancia carretera'!D$45:D$1646,0))</f>
        <v>415291.4846153846</v>
      </c>
      <c r="G1305" s="11" cm="1">
        <f t="array" aca="1" ref="G1305" ca="1">INDEX('Coste Carretera'!E$46:E$1646,MATCH(C1305&amp;D1305,'Coste Carretera'!C$46:C$1646&amp;'Coste Carretera'!D$46:D$1646,0))</f>
        <v>3684054122.5919976</v>
      </c>
      <c r="H1305" s="11" cm="1">
        <f t="array" aca="1" ref="H1305" ca="1">INDEX('Coste multimodal'!E$46:E$1646,MATCH(C1305&amp;D1305,'Coste multimodal'!C$46:C$1646&amp;'Coste multimodal'!D$46:D$1646,0))</f>
        <v>1080242356.8861609</v>
      </c>
      <c r="I1305" s="12" cm="1">
        <f t="array" aca="1" ref="I1305" ca="1">INDEX('Tiempos intermodal (horas)'!E$45:E$1645,MATCH(C1305&amp;D1305,'Tiempos intermodal (horas)'!C$45:C$1645&amp;'Tiempos intermodal (horas)'!D$45:D$1645,0))</f>
        <v>110.9107965381006</v>
      </c>
      <c r="J1305" s="2" cm="1">
        <f t="array" aca="1" ref="J1305" ca="1">INDEX('Tiempos carretera (horas)'!E$45:E$1645,MATCH(C1305&amp;D1305,'Tiempos carretera (horas)'!C$45:C$1645&amp;'Tiempos carretera (horas)'!D$45:D$1645,0))</f>
        <v>15.25</v>
      </c>
      <c r="K1305" s="12">
        <f t="shared" ca="1" si="120"/>
        <v>8.87100809688868</v>
      </c>
      <c r="L1305" s="12">
        <f t="shared" ca="1" si="121"/>
        <v>22.976757514970153</v>
      </c>
      <c r="M1305" s="12">
        <f t="shared" ca="1" si="122"/>
        <v>0.10169576807318796</v>
      </c>
      <c r="N1305" s="13">
        <f t="shared" ca="1" si="124"/>
        <v>-14.105749418081473</v>
      </c>
      <c r="O1305" s="13">
        <f t="shared" ca="1" si="125"/>
        <v>-95.660796538100598</v>
      </c>
      <c r="P1305" s="12">
        <f t="shared" ca="1" si="123"/>
        <v>2.1785231089412718</v>
      </c>
    </row>
    <row r="1306" spans="1:16" x14ac:dyDescent="0.25">
      <c r="A1306">
        <v>22</v>
      </c>
      <c r="B1306">
        <v>18</v>
      </c>
      <c r="C1306" s="2" t="s">
        <v>21</v>
      </c>
      <c r="D1306" s="2" t="s">
        <v>17</v>
      </c>
      <c r="E1306" s="11" cm="1">
        <f t="array" aca="1" ref="E1306" ca="1">INDEX('OD flujo mercancia multimodal'!E$45:E$1645,MATCH(C1306&amp;D1306,'OD flujo mercancia multimodal'!C$45:C$1645&amp;'OD flujo mercancia multimodal'!D$45:D$1645,0))</f>
        <v>32401.307692307662</v>
      </c>
      <c r="F1306" s="11" cm="1">
        <f t="array" aca="1" ref="F1306" ca="1">INDEX('OD flujo mercancia carretera'!E$45:E$1646,MATCH(C1306&amp;D1306,'OD flujo mercancia carretera'!C$45:C$1646&amp;'OD flujo mercancia carretera'!D$45:D$1646,0))</f>
        <v>179747.05128205125</v>
      </c>
      <c r="G1306" s="11" cm="1">
        <f t="array" aca="1" ref="G1306" ca="1">INDEX('Coste Carretera'!E$46:E$1646,MATCH(C1306&amp;D1306,'Coste Carretera'!C$46:C$1646&amp;'Coste Carretera'!D$46:D$1646,0))</f>
        <v>2414735968.9199977</v>
      </c>
      <c r="H1306" s="11" cm="1">
        <f t="array" aca="1" ref="H1306" ca="1">INDEX('Coste multimodal'!E$46:E$1646,MATCH(C1306&amp;D1306,'Coste multimodal'!C$46:C$1646&amp;'Coste multimodal'!D$46:D$1646,0))</f>
        <v>900173097.45398664</v>
      </c>
      <c r="I1306" s="12" cm="1">
        <f t="array" aca="1" ref="I1306" ca="1">INDEX('Tiempos intermodal (horas)'!E$45:E$1645,MATCH(C1306&amp;D1306,'Tiempos intermodal (horas)'!C$45:C$1645&amp;'Tiempos intermodal (horas)'!D$45:D$1645,0))</f>
        <v>110.46635209365616</v>
      </c>
      <c r="J1306" s="2" cm="1">
        <f t="array" aca="1" ref="J1306" ca="1">INDEX('Tiempos carretera (horas)'!E$45:E$1645,MATCH(C1306&amp;D1306,'Tiempos carretera (horas)'!C$45:C$1645&amp;'Tiempos carretera (horas)'!D$45:D$1645,0))</f>
        <v>14.78</v>
      </c>
      <c r="K1306" s="12">
        <f t="shared" ref="K1306:K1369" ca="1" si="126">G1306/(F1306*1000)</f>
        <v>13.434078343409922</v>
      </c>
      <c r="L1306" s="12">
        <f t="shared" ref="L1306:L1369" ca="1" si="127">H1306/(E1306*1000)</f>
        <v>27.781998986037689</v>
      </c>
      <c r="M1306" s="12">
        <f t="shared" ref="M1306:M1369" ca="1" si="128">E1306/(E1306+F1306)</f>
        <v>0.15272947596179054</v>
      </c>
      <c r="N1306" s="13">
        <f t="shared" ca="1" si="124"/>
        <v>-14.347920642627766</v>
      </c>
      <c r="O1306" s="13">
        <f t="shared" ca="1" si="125"/>
        <v>-95.686352093656154</v>
      </c>
      <c r="P1306" s="12">
        <f t="shared" ref="P1306:P1369" ca="1" si="129">LN(1/M1306-1)</f>
        <v>1.7133518090586213</v>
      </c>
    </row>
    <row r="1307" spans="1:16" x14ac:dyDescent="0.25">
      <c r="A1307">
        <v>18</v>
      </c>
      <c r="B1307">
        <v>22</v>
      </c>
      <c r="C1307" s="2" t="s">
        <v>17</v>
      </c>
      <c r="D1307" s="2" t="s">
        <v>21</v>
      </c>
      <c r="E1307" s="11" cm="1">
        <f t="array" aca="1" ref="E1307" ca="1">INDEX('OD flujo mercancia multimodal'!E$45:E$1645,MATCH(C1307&amp;D1307,'OD flujo mercancia multimodal'!C$45:C$1645&amp;'OD flujo mercancia multimodal'!D$45:D$1645,0))</f>
        <v>28471.769230769183</v>
      </c>
      <c r="F1307" s="11" cm="1">
        <f t="array" aca="1" ref="F1307" ca="1">INDEX('OD flujo mercancia carretera'!E$45:E$1646,MATCH(C1307&amp;D1307,'OD flujo mercancia carretera'!C$45:C$1646&amp;'OD flujo mercancia carretera'!D$45:D$1646,0))</f>
        <v>182016.94871794837</v>
      </c>
      <c r="G1307" s="11" cm="1">
        <f t="array" aca="1" ref="G1307" ca="1">INDEX('Coste Carretera'!E$46:E$1646,MATCH(C1307&amp;D1307,'Coste Carretera'!C$46:C$1646&amp;'Coste Carretera'!D$46:D$1646,0))</f>
        <v>2121883657.0799966</v>
      </c>
      <c r="H1307" s="11" cm="1">
        <f t="array" aca="1" ref="H1307" ca="1">INDEX('Coste multimodal'!E$46:E$1646,MATCH(C1307&amp;D1307,'Coste multimodal'!C$46:C$1646&amp;'Coste multimodal'!D$46:D$1646,0))</f>
        <v>900173097.45398664</v>
      </c>
      <c r="I1307" s="12" cm="1">
        <f t="array" aca="1" ref="I1307" ca="1">INDEX('Tiempos intermodal (horas)'!E$45:E$1645,MATCH(C1307&amp;D1307,'Tiempos intermodal (horas)'!C$45:C$1645&amp;'Tiempos intermodal (horas)'!D$45:D$1645,0))</f>
        <v>110.46635209365616</v>
      </c>
      <c r="J1307" s="2" cm="1">
        <f t="array" aca="1" ref="J1307" ca="1">INDEX('Tiempos carretera (horas)'!E$45:E$1645,MATCH(C1307&amp;D1307,'Tiempos carretera (horas)'!C$45:C$1645&amp;'Tiempos carretera (horas)'!D$45:D$1645,0))</f>
        <v>14.78</v>
      </c>
      <c r="K1307" s="12">
        <f t="shared" ca="1" si="126"/>
        <v>11.657615799109159</v>
      </c>
      <c r="L1307" s="12">
        <f t="shared" ca="1" si="127"/>
        <v>31.616338632064274</v>
      </c>
      <c r="M1307" s="12">
        <f t="shared" ca="1" si="128"/>
        <v>0.13526506079867856</v>
      </c>
      <c r="N1307" s="13">
        <f t="shared" ca="1" si="124"/>
        <v>-19.958722832955115</v>
      </c>
      <c r="O1307" s="13">
        <f t="shared" ca="1" si="125"/>
        <v>-95.686352093656154</v>
      </c>
      <c r="P1307" s="12">
        <f t="shared" ca="1" si="129"/>
        <v>1.8551867645187226</v>
      </c>
    </row>
    <row r="1308" spans="1:16" x14ac:dyDescent="0.25">
      <c r="A1308">
        <v>16</v>
      </c>
      <c r="B1308">
        <v>22</v>
      </c>
      <c r="C1308" s="2" t="s">
        <v>15</v>
      </c>
      <c r="D1308" s="2" t="s">
        <v>21</v>
      </c>
      <c r="E1308" s="11" cm="1">
        <f t="array" aca="1" ref="E1308" ca="1">INDEX('OD flujo mercancia multimodal'!E$45:E$1645,MATCH(C1308&amp;D1308,'OD flujo mercancia multimodal'!C$45:C$1645&amp;'OD flujo mercancia multimodal'!D$45:D$1645,0))</f>
        <v>57062.615384615339</v>
      </c>
      <c r="F1308" s="11" cm="1">
        <f t="array" aca="1" ref="F1308" ca="1">INDEX('OD flujo mercancia carretera'!E$45:E$1646,MATCH(C1308&amp;D1308,'OD flujo mercancia carretera'!C$45:C$1646&amp;'OD flujo mercancia carretera'!D$45:D$1646,0))</f>
        <v>295863.87179487146</v>
      </c>
      <c r="G1308" s="11" cm="1">
        <f t="array" aca="1" ref="G1308" ca="1">INDEX('Coste Carretera'!E$46:E$1646,MATCH(C1308&amp;D1308,'Coste Carretera'!C$46:C$1646&amp;'Coste Carretera'!D$46:D$1646,0))</f>
        <v>3545366486.4799972</v>
      </c>
      <c r="H1308" s="11" cm="1">
        <f t="array" aca="1" ref="H1308" ca="1">INDEX('Coste multimodal'!E$46:E$1646,MATCH(C1308&amp;D1308,'Coste multimodal'!C$46:C$1646&amp;'Coste multimodal'!D$46:D$1646,0))</f>
        <v>906760104.54598665</v>
      </c>
      <c r="I1308" s="12" cm="1">
        <f t="array" aca="1" ref="I1308" ca="1">INDEX('Tiempos intermodal (horas)'!E$45:E$1645,MATCH(C1308&amp;D1308,'Tiempos intermodal (horas)'!C$45:C$1645&amp;'Tiempos intermodal (horas)'!D$45:D$1645,0))</f>
        <v>108.42524098254503</v>
      </c>
      <c r="J1308" s="2" cm="1">
        <f t="array" aca="1" ref="J1308" ca="1">INDEX('Tiempos carretera (horas)'!E$45:E$1645,MATCH(C1308&amp;D1308,'Tiempos carretera (horas)'!C$45:C$1645&amp;'Tiempos carretera (horas)'!D$45:D$1645,0))</f>
        <v>12.26</v>
      </c>
      <c r="K1308" s="12">
        <f t="shared" ca="1" si="126"/>
        <v>11.983100420378712</v>
      </c>
      <c r="L1308" s="12">
        <f t="shared" ca="1" si="127"/>
        <v>15.8906159213736</v>
      </c>
      <c r="M1308" s="12">
        <f t="shared" ca="1" si="128"/>
        <v>0.16168413949501947</v>
      </c>
      <c r="N1308" s="13">
        <f t="shared" ca="1" si="124"/>
        <v>-3.9075155009948883</v>
      </c>
      <c r="O1308" s="13">
        <f t="shared" ca="1" si="125"/>
        <v>-96.165240982545029</v>
      </c>
      <c r="P1308" s="12">
        <f t="shared" ca="1" si="129"/>
        <v>1.6457502755286846</v>
      </c>
    </row>
    <row r="1309" spans="1:16" x14ac:dyDescent="0.25">
      <c r="A1309">
        <v>22</v>
      </c>
      <c r="B1309">
        <v>16</v>
      </c>
      <c r="C1309" s="2" t="s">
        <v>21</v>
      </c>
      <c r="D1309" s="2" t="s">
        <v>15</v>
      </c>
      <c r="E1309" s="11" cm="1">
        <f t="array" aca="1" ref="E1309" ca="1">INDEX('OD flujo mercancia multimodal'!E$45:E$1645,MATCH(C1309&amp;D1309,'OD flujo mercancia multimodal'!C$45:C$1645&amp;'OD flujo mercancia multimodal'!D$45:D$1645,0))</f>
        <v>46075.769230769263</v>
      </c>
      <c r="F1309" s="11" cm="1">
        <f t="array" aca="1" ref="F1309" ca="1">INDEX('OD flujo mercancia carretera'!E$45:E$1646,MATCH(C1309&amp;D1309,'OD flujo mercancia carretera'!C$45:C$1646&amp;'OD flujo mercancia carretera'!D$45:D$1646,0))</f>
        <v>657692.35897435865</v>
      </c>
      <c r="G1309" s="11" cm="1">
        <f t="array" aca="1" ref="G1309" ca="1">INDEX('Coste Carretera'!E$46:E$1646,MATCH(C1309&amp;D1309,'Coste Carretera'!C$46:C$1646&amp;'Coste Carretera'!D$46:D$1646,0))</f>
        <v>2862740990.2000017</v>
      </c>
      <c r="H1309" s="11" cm="1">
        <f t="array" aca="1" ref="H1309" ca="1">INDEX('Coste multimodal'!E$46:E$1646,MATCH(C1309&amp;D1309,'Coste multimodal'!C$46:C$1646&amp;'Coste multimodal'!D$46:D$1646,0))</f>
        <v>906760104.54598665</v>
      </c>
      <c r="I1309" s="12" cm="1">
        <f t="array" aca="1" ref="I1309" ca="1">INDEX('Tiempos intermodal (horas)'!E$45:E$1645,MATCH(C1309&amp;D1309,'Tiempos intermodal (horas)'!C$45:C$1645&amp;'Tiempos intermodal (horas)'!D$45:D$1645,0))</f>
        <v>108.42524098254503</v>
      </c>
      <c r="J1309" s="2" cm="1">
        <f t="array" aca="1" ref="J1309" ca="1">INDEX('Tiempos carretera (horas)'!E$45:E$1645,MATCH(C1309&amp;D1309,'Tiempos carretera (horas)'!C$45:C$1645&amp;'Tiempos carretera (horas)'!D$45:D$1645,0))</f>
        <v>12.26</v>
      </c>
      <c r="K1309" s="12">
        <f t="shared" ca="1" si="126"/>
        <v>4.3527052597422848</v>
      </c>
      <c r="L1309" s="12">
        <f t="shared" ca="1" si="127"/>
        <v>19.679760526720735</v>
      </c>
      <c r="M1309" s="12">
        <f t="shared" ca="1" si="128"/>
        <v>6.5470099290059813E-2</v>
      </c>
      <c r="N1309" s="13">
        <f t="shared" ca="1" si="124"/>
        <v>-15.32705526697845</v>
      </c>
      <c r="O1309" s="13">
        <f t="shared" ca="1" si="125"/>
        <v>-96.165240982545029</v>
      </c>
      <c r="P1309" s="12">
        <f t="shared" ca="1" si="129"/>
        <v>2.6584500838378382</v>
      </c>
    </row>
    <row r="1310" spans="1:16" x14ac:dyDescent="0.25">
      <c r="A1310">
        <v>16</v>
      </c>
      <c r="B1310">
        <v>29</v>
      </c>
      <c r="C1310" s="2" t="s">
        <v>15</v>
      </c>
      <c r="D1310" s="2" t="s">
        <v>147</v>
      </c>
      <c r="E1310" s="11" cm="1">
        <f t="array" aca="1" ref="E1310" ca="1">INDEX('OD flujo mercancia multimodal'!E$45:E$1645,MATCH(C1310&amp;D1310,'OD flujo mercancia multimodal'!C$45:C$1645&amp;'OD flujo mercancia multimodal'!D$45:D$1645,0))</f>
        <v>71866.761538461549</v>
      </c>
      <c r="F1310" s="11" cm="1">
        <f t="array" aca="1" ref="F1310" ca="1">INDEX('OD flujo mercancia carretera'!E$45:E$1646,MATCH(C1310&amp;D1310,'OD flujo mercancia carretera'!C$45:C$1646&amp;'OD flujo mercancia carretera'!D$45:D$1646,0))</f>
        <v>530804.93846153852</v>
      </c>
      <c r="G1310" s="11" cm="1">
        <f t="array" aca="1" ref="G1310" ca="1">INDEX('Coste Carretera'!E$46:E$1646,MATCH(C1310&amp;D1310,'Coste Carretera'!C$46:C$1646&amp;'Coste Carretera'!D$46:D$1646,0))</f>
        <v>4740699548.8960009</v>
      </c>
      <c r="H1310" s="11" cm="1">
        <f t="array" aca="1" ref="H1310" ca="1">INDEX('Coste multimodal'!E$46:E$1646,MATCH(C1310&amp;D1310,'Coste multimodal'!C$46:C$1646&amp;'Coste multimodal'!D$46:D$1646,0))</f>
        <v>1086829363.9781609</v>
      </c>
      <c r="I1310" s="12" cm="1">
        <f t="array" aca="1" ref="I1310" ca="1">INDEX('Tiempos intermodal (horas)'!E$45:E$1645,MATCH(C1310&amp;D1310,'Tiempos intermodal (horas)'!C$45:C$1645&amp;'Tiempos intermodal (horas)'!D$45:D$1645,0))</f>
        <v>108.86968542698949</v>
      </c>
      <c r="J1310" s="2" cm="1">
        <f t="array" aca="1" ref="J1310" ca="1">INDEX('Tiempos carretera (horas)'!E$45:E$1645,MATCH(C1310&amp;D1310,'Tiempos carretera (horas)'!C$45:C$1645&amp;'Tiempos carretera (horas)'!D$45:D$1645,0))</f>
        <v>12.62</v>
      </c>
      <c r="K1310" s="12">
        <f t="shared" ca="1" si="126"/>
        <v>8.9311519268005206</v>
      </c>
      <c r="L1310" s="12">
        <f t="shared" ca="1" si="127"/>
        <v>15.12283760548349</v>
      </c>
      <c r="M1310" s="12">
        <f t="shared" ca="1" si="128"/>
        <v>0.11924694910755149</v>
      </c>
      <c r="N1310" s="13">
        <f t="shared" ca="1" si="124"/>
        <v>-6.191685678682969</v>
      </c>
      <c r="O1310" s="13">
        <f t="shared" ca="1" si="125"/>
        <v>-96.249685426989487</v>
      </c>
      <c r="P1310" s="12">
        <f t="shared" ca="1" si="129"/>
        <v>1.9995807357489233</v>
      </c>
    </row>
    <row r="1311" spans="1:16" x14ac:dyDescent="0.25">
      <c r="A1311">
        <v>29</v>
      </c>
      <c r="B1311">
        <v>16</v>
      </c>
      <c r="C1311" s="2" t="s">
        <v>147</v>
      </c>
      <c r="D1311" s="2" t="s">
        <v>15</v>
      </c>
      <c r="E1311" s="11" cm="1">
        <f t="array" aca="1" ref="E1311" ca="1">INDEX('OD flujo mercancia multimodal'!E$45:E$1645,MATCH(C1311&amp;D1311,'OD flujo mercancia multimodal'!C$45:C$1645&amp;'OD flujo mercancia multimodal'!D$45:D$1645,0))</f>
        <v>60689.030769230798</v>
      </c>
      <c r="F1311" s="11" cm="1">
        <f t="array" aca="1" ref="F1311" ca="1">INDEX('OD flujo mercancia carretera'!E$45:E$1646,MATCH(C1311&amp;D1311,'OD flujo mercancia carretera'!C$45:C$1646&amp;'OD flujo mercancia carretera'!D$45:D$1646,0))</f>
        <v>893236.792307692</v>
      </c>
      <c r="G1311" s="11" cm="1">
        <f t="array" aca="1" ref="G1311" ca="1">INDEX('Coste Carretera'!E$46:E$1646,MATCH(C1311&amp;D1311,'Coste Carretera'!C$46:C$1646&amp;'Coste Carretera'!D$46:D$1646,0))</f>
        <v>4003359197.3760018</v>
      </c>
      <c r="H1311" s="11" cm="1">
        <f t="array" aca="1" ref="H1311" ca="1">INDEX('Coste multimodal'!E$46:E$1646,MATCH(C1311&amp;D1311,'Coste multimodal'!C$46:C$1646&amp;'Coste multimodal'!D$46:D$1646,0))</f>
        <v>1086829363.9781609</v>
      </c>
      <c r="I1311" s="12" cm="1">
        <f t="array" aca="1" ref="I1311" ca="1">INDEX('Tiempos intermodal (horas)'!E$45:E$1645,MATCH(C1311&amp;D1311,'Tiempos intermodal (horas)'!C$45:C$1645&amp;'Tiempos intermodal (horas)'!D$45:D$1645,0))</f>
        <v>108.86968542698949</v>
      </c>
      <c r="J1311" s="2" cm="1">
        <f t="array" aca="1" ref="J1311" ca="1">INDEX('Tiempos carretera (horas)'!E$45:E$1645,MATCH(C1311&amp;D1311,'Tiempos carretera (horas)'!C$45:C$1645&amp;'Tiempos carretera (horas)'!D$45:D$1645,0))</f>
        <v>12.62</v>
      </c>
      <c r="K1311" s="12">
        <f t="shared" ca="1" si="126"/>
        <v>4.4818565825454382</v>
      </c>
      <c r="L1311" s="12">
        <f t="shared" ca="1" si="127"/>
        <v>17.908168085775081</v>
      </c>
      <c r="M1311" s="12">
        <f t="shared" ca="1" si="128"/>
        <v>6.3620282941367595E-2</v>
      </c>
      <c r="N1311" s="13">
        <f t="shared" ca="1" si="124"/>
        <v>-13.426311503229643</v>
      </c>
      <c r="O1311" s="13">
        <f t="shared" ca="1" si="125"/>
        <v>-96.249685426989487</v>
      </c>
      <c r="P1311" s="12">
        <f t="shared" ca="1" si="129"/>
        <v>2.6890887411534479</v>
      </c>
    </row>
    <row r="1312" spans="1:16" x14ac:dyDescent="0.25">
      <c r="A1312">
        <v>26</v>
      </c>
      <c r="B1312">
        <v>23</v>
      </c>
      <c r="C1312" s="2" t="s">
        <v>25</v>
      </c>
      <c r="D1312" s="2" t="s">
        <v>22</v>
      </c>
      <c r="E1312" s="11" cm="1">
        <f t="array" aca="1" ref="E1312" ca="1">INDEX('OD flujo mercancia multimodal'!E$45:E$1645,MATCH(C1312&amp;D1312,'OD flujo mercancia multimodal'!C$45:C$1645&amp;'OD flujo mercancia multimodal'!D$45:D$1645,0))</f>
        <v>7592.0000000000027</v>
      </c>
      <c r="F1312" s="11" cm="1">
        <f t="array" aca="1" ref="F1312" ca="1">INDEX('OD flujo mercancia carretera'!E$45:E$1646,MATCH(C1312&amp;D1312,'OD flujo mercancia carretera'!C$45:C$1646&amp;'OD flujo mercancia carretera'!D$45:D$1646,0))</f>
        <v>157453.66666666701</v>
      </c>
      <c r="G1312" s="11" cm="1">
        <f t="array" aca="1" ref="G1312" ca="1">INDEX('Coste Carretera'!E$46:E$1646,MATCH(C1312&amp;D1312,'Coste Carretera'!C$46:C$1646&amp;'Coste Carretera'!D$46:D$1646,0))</f>
        <v>206941824.96000007</v>
      </c>
      <c r="H1312" s="11" cm="1">
        <f t="array" aca="1" ref="H1312" ca="1">INDEX('Coste multimodal'!E$46:E$1646,MATCH(C1312&amp;D1312,'Coste multimodal'!C$46:C$1646&amp;'Coste multimodal'!D$46:D$1646,0))</f>
        <v>354420465.92647254</v>
      </c>
      <c r="I1312" s="12" cm="1">
        <f t="array" aca="1" ref="I1312" ca="1">INDEX('Tiempos intermodal (horas)'!E$45:E$1645,MATCH(C1312&amp;D1312,'Tiempos intermodal (horas)'!C$45:C$1645&amp;'Tiempos intermodal (horas)'!D$45:D$1645,0))</f>
        <v>105.29553478087463</v>
      </c>
      <c r="J1312" s="2" cm="1">
        <f t="array" aca="1" ref="J1312" ca="1">INDEX('Tiempos carretera (horas)'!E$45:E$1645,MATCH(C1312&amp;D1312,'Tiempos carretera (horas)'!C$45:C$1645&amp;'Tiempos carretera (horas)'!D$45:D$1645,0))</f>
        <v>5.41</v>
      </c>
      <c r="K1312" s="12">
        <f t="shared" ca="1" si="126"/>
        <v>1.3143029904670345</v>
      </c>
      <c r="L1312" s="12">
        <f t="shared" ca="1" si="127"/>
        <v>46.683412266395209</v>
      </c>
      <c r="M1312" s="12">
        <f t="shared" ca="1" si="128"/>
        <v>4.5999390067799337E-2</v>
      </c>
      <c r="N1312" s="13">
        <f t="shared" ca="1" si="124"/>
        <v>-45.369109275928174</v>
      </c>
      <c r="O1312" s="13">
        <f t="shared" ca="1" si="125"/>
        <v>-99.885534780874636</v>
      </c>
      <c r="P1312" s="12">
        <f t="shared" ca="1" si="129"/>
        <v>3.0320361737844896</v>
      </c>
    </row>
    <row r="1313" spans="1:16" x14ac:dyDescent="0.25">
      <c r="A1313">
        <v>23</v>
      </c>
      <c r="B1313">
        <v>26</v>
      </c>
      <c r="C1313" s="2" t="s">
        <v>22</v>
      </c>
      <c r="D1313" s="2" t="s">
        <v>25</v>
      </c>
      <c r="E1313" s="11" cm="1">
        <f t="array" aca="1" ref="E1313" ca="1">INDEX('OD flujo mercancia multimodal'!E$45:E$1645,MATCH(C1313&amp;D1313,'OD flujo mercancia multimodal'!C$45:C$1645&amp;'OD flujo mercancia multimodal'!D$45:D$1645,0))</f>
        <v>5075.3076923076915</v>
      </c>
      <c r="F1313" s="11" cm="1">
        <f t="array" aca="1" ref="F1313" ca="1">INDEX('OD flujo mercancia carretera'!E$45:E$1646,MATCH(C1313&amp;D1313,'OD flujo mercancia carretera'!C$45:C$1646&amp;'OD flujo mercancia carretera'!D$45:D$1646,0))</f>
        <v>151690.66666666669</v>
      </c>
      <c r="G1313" s="11" cm="1">
        <f t="array" aca="1" ref="G1313" ca="1">INDEX('Coste Carretera'!E$46:E$1646,MATCH(C1313&amp;D1313,'Coste Carretera'!C$46:C$1646&amp;'Coste Carretera'!D$46:D$1646,0))</f>
        <v>138342128.03999996</v>
      </c>
      <c r="H1313" s="11" cm="1">
        <f t="array" aca="1" ref="H1313" ca="1">INDEX('Coste multimodal'!E$46:E$1646,MATCH(C1313&amp;D1313,'Coste multimodal'!C$46:C$1646&amp;'Coste multimodal'!D$46:D$1646,0))</f>
        <v>354420465.92647254</v>
      </c>
      <c r="I1313" s="12" cm="1">
        <f t="array" aca="1" ref="I1313" ca="1">INDEX('Tiempos intermodal (horas)'!E$45:E$1645,MATCH(C1313&amp;D1313,'Tiempos intermodal (horas)'!C$45:C$1645&amp;'Tiempos intermodal (horas)'!D$45:D$1645,0))</f>
        <v>105.29553478087463</v>
      </c>
      <c r="J1313" s="2" cm="1">
        <f t="array" aca="1" ref="J1313" ca="1">INDEX('Tiempos carretera (horas)'!E$45:E$1645,MATCH(C1313&amp;D1313,'Tiempos carretera (horas)'!C$45:C$1645&amp;'Tiempos carretera (horas)'!D$45:D$1645,0))</f>
        <v>5.41</v>
      </c>
      <c r="K1313" s="12">
        <f t="shared" ca="1" si="126"/>
        <v>0.91200158243091167</v>
      </c>
      <c r="L1313" s="12">
        <f t="shared" ca="1" si="127"/>
        <v>69.832311145124123</v>
      </c>
      <c r="M1313" s="12">
        <f t="shared" ca="1" si="128"/>
        <v>3.2375059148268201E-2</v>
      </c>
      <c r="N1313" s="13">
        <f t="shared" ca="1" si="124"/>
        <v>-68.920309562693205</v>
      </c>
      <c r="O1313" s="13">
        <f t="shared" ca="1" si="125"/>
        <v>-99.885534780874636</v>
      </c>
      <c r="P1313" s="12">
        <f t="shared" ca="1" si="129"/>
        <v>3.3974562074060444</v>
      </c>
    </row>
    <row r="1314" spans="1:16" x14ac:dyDescent="0.25">
      <c r="A1314">
        <v>26</v>
      </c>
      <c r="B1314">
        <v>24</v>
      </c>
      <c r="C1314" s="2" t="s">
        <v>25</v>
      </c>
      <c r="D1314" s="2" t="s">
        <v>23</v>
      </c>
      <c r="E1314" s="11" cm="1">
        <f t="array" aca="1" ref="E1314" ca="1">INDEX('OD flujo mercancia multimodal'!E$45:E$1645,MATCH(C1314&amp;D1314,'OD flujo mercancia multimodal'!C$45:C$1645&amp;'OD flujo mercancia multimodal'!D$45:D$1645,0))</f>
        <v>8754.3846153846134</v>
      </c>
      <c r="F1314" s="11" cm="1">
        <f t="array" aca="1" ref="F1314" ca="1">INDEX('OD flujo mercancia carretera'!E$45:E$1646,MATCH(C1314&amp;D1314,'OD flujo mercancia carretera'!C$45:C$1646&amp;'OD flujo mercancia carretera'!D$45:D$1646,0))</f>
        <v>114925.66666666672</v>
      </c>
      <c r="G1314" s="11" cm="1">
        <f t="array" aca="1" ref="G1314" ca="1">INDEX('Coste Carretera'!E$46:E$1646,MATCH(C1314&amp;D1314,'Coste Carretera'!C$46:C$1646&amp;'Coste Carretera'!D$46:D$1646,0))</f>
        <v>204602224.59999996</v>
      </c>
      <c r="H1314" s="11" cm="1">
        <f t="array" aca="1" ref="H1314" ca="1">INDEX('Coste multimodal'!E$46:E$1646,MATCH(C1314&amp;D1314,'Coste multimodal'!C$46:C$1646&amp;'Coste multimodal'!D$46:D$1646,0))</f>
        <v>383840557.96647263</v>
      </c>
      <c r="I1314" s="12" cm="1">
        <f t="array" aca="1" ref="I1314" ca="1">INDEX('Tiempos intermodal (horas)'!E$45:E$1645,MATCH(C1314&amp;D1314,'Tiempos intermodal (horas)'!C$45:C$1645&amp;'Tiempos intermodal (horas)'!D$45:D$1645,0))</f>
        <v>104.58442366976352</v>
      </c>
      <c r="J1314" s="2" cm="1">
        <f t="array" aca="1" ref="J1314" ca="1">INDEX('Tiempos carretera (horas)'!E$45:E$1645,MATCH(C1314&amp;D1314,'Tiempos carretera (horas)'!C$45:C$1645&amp;'Tiempos carretera (horas)'!D$45:D$1645,0))</f>
        <v>4.5</v>
      </c>
      <c r="K1314" s="12">
        <f t="shared" ca="1" si="126"/>
        <v>1.7803005241068854</v>
      </c>
      <c r="L1314" s="12">
        <f t="shared" ca="1" si="127"/>
        <v>43.845521396435586</v>
      </c>
      <c r="M1314" s="12">
        <f t="shared" ca="1" si="128"/>
        <v>7.0782511202395218E-2</v>
      </c>
      <c r="N1314" s="13">
        <f t="shared" ca="1" si="124"/>
        <v>-42.065220872328702</v>
      </c>
      <c r="O1314" s="13">
        <f t="shared" ca="1" si="125"/>
        <v>-100.08442366976352</v>
      </c>
      <c r="P1314" s="12">
        <f t="shared" ca="1" si="129"/>
        <v>2.5747308687976083</v>
      </c>
    </row>
    <row r="1315" spans="1:16" x14ac:dyDescent="0.25">
      <c r="A1315">
        <v>24</v>
      </c>
      <c r="B1315">
        <v>26</v>
      </c>
      <c r="C1315" s="2" t="s">
        <v>23</v>
      </c>
      <c r="D1315" s="2" t="s">
        <v>25</v>
      </c>
      <c r="E1315" s="11" cm="1">
        <f t="array" aca="1" ref="E1315" ca="1">INDEX('OD flujo mercancia multimodal'!E$45:E$1645,MATCH(C1315&amp;D1315,'OD flujo mercancia multimodal'!C$45:C$1645&amp;'OD flujo mercancia multimodal'!D$45:D$1645,0))</f>
        <v>8007.2307692307677</v>
      </c>
      <c r="F1315" s="11" cm="1">
        <f t="array" aca="1" ref="F1315" ca="1">INDEX('OD flujo mercancia carretera'!E$45:E$1646,MATCH(C1315&amp;D1315,'OD flujo mercancia carretera'!C$45:C$1646&amp;'OD flujo mercancia carretera'!D$45:D$1646,0))</f>
        <v>128711</v>
      </c>
      <c r="G1315" s="11" cm="1">
        <f t="array" aca="1" ref="G1315" ca="1">INDEX('Coste Carretera'!E$46:E$1646,MATCH(C1315&amp;D1315,'Coste Carretera'!C$46:C$1646&amp;'Coste Carretera'!D$46:D$1646,0))</f>
        <v>187140193.19999999</v>
      </c>
      <c r="H1315" s="11" cm="1">
        <f t="array" aca="1" ref="H1315" ca="1">INDEX('Coste multimodal'!E$46:E$1646,MATCH(C1315&amp;D1315,'Coste multimodal'!C$46:C$1646&amp;'Coste multimodal'!D$46:D$1646,0))</f>
        <v>383840557.96647263</v>
      </c>
      <c r="I1315" s="12" cm="1">
        <f t="array" aca="1" ref="I1315" ca="1">INDEX('Tiempos intermodal (horas)'!E$45:E$1645,MATCH(C1315&amp;D1315,'Tiempos intermodal (horas)'!C$45:C$1645&amp;'Tiempos intermodal (horas)'!D$45:D$1645,0))</f>
        <v>104.58442366976352</v>
      </c>
      <c r="J1315" s="2" cm="1">
        <f t="array" aca="1" ref="J1315" ca="1">INDEX('Tiempos carretera (horas)'!E$45:E$1645,MATCH(C1315&amp;D1315,'Tiempos carretera (horas)'!C$45:C$1645&amp;'Tiempos carretera (horas)'!D$45:D$1645,0))</f>
        <v>4.5</v>
      </c>
      <c r="K1315" s="12">
        <f t="shared" ca="1" si="126"/>
        <v>1.4539564854596732</v>
      </c>
      <c r="L1315" s="12">
        <f t="shared" ca="1" si="127"/>
        <v>47.93674230564821</v>
      </c>
      <c r="M1315" s="12">
        <f t="shared" ca="1" si="128"/>
        <v>5.856739605375906E-2</v>
      </c>
      <c r="N1315" s="13">
        <f t="shared" ca="1" si="124"/>
        <v>-46.482785820188539</v>
      </c>
      <c r="O1315" s="13">
        <f t="shared" ca="1" si="125"/>
        <v>-100.08442366976352</v>
      </c>
      <c r="P1315" s="12">
        <f t="shared" ca="1" si="129"/>
        <v>2.7772246014244826</v>
      </c>
    </row>
    <row r="1316" spans="1:16" x14ac:dyDescent="0.25">
      <c r="A1316">
        <v>4</v>
      </c>
      <c r="B1316">
        <v>6</v>
      </c>
      <c r="C1316" s="2" t="s">
        <v>3</v>
      </c>
      <c r="D1316" s="2" t="s">
        <v>5</v>
      </c>
      <c r="E1316" s="11" cm="1">
        <f t="array" aca="1" ref="E1316" ca="1">INDEX('OD flujo mercancia multimodal'!E$45:E$1645,MATCH(C1316&amp;D1316,'OD flujo mercancia multimodal'!C$45:C$1645&amp;'OD flujo mercancia multimodal'!D$45:D$1645,0))</f>
        <v>42821.928571428558</v>
      </c>
      <c r="F1316" s="11" cm="1">
        <f t="array" aca="1" ref="F1316" ca="1">INDEX('OD flujo mercancia carretera'!E$45:E$1646,MATCH(C1316&amp;D1316,'OD flujo mercancia carretera'!C$45:C$1646&amp;'OD flujo mercancia carretera'!D$45:D$1646,0))</f>
        <v>159822.92673992686</v>
      </c>
      <c r="G1316" s="11" cm="1">
        <f t="array" aca="1" ref="G1316" ca="1">INDEX('Coste Carretera'!E$46:E$1646,MATCH(C1316&amp;D1316,'Coste Carretera'!C$46:C$1646&amp;'Coste Carretera'!D$46:D$1646,0))</f>
        <v>791650706.37714267</v>
      </c>
      <c r="H1316" s="11" cm="1">
        <f t="array" aca="1" ref="H1316" ca="1">INDEX('Coste multimodal'!E$46:E$1646,MATCH(C1316&amp;D1316,'Coste multimodal'!C$46:C$1646&amp;'Coste multimodal'!D$46:D$1646,0))</f>
        <v>15107290474.289719</v>
      </c>
      <c r="I1316" s="12" cm="1">
        <f t="array" aca="1" ref="I1316" ca="1">INDEX('Tiempos intermodal (horas)'!E$45:E$1645,MATCH(C1316&amp;D1316,'Tiempos intermodal (horas)'!C$45:C$1645&amp;'Tiempos intermodal (horas)'!D$45:D$1645,0))</f>
        <v>19.898548466679571</v>
      </c>
      <c r="J1316" s="2" cm="1">
        <f t="array" aca="1" ref="J1316" ca="1">INDEX('Tiempos carretera (horas)'!E$45:E$1645,MATCH(C1316&amp;D1316,'Tiempos carretera (horas)'!C$45:C$1645&amp;'Tiempos carretera (horas)'!D$45:D$1645,0))</f>
        <v>3.4</v>
      </c>
      <c r="K1316" s="12">
        <f t="shared" ca="1" si="126"/>
        <v>4.9532987696149675</v>
      </c>
      <c r="L1316" s="12">
        <f t="shared" ca="1" si="127"/>
        <v>352.79332291375431</v>
      </c>
      <c r="M1316" s="12">
        <f t="shared" ca="1" si="128"/>
        <v>0.21131515283540972</v>
      </c>
      <c r="N1316" s="13">
        <f t="shared" ca="1" si="124"/>
        <v>-347.84002414413936</v>
      </c>
      <c r="O1316" s="13">
        <f t="shared" ca="1" si="125"/>
        <v>-16.498548466679573</v>
      </c>
      <c r="P1316" s="12">
        <f t="shared" ca="1" si="129"/>
        <v>1.3170161733238619</v>
      </c>
    </row>
    <row r="1317" spans="1:16" x14ac:dyDescent="0.25">
      <c r="A1317">
        <v>31</v>
      </c>
      <c r="B1317">
        <v>17</v>
      </c>
      <c r="C1317" s="2" t="s">
        <v>30</v>
      </c>
      <c r="D1317" s="2" t="s">
        <v>16</v>
      </c>
      <c r="E1317" s="11" cm="1">
        <f t="array" aca="1" ref="E1317" ca="1">INDEX('OD flujo mercancia multimodal'!E$45:E$1645,MATCH(C1317&amp;D1317,'OD flujo mercancia multimodal'!C$45:C$1645&amp;'OD flujo mercancia multimodal'!D$45:D$1645,0))</f>
        <v>66305.61538461539</v>
      </c>
      <c r="F1317" s="11" cm="1">
        <f t="array" aca="1" ref="F1317" ca="1">INDEX('OD flujo mercancia carretera'!E$45:E$1646,MATCH(C1317&amp;D1317,'OD flujo mercancia carretera'!C$45:C$1646&amp;'OD flujo mercancia carretera'!D$45:D$1646,0))</f>
        <v>195582.84615384569</v>
      </c>
      <c r="G1317" s="11" cm="1">
        <f t="array" aca="1" ref="G1317" ca="1">INDEX('Coste Carretera'!E$46:E$1646,MATCH(C1317&amp;D1317,'Coste Carretera'!C$46:C$1646&amp;'Coste Carretera'!D$46:D$1646,0))</f>
        <v>8200983516.5999994</v>
      </c>
      <c r="H1317" s="11" cm="1">
        <f t="array" aca="1" ref="H1317" ca="1">INDEX('Coste multimodal'!E$46:E$1646,MATCH(C1317&amp;D1317,'Coste multimodal'!C$46:C$1646&amp;'Coste multimodal'!D$46:D$1646,0))</f>
        <v>1128099789.2827132</v>
      </c>
      <c r="I1317" s="12" cm="1">
        <f t="array" aca="1" ref="I1317" ca="1">INDEX('Tiempos intermodal (horas)'!E$45:E$1645,MATCH(C1317&amp;D1317,'Tiempos intermodal (horas)'!C$45:C$1645&amp;'Tiempos intermodal (horas)'!D$45:D$1645,0))</f>
        <v>111.17113821438626</v>
      </c>
      <c r="J1317" s="2" cm="1">
        <f t="array" aca="1" ref="J1317" ca="1">INDEX('Tiempos carretera (horas)'!E$45:E$1645,MATCH(C1317&amp;D1317,'Tiempos carretera (horas)'!C$45:C$1645&amp;'Tiempos carretera (horas)'!D$45:D$1645,0))</f>
        <v>23.06</v>
      </c>
      <c r="K1317" s="12">
        <f t="shared" ca="1" si="126"/>
        <v>41.930995881658745</v>
      </c>
      <c r="L1317" s="12">
        <f t="shared" ca="1" si="127"/>
        <v>17.013638780652375</v>
      </c>
      <c r="M1317" s="12">
        <f t="shared" ca="1" si="128"/>
        <v>0.25318265262663248</v>
      </c>
      <c r="N1317" s="13">
        <f t="shared" ca="1" si="124"/>
        <v>24.91735710100637</v>
      </c>
      <c r="O1317" s="13">
        <f t="shared" ca="1" si="125"/>
        <v>-88.111138214386258</v>
      </c>
      <c r="P1317" s="12">
        <f t="shared" ca="1" si="129"/>
        <v>1.0817094649492029</v>
      </c>
    </row>
    <row r="1318" spans="1:16" x14ac:dyDescent="0.25">
      <c r="A1318">
        <v>17</v>
      </c>
      <c r="B1318">
        <v>31</v>
      </c>
      <c r="C1318" s="2" t="s">
        <v>16</v>
      </c>
      <c r="D1318" s="2" t="s">
        <v>30</v>
      </c>
      <c r="E1318" s="11" cm="1">
        <f t="array" aca="1" ref="E1318" ca="1">INDEX('OD flujo mercancia multimodal'!E$45:E$1645,MATCH(C1318&amp;D1318,'OD flujo mercancia multimodal'!C$45:C$1645&amp;'OD flujo mercancia multimodal'!D$45:D$1645,0))</f>
        <v>56857.307692307695</v>
      </c>
      <c r="F1318" s="11" cm="1">
        <f t="array" aca="1" ref="F1318" ca="1">INDEX('OD flujo mercancia carretera'!E$45:E$1646,MATCH(C1318&amp;D1318,'OD flujo mercancia carretera'!C$45:C$1646&amp;'OD flujo mercancia carretera'!D$45:D$1646,0))</f>
        <v>553198.4615384615</v>
      </c>
      <c r="G1318" s="11" cm="1">
        <f t="array" aca="1" ref="G1318" ca="1">INDEX('Coste Carretera'!E$46:E$1646,MATCH(C1318&amp;D1318,'Coste Carretera'!C$46:C$1646&amp;'Coste Carretera'!D$46:D$1646,0))</f>
        <v>7664505369.7800007</v>
      </c>
      <c r="H1318" s="11" cm="1">
        <f t="array" aca="1" ref="H1318" ca="1">INDEX('Coste multimodal'!E$46:E$1646,MATCH(C1318&amp;D1318,'Coste multimodal'!C$46:C$1646&amp;'Coste multimodal'!D$46:D$1646,0))</f>
        <v>1128099789.2827132</v>
      </c>
      <c r="I1318" s="12" cm="1">
        <f t="array" aca="1" ref="I1318" ca="1">INDEX('Tiempos intermodal (horas)'!E$45:E$1645,MATCH(C1318&amp;D1318,'Tiempos intermodal (horas)'!C$45:C$1645&amp;'Tiempos intermodal (horas)'!D$45:D$1645,0))</f>
        <v>111.17113821438626</v>
      </c>
      <c r="J1318" s="2" cm="1">
        <f t="array" aca="1" ref="J1318" ca="1">INDEX('Tiempos carretera (horas)'!E$45:E$1645,MATCH(C1318&amp;D1318,'Tiempos carretera (horas)'!C$45:C$1645&amp;'Tiempos carretera (horas)'!D$45:D$1645,0))</f>
        <v>23.06</v>
      </c>
      <c r="K1318" s="12">
        <f t="shared" ca="1" si="126"/>
        <v>13.854892778379719</v>
      </c>
      <c r="L1318" s="12">
        <f t="shared" ca="1" si="127"/>
        <v>19.840893546834884</v>
      </c>
      <c r="M1318" s="12">
        <f t="shared" ca="1" si="128"/>
        <v>9.3200180311383898E-2</v>
      </c>
      <c r="N1318" s="13">
        <f t="shared" ca="1" si="124"/>
        <v>-5.986000768455165</v>
      </c>
      <c r="O1318" s="13">
        <f t="shared" ca="1" si="125"/>
        <v>-88.111138214386258</v>
      </c>
      <c r="P1318" s="12">
        <f t="shared" ca="1" si="129"/>
        <v>2.2751720634285708</v>
      </c>
    </row>
    <row r="1319" spans="1:16" x14ac:dyDescent="0.25">
      <c r="A1319">
        <v>25</v>
      </c>
      <c r="B1319">
        <v>18</v>
      </c>
      <c r="C1319" s="2" t="s">
        <v>24</v>
      </c>
      <c r="D1319" s="2" t="s">
        <v>17</v>
      </c>
      <c r="E1319" s="11" cm="1">
        <f t="array" aca="1" ref="E1319" ca="1">INDEX('OD flujo mercancia multimodal'!E$45:E$1645,MATCH(C1319&amp;D1319,'OD flujo mercancia multimodal'!C$45:C$1645&amp;'OD flujo mercancia multimodal'!D$45:D$1645,0))</f>
        <v>27437.076923076893</v>
      </c>
      <c r="F1319" s="11" cm="1">
        <f t="array" aca="1" ref="F1319" ca="1">INDEX('OD flujo mercancia carretera'!E$45:E$1646,MATCH(C1319&amp;D1319,'OD flujo mercancia carretera'!C$45:C$1646&amp;'OD flujo mercancia carretera'!D$45:D$1646,0))</f>
        <v>117622.71794871794</v>
      </c>
      <c r="G1319" s="11" cm="1">
        <f t="array" aca="1" ref="G1319" ca="1">INDEX('Coste Carretera'!E$46:E$1646,MATCH(C1319&amp;D1319,'Coste Carretera'!C$46:C$1646&amp;'Coste Carretera'!D$46:D$1646,0))</f>
        <v>1737840307.6799982</v>
      </c>
      <c r="H1319" s="11" cm="1">
        <f t="array" aca="1" ref="H1319" ca="1">INDEX('Coste multimodal'!E$46:E$1646,MATCH(C1319&amp;D1319,'Coste multimodal'!C$46:C$1646&amp;'Coste multimodal'!D$46:D$1646,0))</f>
        <v>39661012182.422585</v>
      </c>
      <c r="I1319" s="12" cm="1">
        <f t="array" aca="1" ref="I1319" ca="1">INDEX('Tiempos intermodal (horas)'!E$45:E$1645,MATCH(C1319&amp;D1319,'Tiempos intermodal (horas)'!C$45:C$1645&amp;'Tiempos intermodal (horas)'!D$45:D$1645,0))</f>
        <v>100.88974273296735</v>
      </c>
      <c r="J1319" s="2" cm="1">
        <f t="array" aca="1" ref="J1319" ca="1">INDEX('Tiempos carretera (horas)'!E$45:E$1645,MATCH(C1319&amp;D1319,'Tiempos carretera (horas)'!C$45:C$1645&amp;'Tiempos carretera (horas)'!D$45:D$1645,0))</f>
        <v>12.36</v>
      </c>
      <c r="K1319" s="12">
        <f t="shared" ca="1" si="126"/>
        <v>14.774699462714977</v>
      </c>
      <c r="L1319" s="12">
        <f t="shared" ca="1" si="127"/>
        <v>1445.52615038464</v>
      </c>
      <c r="M1319" s="12">
        <f t="shared" ca="1" si="128"/>
        <v>0.1891432215751169</v>
      </c>
      <c r="N1319" s="13">
        <f t="shared" ca="1" si="124"/>
        <v>-1430.751450921925</v>
      </c>
      <c r="O1319" s="13">
        <f t="shared" ca="1" si="125"/>
        <v>-88.52974273296735</v>
      </c>
      <c r="P1319" s="12">
        <f t="shared" ca="1" si="129"/>
        <v>1.4555869255873031</v>
      </c>
    </row>
    <row r="1320" spans="1:16" x14ac:dyDescent="0.25">
      <c r="A1320">
        <v>18</v>
      </c>
      <c r="B1320">
        <v>25</v>
      </c>
      <c r="C1320" s="10" t="s">
        <v>17</v>
      </c>
      <c r="D1320" s="10" t="s">
        <v>24</v>
      </c>
      <c r="E1320" s="11" cm="1">
        <f t="array" aca="1" ref="E1320" ca="1">INDEX('OD flujo mercancia multimodal'!E$45:E$1645,MATCH(C1320&amp;D1320,'OD flujo mercancia multimodal'!C$45:C$1645&amp;'OD flujo mercancia multimodal'!D$45:D$1645,0))</f>
        <v>11917.307692307695</v>
      </c>
      <c r="F1320" s="11" cm="1">
        <f t="array" aca="1" ref="F1320" ca="1">INDEX('OD flujo mercancia carretera'!E$45:E$1646,MATCH(C1320&amp;D1320,'OD flujo mercancia carretera'!C$45:C$1646&amp;'OD flujo mercancia carretera'!D$45:D$1646,0))</f>
        <v>116172.94871794869</v>
      </c>
      <c r="G1320" s="11" cm="1">
        <f t="array" aca="1" ref="G1320" ca="1">INDEX('Coste Carretera'!E$46:E$1646,MATCH(C1320&amp;D1320,'Coste Carretera'!C$46:C$1646&amp;'Coste Carretera'!D$46:D$1646,0))</f>
        <v>754831782.00000012</v>
      </c>
      <c r="H1320" s="11" cm="1">
        <f t="array" aca="1" ref="H1320" ca="1">INDEX('Coste multimodal'!E$46:E$1646,MATCH(C1320&amp;D1320,'Coste multimodal'!C$46:C$1646&amp;'Coste multimodal'!D$46:D$1646,0))</f>
        <v>39661012182.422585</v>
      </c>
      <c r="I1320" s="12" cm="1">
        <f t="array" aca="1" ref="I1320" ca="1">INDEX('Tiempos intermodal (horas)'!E$45:E$1645,MATCH(C1320&amp;D1320,'Tiempos intermodal (horas)'!C$45:C$1645&amp;'Tiempos intermodal (horas)'!D$45:D$1645,0))</f>
        <v>100.88974273296735</v>
      </c>
      <c r="J1320" s="2" cm="1">
        <f t="array" aca="1" ref="J1320" ca="1">INDEX('Tiempos carretera (horas)'!E$45:E$1645,MATCH(C1320&amp;D1320,'Tiempos carretera (horas)'!C$45:C$1645&amp;'Tiempos carretera (horas)'!D$45:D$1645,0))</f>
        <v>12.36</v>
      </c>
      <c r="K1320" s="12">
        <f t="shared" ca="1" si="126"/>
        <v>6.4974831949271064</v>
      </c>
      <c r="L1320" s="12">
        <f ca="1">H1320/(E1336*1000)</f>
        <v>1443.5188011901464</v>
      </c>
      <c r="M1320" s="12">
        <f t="shared" ca="1" si="128"/>
        <v>9.3038362372685979E-2</v>
      </c>
      <c r="N1320" s="13">
        <f t="shared" ca="1" si="124"/>
        <v>-1437.0213179952193</v>
      </c>
      <c r="O1320" s="13">
        <f t="shared" ca="1" si="125"/>
        <v>-88.52974273296735</v>
      </c>
      <c r="P1320" s="12">
        <f t="shared" ca="1" si="129"/>
        <v>2.2770882466000208</v>
      </c>
    </row>
    <row r="1321" spans="1:16" x14ac:dyDescent="0.25">
      <c r="A1321">
        <v>15</v>
      </c>
      <c r="B1321">
        <v>27</v>
      </c>
      <c r="C1321" s="2" t="s">
        <v>14</v>
      </c>
      <c r="D1321" s="2" t="s">
        <v>145</v>
      </c>
      <c r="E1321" s="11" cm="1">
        <f t="array" aca="1" ref="E1321" ca="1">INDEX('OD flujo mercancia multimodal'!E$45:E$1645,MATCH(C1321&amp;D1321,'OD flujo mercancia multimodal'!C$45:C$1645&amp;'OD flujo mercancia multimodal'!D$45:D$1645,0))</f>
        <v>85747.769230769234</v>
      </c>
      <c r="F1321" s="11" cm="1">
        <f t="array" aca="1" ref="F1321" ca="1">INDEX('OD flujo mercancia carretera'!E$45:E$1646,MATCH(C1321&amp;D1321,'OD flujo mercancia carretera'!C$45:C$1646&amp;'OD flujo mercancia carretera'!D$45:D$1646,0))</f>
        <v>711992.0230769231</v>
      </c>
      <c r="G1321" s="11" cm="1">
        <f t="array" aca="1" ref="G1321" ca="1">INDEX('Coste Carretera'!E$46:E$1646,MATCH(C1321&amp;D1321,'Coste Carretera'!C$46:C$1646&amp;'Coste Carretera'!D$46:D$1646,0))</f>
        <v>4471948530.1199999</v>
      </c>
      <c r="H1321" s="11" cm="1">
        <f t="array" aca="1" ref="H1321" ca="1">INDEX('Coste multimodal'!E$46:E$1646,MATCH(C1321&amp;D1321,'Coste multimodal'!C$46:C$1646&amp;'Coste multimodal'!D$46:D$1646,0))</f>
        <v>102246619386.74255</v>
      </c>
      <c r="I1321" s="12" cm="1">
        <f t="array" aca="1" ref="I1321" ca="1">INDEX('Tiempos intermodal (horas)'!E$45:E$1645,MATCH(C1321&amp;D1321,'Tiempos intermodal (horas)'!C$45:C$1645&amp;'Tiempos intermodal (horas)'!D$45:D$1645,0))</f>
        <v>109.42622534839528</v>
      </c>
      <c r="J1321" s="2" cm="1">
        <f t="array" aca="1" ref="J1321" ca="1">INDEX('Tiempos carretera (horas)'!E$45:E$1645,MATCH(C1321&amp;D1321,'Tiempos carretera (horas)'!C$45:C$1645&amp;'Tiempos carretera (horas)'!D$45:D$1645,0))</f>
        <v>10.56</v>
      </c>
      <c r="K1321" s="12">
        <f t="shared" ca="1" si="126"/>
        <v>6.2808969555503769</v>
      </c>
      <c r="L1321" s="12">
        <f t="shared" ca="1" si="127"/>
        <v>1192.4114213580378</v>
      </c>
      <c r="M1321" s="12">
        <f t="shared" ca="1" si="128"/>
        <v>0.10748839415759755</v>
      </c>
      <c r="N1321" s="13">
        <f t="shared" ca="1" si="124"/>
        <v>-1186.1305244024875</v>
      </c>
      <c r="O1321" s="13">
        <f t="shared" ca="1" si="125"/>
        <v>-98.866225348395275</v>
      </c>
      <c r="P1321" s="12">
        <f t="shared" ca="1" si="129"/>
        <v>2.1166566368994348</v>
      </c>
    </row>
    <row r="1322" spans="1:16" x14ac:dyDescent="0.25">
      <c r="A1322">
        <v>27</v>
      </c>
      <c r="B1322">
        <v>15</v>
      </c>
      <c r="C1322" s="2" t="s">
        <v>145</v>
      </c>
      <c r="D1322" s="2" t="s">
        <v>14</v>
      </c>
      <c r="E1322" s="11" cm="1">
        <f t="array" aca="1" ref="E1322" ca="1">INDEX('OD flujo mercancia multimodal'!E$45:E$1645,MATCH(C1322&amp;D1322,'OD flujo mercancia multimodal'!C$45:C$1645&amp;'OD flujo mercancia multimodal'!D$45:D$1645,0))</f>
        <v>80983.76923076919</v>
      </c>
      <c r="F1322" s="11" cm="1">
        <f t="array" aca="1" ref="F1322" ca="1">INDEX('OD flujo mercancia carretera'!E$45:E$1646,MATCH(C1322&amp;D1322,'OD flujo mercancia carretera'!C$45:C$1646&amp;'OD flujo mercancia carretera'!D$45:D$1646,0))</f>
        <v>712088.66153846192</v>
      </c>
      <c r="G1322" s="11" cm="1">
        <f t="array" aca="1" ref="G1322" ca="1">INDEX('Coste Carretera'!E$46:E$1646,MATCH(C1322&amp;D1322,'Coste Carretera'!C$46:C$1646&amp;'Coste Carretera'!D$46:D$1646,0))</f>
        <v>4223494687.079998</v>
      </c>
      <c r="H1322" s="11" cm="1">
        <f t="array" aca="1" ref="H1322" ca="1">INDEX('Coste multimodal'!E$46:E$1646,MATCH(C1322&amp;D1322,'Coste multimodal'!C$46:C$1646&amp;'Coste multimodal'!D$46:D$1646,0))</f>
        <v>102246619386.74255</v>
      </c>
      <c r="I1322" s="12" cm="1">
        <f t="array" aca="1" ref="I1322" ca="1">INDEX('Tiempos intermodal (horas)'!E$45:E$1645,MATCH(C1322&amp;D1322,'Tiempos intermodal (horas)'!C$45:C$1645&amp;'Tiempos intermodal (horas)'!D$45:D$1645,0))</f>
        <v>109.42622534839528</v>
      </c>
      <c r="J1322" s="2" cm="1">
        <f t="array" aca="1" ref="J1322" ca="1">INDEX('Tiempos carretera (horas)'!E$45:E$1645,MATCH(C1322&amp;D1322,'Tiempos carretera (horas)'!C$45:C$1645&amp;'Tiempos carretera (horas)'!D$45:D$1645,0))</f>
        <v>10.56</v>
      </c>
      <c r="K1322" s="12">
        <f t="shared" ca="1" si="126"/>
        <v>5.9311359879753898</v>
      </c>
      <c r="L1322" s="12">
        <f t="shared" ca="1" si="127"/>
        <v>1262.5569340367861</v>
      </c>
      <c r="M1322" s="12">
        <f t="shared" ca="1" si="128"/>
        <v>0.10211396347773677</v>
      </c>
      <c r="N1322" s="13">
        <f t="shared" ca="1" si="124"/>
        <v>-1256.6257980488106</v>
      </c>
      <c r="O1322" s="13">
        <f t="shared" ca="1" si="125"/>
        <v>-98.866225348395275</v>
      </c>
      <c r="P1322" s="12">
        <f t="shared" ca="1" si="129"/>
        <v>2.1739536735654346</v>
      </c>
    </row>
    <row r="1323" spans="1:16" x14ac:dyDescent="0.25">
      <c r="A1323">
        <v>25</v>
      </c>
      <c r="B1323">
        <v>16</v>
      </c>
      <c r="C1323" s="2" t="s">
        <v>24</v>
      </c>
      <c r="D1323" s="2" t="s">
        <v>15</v>
      </c>
      <c r="E1323" s="11" cm="1">
        <f t="array" aca="1" ref="E1323" ca="1">INDEX('OD flujo mercancia multimodal'!E$45:E$1645,MATCH(C1323&amp;D1323,'OD flujo mercancia multimodal'!C$45:C$1645&amp;'OD flujo mercancia multimodal'!D$45:D$1645,0))</f>
        <v>41111.538461538497</v>
      </c>
      <c r="F1323" s="11" cm="1">
        <f t="array" aca="1" ref="F1323" ca="1">INDEX('OD flujo mercancia carretera'!E$45:E$1646,MATCH(C1323&amp;D1323,'OD flujo mercancia carretera'!C$45:C$1646&amp;'OD flujo mercancia carretera'!D$45:D$1646,0))</f>
        <v>595568.02564102539</v>
      </c>
      <c r="G1323" s="11" cm="1">
        <f t="array" aca="1" ref="G1323" ca="1">INDEX('Coste Carretera'!E$46:E$1646,MATCH(C1323&amp;D1323,'Coste Carretera'!C$46:C$1646&amp;'Coste Carretera'!D$46:D$1646,0))</f>
        <v>2096561838.0000014</v>
      </c>
      <c r="H1323" s="11" cm="1">
        <f t="array" aca="1" ref="H1323" ca="1">INDEX('Coste multimodal'!E$46:E$1646,MATCH(C1323&amp;D1323,'Coste multimodal'!C$46:C$1646&amp;'Coste multimodal'!D$46:D$1646,0))</f>
        <v>39667599189.514587</v>
      </c>
      <c r="I1323" s="12" cm="1">
        <f t="array" aca="1" ref="I1323" ca="1">INDEX('Tiempos intermodal (horas)'!E$45:E$1645,MATCH(C1323&amp;D1323,'Tiempos intermodal (horas)'!C$45:C$1645&amp;'Tiempos intermodal (horas)'!D$45:D$1645,0))</f>
        <v>98.848631621856242</v>
      </c>
      <c r="J1323" s="2" cm="1">
        <f t="array" aca="1" ref="J1323" ca="1">INDEX('Tiempos carretera (horas)'!E$45:E$1645,MATCH(C1323&amp;D1323,'Tiempos carretera (horas)'!C$45:C$1645&amp;'Tiempos carretera (horas)'!D$45:D$1645,0))</f>
        <v>9.86</v>
      </c>
      <c r="K1323" s="12">
        <f t="shared" ca="1" si="126"/>
        <v>3.5202726602782564</v>
      </c>
      <c r="L1323" s="12">
        <f t="shared" ca="1" si="127"/>
        <v>964.87751794122789</v>
      </c>
      <c r="M1323" s="12">
        <f t="shared" ca="1" si="128"/>
        <v>6.4571788980674366E-2</v>
      </c>
      <c r="N1323" s="13">
        <f t="shared" ca="1" si="124"/>
        <v>-961.35724528094966</v>
      </c>
      <c r="O1323" s="13">
        <f t="shared" ca="1" si="125"/>
        <v>-88.988631621856243</v>
      </c>
      <c r="P1323" s="12">
        <f t="shared" ca="1" si="129"/>
        <v>2.6732267918273491</v>
      </c>
    </row>
    <row r="1324" spans="1:16" x14ac:dyDescent="0.25">
      <c r="A1324">
        <v>16</v>
      </c>
      <c r="B1324">
        <v>25</v>
      </c>
      <c r="C1324" s="2" t="s">
        <v>15</v>
      </c>
      <c r="D1324" s="2" t="s">
        <v>24</v>
      </c>
      <c r="E1324" s="11" cm="1">
        <f t="array" aca="1" ref="E1324" ca="1">INDEX('OD flujo mercancia multimodal'!E$45:E$1645,MATCH(C1324&amp;D1324,'OD flujo mercancia multimodal'!C$45:C$1645&amp;'OD flujo mercancia multimodal'!D$45:D$1645,0))</f>
        <v>40508.153846153851</v>
      </c>
      <c r="F1324" s="11" cm="1">
        <f t="array" aca="1" ref="F1324" ca="1">INDEX('OD flujo mercancia carretera'!E$45:E$1646,MATCH(C1324&amp;D1324,'OD flujo mercancia carretera'!C$45:C$1646&amp;'OD flujo mercancia carretera'!D$45:D$1646,0))</f>
        <v>230019.87179487175</v>
      </c>
      <c r="G1324" s="11" cm="1">
        <f t="array" aca="1" ref="G1324" ca="1">INDEX('Coste Carretera'!E$46:E$1646,MATCH(C1324&amp;D1324,'Coste Carretera'!C$46:C$1646&amp;'Coste Carretera'!D$46:D$1646,0))</f>
        <v>2065791081.0400002</v>
      </c>
      <c r="H1324" s="11" cm="1">
        <f t="array" aca="1" ref="H1324" ca="1">INDEX('Coste multimodal'!E$46:E$1646,MATCH(C1324&amp;D1324,'Coste multimodal'!C$46:C$1646&amp;'Coste multimodal'!D$46:D$1646,0))</f>
        <v>39667599189.514587</v>
      </c>
      <c r="I1324" s="12" cm="1">
        <f t="array" aca="1" ref="I1324" ca="1">INDEX('Tiempos intermodal (horas)'!E$45:E$1645,MATCH(C1324&amp;D1324,'Tiempos intermodal (horas)'!C$45:C$1645&amp;'Tiempos intermodal (horas)'!D$45:D$1645,0))</f>
        <v>98.848631621856242</v>
      </c>
      <c r="J1324" s="2" cm="1">
        <f t="array" aca="1" ref="J1324" ca="1">INDEX('Tiempos carretera (horas)'!E$45:E$1645,MATCH(C1324&amp;D1324,'Tiempos carretera (horas)'!C$45:C$1645&amp;'Tiempos carretera (horas)'!D$45:D$1645,0))</f>
        <v>9.86</v>
      </c>
      <c r="K1324" s="12">
        <f t="shared" ca="1" si="126"/>
        <v>8.9809244084886792</v>
      </c>
      <c r="L1324" s="12">
        <f t="shared" ca="1" si="127"/>
        <v>979.24974167345158</v>
      </c>
      <c r="M1324" s="12">
        <f t="shared" ca="1" si="128"/>
        <v>0.14973736547320138</v>
      </c>
      <c r="N1324" s="13">
        <f t="shared" ca="1" si="124"/>
        <v>-970.26881726496288</v>
      </c>
      <c r="O1324" s="13">
        <f t="shared" ca="1" si="125"/>
        <v>-88.988631621856243</v>
      </c>
      <c r="P1324" s="12">
        <f t="shared" ca="1" si="129"/>
        <v>1.7366624209160602</v>
      </c>
    </row>
    <row r="1325" spans="1:16" x14ac:dyDescent="0.25">
      <c r="A1325">
        <v>23</v>
      </c>
      <c r="B1325">
        <v>18</v>
      </c>
      <c r="C1325" s="2" t="s">
        <v>22</v>
      </c>
      <c r="D1325" s="2" t="s">
        <v>17</v>
      </c>
      <c r="E1325" s="11" cm="1">
        <f t="array" aca="1" ref="E1325" ca="1">INDEX('OD flujo mercancia multimodal'!E$45:E$1645,MATCH(C1325&amp;D1325,'OD flujo mercancia multimodal'!C$45:C$1645&amp;'OD flujo mercancia multimodal'!D$45:D$1645,0))</f>
        <v>24543.307692307662</v>
      </c>
      <c r="F1325" s="11" cm="1">
        <f t="array" aca="1" ref="F1325" ca="1">INDEX('OD flujo mercancia carretera'!E$45:E$1646,MATCH(C1325&amp;D1325,'OD flujo mercancia carretera'!C$45:C$1646&amp;'OD flujo mercancia carretera'!D$45:D$1646,0))</f>
        <v>157648.05128205128</v>
      </c>
      <c r="G1325" s="11" cm="1">
        <f t="array" aca="1" ref="G1325" ca="1">INDEX('Coste Carretera'!E$46:E$1646,MATCH(C1325&amp;D1325,'Coste Carretera'!C$46:C$1646&amp;'Coste Carretera'!D$46:D$1646,0))</f>
        <v>1674429861.4799979</v>
      </c>
      <c r="H1325" s="11" cm="1">
        <f t="array" aca="1" ref="H1325" ca="1">INDEX('Coste multimodal'!E$46:E$1646,MATCH(C1325&amp;D1325,'Coste multimodal'!C$46:C$1646&amp;'Coste multimodal'!D$46:D$1646,0))</f>
        <v>286845087.41428471</v>
      </c>
      <c r="I1325" s="12" cm="1">
        <f t="array" aca="1" ref="I1325" ca="1">INDEX('Tiempos intermodal (horas)'!E$45:E$1645,MATCH(C1325&amp;D1325,'Tiempos intermodal (horas)'!C$45:C$1645&amp;'Tiempos intermodal (horas)'!D$45:D$1645,0))</f>
        <v>102.93974273296735</v>
      </c>
      <c r="J1325" s="2" cm="1">
        <f t="array" aca="1" ref="J1325" ca="1">INDEX('Tiempos carretera (horas)'!E$45:E$1645,MATCH(C1325&amp;D1325,'Tiempos carretera (horas)'!C$45:C$1645&amp;'Tiempos carretera (horas)'!D$45:D$1645,0))</f>
        <v>13.6</v>
      </c>
      <c r="K1325" s="12">
        <f t="shared" ca="1" si="126"/>
        <v>10.621316583763168</v>
      </c>
      <c r="L1325" s="12">
        <f t="shared" ca="1" si="127"/>
        <v>11.687303561947658</v>
      </c>
      <c r="M1325" s="12">
        <f t="shared" ca="1" si="128"/>
        <v>0.13471169999759325</v>
      </c>
      <c r="N1325" s="13">
        <f t="shared" ca="1" si="124"/>
        <v>-1.0659869781844904</v>
      </c>
      <c r="O1325" s="13">
        <f t="shared" ca="1" si="125"/>
        <v>-89.339742732967352</v>
      </c>
      <c r="P1325" s="12">
        <f t="shared" ca="1" si="129"/>
        <v>1.8599258068874118</v>
      </c>
    </row>
    <row r="1326" spans="1:16" x14ac:dyDescent="0.25">
      <c r="A1326">
        <v>18</v>
      </c>
      <c r="B1326">
        <v>23</v>
      </c>
      <c r="C1326" s="2" t="s">
        <v>17</v>
      </c>
      <c r="D1326" s="2" t="s">
        <v>22</v>
      </c>
      <c r="E1326" s="11" cm="1">
        <f t="array" aca="1" ref="E1326" ca="1">INDEX('OD flujo mercancia multimodal'!E$45:E$1645,MATCH(C1326&amp;D1326,'OD flujo mercancia multimodal'!C$45:C$1645&amp;'OD flujo mercancia multimodal'!D$45:D$1645,0))</f>
        <v>13150.307692307695</v>
      </c>
      <c r="F1326" s="11" cm="1">
        <f t="array" aca="1" ref="F1326" ca="1">INDEX('OD flujo mercancia carretera'!E$45:E$1646,MATCH(C1326&amp;D1326,'OD flujo mercancia carretera'!C$45:C$1646&amp;'OD flujo mercancia carretera'!D$45:D$1646,0))</f>
        <v>165753.28205128238</v>
      </c>
      <c r="G1326" s="11" cm="1">
        <f t="array" aca="1" ref="G1326" ca="1">INDEX('Coste Carretera'!E$46:E$1646,MATCH(C1326&amp;D1326,'Coste Carretera'!C$46:C$1646&amp;'Coste Carretera'!D$46:D$1646,0))</f>
        <v>897159753.84000027</v>
      </c>
      <c r="H1326" s="11" cm="1">
        <f t="array" aca="1" ref="H1326" ca="1">INDEX('Coste multimodal'!E$46:E$1646,MATCH(C1326&amp;D1326,'Coste multimodal'!C$46:C$1646&amp;'Coste multimodal'!D$46:D$1646,0))</f>
        <v>286845087.41428471</v>
      </c>
      <c r="I1326" s="12" cm="1">
        <f t="array" aca="1" ref="I1326" ca="1">INDEX('Tiempos intermodal (horas)'!E$45:E$1645,MATCH(C1326&amp;D1326,'Tiempos intermodal (horas)'!C$45:C$1645&amp;'Tiempos intermodal (horas)'!D$45:D$1645,0))</f>
        <v>102.93974273296735</v>
      </c>
      <c r="J1326" s="2" cm="1">
        <f t="array" aca="1" ref="J1326" ca="1">INDEX('Tiempos carretera (horas)'!E$45:E$1645,MATCH(C1326&amp;D1326,'Tiempos carretera (horas)'!C$45:C$1645&amp;'Tiempos carretera (horas)'!D$45:D$1645,0))</f>
        <v>13.6</v>
      </c>
      <c r="K1326" s="12">
        <f t="shared" ca="1" si="126"/>
        <v>5.4126213534790111</v>
      </c>
      <c r="L1326" s="12">
        <f t="shared" ca="1" si="127"/>
        <v>21.81280424199317</v>
      </c>
      <c r="M1326" s="12">
        <f t="shared" ca="1" si="128"/>
        <v>7.350499624493341E-2</v>
      </c>
      <c r="N1326" s="13">
        <f t="shared" ca="1" si="124"/>
        <v>-16.400182888514159</v>
      </c>
      <c r="O1326" s="13">
        <f t="shared" ca="1" si="125"/>
        <v>-89.339742732967352</v>
      </c>
      <c r="P1326" s="12">
        <f t="shared" ca="1" si="129"/>
        <v>2.534055273079697</v>
      </c>
    </row>
    <row r="1327" spans="1:16" x14ac:dyDescent="0.25">
      <c r="A1327">
        <v>16</v>
      </c>
      <c r="B1327">
        <v>23</v>
      </c>
      <c r="C1327" s="2" t="s">
        <v>15</v>
      </c>
      <c r="D1327" s="2" t="s">
        <v>22</v>
      </c>
      <c r="E1327" s="11" cm="1">
        <f t="array" aca="1" ref="E1327" ca="1">INDEX('OD flujo mercancia multimodal'!E$45:E$1645,MATCH(C1327&amp;D1327,'OD flujo mercancia multimodal'!C$45:C$1645&amp;'OD flujo mercancia multimodal'!D$45:D$1645,0))</f>
        <v>41741.153846153851</v>
      </c>
      <c r="F1327" s="11" cm="1">
        <f t="array" aca="1" ref="F1327" ca="1">INDEX('OD flujo mercancia carretera'!E$45:E$1646,MATCH(C1327&amp;D1327,'OD flujo mercancia carretera'!C$45:C$1646&amp;'OD flujo mercancia carretera'!D$45:D$1646,0))</f>
        <v>279600.20512820547</v>
      </c>
      <c r="G1327" s="11" cm="1">
        <f t="array" aca="1" ref="G1327" ca="1">INDEX('Coste Carretera'!E$46:E$1646,MATCH(C1327&amp;D1327,'Coste Carretera'!C$46:C$1646&amp;'Coste Carretera'!D$46:D$1646,0))</f>
        <v>2558350381.8000002</v>
      </c>
      <c r="H1327" s="11" cm="1">
        <f t="array" aca="1" ref="H1327" ca="1">INDEX('Coste multimodal'!E$46:E$1646,MATCH(C1327&amp;D1327,'Coste multimodal'!C$46:C$1646&amp;'Coste multimodal'!D$46:D$1646,0))</f>
        <v>293432094.50628465</v>
      </c>
      <c r="I1327" s="12" cm="1">
        <f t="array" aca="1" ref="I1327" ca="1">INDEX('Tiempos intermodal (horas)'!E$45:E$1645,MATCH(C1327&amp;D1327,'Tiempos intermodal (horas)'!C$45:C$1645&amp;'Tiempos intermodal (horas)'!D$45:D$1645,0))</f>
        <v>100.89863162185624</v>
      </c>
      <c r="J1327" s="2" cm="1">
        <f t="array" aca="1" ref="J1327" ca="1">INDEX('Tiempos carretera (horas)'!E$45:E$1645,MATCH(C1327&amp;D1327,'Tiempos carretera (horas)'!C$45:C$1645&amp;'Tiempos carretera (horas)'!D$45:D$1645,0))</f>
        <v>11.35</v>
      </c>
      <c r="K1327" s="12">
        <f t="shared" ca="1" si="126"/>
        <v>9.1500304179924186</v>
      </c>
      <c r="L1327" s="12">
        <f t="shared" ca="1" si="127"/>
        <v>7.0298031431472356</v>
      </c>
      <c r="M1327" s="12">
        <f t="shared" ca="1" si="128"/>
        <v>0.12989661206195524</v>
      </c>
      <c r="N1327" s="13">
        <f t="shared" ca="1" si="124"/>
        <v>2.1202272748451829</v>
      </c>
      <c r="O1327" s="13">
        <f t="shared" ca="1" si="125"/>
        <v>-89.548631621856245</v>
      </c>
      <c r="P1327" s="12">
        <f t="shared" ca="1" si="129"/>
        <v>1.9018731990863538</v>
      </c>
    </row>
    <row r="1328" spans="1:16" x14ac:dyDescent="0.25">
      <c r="A1328">
        <v>23</v>
      </c>
      <c r="B1328">
        <v>16</v>
      </c>
      <c r="C1328" s="2" t="s">
        <v>22</v>
      </c>
      <c r="D1328" s="2" t="s">
        <v>15</v>
      </c>
      <c r="E1328" s="11" cm="1">
        <f t="array" aca="1" ref="E1328" ca="1">INDEX('OD flujo mercancia multimodal'!E$45:E$1645,MATCH(C1328&amp;D1328,'OD flujo mercancia multimodal'!C$45:C$1645&amp;'OD flujo mercancia multimodal'!D$45:D$1645,0))</f>
        <v>38217.769230769263</v>
      </c>
      <c r="F1328" s="11" cm="1">
        <f t="array" aca="1" ref="F1328" ca="1">INDEX('OD flujo mercancia carretera'!E$45:E$1646,MATCH(C1328&amp;D1328,'OD flujo mercancia carretera'!C$45:C$1646&amp;'OD flujo mercancia carretera'!D$45:D$1646,0))</f>
        <v>635593.35897435865</v>
      </c>
      <c r="G1328" s="11" cm="1">
        <f t="array" aca="1" ref="G1328" ca="1">INDEX('Coste Carretera'!E$46:E$1646,MATCH(C1328&amp;D1328,'Coste Carretera'!C$46:C$1646&amp;'Coste Carretera'!D$46:D$1646,0))</f>
        <v>2342399179.0800018</v>
      </c>
      <c r="H1328" s="11" cm="1">
        <f t="array" aca="1" ref="H1328" ca="1">INDEX('Coste multimodal'!E$46:E$1646,MATCH(C1328&amp;D1328,'Coste multimodal'!C$46:C$1646&amp;'Coste multimodal'!D$46:D$1646,0))</f>
        <v>293432094.50628465</v>
      </c>
      <c r="I1328" s="12" cm="1">
        <f t="array" aca="1" ref="I1328" ca="1">INDEX('Tiempos intermodal (horas)'!E$45:E$1645,MATCH(C1328&amp;D1328,'Tiempos intermodal (horas)'!C$45:C$1645&amp;'Tiempos intermodal (horas)'!D$45:D$1645,0))</f>
        <v>100.89863162185624</v>
      </c>
      <c r="J1328" s="2" cm="1">
        <f t="array" aca="1" ref="J1328" ca="1">INDEX('Tiempos carretera (horas)'!E$45:E$1645,MATCH(C1328&amp;D1328,'Tiempos carretera (horas)'!C$45:C$1645&amp;'Tiempos carretera (horas)'!D$45:D$1645,0))</f>
        <v>11.35</v>
      </c>
      <c r="K1328" s="12">
        <f t="shared" ca="1" si="126"/>
        <v>3.6853739045667084</v>
      </c>
      <c r="L1328" s="12">
        <f t="shared" ca="1" si="127"/>
        <v>7.6778969681475138</v>
      </c>
      <c r="M1328" s="12">
        <f t="shared" ca="1" si="128"/>
        <v>5.6718815749707614E-2</v>
      </c>
      <c r="N1328" s="13">
        <f t="shared" ca="1" si="124"/>
        <v>-3.9925230635808053</v>
      </c>
      <c r="O1328" s="13">
        <f t="shared" ca="1" si="125"/>
        <v>-89.548631621856245</v>
      </c>
      <c r="P1328" s="12">
        <f t="shared" ca="1" si="129"/>
        <v>2.8112584156055647</v>
      </c>
    </row>
    <row r="1329" spans="1:16" x14ac:dyDescent="0.25">
      <c r="A1329">
        <v>30</v>
      </c>
      <c r="B1329">
        <v>18</v>
      </c>
      <c r="C1329" s="2" t="s">
        <v>146</v>
      </c>
      <c r="D1329" s="2" t="s">
        <v>17</v>
      </c>
      <c r="E1329" s="11" cm="1">
        <f t="array" aca="1" ref="E1329" ca="1">INDEX('OD flujo mercancia multimodal'!E$45:E$1645,MATCH(C1329&amp;D1329,'OD flujo mercancia multimodal'!C$45:C$1645&amp;'OD flujo mercancia multimodal'!D$45:D$1645,0))</f>
        <v>25572.076923076893</v>
      </c>
      <c r="F1329" s="11" cm="1">
        <f t="array" aca="1" ref="F1329" ca="1">INDEX('OD flujo mercancia carretera'!E$45:E$1646,MATCH(C1329&amp;D1329,'OD flujo mercancia carretera'!C$45:C$1646&amp;'OD flujo mercancia carretera'!D$45:D$1646,0))</f>
        <v>277385.18461538467</v>
      </c>
      <c r="G1329" s="11" cm="1">
        <f t="array" aca="1" ref="G1329" ca="1">INDEX('Coste Carretera'!E$46:E$1646,MATCH(C1329&amp;D1329,'Coste Carretera'!C$46:C$1646&amp;'Coste Carretera'!D$46:D$1646,0))</f>
        <v>2105249742.8599982</v>
      </c>
      <c r="H1329" s="11" cm="1">
        <f t="array" aca="1" ref="H1329" ca="1">INDEX('Coste multimodal'!E$46:E$1646,MATCH(C1329&amp;D1329,'Coste multimodal'!C$46:C$1646&amp;'Coste multimodal'!D$46:D$1646,0))</f>
        <v>39692286883.730583</v>
      </c>
      <c r="I1329" s="12" cm="1">
        <f t="array" aca="1" ref="I1329" ca="1">INDEX('Tiempos intermodal (horas)'!E$45:E$1645,MATCH(C1329&amp;D1329,'Tiempos intermodal (horas)'!C$45:C$1645&amp;'Tiempos intermodal (horas)'!D$45:D$1645,0))</f>
        <v>101.41752051074513</v>
      </c>
      <c r="J1329" s="2" cm="1">
        <f t="array" aca="1" ref="J1329" ca="1">INDEX('Tiempos carretera (horas)'!E$45:E$1645,MATCH(C1329&amp;D1329,'Tiempos carretera (horas)'!C$45:C$1645&amp;'Tiempos carretera (horas)'!D$45:D$1645,0))</f>
        <v>11.2</v>
      </c>
      <c r="K1329" s="12">
        <f t="shared" ca="1" si="126"/>
        <v>7.5896257609399163</v>
      </c>
      <c r="L1329" s="12">
        <f t="shared" ca="1" si="127"/>
        <v>1552.1729816130519</v>
      </c>
      <c r="M1329" s="12">
        <f t="shared" ca="1" si="128"/>
        <v>8.4408199338804835E-2</v>
      </c>
      <c r="N1329" s="13">
        <f t="shared" ca="1" si="124"/>
        <v>-1544.5833558521119</v>
      </c>
      <c r="O1329" s="13">
        <f t="shared" ca="1" si="125"/>
        <v>-90.217520510745132</v>
      </c>
      <c r="P1329" s="12">
        <f t="shared" ca="1" si="129"/>
        <v>2.3839060874371962</v>
      </c>
    </row>
    <row r="1330" spans="1:16" x14ac:dyDescent="0.25">
      <c r="A1330">
        <v>18</v>
      </c>
      <c r="B1330">
        <v>30</v>
      </c>
      <c r="C1330" s="2" t="s">
        <v>17</v>
      </c>
      <c r="D1330" s="2" t="s">
        <v>146</v>
      </c>
      <c r="E1330" s="11" cm="1">
        <f t="array" aca="1" ref="E1330" ca="1">INDEX('OD flujo mercancia multimodal'!E$45:E$1645,MATCH(C1330&amp;D1330,'OD flujo mercancia multimodal'!C$45:C$1645&amp;'OD flujo mercancia multimodal'!D$45:D$1645,0))</f>
        <v>14482.915384615386</v>
      </c>
      <c r="F1330" s="11" cm="1">
        <f t="array" aca="1" ref="F1330" ca="1">INDEX('OD flujo mercancia carretera'!E$45:E$1646,MATCH(C1330&amp;D1330,'OD flujo mercancia carretera'!C$45:C$1646&amp;'OD flujo mercancia carretera'!D$45:D$1646,0))</f>
        <v>285107.71538461541</v>
      </c>
      <c r="G1330" s="11" cm="1">
        <f t="array" aca="1" ref="G1330" ca="1">INDEX('Coste Carretera'!E$46:E$1646,MATCH(C1330&amp;D1330,'Coste Carretera'!C$46:C$1646&amp;'Coste Carretera'!D$46:D$1646,0))</f>
        <v>2253187771.8199997</v>
      </c>
      <c r="H1330" s="11" cm="1">
        <f t="array" aca="1" ref="H1330" ca="1">INDEX('Coste multimodal'!E$46:E$1646,MATCH(C1330&amp;D1330,'Coste multimodal'!C$46:C$1646&amp;'Coste multimodal'!D$46:D$1646,0))</f>
        <v>39692286883.730583</v>
      </c>
      <c r="I1330" s="12" cm="1">
        <f t="array" aca="1" ref="I1330" ca="1">INDEX('Tiempos intermodal (horas)'!E$45:E$1645,MATCH(C1330&amp;D1330,'Tiempos intermodal (horas)'!C$45:C$1645&amp;'Tiempos intermodal (horas)'!D$45:D$1645,0))</f>
        <v>101.41752051074513</v>
      </c>
      <c r="J1330" s="2" cm="1">
        <f t="array" aca="1" ref="J1330" ca="1">INDEX('Tiempos carretera (horas)'!E$45:E$1645,MATCH(C1330&amp;D1330,'Tiempos carretera (horas)'!C$45:C$1645&amp;'Tiempos carretera (horas)'!D$45:D$1645,0))</f>
        <v>11.2</v>
      </c>
      <c r="K1330" s="12">
        <f t="shared" ca="1" si="126"/>
        <v>7.9029351021960563</v>
      </c>
      <c r="L1330" s="12">
        <f t="shared" ca="1" si="127"/>
        <v>2740.6282388347095</v>
      </c>
      <c r="M1330" s="12">
        <f t="shared" ca="1" si="128"/>
        <v>4.8342350851990804E-2</v>
      </c>
      <c r="N1330" s="13">
        <f t="shared" ca="1" si="124"/>
        <v>-2732.7253037325136</v>
      </c>
      <c r="O1330" s="13">
        <f t="shared" ca="1" si="125"/>
        <v>-90.217520510745132</v>
      </c>
      <c r="P1330" s="12">
        <f t="shared" ca="1" si="129"/>
        <v>2.9798973521737904</v>
      </c>
    </row>
    <row r="1331" spans="1:16" x14ac:dyDescent="0.25">
      <c r="A1331">
        <v>17</v>
      </c>
      <c r="B1331">
        <v>5</v>
      </c>
      <c r="C1331" s="2" t="s">
        <v>16</v>
      </c>
      <c r="D1331" s="2" t="s">
        <v>4</v>
      </c>
      <c r="E1331" s="11" cm="1">
        <f t="array" aca="1" ref="E1331" ca="1">INDEX('OD flujo mercancia multimodal'!E$45:E$1645,MATCH(C1331&amp;D1331,'OD flujo mercancia multimodal'!C$45:C$1645&amp;'OD flujo mercancia multimodal'!D$45:D$1645,0))</f>
        <v>119089.48901098905</v>
      </c>
      <c r="F1331" s="11" cm="1">
        <f t="array" aca="1" ref="F1331" ca="1">INDEX('OD flujo mercancia carretera'!E$45:E$1646,MATCH(C1331&amp;D1331,'OD flujo mercancia carretera'!C$45:C$1646&amp;'OD flujo mercancia carretera'!D$45:D$1646,0))</f>
        <v>591814.23076923075</v>
      </c>
      <c r="G1331" s="11" cm="1">
        <f t="array" aca="1" ref="G1331" ca="1">INDEX('Coste Carretera'!E$46:E$1646,MATCH(C1331&amp;D1331,'Coste Carretera'!C$46:C$1646&amp;'Coste Carretera'!D$46:D$1646,0))</f>
        <v>16318199123.094292</v>
      </c>
      <c r="H1331" s="11" cm="1">
        <f t="array" aca="1" ref="H1331" ca="1">INDEX('Coste multimodal'!E$46:E$1646,MATCH(C1331&amp;D1331,'Coste multimodal'!C$46:C$1646&amp;'Coste multimodal'!D$46:D$1646,0))</f>
        <v>1157917952.2419538</v>
      </c>
      <c r="I1331" s="12" cm="1">
        <f t="array" aca="1" ref="I1331" ca="1">INDEX('Tiempos intermodal (horas)'!E$45:E$1645,MATCH(C1331&amp;D1331,'Tiempos intermodal (horas)'!C$45:C$1645&amp;'Tiempos intermodal (horas)'!D$45:D$1645,0))</f>
        <v>110.86237903528527</v>
      </c>
      <c r="J1331" s="2" cm="1">
        <f t="array" aca="1" ref="J1331" ca="1">INDEX('Tiempos carretera (horas)'!E$45:E$1645,MATCH(C1331&amp;D1331,'Tiempos carretera (horas)'!C$45:C$1645&amp;'Tiempos carretera (horas)'!D$45:D$1645,0))</f>
        <v>26</v>
      </c>
      <c r="K1331" s="12">
        <f t="shared" ca="1" si="126"/>
        <v>27.573177991823812</v>
      </c>
      <c r="L1331" s="12">
        <f t="shared" ca="1" si="127"/>
        <v>9.7230911128949948</v>
      </c>
      <c r="M1331" s="12">
        <f t="shared" ca="1" si="128"/>
        <v>0.16751844968233714</v>
      </c>
      <c r="N1331" s="13">
        <f t="shared" ca="1" si="124"/>
        <v>17.850086878928817</v>
      </c>
      <c r="O1331" s="13">
        <f t="shared" ca="1" si="125"/>
        <v>-84.862379035285272</v>
      </c>
      <c r="P1331" s="12">
        <f t="shared" ca="1" si="129"/>
        <v>1.6033175672718547</v>
      </c>
    </row>
    <row r="1332" spans="1:16" x14ac:dyDescent="0.25">
      <c r="A1332">
        <v>16</v>
      </c>
      <c r="B1332">
        <v>30</v>
      </c>
      <c r="C1332" s="2" t="s">
        <v>15</v>
      </c>
      <c r="D1332" s="2" t="s">
        <v>146</v>
      </c>
      <c r="E1332" s="11" cm="1">
        <f t="array" aca="1" ref="E1332" ca="1">INDEX('OD flujo mercancia multimodal'!E$45:E$1645,MATCH(C1332&amp;D1332,'OD flujo mercancia multimodal'!C$45:C$1645&amp;'OD flujo mercancia multimodal'!D$45:D$1645,0))</f>
        <v>43073.761538461542</v>
      </c>
      <c r="F1332" s="11" cm="1">
        <f t="array" aca="1" ref="F1332" ca="1">INDEX('OD flujo mercancia carretera'!E$45:E$1646,MATCH(C1332&amp;D1332,'OD flujo mercancia carretera'!C$45:C$1646&amp;'OD flujo mercancia carretera'!D$45:D$1646,0))</f>
        <v>398954.63846153847</v>
      </c>
      <c r="G1332" s="11" cm="1">
        <f t="array" aca="1" ref="G1332" ca="1">INDEX('Coste Carretera'!E$46:E$1646,MATCH(C1332&amp;D1332,'Coste Carretera'!C$46:C$1646&amp;'Coste Carretera'!D$46:D$1646,0))</f>
        <v>3053216118.5599995</v>
      </c>
      <c r="H1332" s="11" cm="1">
        <f t="array" aca="1" ref="H1332" ca="1">INDEX('Coste multimodal'!E$46:E$1646,MATCH(C1332&amp;D1332,'Coste multimodal'!C$46:C$1646&amp;'Coste multimodal'!D$46:D$1646,0))</f>
        <v>39698873890.822586</v>
      </c>
      <c r="I1332" s="12" cm="1">
        <f t="array" aca="1" ref="I1332" ca="1">INDEX('Tiempos intermodal (horas)'!E$45:E$1645,MATCH(C1332&amp;D1332,'Tiempos intermodal (horas)'!C$45:C$1645&amp;'Tiempos intermodal (horas)'!D$45:D$1645,0))</f>
        <v>99.376409399634014</v>
      </c>
      <c r="J1332" s="2" cm="1">
        <f t="array" aca="1" ref="J1332" ca="1">INDEX('Tiempos carretera (horas)'!E$45:E$1645,MATCH(C1332&amp;D1332,'Tiempos carretera (horas)'!C$45:C$1645&amp;'Tiempos carretera (horas)'!D$45:D$1645,0))</f>
        <v>8.8000000000000007</v>
      </c>
      <c r="K1332" s="12">
        <f t="shared" ca="1" si="126"/>
        <v>7.6530407826160589</v>
      </c>
      <c r="L1332" s="12">
        <f t="shared" ca="1" si="127"/>
        <v>921.64864346417846</v>
      </c>
      <c r="M1332" s="12">
        <f t="shared" ca="1" si="128"/>
        <v>9.7445687965889843E-2</v>
      </c>
      <c r="N1332" s="13">
        <f t="shared" ca="1" si="124"/>
        <v>-913.99560268156245</v>
      </c>
      <c r="O1332" s="13">
        <f t="shared" ca="1" si="125"/>
        <v>-90.576409399634016</v>
      </c>
      <c r="P1332" s="12">
        <f t="shared" ca="1" si="129"/>
        <v>2.2259336916434376</v>
      </c>
    </row>
    <row r="1333" spans="1:16" x14ac:dyDescent="0.25">
      <c r="A1333">
        <v>30</v>
      </c>
      <c r="B1333">
        <v>16</v>
      </c>
      <c r="C1333" s="2" t="s">
        <v>146</v>
      </c>
      <c r="D1333" s="2" t="s">
        <v>15</v>
      </c>
      <c r="E1333" s="11" cm="1">
        <f t="array" aca="1" ref="E1333" ca="1">INDEX('OD flujo mercancia multimodal'!E$45:E$1645,MATCH(C1333&amp;D1333,'OD flujo mercancia multimodal'!C$45:C$1645&amp;'OD flujo mercancia multimodal'!D$45:D$1645,0))</f>
        <v>39246.538461538497</v>
      </c>
      <c r="F1333" s="11" cm="1">
        <f t="array" aca="1" ref="F1333" ca="1">INDEX('OD flujo mercancia carretera'!E$45:E$1646,MATCH(C1333&amp;D1333,'OD flujo mercancia carretera'!C$45:C$1646&amp;'OD flujo mercancia carretera'!D$45:D$1646,0))</f>
        <v>755330.49230769207</v>
      </c>
      <c r="G1333" s="11" cm="1">
        <f t="array" aca="1" ref="G1333" ca="1">INDEX('Coste Carretera'!E$46:E$1646,MATCH(C1333&amp;D1333,'Coste Carretera'!C$46:C$1646&amp;'Coste Carretera'!D$46:D$1646,0))</f>
        <v>2266546058.0800014</v>
      </c>
      <c r="H1333" s="11" cm="1">
        <f t="array" aca="1" ref="H1333" ca="1">INDEX('Coste multimodal'!E$46:E$1646,MATCH(C1333&amp;D1333,'Coste multimodal'!C$46:C$1646&amp;'Coste multimodal'!D$46:D$1646,0))</f>
        <v>39698873890.822586</v>
      </c>
      <c r="I1333" s="12" cm="1">
        <f t="array" aca="1" ref="I1333" ca="1">INDEX('Tiempos intermodal (horas)'!E$45:E$1645,MATCH(C1333&amp;D1333,'Tiempos intermodal (horas)'!C$45:C$1645&amp;'Tiempos intermodal (horas)'!D$45:D$1645,0))</f>
        <v>99.376409399634014</v>
      </c>
      <c r="J1333" s="2" cm="1">
        <f t="array" aca="1" ref="J1333" ca="1">INDEX('Tiempos carretera (horas)'!E$45:E$1645,MATCH(C1333&amp;D1333,'Tiempos carretera (horas)'!C$45:C$1645&amp;'Tiempos carretera (horas)'!D$45:D$1645,0))</f>
        <v>8.8000000000000007</v>
      </c>
      <c r="K1333" s="12">
        <f t="shared" ca="1" si="126"/>
        <v>3.0007342231812073</v>
      </c>
      <c r="L1333" s="12">
        <f t="shared" ca="1" si="127"/>
        <v>1011.5254859922838</v>
      </c>
      <c r="M1333" s="12">
        <f t="shared" ca="1" si="128"/>
        <v>4.9392993934828315E-2</v>
      </c>
      <c r="N1333" s="13">
        <f t="shared" ca="1" si="124"/>
        <v>-1008.5247517691026</v>
      </c>
      <c r="O1333" s="13">
        <f t="shared" ca="1" si="125"/>
        <v>-90.576409399634016</v>
      </c>
      <c r="P1333" s="12">
        <f t="shared" ca="1" si="129"/>
        <v>2.9572921433489561</v>
      </c>
    </row>
    <row r="1334" spans="1:16" x14ac:dyDescent="0.25">
      <c r="A1334">
        <v>21</v>
      </c>
      <c r="B1334">
        <v>18</v>
      </c>
      <c r="C1334" s="2" t="s">
        <v>20</v>
      </c>
      <c r="D1334" s="2" t="s">
        <v>17</v>
      </c>
      <c r="E1334" s="11" cm="1">
        <f t="array" aca="1" ref="E1334" ca="1">INDEX('OD flujo mercancia multimodal'!E$45:E$1645,MATCH(C1334&amp;D1334,'OD flujo mercancia multimodal'!C$45:C$1645&amp;'OD flujo mercancia multimodal'!D$45:D$1645,0))</f>
        <v>46926.307692307659</v>
      </c>
      <c r="F1334" s="11" cm="1">
        <f t="array" aca="1" ref="F1334" ca="1">INDEX('OD flujo mercancia carretera'!E$45:E$1646,MATCH(C1334&amp;D1334,'OD flujo mercancia carretera'!C$45:C$1646&amp;'OD flujo mercancia carretera'!D$45:D$1646,0))</f>
        <v>162599.3846153846</v>
      </c>
      <c r="G1334" s="11" cm="1">
        <f t="array" aca="1" ref="G1334" ca="1">INDEX('Coste Carretera'!E$46:E$1646,MATCH(C1334&amp;D1334,'Coste Carretera'!C$46:C$1646&amp;'Coste Carretera'!D$46:D$1646,0))</f>
        <v>4480587678.2399969</v>
      </c>
      <c r="H1334" s="11" cm="1">
        <f t="array" aca="1" ref="H1334" ca="1">INDEX('Coste multimodal'!E$46:E$1646,MATCH(C1334&amp;D1334,'Coste multimodal'!C$46:C$1646&amp;'Coste multimodal'!D$46:D$1646,0))</f>
        <v>422018437.4212116</v>
      </c>
      <c r="I1334" s="12" cm="1">
        <f t="array" aca="1" ref="I1334" ca="1">INDEX('Tiempos intermodal (horas)'!E$45:E$1645,MATCH(C1334&amp;D1334,'Tiempos intermodal (horas)'!C$45:C$1645&amp;'Tiempos intermodal (horas)'!D$45:D$1645,0))</f>
        <v>110.17270699605857</v>
      </c>
      <c r="J1334" s="2" cm="1">
        <f t="array" aca="1" ref="J1334" ca="1">INDEX('Tiempos carretera (horas)'!E$45:E$1645,MATCH(C1334&amp;D1334,'Tiempos carretera (horas)'!C$45:C$1645&amp;'Tiempos carretera (horas)'!D$45:D$1645,0))</f>
        <v>18.46</v>
      </c>
      <c r="K1334" s="12">
        <f t="shared" ca="1" si="126"/>
        <v>27.555994069955776</v>
      </c>
      <c r="L1334" s="12">
        <f t="shared" ca="1" si="127"/>
        <v>8.9932163465396719</v>
      </c>
      <c r="M1334" s="12">
        <f t="shared" ca="1" si="128"/>
        <v>0.2239644559837346</v>
      </c>
      <c r="N1334" s="13">
        <f t="shared" ca="1" si="124"/>
        <v>18.562777723416104</v>
      </c>
      <c r="O1334" s="13">
        <f t="shared" ca="1" si="125"/>
        <v>-91.712706996058557</v>
      </c>
      <c r="P1334" s="12">
        <f t="shared" ca="1" si="129"/>
        <v>1.242710962658703</v>
      </c>
    </row>
    <row r="1335" spans="1:16" x14ac:dyDescent="0.25">
      <c r="A1335">
        <v>18</v>
      </c>
      <c r="B1335">
        <v>21</v>
      </c>
      <c r="C1335" s="2" t="s">
        <v>17</v>
      </c>
      <c r="D1335" s="2" t="s">
        <v>20</v>
      </c>
      <c r="E1335" s="11" cm="1">
        <f t="array" aca="1" ref="E1335" ca="1">INDEX('OD flujo mercancia multimodal'!E$45:E$1645,MATCH(C1335&amp;D1335,'OD flujo mercancia multimodal'!C$45:C$1645&amp;'OD flujo mercancia multimodal'!D$45:D$1645,0))</f>
        <v>44031.923076923085</v>
      </c>
      <c r="F1335" s="11" cm="1">
        <f t="array" aca="1" ref="F1335" ca="1">INDEX('OD flujo mercancia carretera'!E$45:E$1646,MATCH(C1335&amp;D1335,'OD flujo mercancia carretera'!C$45:C$1646&amp;'OD flujo mercancia carretera'!D$45:D$1646,0))</f>
        <v>162889.94871794837</v>
      </c>
      <c r="G1335" s="11" cm="1">
        <f t="array" aca="1" ref="G1335" ca="1">INDEX('Coste Carretera'!E$46:E$1646,MATCH(C1335&amp;D1335,'Coste Carretera'!C$46:C$1646&amp;'Coste Carretera'!D$46:D$1646,0))</f>
        <v>4204227898.8000011</v>
      </c>
      <c r="H1335" s="11" cm="1">
        <f t="array" aca="1" ref="H1335" ca="1">INDEX('Coste multimodal'!E$46:E$1646,MATCH(C1335&amp;D1335,'Coste multimodal'!C$46:C$1646&amp;'Coste multimodal'!D$46:D$1646,0))</f>
        <v>422018437.4212116</v>
      </c>
      <c r="I1335" s="12" cm="1">
        <f t="array" aca="1" ref="I1335" ca="1">INDEX('Tiempos intermodal (horas)'!E$45:E$1645,MATCH(C1335&amp;D1335,'Tiempos intermodal (horas)'!C$45:C$1645&amp;'Tiempos intermodal (horas)'!D$45:D$1645,0))</f>
        <v>110.17270699605857</v>
      </c>
      <c r="J1335" s="2" cm="1">
        <f t="array" aca="1" ref="J1335" ca="1">INDEX('Tiempos carretera (horas)'!E$45:E$1645,MATCH(C1335&amp;D1335,'Tiempos carretera (horas)'!C$45:C$1645&amp;'Tiempos carretera (horas)'!D$45:D$1645,0))</f>
        <v>18.46</v>
      </c>
      <c r="K1335" s="12">
        <f t="shared" ca="1" si="126"/>
        <v>25.810235265527769</v>
      </c>
      <c r="L1335" s="12">
        <f t="shared" ca="1" si="127"/>
        <v>9.5843744249814371</v>
      </c>
      <c r="M1335" s="12">
        <f t="shared" ca="1" si="128"/>
        <v>0.21279491962344801</v>
      </c>
      <c r="N1335" s="13">
        <f t="shared" ca="1" si="124"/>
        <v>16.225860840546332</v>
      </c>
      <c r="O1335" s="13">
        <f t="shared" ca="1" si="125"/>
        <v>-91.712706996058557</v>
      </c>
      <c r="P1335" s="12">
        <f t="shared" ca="1" si="129"/>
        <v>1.3081599162150548</v>
      </c>
    </row>
    <row r="1336" spans="1:16" x14ac:dyDescent="0.25">
      <c r="A1336">
        <v>24</v>
      </c>
      <c r="B1336">
        <v>18</v>
      </c>
      <c r="C1336" s="2" t="s">
        <v>23</v>
      </c>
      <c r="D1336" s="2" t="s">
        <v>17</v>
      </c>
      <c r="E1336" s="11" cm="1">
        <f t="array" aca="1" ref="E1336" ca="1">INDEX('OD flujo mercancia multimodal'!E$45:E$1645,MATCH(C1336&amp;D1336,'OD flujo mercancia multimodal'!C$45:C$1645&amp;'OD flujo mercancia multimodal'!D$45:D$1645,0))</f>
        <v>27475.23076923074</v>
      </c>
      <c r="F1336" s="11" cm="1">
        <f t="array" aca="1" ref="F1336" ca="1">INDEX('OD flujo mercancia carretera'!E$45:E$1646,MATCH(C1336&amp;D1336,'OD flujo mercancia carretera'!C$45:C$1646&amp;'OD flujo mercancia carretera'!D$45:D$1646,0))</f>
        <v>134668.3846153846</v>
      </c>
      <c r="G1336" s="11" cm="1">
        <f t="array" aca="1" ref="G1336" ca="1">INDEX('Coste Carretera'!E$46:E$1646,MATCH(C1336&amp;D1336,'Coste Carretera'!C$46:C$1646&amp;'Coste Carretera'!D$46:D$1646,0))</f>
        <v>1406924141.9999983</v>
      </c>
      <c r="H1336" s="11" cm="1">
        <f t="array" aca="1" ref="H1336" ca="1">INDEX('Coste multimodal'!E$46:E$1646,MATCH(C1336&amp;D1336,'Coste multimodal'!C$46:C$1646&amp;'Coste multimodal'!D$46:D$1646,0))</f>
        <v>39719723795.522583</v>
      </c>
      <c r="I1336" s="12" cm="1">
        <f t="array" aca="1" ref="I1336" ca="1">INDEX('Tiempos intermodal (horas)'!E$45:E$1645,MATCH(C1336&amp;D1336,'Tiempos intermodal (horas)'!C$45:C$1645&amp;'Tiempos intermodal (horas)'!D$45:D$1645,0))</f>
        <v>102.22863162185624</v>
      </c>
      <c r="J1336" s="2" cm="1">
        <f t="array" aca="1" ref="J1336" ca="1">INDEX('Tiempos carretera (horas)'!E$45:E$1645,MATCH(C1336&amp;D1336,'Tiempos carretera (horas)'!C$45:C$1645&amp;'Tiempos carretera (horas)'!D$45:D$1645,0))</f>
        <v>10.48</v>
      </c>
      <c r="K1336" s="12">
        <f t="shared" ca="1" si="126"/>
        <v>10.447323223028178</v>
      </c>
      <c r="L1336" s="12">
        <f t="shared" ca="1" si="127"/>
        <v>1445.6556936367697</v>
      </c>
      <c r="M1336" s="12">
        <f t="shared" ca="1" si="128"/>
        <v>0.16944997004080414</v>
      </c>
      <c r="N1336" s="13">
        <f t="shared" ca="1" si="124"/>
        <v>-1435.2083704137415</v>
      </c>
      <c r="O1336" s="13">
        <f t="shared" ca="1" si="125"/>
        <v>-91.748631621856234</v>
      </c>
      <c r="P1336" s="12">
        <f t="shared" ca="1" si="129"/>
        <v>1.5895304467581266</v>
      </c>
    </row>
    <row r="1337" spans="1:16" x14ac:dyDescent="0.25">
      <c r="A1337">
        <v>18</v>
      </c>
      <c r="B1337">
        <v>24</v>
      </c>
      <c r="C1337" s="2" t="s">
        <v>17</v>
      </c>
      <c r="D1337" s="2" t="s">
        <v>23</v>
      </c>
      <c r="E1337" s="11" cm="1">
        <f t="array" aca="1" ref="E1337" ca="1">INDEX('OD flujo mercancia multimodal'!E$45:E$1645,MATCH(C1337&amp;D1337,'OD flujo mercancia multimodal'!C$45:C$1645&amp;'OD flujo mercancia multimodal'!D$45:D$1645,0))</f>
        <v>14312.692307692305</v>
      </c>
      <c r="F1337" s="11" cm="1">
        <f t="array" aca="1" ref="F1337" ca="1">INDEX('OD flujo mercancia carretera'!E$45:E$1646,MATCH(C1337&amp;D1337,'OD flujo mercancia carretera'!C$45:C$1646&amp;'OD flujo mercancia carretera'!D$45:D$1646,0))</f>
        <v>123225.28205128209</v>
      </c>
      <c r="G1337" s="11" cm="1">
        <f t="array" aca="1" ref="G1337" ca="1">INDEX('Coste Carretera'!E$46:E$1646,MATCH(C1337&amp;D1337,'Coste Carretera'!C$46:C$1646&amp;'Coste Carretera'!D$46:D$1646,0))</f>
        <v>732910034.99999976</v>
      </c>
      <c r="H1337" s="11" cm="1">
        <f t="array" aca="1" ref="H1337" ca="1">INDEX('Coste multimodal'!E$46:E$1646,MATCH(C1337&amp;D1337,'Coste multimodal'!C$46:C$1646&amp;'Coste multimodal'!D$46:D$1646,0))</f>
        <v>39719723795.522583</v>
      </c>
      <c r="I1337" s="12" cm="1">
        <f t="array" aca="1" ref="I1337" ca="1">INDEX('Tiempos intermodal (horas)'!E$45:E$1645,MATCH(C1337&amp;D1337,'Tiempos intermodal (horas)'!C$45:C$1645&amp;'Tiempos intermodal (horas)'!D$45:D$1645,0))</f>
        <v>102.22863162185624</v>
      </c>
      <c r="J1337" s="2" cm="1">
        <f t="array" aca="1" ref="J1337" ca="1">INDEX('Tiempos carretera (horas)'!E$45:E$1645,MATCH(C1337&amp;D1337,'Tiempos carretera (horas)'!C$45:C$1645&amp;'Tiempos carretera (horas)'!D$45:D$1645,0))</f>
        <v>10.48</v>
      </c>
      <c r="K1337" s="12">
        <f t="shared" ca="1" si="126"/>
        <v>5.9477245480760024</v>
      </c>
      <c r="L1337" s="12">
        <f ca="1">H1337/(E1336*1000)</f>
        <v>1445.6556936367697</v>
      </c>
      <c r="M1337" s="12">
        <f t="shared" ca="1" si="128"/>
        <v>0.10406356771211525</v>
      </c>
      <c r="N1337" s="13">
        <f t="shared" ca="1" si="124"/>
        <v>-1439.7079690886937</v>
      </c>
      <c r="O1337" s="13">
        <f t="shared" ca="1" si="125"/>
        <v>-91.748631621856234</v>
      </c>
      <c r="P1337" s="12">
        <f t="shared" ca="1" si="129"/>
        <v>2.1528675239321355</v>
      </c>
    </row>
    <row r="1338" spans="1:16" x14ac:dyDescent="0.25">
      <c r="A1338">
        <v>19</v>
      </c>
      <c r="B1338">
        <v>26</v>
      </c>
      <c r="C1338" s="2" t="s">
        <v>18</v>
      </c>
      <c r="D1338" s="2" t="s">
        <v>25</v>
      </c>
      <c r="E1338" s="11" cm="1">
        <f t="array" aca="1" ref="E1338" ca="1">INDEX('OD flujo mercancia multimodal'!E$45:E$1645,MATCH(C1338&amp;D1338,'OD flujo mercancia multimodal'!C$45:C$1645&amp;'OD flujo mercancia multimodal'!D$45:D$1645,0))</f>
        <v>6076.6923076923067</v>
      </c>
      <c r="F1338" s="11" cm="1">
        <f t="array" aca="1" ref="F1338" ca="1">INDEX('OD flujo mercancia carretera'!E$45:E$1646,MATCH(C1338&amp;D1338,'OD flujo mercancia carretera'!C$45:C$1646&amp;'OD flujo mercancia carretera'!D$45:D$1646,0))</f>
        <v>86663</v>
      </c>
      <c r="G1338" s="11" cm="1">
        <f t="array" aca="1" ref="G1338" ca="1">INDEX('Coste Carretera'!E$46:E$1646,MATCH(C1338&amp;D1338,'Coste Carretera'!C$46:C$1646&amp;'Coste Carretera'!D$46:D$1646,0))</f>
        <v>281169282.27999997</v>
      </c>
      <c r="H1338" s="11" cm="1">
        <f t="array" aca="1" ref="H1338" ca="1">INDEX('Coste multimodal'!E$46:E$1646,MATCH(C1338&amp;D1338,'Coste multimodal'!C$46:C$1646&amp;'Coste multimodal'!D$46:D$1646,0))</f>
        <v>343051144.85892248</v>
      </c>
      <c r="I1338" s="12" cm="1">
        <f t="array" aca="1" ref="I1338" ca="1">INDEX('Tiempos intermodal (horas)'!E$45:E$1645,MATCH(C1338&amp;D1338,'Tiempos intermodal (horas)'!C$45:C$1645&amp;'Tiempos intermodal (horas)'!D$45:D$1645,0))</f>
        <v>111.83845904302741</v>
      </c>
      <c r="J1338" s="2" cm="1">
        <f t="array" aca="1" ref="J1338" ca="1">INDEX('Tiempos carretera (horas)'!E$45:E$1645,MATCH(C1338&amp;D1338,'Tiempos carretera (horas)'!C$45:C$1645&amp;'Tiempos carretera (horas)'!D$45:D$1645,0))</f>
        <v>8.4499999999999993</v>
      </c>
      <c r="K1338" s="12">
        <f t="shared" ca="1" si="126"/>
        <v>3.2443982123859083</v>
      </c>
      <c r="L1338" s="12">
        <f t="shared" ca="1" si="127"/>
        <v>56.453598024810979</v>
      </c>
      <c r="M1338" s="12">
        <f t="shared" ca="1" si="128"/>
        <v>6.5524180170137072E-2</v>
      </c>
      <c r="N1338" s="13">
        <f t="shared" ca="1" si="124"/>
        <v>-53.209199812425069</v>
      </c>
      <c r="O1338" s="13">
        <f t="shared" ca="1" si="125"/>
        <v>-103.38845904302741</v>
      </c>
      <c r="P1338" s="12">
        <f t="shared" ca="1" si="129"/>
        <v>2.6575665141592313</v>
      </c>
    </row>
    <row r="1339" spans="1:16" x14ac:dyDescent="0.25">
      <c r="A1339">
        <v>26</v>
      </c>
      <c r="B1339">
        <v>19</v>
      </c>
      <c r="C1339" s="2" t="s">
        <v>25</v>
      </c>
      <c r="D1339" s="2" t="s">
        <v>18</v>
      </c>
      <c r="E1339" s="11" cm="1">
        <f t="array" aca="1" ref="E1339" ca="1">INDEX('OD flujo mercancia multimodal'!E$45:E$1645,MATCH(C1339&amp;D1339,'OD flujo mercancia multimodal'!C$45:C$1645&amp;'OD flujo mercancia multimodal'!D$45:D$1645,0))</f>
        <v>2457.2307692307722</v>
      </c>
      <c r="F1339" s="11" cm="1">
        <f t="array" aca="1" ref="F1339" ca="1">INDEX('OD flujo mercancia carretera'!E$45:E$1646,MATCH(C1339&amp;D1339,'OD flujo mercancia carretera'!C$45:C$1646&amp;'OD flujo mercancia carretera'!D$45:D$1646,0))</f>
        <v>138623.3846153846</v>
      </c>
      <c r="G1339" s="11" cm="1">
        <f t="array" aca="1" ref="G1339" ca="1">INDEX('Coste Carretera'!E$46:E$1646,MATCH(C1339&amp;D1339,'Coste Carretera'!C$46:C$1646&amp;'Coste Carretera'!D$46:D$1646,0))</f>
        <v>113696362.56000014</v>
      </c>
      <c r="H1339" s="11" cm="1">
        <f t="array" aca="1" ref="H1339" ca="1">INDEX('Coste multimodal'!E$46:E$1646,MATCH(C1339&amp;D1339,'Coste multimodal'!C$46:C$1646&amp;'Coste multimodal'!D$46:D$1646,0))</f>
        <v>343051144.85892248</v>
      </c>
      <c r="I1339" s="12" cm="1">
        <f t="array" aca="1" ref="I1339" ca="1">INDEX('Tiempos intermodal (horas)'!E$45:E$1645,MATCH(C1339&amp;D1339,'Tiempos intermodal (horas)'!C$45:C$1645&amp;'Tiempos intermodal (horas)'!D$45:D$1645,0))</f>
        <v>111.83845904302741</v>
      </c>
      <c r="J1339" s="2" cm="1">
        <f t="array" aca="1" ref="J1339" ca="1">INDEX('Tiempos carretera (horas)'!E$45:E$1645,MATCH(C1339&amp;D1339,'Tiempos carretera (horas)'!C$45:C$1645&amp;'Tiempos carretera (horas)'!D$45:D$1645,0))</f>
        <v>8.4499999999999993</v>
      </c>
      <c r="K1339" s="12">
        <f t="shared" ca="1" si="126"/>
        <v>0.82018169499651616</v>
      </c>
      <c r="L1339" s="12">
        <f t="shared" ca="1" si="127"/>
        <v>139.60884307431715</v>
      </c>
      <c r="M1339" s="12">
        <f t="shared" ca="1" si="128"/>
        <v>1.741721045468823E-2</v>
      </c>
      <c r="N1339" s="13">
        <f t="shared" ca="1" si="124"/>
        <v>-138.78866137932064</v>
      </c>
      <c r="O1339" s="13">
        <f t="shared" ca="1" si="125"/>
        <v>-103.38845904302741</v>
      </c>
      <c r="P1339" s="12">
        <f t="shared" ca="1" si="129"/>
        <v>4.0327257803934913</v>
      </c>
    </row>
    <row r="1340" spans="1:16" x14ac:dyDescent="0.25">
      <c r="A1340">
        <v>26</v>
      </c>
      <c r="B1340">
        <v>20</v>
      </c>
      <c r="C1340" s="2" t="s">
        <v>25</v>
      </c>
      <c r="D1340" s="2" t="s">
        <v>19</v>
      </c>
      <c r="E1340" s="11" cm="1">
        <f t="array" aca="1" ref="E1340" ca="1">INDEX('OD flujo mercancia multimodal'!E$45:E$1645,MATCH(C1340&amp;D1340,'OD flujo mercancia multimodal'!C$45:C$1645&amp;'OD flujo mercancia multimodal'!D$45:D$1645,0))</f>
        <v>59628.999999999993</v>
      </c>
      <c r="F1340" s="11" cm="1">
        <f t="array" aca="1" ref="F1340" ca="1">INDEX('OD flujo mercancia carretera'!E$45:E$1646,MATCH(C1340&amp;D1340,'OD flujo mercancia carretera'!C$45:C$1646&amp;'OD flujo mercancia carretera'!D$45:D$1646,0))</f>
        <v>110438.66666666672</v>
      </c>
      <c r="G1340" s="11" cm="1">
        <f t="array" aca="1" ref="G1340" ca="1">INDEX('Coste Carretera'!E$46:E$1646,MATCH(C1340&amp;D1340,'Coste Carretera'!C$46:C$1646&amp;'Coste Carretera'!D$46:D$1646,0))</f>
        <v>2658826102.9199991</v>
      </c>
      <c r="H1340" s="11" cm="1">
        <f t="array" aca="1" ref="H1340" ca="1">INDEX('Coste multimodal'!E$46:E$1646,MATCH(C1340&amp;D1340,'Coste multimodal'!C$46:C$1646&amp;'Coste multimodal'!D$46:D$1646,0))</f>
        <v>1002976312.5710614</v>
      </c>
      <c r="I1340" s="12" cm="1">
        <f t="array" aca="1" ref="I1340" ca="1">INDEX('Tiempos intermodal (horas)'!E$45:E$1645,MATCH(C1340&amp;D1340,'Tiempos intermodal (horas)'!C$45:C$1645&amp;'Tiempos intermodal (horas)'!D$45:D$1645,0))</f>
        <v>112.75432183159722</v>
      </c>
      <c r="J1340" s="2" cm="1">
        <f t="array" aca="1" ref="J1340" ca="1">INDEX('Tiempos carretera (horas)'!E$45:E$1645,MATCH(C1340&amp;D1340,'Tiempos carretera (horas)'!C$45:C$1645&amp;'Tiempos carretera (horas)'!D$45:D$1645,0))</f>
        <v>8.5</v>
      </c>
      <c r="K1340" s="12">
        <f t="shared" ca="1" si="126"/>
        <v>24.075137659394638</v>
      </c>
      <c r="L1340" s="12">
        <f t="shared" ca="1" si="127"/>
        <v>16.820277257224866</v>
      </c>
      <c r="M1340" s="12">
        <f t="shared" ca="1" si="128"/>
        <v>0.3506192633128381</v>
      </c>
      <c r="N1340" s="13">
        <f t="shared" ca="1" si="124"/>
        <v>7.254860402169772</v>
      </c>
      <c r="O1340" s="13">
        <f t="shared" ca="1" si="125"/>
        <v>-104.25432183159722</v>
      </c>
      <c r="P1340" s="12">
        <f t="shared" ca="1" si="129"/>
        <v>0.61631828115641463</v>
      </c>
    </row>
    <row r="1341" spans="1:16" x14ac:dyDescent="0.25">
      <c r="A1341">
        <v>20</v>
      </c>
      <c r="B1341">
        <v>26</v>
      </c>
      <c r="C1341" s="2" t="s">
        <v>19</v>
      </c>
      <c r="D1341" s="2" t="s">
        <v>25</v>
      </c>
      <c r="E1341" s="11" cm="1">
        <f t="array" aca="1" ref="E1341" ca="1">INDEX('OD flujo mercancia multimodal'!E$45:E$1645,MATCH(C1341&amp;D1341,'OD flujo mercancia multimodal'!C$45:C$1645&amp;'OD flujo mercancia multimodal'!D$45:D$1645,0))</f>
        <v>36239.538461538461</v>
      </c>
      <c r="F1341" s="11" cm="1">
        <f t="array" aca="1" ref="F1341" ca="1">INDEX('OD flujo mercancia carretera'!E$45:E$1646,MATCH(C1341&amp;D1341,'OD flujo mercancia carretera'!C$45:C$1646&amp;'OD flujo mercancia carretera'!D$45:D$1646,0))</f>
        <v>108229.33333333334</v>
      </c>
      <c r="G1341" s="11" cm="1">
        <f t="array" aca="1" ref="G1341" ca="1">INDEX('Coste Carretera'!E$46:E$1646,MATCH(C1341&amp;D1341,'Coste Carretera'!C$46:C$1646&amp;'Coste Carretera'!D$46:D$1646,0))</f>
        <v>1615902175.4399998</v>
      </c>
      <c r="H1341" s="11" cm="1">
        <f t="array" aca="1" ref="H1341" ca="1">INDEX('Coste multimodal'!E$46:E$1646,MATCH(C1341&amp;D1341,'Coste multimodal'!C$46:C$1646&amp;'Coste multimodal'!D$46:D$1646,0))</f>
        <v>1002976312.5710614</v>
      </c>
      <c r="I1341" s="12" cm="1">
        <f t="array" aca="1" ref="I1341" ca="1">INDEX('Tiempos intermodal (horas)'!E$45:E$1645,MATCH(C1341&amp;D1341,'Tiempos intermodal (horas)'!C$45:C$1645&amp;'Tiempos intermodal (horas)'!D$45:D$1645,0))</f>
        <v>112.75432183159722</v>
      </c>
      <c r="J1341" s="2" cm="1">
        <f t="array" aca="1" ref="J1341" ca="1">INDEX('Tiempos carretera (horas)'!E$45:E$1645,MATCH(C1341&amp;D1341,'Tiempos carretera (horas)'!C$45:C$1645&amp;'Tiempos carretera (horas)'!D$45:D$1645,0))</f>
        <v>8.5</v>
      </c>
      <c r="K1341" s="12">
        <f t="shared" ca="1" si="126"/>
        <v>14.930353220075885</v>
      </c>
      <c r="L1341" s="12">
        <f t="shared" ca="1" si="127"/>
        <v>27.676299289394493</v>
      </c>
      <c r="M1341" s="12">
        <f t="shared" ca="1" si="128"/>
        <v>0.25084669113353492</v>
      </c>
      <c r="N1341" s="13">
        <f t="shared" ca="1" si="124"/>
        <v>-12.745946069318608</v>
      </c>
      <c r="O1341" s="13">
        <f t="shared" ca="1" si="125"/>
        <v>-104.25432183159722</v>
      </c>
      <c r="P1341" s="12">
        <f t="shared" ca="1" si="129"/>
        <v>1.0941016870815856</v>
      </c>
    </row>
    <row r="1342" spans="1:16" x14ac:dyDescent="0.25">
      <c r="A1342">
        <v>16</v>
      </c>
      <c r="B1342">
        <v>24</v>
      </c>
      <c r="C1342" s="2" t="s">
        <v>15</v>
      </c>
      <c r="D1342" s="2" t="s">
        <v>23</v>
      </c>
      <c r="E1342" s="11" cm="1">
        <f t="array" aca="1" ref="E1342" ca="1">INDEX('OD flujo mercancia multimodal'!E$45:E$1645,MATCH(C1342&amp;D1342,'OD flujo mercancia multimodal'!C$45:C$1645&amp;'OD flujo mercancia multimodal'!D$45:D$1645,0))</f>
        <v>42903.538461538461</v>
      </c>
      <c r="F1342" s="11" cm="1">
        <f t="array" aca="1" ref="F1342" ca="1">INDEX('OD flujo mercancia carretera'!E$45:E$1646,MATCH(C1342&amp;D1342,'OD flujo mercancia carretera'!C$45:C$1646&amp;'OD flujo mercancia carretera'!D$45:D$1646,0))</f>
        <v>237072.20512820518</v>
      </c>
      <c r="G1342" s="11" cm="1">
        <f t="array" aca="1" ref="G1342" ca="1">INDEX('Coste Carretera'!E$46:E$1646,MATCH(C1342&amp;D1342,'Coste Carretera'!C$46:C$1646&amp;'Coste Carretera'!D$46:D$1646,0))</f>
        <v>1667437441.6000001</v>
      </c>
      <c r="H1342" s="11" cm="1">
        <f t="array" aca="1" ref="H1342" ca="1">INDEX('Coste multimodal'!E$46:E$1646,MATCH(C1342&amp;D1342,'Coste multimodal'!C$46:C$1646&amp;'Coste multimodal'!D$46:D$1646,0))</f>
        <v>39726310802.614586</v>
      </c>
      <c r="I1342" s="12" cm="1">
        <f t="array" aca="1" ref="I1342" ca="1">INDEX('Tiempos intermodal (horas)'!E$45:E$1645,MATCH(C1342&amp;D1342,'Tiempos intermodal (horas)'!C$45:C$1645&amp;'Tiempos intermodal (horas)'!D$45:D$1645,0))</f>
        <v>100.18752051074513</v>
      </c>
      <c r="J1342" s="2" cm="1">
        <f t="array" aca="1" ref="J1342" ca="1">INDEX('Tiempos carretera (horas)'!E$45:E$1645,MATCH(C1342&amp;D1342,'Tiempos carretera (horas)'!C$45:C$1645&amp;'Tiempos carretera (horas)'!D$45:D$1645,0))</f>
        <v>8.08</v>
      </c>
      <c r="K1342" s="12">
        <f t="shared" ca="1" si="126"/>
        <v>7.0334581850212023</v>
      </c>
      <c r="L1342" s="12">
        <f t="shared" ca="1" si="127"/>
        <v>925.9448573974347</v>
      </c>
      <c r="M1342" s="12">
        <f t="shared" ca="1" si="128"/>
        <v>0.15324019828091331</v>
      </c>
      <c r="N1342" s="13">
        <f t="shared" ca="1" si="124"/>
        <v>-918.91139921241347</v>
      </c>
      <c r="O1342" s="13">
        <f t="shared" ca="1" si="125"/>
        <v>-92.107520510745132</v>
      </c>
      <c r="P1342" s="12">
        <f t="shared" ca="1" si="129"/>
        <v>1.7094104535695021</v>
      </c>
    </row>
    <row r="1343" spans="1:16" x14ac:dyDescent="0.25">
      <c r="A1343">
        <v>24</v>
      </c>
      <c r="B1343">
        <v>16</v>
      </c>
      <c r="C1343" s="2" t="s">
        <v>23</v>
      </c>
      <c r="D1343" s="2" t="s">
        <v>15</v>
      </c>
      <c r="E1343" s="11" cm="1">
        <f t="array" aca="1" ref="E1343" ca="1">INDEX('OD flujo mercancia multimodal'!E$45:E$1645,MATCH(C1343&amp;D1343,'OD flujo mercancia multimodal'!C$45:C$1645&amp;'OD flujo mercancia multimodal'!D$45:D$1645,0))</f>
        <v>41149.692307692341</v>
      </c>
      <c r="F1343" s="11" cm="1">
        <f t="array" aca="1" ref="F1343" ca="1">INDEX('OD flujo mercancia carretera'!E$45:E$1646,MATCH(C1343&amp;D1343,'OD flujo mercancia carretera'!C$45:C$1646&amp;'OD flujo mercancia carretera'!D$45:D$1646,0))</f>
        <v>612613.69230769202</v>
      </c>
      <c r="G1343" s="11" cm="1">
        <f t="array" aca="1" ref="G1343" ca="1">INDEX('Coste Carretera'!E$46:E$1646,MATCH(C1343&amp;D1343,'Coste Carretera'!C$46:C$1646&amp;'Coste Carretera'!D$46:D$1646,0))</f>
        <v>1599274561.6000013</v>
      </c>
      <c r="H1343" s="11" cm="1">
        <f t="array" aca="1" ref="H1343" ca="1">INDEX('Coste multimodal'!E$46:E$1646,MATCH(C1343&amp;D1343,'Coste multimodal'!C$46:C$1646&amp;'Coste multimodal'!D$46:D$1646,0))</f>
        <v>39726310802.614586</v>
      </c>
      <c r="I1343" s="12" cm="1">
        <f t="array" aca="1" ref="I1343" ca="1">INDEX('Tiempos intermodal (horas)'!E$45:E$1645,MATCH(C1343&amp;D1343,'Tiempos intermodal (horas)'!C$45:C$1645&amp;'Tiempos intermodal (horas)'!D$45:D$1645,0))</f>
        <v>100.18752051074513</v>
      </c>
      <c r="J1343" s="2" cm="1">
        <f t="array" aca="1" ref="J1343" ca="1">INDEX('Tiempos carretera (horas)'!E$45:E$1645,MATCH(C1343&amp;D1343,'Tiempos carretera (horas)'!C$45:C$1645&amp;'Tiempos carretera (horas)'!D$45:D$1645,0))</f>
        <v>8.08</v>
      </c>
      <c r="K1343" s="12">
        <f t="shared" ca="1" si="126"/>
        <v>2.6105759333840481</v>
      </c>
      <c r="L1343" s="12">
        <f t="shared" ca="1" si="127"/>
        <v>965.40966832911954</v>
      </c>
      <c r="M1343" s="12">
        <f t="shared" ca="1" si="128"/>
        <v>6.2942791346292853E-2</v>
      </c>
      <c r="N1343" s="13">
        <f t="shared" ca="1" si="124"/>
        <v>-962.79909239573544</v>
      </c>
      <c r="O1343" s="13">
        <f t="shared" ca="1" si="125"/>
        <v>-92.107520510745132</v>
      </c>
      <c r="P1343" s="12">
        <f t="shared" ca="1" si="129"/>
        <v>2.7005180955270012</v>
      </c>
    </row>
    <row r="1344" spans="1:16" x14ac:dyDescent="0.25">
      <c r="A1344">
        <v>16</v>
      </c>
      <c r="B1344">
        <v>21</v>
      </c>
      <c r="C1344" s="2" t="s">
        <v>15</v>
      </c>
      <c r="D1344" s="2" t="s">
        <v>20</v>
      </c>
      <c r="E1344" s="11" cm="1">
        <f t="array" aca="1" ref="E1344" ca="1">INDEX('OD flujo mercancia multimodal'!E$45:E$1645,MATCH(C1344&amp;D1344,'OD flujo mercancia multimodal'!C$45:C$1645&amp;'OD flujo mercancia multimodal'!D$45:D$1645,0))</f>
        <v>72622.769230769249</v>
      </c>
      <c r="F1344" s="11" cm="1">
        <f t="array" aca="1" ref="F1344" ca="1">INDEX('OD flujo mercancia carretera'!E$45:E$1646,MATCH(C1344&amp;D1344,'OD flujo mercancia carretera'!C$45:C$1646&amp;'OD flujo mercancia carretera'!D$45:D$1646,0))</f>
        <v>276736.87179487146</v>
      </c>
      <c r="G1344" s="11" cm="1">
        <f t="array" aca="1" ref="G1344" ca="1">INDEX('Coste Carretera'!E$46:E$1646,MATCH(C1344&amp;D1344,'Coste Carretera'!C$46:C$1646&amp;'Coste Carretera'!D$46:D$1646,0))</f>
        <v>6037796030.7200012</v>
      </c>
      <c r="H1344" s="11" cm="1">
        <f t="array" aca="1" ref="H1344" ca="1">INDEX('Coste multimodal'!E$46:E$1646,MATCH(C1344&amp;D1344,'Coste multimodal'!C$46:C$1646&amp;'Coste multimodal'!D$46:D$1646,0))</f>
        <v>428605444.51321155</v>
      </c>
      <c r="I1344" s="12" cm="1">
        <f t="array" aca="1" ref="I1344" ca="1">INDEX('Tiempos intermodal (horas)'!E$45:E$1645,MATCH(C1344&amp;D1344,'Tiempos intermodal (horas)'!C$45:C$1645&amp;'Tiempos intermodal (horas)'!D$45:D$1645,0))</f>
        <v>108.13159588494746</v>
      </c>
      <c r="J1344" s="2" cm="1">
        <f t="array" aca="1" ref="J1344" ca="1">INDEX('Tiempos carretera (horas)'!E$45:E$1645,MATCH(C1344&amp;D1344,'Tiempos carretera (horas)'!C$45:C$1645&amp;'Tiempos carretera (horas)'!D$45:D$1645,0))</f>
        <v>15.92</v>
      </c>
      <c r="K1344" s="12">
        <f t="shared" ca="1" si="126"/>
        <v>21.817822798819016</v>
      </c>
      <c r="L1344" s="12">
        <f t="shared" ca="1" si="127"/>
        <v>5.9018053022910264</v>
      </c>
      <c r="M1344" s="12">
        <f t="shared" ca="1" si="128"/>
        <v>0.20787395194695432</v>
      </c>
      <c r="N1344" s="13">
        <f t="shared" ref="N1344:N1407" ca="1" si="130">K1344-L1344</f>
        <v>15.916017496527989</v>
      </c>
      <c r="O1344" s="13">
        <f t="shared" ref="O1344:O1407" ca="1" si="131">J1344-I1344</f>
        <v>-92.211595884947457</v>
      </c>
      <c r="P1344" s="12">
        <f t="shared" ca="1" si="129"/>
        <v>1.3377886349793642</v>
      </c>
    </row>
    <row r="1345" spans="1:16" x14ac:dyDescent="0.25">
      <c r="A1345">
        <v>21</v>
      </c>
      <c r="B1345">
        <v>16</v>
      </c>
      <c r="C1345" s="2" t="s">
        <v>20</v>
      </c>
      <c r="D1345" s="2" t="s">
        <v>15</v>
      </c>
      <c r="E1345" s="11" cm="1">
        <f t="array" aca="1" ref="E1345" ca="1">INDEX('OD flujo mercancia multimodal'!E$45:E$1645,MATCH(C1345&amp;D1345,'OD flujo mercancia multimodal'!C$45:C$1645&amp;'OD flujo mercancia multimodal'!D$45:D$1645,0))</f>
        <v>60600.769230769263</v>
      </c>
      <c r="F1345" s="11" cm="1">
        <f t="array" aca="1" ref="F1345" ca="1">INDEX('OD flujo mercancia carretera'!E$45:E$1646,MATCH(C1345&amp;D1345,'OD flujo mercancia carretera'!C$45:C$1646&amp;'OD flujo mercancia carretera'!D$45:D$1646,0))</f>
        <v>640544.69230769202</v>
      </c>
      <c r="G1345" s="11" cm="1">
        <f t="array" aca="1" ref="G1345" ca="1">INDEX('Coste Carretera'!E$46:E$1646,MATCH(C1345&amp;D1345,'Coste Carretera'!C$46:C$1646&amp;'Coste Carretera'!D$46:D$1646,0))</f>
        <v>5038297049.2000017</v>
      </c>
      <c r="H1345" s="11" cm="1">
        <f t="array" aca="1" ref="H1345" ca="1">INDEX('Coste multimodal'!E$46:E$1646,MATCH(C1345&amp;D1345,'Coste multimodal'!C$46:C$1646&amp;'Coste multimodal'!D$46:D$1646,0))</f>
        <v>428605444.51321155</v>
      </c>
      <c r="I1345" s="12" cm="1">
        <f t="array" aca="1" ref="I1345" ca="1">INDEX('Tiempos intermodal (horas)'!E$45:E$1645,MATCH(C1345&amp;D1345,'Tiempos intermodal (horas)'!C$45:C$1645&amp;'Tiempos intermodal (horas)'!D$45:D$1645,0))</f>
        <v>108.13159588494746</v>
      </c>
      <c r="J1345" s="2" cm="1">
        <f t="array" aca="1" ref="J1345" ca="1">INDEX('Tiempos carretera (horas)'!E$45:E$1645,MATCH(C1345&amp;D1345,'Tiempos carretera (horas)'!C$45:C$1645&amp;'Tiempos carretera (horas)'!D$45:D$1645,0))</f>
        <v>15.92</v>
      </c>
      <c r="K1345" s="12">
        <f t="shared" ca="1" si="126"/>
        <v>7.8656448327571269</v>
      </c>
      <c r="L1345" s="12">
        <f t="shared" ca="1" si="127"/>
        <v>7.0726073274923484</v>
      </c>
      <c r="M1345" s="12">
        <f t="shared" ca="1" si="128"/>
        <v>8.6431093909954682E-2</v>
      </c>
      <c r="N1345" s="13">
        <f t="shared" ca="1" si="130"/>
        <v>0.79303750526477845</v>
      </c>
      <c r="O1345" s="13">
        <f t="shared" ca="1" si="131"/>
        <v>-92.211595884947457</v>
      </c>
      <c r="P1345" s="12">
        <f t="shared" ca="1" si="129"/>
        <v>2.3580113095480333</v>
      </c>
    </row>
    <row r="1346" spans="1:16" x14ac:dyDescent="0.25">
      <c r="A1346">
        <v>17</v>
      </c>
      <c r="B1346">
        <v>6</v>
      </c>
      <c r="C1346" s="2" t="s">
        <v>16</v>
      </c>
      <c r="D1346" s="2" t="s">
        <v>5</v>
      </c>
      <c r="E1346" s="11" cm="1">
        <f t="array" aca="1" ref="E1346" ca="1">INDEX('OD flujo mercancia multimodal'!E$45:E$1645,MATCH(C1346&amp;D1346,'OD flujo mercancia multimodal'!C$45:C$1645&amp;'OD flujo mercancia multimodal'!D$45:D$1645,0))</f>
        <v>67417.631868131852</v>
      </c>
      <c r="F1346" s="11" cm="1">
        <f t="array" aca="1" ref="F1346" ca="1">INDEX('OD flujo mercancia carretera'!E$45:E$1646,MATCH(C1346&amp;D1346,'OD flujo mercancia carretera'!C$45:C$1646&amp;'OD flujo mercancia carretera'!D$45:D$1646,0))</f>
        <v>657603.54212454229</v>
      </c>
      <c r="G1346" s="11" cm="1">
        <f t="array" aca="1" ref="G1346" ca="1">INDEX('Coste Carretera'!E$46:E$1646,MATCH(C1346&amp;D1346,'Coste Carretera'!C$46:C$1646&amp;'Coste Carretera'!D$46:D$1646,0))</f>
        <v>10045175910.951424</v>
      </c>
      <c r="H1346" s="11" cm="1">
        <f t="array" aca="1" ref="H1346" ca="1">INDEX('Coste multimodal'!E$46:E$1646,MATCH(C1346&amp;D1346,'Coste multimodal'!C$46:C$1646&amp;'Coste multimodal'!D$46:D$1646,0))</f>
        <v>1277374726.0048108</v>
      </c>
      <c r="I1346" s="12" cm="1">
        <f t="array" aca="1" ref="I1346" ca="1">INDEX('Tiempos intermodal (horas)'!E$45:E$1645,MATCH(C1346&amp;D1346,'Tiempos intermodal (horas)'!C$45:C$1645&amp;'Tiempos intermodal (horas)'!D$45:D$1645,0))</f>
        <v>113.40682347972972</v>
      </c>
      <c r="J1346" s="2" cm="1">
        <f t="array" aca="1" ref="J1346" ca="1">INDEX('Tiempos carretera (horas)'!E$45:E$1645,MATCH(C1346&amp;D1346,'Tiempos carretera (horas)'!C$45:C$1645&amp;'Tiempos carretera (horas)'!D$45:D$1645,0))</f>
        <v>28</v>
      </c>
      <c r="K1346" s="12">
        <f t="shared" ca="1" si="126"/>
        <v>15.275428533274214</v>
      </c>
      <c r="L1346" s="12">
        <f t="shared" ca="1" si="127"/>
        <v>18.947190677111617</v>
      </c>
      <c r="M1346" s="12">
        <f t="shared" ca="1" si="128"/>
        <v>9.2987121323456781E-2</v>
      </c>
      <c r="N1346" s="13">
        <f t="shared" ca="1" si="130"/>
        <v>-3.6717621438374035</v>
      </c>
      <c r="O1346" s="13">
        <f t="shared" ca="1" si="131"/>
        <v>-85.406823479729724</v>
      </c>
      <c r="P1346" s="12">
        <f t="shared" ca="1" si="129"/>
        <v>2.2776956460456685</v>
      </c>
    </row>
    <row r="1347" spans="1:16" x14ac:dyDescent="0.25">
      <c r="A1347">
        <v>25</v>
      </c>
      <c r="B1347">
        <v>15</v>
      </c>
      <c r="C1347" s="2" t="s">
        <v>24</v>
      </c>
      <c r="D1347" s="2" t="s">
        <v>14</v>
      </c>
      <c r="E1347" s="11" cm="1">
        <f t="array" aca="1" ref="E1347" ca="1">INDEX('OD flujo mercancia multimodal'!E$45:E$1645,MATCH(C1347&amp;D1347,'OD flujo mercancia multimodal'!C$45:C$1645&amp;'OD flujo mercancia multimodal'!D$45:D$1645,0))</f>
        <v>51419.076923076893</v>
      </c>
      <c r="F1347" s="11" cm="1">
        <f t="array" aca="1" ref="F1347" ca="1">INDEX('OD flujo mercancia carretera'!E$45:E$1646,MATCH(C1347&amp;D1347,'OD flujo mercancia carretera'!C$45:C$1646&amp;'OD flujo mercancia carretera'!D$45:D$1646,0))</f>
        <v>357354.79487179534</v>
      </c>
      <c r="G1347" s="11" cm="1">
        <f t="array" aca="1" ref="G1347" ca="1">INDEX('Coste Carretera'!E$46:E$1646,MATCH(C1347&amp;D1347,'Coste Carretera'!C$46:C$1646&amp;'Coste Carretera'!D$46:D$1646,0))</f>
        <v>1938980482.5599985</v>
      </c>
      <c r="H1347" s="11" cm="1">
        <f t="array" aca="1" ref="H1347" ca="1">INDEX('Coste multimodal'!E$46:E$1646,MATCH(C1347&amp;D1347,'Coste multimodal'!C$46:C$1646&amp;'Coste multimodal'!D$46:D$1646,0))</f>
        <v>412720908.02647257</v>
      </c>
      <c r="I1347" s="12" cm="1">
        <f t="array" aca="1" ref="I1347" ca="1">INDEX('Tiempos intermodal (horas)'!E$45:E$1645,MATCH(C1347&amp;D1347,'Tiempos intermodal (horas)'!C$45:C$1645&amp;'Tiempos intermodal (horas)'!D$45:D$1645,0))</f>
        <v>100.54664589198575</v>
      </c>
      <c r="J1347" s="2" cm="1">
        <f t="array" aca="1" ref="J1347" ca="1">INDEX('Tiempos carretera (horas)'!E$45:E$1645,MATCH(C1347&amp;D1347,'Tiempos carretera (horas)'!C$45:C$1645&amp;'Tiempos carretera (horas)'!D$45:D$1645,0))</f>
        <v>7.83</v>
      </c>
      <c r="K1347" s="12">
        <f t="shared" ca="1" si="126"/>
        <v>5.4259254678690612</v>
      </c>
      <c r="L1347" s="12">
        <f t="shared" ca="1" si="127"/>
        <v>8.0266106029850448</v>
      </c>
      <c r="M1347" s="12">
        <f t="shared" ca="1" si="128"/>
        <v>0.12578856054889834</v>
      </c>
      <c r="N1347" s="13">
        <f t="shared" ca="1" si="130"/>
        <v>-2.6006851351159836</v>
      </c>
      <c r="O1347" s="13">
        <f t="shared" ca="1" si="131"/>
        <v>-92.716645891985749</v>
      </c>
      <c r="P1347" s="12">
        <f t="shared" ca="1" si="129"/>
        <v>1.9387198614679295</v>
      </c>
    </row>
    <row r="1348" spans="1:16" x14ac:dyDescent="0.25">
      <c r="A1348">
        <v>15</v>
      </c>
      <c r="B1348">
        <v>25</v>
      </c>
      <c r="C1348" s="2" t="s">
        <v>14</v>
      </c>
      <c r="D1348" s="2" t="s">
        <v>24</v>
      </c>
      <c r="E1348" s="11" cm="1">
        <f t="array" aca="1" ref="E1348" ca="1">INDEX('OD flujo mercancia multimodal'!E$45:E$1645,MATCH(C1348&amp;D1348,'OD flujo mercancia multimodal'!C$45:C$1645&amp;'OD flujo mercancia multimodal'!D$45:D$1645,0))</f>
        <v>31453.461538461539</v>
      </c>
      <c r="F1348" s="11" cm="1">
        <f t="array" aca="1" ref="F1348" ca="1">INDEX('OD flujo mercancia carretera'!E$45:E$1646,MATCH(C1348&amp;D1348,'OD flujo mercancia carretera'!C$45:C$1646&amp;'OD flujo mercancia carretera'!D$45:D$1646,0))</f>
        <v>355985.25641025644</v>
      </c>
      <c r="G1348" s="11" cm="1">
        <f t="array" aca="1" ref="G1348" ca="1">INDEX('Coste Carretera'!E$46:E$1646,MATCH(C1348&amp;D1348,'Coste Carretera'!C$46:C$1646&amp;'Coste Carretera'!D$46:D$1646,0))</f>
        <v>1186089904.3999999</v>
      </c>
      <c r="H1348" s="11" cm="1">
        <f t="array" aca="1" ref="H1348" ca="1">INDEX('Coste multimodal'!E$46:E$1646,MATCH(C1348&amp;D1348,'Coste multimodal'!C$46:C$1646&amp;'Coste multimodal'!D$46:D$1646,0))</f>
        <v>412720908.02647257</v>
      </c>
      <c r="I1348" s="12" cm="1">
        <f t="array" aca="1" ref="I1348" ca="1">INDEX('Tiempos intermodal (horas)'!E$45:E$1645,MATCH(C1348&amp;D1348,'Tiempos intermodal (horas)'!C$45:C$1645&amp;'Tiempos intermodal (horas)'!D$45:D$1645,0))</f>
        <v>100.54664589198575</v>
      </c>
      <c r="J1348" s="2" cm="1">
        <f t="array" aca="1" ref="J1348" ca="1">INDEX('Tiempos carretera (horas)'!E$45:E$1645,MATCH(C1348&amp;D1348,'Tiempos carretera (horas)'!C$45:C$1645&amp;'Tiempos carretera (horas)'!D$45:D$1645,0))</f>
        <v>7.83</v>
      </c>
      <c r="K1348" s="12">
        <f t="shared" ca="1" si="126"/>
        <v>3.3318512018179947</v>
      </c>
      <c r="L1348" s="12">
        <f t="shared" ca="1" si="127"/>
        <v>13.121637105721868</v>
      </c>
      <c r="M1348" s="12">
        <f t="shared" ca="1" si="128"/>
        <v>8.1183062201400244E-2</v>
      </c>
      <c r="N1348" s="13">
        <f t="shared" ca="1" si="130"/>
        <v>-9.7897859039038728</v>
      </c>
      <c r="O1348" s="13">
        <f t="shared" ca="1" si="131"/>
        <v>-92.716645891985749</v>
      </c>
      <c r="P1348" s="12">
        <f t="shared" ca="1" si="129"/>
        <v>2.4263802735107824</v>
      </c>
    </row>
    <row r="1349" spans="1:16" x14ac:dyDescent="0.25">
      <c r="A1349">
        <v>17</v>
      </c>
      <c r="B1349">
        <v>4</v>
      </c>
      <c r="C1349" s="2" t="s">
        <v>16</v>
      </c>
      <c r="D1349" s="2" t="s">
        <v>3</v>
      </c>
      <c r="E1349" s="11" cm="1">
        <f t="array" aca="1" ref="E1349" ca="1">INDEX('OD flujo mercancia multimodal'!E$45:E$1645,MATCH(C1349&amp;D1349,'OD flujo mercancia multimodal'!C$45:C$1645&amp;'OD flujo mercancia multimodal'!D$45:D$1645,0))</f>
        <v>85352.917582417547</v>
      </c>
      <c r="F1349" s="11" cm="1">
        <f t="array" aca="1" ref="F1349" ca="1">INDEX('OD flujo mercancia carretera'!E$45:E$1646,MATCH(C1349&amp;D1349,'OD flujo mercancia carretera'!C$45:C$1646&amp;'OD flujo mercancia carretera'!D$45:D$1646,0))</f>
        <v>560014.15384615387</v>
      </c>
      <c r="G1349" s="11" cm="1">
        <f t="array" aca="1" ref="G1349" ca="1">INDEX('Coste Carretera'!E$46:E$1646,MATCH(C1349&amp;D1349,'Coste Carretera'!C$46:C$1646&amp;'Coste Carretera'!D$46:D$1646,0))</f>
        <v>11130631579.637138</v>
      </c>
      <c r="H1349" s="11" cm="1">
        <f t="array" aca="1" ref="H1349" ca="1">INDEX('Coste multimodal'!E$46:E$1646,MATCH(C1349&amp;D1349,'Coste multimodal'!C$46:C$1646&amp;'Coste multimodal'!D$46:D$1646,0))</f>
        <v>1286218830.054142</v>
      </c>
      <c r="I1349" s="12" cm="1">
        <f t="array" aca="1" ref="I1349" ca="1">INDEX('Tiempos intermodal (horas)'!E$45:E$1645,MATCH(C1349&amp;D1349,'Tiempos intermodal (horas)'!C$45:C$1645&amp;'Tiempos intermodal (horas)'!D$45:D$1645,0))</f>
        <v>109.03002710327515</v>
      </c>
      <c r="J1349" s="2" cm="1">
        <f t="array" aca="1" ref="J1349" ca="1">INDEX('Tiempos carretera (horas)'!E$45:E$1645,MATCH(C1349&amp;D1349,'Tiempos carretera (horas)'!C$45:C$1645&amp;'Tiempos carretera (horas)'!D$45:D$1645,0))</f>
        <v>25</v>
      </c>
      <c r="K1349" s="12">
        <f t="shared" ca="1" si="126"/>
        <v>19.87562546980719</v>
      </c>
      <c r="L1349" s="12">
        <f t="shared" ca="1" si="127"/>
        <v>15.069418439178222</v>
      </c>
      <c r="M1349" s="12">
        <f t="shared" ca="1" si="128"/>
        <v>0.13225483815510153</v>
      </c>
      <c r="N1349" s="13">
        <f t="shared" ca="1" si="130"/>
        <v>4.8062070306289684</v>
      </c>
      <c r="O1349" s="13">
        <f t="shared" ca="1" si="131"/>
        <v>-84.030027103275145</v>
      </c>
      <c r="P1349" s="12">
        <f t="shared" ca="1" si="129"/>
        <v>1.8811674257364268</v>
      </c>
    </row>
    <row r="1350" spans="1:16" x14ac:dyDescent="0.25">
      <c r="A1350">
        <v>17</v>
      </c>
      <c r="B1350">
        <v>3</v>
      </c>
      <c r="C1350" s="2" t="s">
        <v>16</v>
      </c>
      <c r="D1350" s="2" t="s">
        <v>2</v>
      </c>
      <c r="E1350" s="11" cm="1">
        <f t="array" aca="1" ref="E1350" ca="1">INDEX('OD flujo mercancia multimodal'!E$45:E$1645,MATCH(C1350&amp;D1350,'OD flujo mercancia multimodal'!C$45:C$1645&amp;'OD flujo mercancia multimodal'!D$45:D$1645,0))</f>
        <v>70696.560439560461</v>
      </c>
      <c r="F1350" s="11" cm="1">
        <f t="array" aca="1" ref="F1350" ca="1">INDEX('OD flujo mercancia carretera'!E$45:E$1646,MATCH(C1350&amp;D1350,'OD flujo mercancia carretera'!C$45:C$1646&amp;'OD flujo mercancia carretera'!D$45:D$1646,0))</f>
        <v>570907.23076923075</v>
      </c>
      <c r="G1350" s="11" cm="1">
        <f t="array" aca="1" ref="G1350" ca="1">INDEX('Coste Carretera'!E$46:E$1646,MATCH(C1350&amp;D1350,'Coste Carretera'!C$46:C$1646&amp;'Coste Carretera'!D$46:D$1646,0))</f>
        <v>7329429141.3600025</v>
      </c>
      <c r="H1350" s="11" cm="1">
        <f t="array" aca="1" ref="H1350" ca="1">INDEX('Coste multimodal'!E$46:E$1646,MATCH(C1350&amp;D1350,'Coste multimodal'!C$46:C$1646&amp;'Coste multimodal'!D$46:D$1646,0))</f>
        <v>1328261680.1155157</v>
      </c>
      <c r="I1350" s="12" cm="1">
        <f t="array" aca="1" ref="I1350" ca="1">INDEX('Tiempos intermodal (horas)'!E$45:E$1645,MATCH(C1350&amp;D1350,'Tiempos intermodal (horas)'!C$45:C$1645&amp;'Tiempos intermodal (horas)'!D$45:D$1645,0))</f>
        <v>93.531128525009379</v>
      </c>
      <c r="J1350" s="2" cm="1">
        <f t="array" aca="1" ref="J1350" ca="1">INDEX('Tiempos carretera (horas)'!E$45:E$1645,MATCH(C1350&amp;D1350,'Tiempos carretera (horas)'!C$45:C$1645&amp;'Tiempos carretera (horas)'!D$45:D$1645,0))</f>
        <v>19.86</v>
      </c>
      <c r="K1350" s="12">
        <f t="shared" ca="1" si="126"/>
        <v>12.838213892447033</v>
      </c>
      <c r="L1350" s="12">
        <f t="shared" ca="1" si="127"/>
        <v>18.788207967360258</v>
      </c>
      <c r="M1350" s="12">
        <f t="shared" ca="1" si="128"/>
        <v>0.11018725482648267</v>
      </c>
      <c r="N1350" s="13">
        <f t="shared" ca="1" si="130"/>
        <v>-5.9499940749132243</v>
      </c>
      <c r="O1350" s="13">
        <f t="shared" ca="1" si="131"/>
        <v>-73.671128525009379</v>
      </c>
      <c r="P1350" s="12">
        <f t="shared" ca="1" si="129"/>
        <v>2.0888298068096689</v>
      </c>
    </row>
    <row r="1351" spans="1:16" x14ac:dyDescent="0.25">
      <c r="A1351">
        <v>3</v>
      </c>
      <c r="B1351">
        <v>18</v>
      </c>
      <c r="C1351" s="2" t="s">
        <v>2</v>
      </c>
      <c r="D1351" s="2" t="s">
        <v>17</v>
      </c>
      <c r="E1351" s="11" cm="1">
        <f t="array" aca="1" ref="E1351" ca="1">INDEX('OD flujo mercancia multimodal'!E$45:E$1645,MATCH(C1351&amp;D1351,'OD flujo mercancia multimodal'!C$45:C$1645&amp;'OD flujo mercancia multimodal'!D$45:D$1645,0))</f>
        <v>38714.340659340633</v>
      </c>
      <c r="F1351" s="11" cm="1">
        <f t="array" aca="1" ref="F1351" ca="1">INDEX('OD flujo mercancia carretera'!E$45:E$1646,MATCH(C1351&amp;D1351,'OD flujo mercancia carretera'!C$45:C$1646&amp;'OD flujo mercancia carretera'!D$45:D$1646,0))</f>
        <v>90135.153846153844</v>
      </c>
      <c r="G1351" s="11" cm="1">
        <f t="array" aca="1" ref="G1351" ca="1">INDEX('Coste Carretera'!E$46:E$1646,MATCH(C1351&amp;D1351,'Coste Carretera'!C$46:C$1646&amp;'Coste Carretera'!D$46:D$1646,0))</f>
        <v>3824594359.45714</v>
      </c>
      <c r="H1351" s="11" cm="1">
        <f t="array" aca="1" ref="H1351" ca="1">INDEX('Coste multimodal'!E$46:E$1646,MATCH(C1351&amp;D1351,'Coste multimodal'!C$46:C$1646&amp;'Coste multimodal'!D$46:D$1646,0))</f>
        <v>805067632.62015963</v>
      </c>
      <c r="I1351" s="12" cm="1">
        <f t="array" aca="1" ref="I1351" ca="1">INDEX('Tiempos intermodal (horas)'!E$45:E$1645,MATCH(C1351&amp;D1351,'Tiempos intermodal (horas)'!C$45:C$1645&amp;'Tiempos intermodal (horas)'!D$45:D$1645,0))</f>
        <v>112.03630341474287</v>
      </c>
      <c r="J1351" s="2" cm="1">
        <f t="array" aca="1" ref="J1351" ca="1">INDEX('Tiempos carretera (horas)'!E$45:E$1645,MATCH(C1351&amp;D1351,'Tiempos carretera (horas)'!C$45:C$1645&amp;'Tiempos carretera (horas)'!D$45:D$1645,0))</f>
        <v>18.03</v>
      </c>
      <c r="K1351" s="12">
        <f t="shared" ca="1" si="126"/>
        <v>42.431772690876031</v>
      </c>
      <c r="L1351" s="12">
        <f t="shared" ca="1" si="127"/>
        <v>20.795075388321781</v>
      </c>
      <c r="M1351" s="12">
        <f t="shared" ca="1" si="128"/>
        <v>0.30046171937205196</v>
      </c>
      <c r="N1351" s="13">
        <f t="shared" ca="1" si="130"/>
        <v>21.63669730255425</v>
      </c>
      <c r="O1351" s="13">
        <f t="shared" ca="1" si="131"/>
        <v>-94.006303414742874</v>
      </c>
      <c r="P1351" s="12">
        <f t="shared" ca="1" si="129"/>
        <v>0.84510016222564999</v>
      </c>
    </row>
    <row r="1352" spans="1:16" x14ac:dyDescent="0.25">
      <c r="A1352">
        <v>18</v>
      </c>
      <c r="B1352">
        <v>20</v>
      </c>
      <c r="C1352" s="2" t="s">
        <v>17</v>
      </c>
      <c r="D1352" s="2" t="s">
        <v>19</v>
      </c>
      <c r="E1352" s="11" cm="1">
        <f t="array" aca="1" ref="E1352" ca="1">INDEX('OD flujo mercancia multimodal'!E$45:E$1645,MATCH(C1352&amp;D1352,'OD flujo mercancia multimodal'!C$45:C$1645&amp;'OD flujo mercancia multimodal'!D$45:D$1645,0))</f>
        <v>65187.307692307681</v>
      </c>
      <c r="F1352" s="11" cm="1">
        <f t="array" aca="1" ref="F1352" ca="1">INDEX('OD flujo mercancia carretera'!E$45:E$1646,MATCH(C1352&amp;D1352,'OD flujo mercancia carretera'!C$45:C$1646&amp;'OD flujo mercancia carretera'!D$45:D$1646,0))</f>
        <v>118738.28205128209</v>
      </c>
      <c r="G1352" s="11" cm="1">
        <f t="array" aca="1" ref="G1352" ca="1">INDEX('Coste Carretera'!E$46:E$1646,MATCH(C1352&amp;D1352,'Coste Carretera'!C$46:C$1646&amp;'Coste Carretera'!D$46:D$1646,0))</f>
        <v>5813336305.1999979</v>
      </c>
      <c r="H1352" s="11" cm="1">
        <f t="array" aca="1" ref="H1352" ca="1">INDEX('Coste multimodal'!E$46:E$1646,MATCH(C1352&amp;D1352,'Coste multimodal'!C$46:C$1646&amp;'Coste multimodal'!D$46:D$1646,0))</f>
        <v>1119748066.0432982</v>
      </c>
      <c r="I1352" s="12" cm="1">
        <f t="array" aca="1" ref="I1352" ca="1">INDEX('Tiempos intermodal (horas)'!E$45:E$1645,MATCH(C1352&amp;D1352,'Tiempos intermodal (horas)'!C$45:C$1645&amp;'Tiempos intermodal (horas)'!D$45:D$1645,0))</f>
        <v>111.67654405381944</v>
      </c>
      <c r="J1352" s="2" cm="1">
        <f t="array" aca="1" ref="J1352" ca="1">INDEX('Tiempos carretera (horas)'!E$45:E$1645,MATCH(C1352&amp;D1352,'Tiempos carretera (horas)'!C$45:C$1645&amp;'Tiempos carretera (horas)'!D$45:D$1645,0))</f>
        <v>17.5</v>
      </c>
      <c r="K1352" s="12">
        <f t="shared" ca="1" si="126"/>
        <v>48.959242164959619</v>
      </c>
      <c r="L1352" s="12">
        <f t="shared" ca="1" si="127"/>
        <v>17.177393969523184</v>
      </c>
      <c r="M1352" s="12">
        <f t="shared" ca="1" si="128"/>
        <v>0.35442217574610008</v>
      </c>
      <c r="N1352" s="13">
        <f t="shared" ca="1" si="130"/>
        <v>31.781848195436435</v>
      </c>
      <c r="O1352" s="13">
        <f t="shared" ca="1" si="131"/>
        <v>-94.176544053819441</v>
      </c>
      <c r="P1352" s="12">
        <f t="shared" ca="1" si="129"/>
        <v>0.59965697789634653</v>
      </c>
    </row>
    <row r="1353" spans="1:16" x14ac:dyDescent="0.25">
      <c r="A1353">
        <v>20</v>
      </c>
      <c r="B1353">
        <v>18</v>
      </c>
      <c r="C1353" s="2" t="s">
        <v>19</v>
      </c>
      <c r="D1353" s="2" t="s">
        <v>17</v>
      </c>
      <c r="E1353" s="11" cm="1">
        <f t="array" aca="1" ref="E1353" ca="1">INDEX('OD flujo mercancia multimodal'!E$45:E$1645,MATCH(C1353&amp;D1353,'OD flujo mercancia multimodal'!C$45:C$1645&amp;'OD flujo mercancia multimodal'!D$45:D$1645,0))</f>
        <v>55707.538461538432</v>
      </c>
      <c r="F1353" s="11" cm="1">
        <f t="array" aca="1" ref="F1353" ca="1">INDEX('OD flujo mercancia carretera'!E$45:E$1646,MATCH(C1353&amp;D1353,'OD flujo mercancia carretera'!C$45:C$1646&amp;'OD flujo mercancia carretera'!D$45:D$1646,0))</f>
        <v>114186.71794871794</v>
      </c>
      <c r="G1353" s="11" cm="1">
        <f t="array" aca="1" ref="G1353" ca="1">INDEX('Coste Carretera'!E$46:E$1646,MATCH(C1353&amp;D1353,'Coste Carretera'!C$46:C$1646&amp;'Coste Carretera'!D$46:D$1646,0))</f>
        <v>4967940344.159997</v>
      </c>
      <c r="H1353" s="11" cm="1">
        <f t="array" aca="1" ref="H1353" ca="1">INDEX('Coste multimodal'!E$46:E$1646,MATCH(C1353&amp;D1353,'Coste multimodal'!C$46:C$1646&amp;'Coste multimodal'!D$46:D$1646,0))</f>
        <v>1119748066.0432982</v>
      </c>
      <c r="I1353" s="12" cm="1">
        <f t="array" aca="1" ref="I1353" ca="1">INDEX('Tiempos intermodal (horas)'!E$45:E$1645,MATCH(C1353&amp;D1353,'Tiempos intermodal (horas)'!C$45:C$1645&amp;'Tiempos intermodal (horas)'!D$45:D$1645,0))</f>
        <v>111.67654405381944</v>
      </c>
      <c r="J1353" s="2" cm="1">
        <f t="array" aca="1" ref="J1353" ca="1">INDEX('Tiempos carretera (horas)'!E$45:E$1645,MATCH(C1353&amp;D1353,'Tiempos carretera (horas)'!C$45:C$1645&amp;'Tiempos carretera (horas)'!D$45:D$1645,0))</f>
        <v>17.5</v>
      </c>
      <c r="K1353" s="12">
        <f t="shared" ca="1" si="126"/>
        <v>43.507164698359524</v>
      </c>
      <c r="L1353" s="12">
        <f t="shared" ca="1" si="127"/>
        <v>20.10047646991967</v>
      </c>
      <c r="M1353" s="12">
        <f t="shared" ca="1" si="128"/>
        <v>0.32789536055307994</v>
      </c>
      <c r="N1353" s="13">
        <f t="shared" ca="1" si="130"/>
        <v>23.406688228439855</v>
      </c>
      <c r="O1353" s="13">
        <f t="shared" ca="1" si="131"/>
        <v>-94.176544053819441</v>
      </c>
      <c r="P1353" s="12">
        <f t="shared" ca="1" si="129"/>
        <v>0.71771950708219445</v>
      </c>
    </row>
    <row r="1354" spans="1:16" x14ac:dyDescent="0.25">
      <c r="A1354">
        <v>30</v>
      </c>
      <c r="B1354">
        <v>15</v>
      </c>
      <c r="C1354" s="2" t="s">
        <v>146</v>
      </c>
      <c r="D1354" s="2" t="s">
        <v>14</v>
      </c>
      <c r="E1354" s="11" cm="1">
        <f t="array" aca="1" ref="E1354" ca="1">INDEX('OD flujo mercancia multimodal'!E$45:E$1645,MATCH(C1354&amp;D1354,'OD flujo mercancia multimodal'!C$45:C$1645&amp;'OD flujo mercancia multimodal'!D$45:D$1645,0))</f>
        <v>49554.076923076893</v>
      </c>
      <c r="F1354" s="11" cm="1">
        <f t="array" aca="1" ref="F1354" ca="1">INDEX('OD flujo mercancia carretera'!E$45:E$1646,MATCH(C1354&amp;D1354,'OD flujo mercancia carretera'!C$45:C$1646&amp;'OD flujo mercancia carretera'!D$45:D$1646,0))</f>
        <v>517117.26153846207</v>
      </c>
      <c r="G1354" s="11" cm="1">
        <f t="array" aca="1" ref="G1354" ca="1">INDEX('Coste Carretera'!E$46:E$1646,MATCH(C1354&amp;D1354,'Coste Carretera'!C$46:C$1646&amp;'Coste Carretera'!D$46:D$1646,0))</f>
        <v>1923079218.2999985</v>
      </c>
      <c r="H1354" s="11" cm="1">
        <f t="array" aca="1" ref="H1354" ca="1">INDEX('Coste multimodal'!E$46:E$1646,MATCH(C1354&amp;D1354,'Coste multimodal'!C$46:C$1646&amp;'Coste multimodal'!D$46:D$1646,0))</f>
        <v>443995609.33447254</v>
      </c>
      <c r="I1354" s="12" cm="1">
        <f t="array" aca="1" ref="I1354" ca="1">INDEX('Tiempos intermodal (horas)'!E$45:E$1645,MATCH(C1354&amp;D1354,'Tiempos intermodal (horas)'!C$45:C$1645&amp;'Tiempos intermodal (horas)'!D$45:D$1645,0))</f>
        <v>101.07442366976352</v>
      </c>
      <c r="J1354" s="2" cm="1">
        <f t="array" aca="1" ref="J1354" ca="1">INDEX('Tiempos carretera (horas)'!E$45:E$1645,MATCH(C1354&amp;D1354,'Tiempos carretera (horas)'!C$45:C$1645&amp;'Tiempos carretera (horas)'!D$45:D$1645,0))</f>
        <v>6.8</v>
      </c>
      <c r="K1354" s="12">
        <f t="shared" ca="1" si="126"/>
        <v>3.7188455333683805</v>
      </c>
      <c r="L1354" s="12">
        <f t="shared" ca="1" si="127"/>
        <v>8.9598199967217589</v>
      </c>
      <c r="M1354" s="12">
        <f t="shared" ca="1" si="128"/>
        <v>8.7447650092223994E-2</v>
      </c>
      <c r="N1354" s="13">
        <f t="shared" ca="1" si="130"/>
        <v>-5.2409744633533784</v>
      </c>
      <c r="O1354" s="13">
        <f t="shared" ca="1" si="131"/>
        <v>-94.274423669763522</v>
      </c>
      <c r="P1354" s="12">
        <f t="shared" ca="1" si="129"/>
        <v>2.3452051239134231</v>
      </c>
    </row>
    <row r="1355" spans="1:16" x14ac:dyDescent="0.25">
      <c r="A1355">
        <v>15</v>
      </c>
      <c r="B1355">
        <v>30</v>
      </c>
      <c r="C1355" s="2" t="s">
        <v>14</v>
      </c>
      <c r="D1355" s="2" t="s">
        <v>146</v>
      </c>
      <c r="E1355" s="11" cm="1">
        <f t="array" aca="1" ref="E1355" ca="1">INDEX('OD flujo mercancia multimodal'!E$45:E$1645,MATCH(C1355&amp;D1355,'OD flujo mercancia multimodal'!C$45:C$1645&amp;'OD flujo mercancia multimodal'!D$45:D$1645,0))</f>
        <v>34019.06923076923</v>
      </c>
      <c r="F1355" s="11" cm="1">
        <f t="array" aca="1" ref="F1355" ca="1">INDEX('OD flujo mercancia carretera'!E$45:E$1646,MATCH(C1355&amp;D1355,'OD flujo mercancia carretera'!C$45:C$1646&amp;'OD flujo mercancia carretera'!D$45:D$1646,0))</f>
        <v>524920.0230769231</v>
      </c>
      <c r="G1355" s="11" cm="1">
        <f t="array" aca="1" ref="G1355" ca="1">INDEX('Coste Carretera'!E$46:E$1646,MATCH(C1355&amp;D1355,'Coste Carretera'!C$46:C$1646&amp;'Coste Carretera'!D$46:D$1646,0))</f>
        <v>1864047158.46</v>
      </c>
      <c r="H1355" s="11" cm="1">
        <f t="array" aca="1" ref="H1355" ca="1">INDEX('Coste multimodal'!E$46:E$1646,MATCH(C1355&amp;D1355,'Coste multimodal'!C$46:C$1646&amp;'Coste multimodal'!D$46:D$1646,0))</f>
        <v>443995609.33447254</v>
      </c>
      <c r="I1355" s="12" cm="1">
        <f t="array" aca="1" ref="I1355" ca="1">INDEX('Tiempos intermodal (horas)'!E$45:E$1645,MATCH(C1355&amp;D1355,'Tiempos intermodal (horas)'!C$45:C$1645&amp;'Tiempos intermodal (horas)'!D$45:D$1645,0))</f>
        <v>101.07442366976352</v>
      </c>
      <c r="J1355" s="2" cm="1">
        <f t="array" aca="1" ref="J1355" ca="1">INDEX('Tiempos carretera (horas)'!E$45:E$1645,MATCH(C1355&amp;D1355,'Tiempos carretera (horas)'!C$45:C$1645&amp;'Tiempos carretera (horas)'!D$45:D$1645,0))</f>
        <v>6.8</v>
      </c>
      <c r="K1355" s="12">
        <f t="shared" ca="1" si="126"/>
        <v>3.5511069810854559</v>
      </c>
      <c r="L1355" s="12">
        <f t="shared" ca="1" si="127"/>
        <v>13.051374401886685</v>
      </c>
      <c r="M1355" s="12">
        <f t="shared" ca="1" si="128"/>
        <v>6.0863642745606988E-2</v>
      </c>
      <c r="N1355" s="13">
        <f t="shared" ca="1" si="130"/>
        <v>-9.5002674208012294</v>
      </c>
      <c r="O1355" s="13">
        <f t="shared" ca="1" si="131"/>
        <v>-94.274423669763522</v>
      </c>
      <c r="P1355" s="12">
        <f t="shared" ca="1" si="129"/>
        <v>2.7363246868691933</v>
      </c>
    </row>
    <row r="1356" spans="1:16" x14ac:dyDescent="0.25">
      <c r="A1356">
        <v>23</v>
      </c>
      <c r="B1356">
        <v>15</v>
      </c>
      <c r="C1356" s="2" t="s">
        <v>22</v>
      </c>
      <c r="D1356" s="2" t="s">
        <v>14</v>
      </c>
      <c r="E1356" s="11" cm="1">
        <f t="array" aca="1" ref="E1356" ca="1">INDEX('OD flujo mercancia multimodal'!E$45:E$1645,MATCH(C1356&amp;D1356,'OD flujo mercancia multimodal'!C$45:C$1645&amp;'OD flujo mercancia multimodal'!D$45:D$1645,0))</f>
        <v>48525.307692307659</v>
      </c>
      <c r="F1356" s="11" cm="1">
        <f t="array" aca="1" ref="F1356" ca="1">INDEX('OD flujo mercancia carretera'!E$45:E$1646,MATCH(C1356&amp;D1356,'OD flujo mercancia carretera'!C$45:C$1646&amp;'OD flujo mercancia carretera'!D$45:D$1646,0))</f>
        <v>397380.12820512871</v>
      </c>
      <c r="G1356" s="11" cm="1">
        <f t="array" aca="1" ref="G1356" ca="1">INDEX('Coste Carretera'!E$46:E$1646,MATCH(C1356&amp;D1356,'Coste Carretera'!C$46:C$1646&amp;'Coste Carretera'!D$46:D$1646,0))</f>
        <v>1901217673.3599985</v>
      </c>
      <c r="H1356" s="11" cm="1">
        <f t="array" aca="1" ref="H1356" ca="1">INDEX('Coste multimodal'!E$46:E$1646,MATCH(C1356&amp;D1356,'Coste multimodal'!C$46:C$1646&amp;'Coste multimodal'!D$46:D$1646,0))</f>
        <v>479780110.52647257</v>
      </c>
      <c r="I1356" s="12" cm="1">
        <f t="array" aca="1" ref="I1356" ca="1">INDEX('Tiempos intermodal (horas)'!E$45:E$1645,MATCH(C1356&amp;D1356,'Tiempos intermodal (horas)'!C$45:C$1645&amp;'Tiempos intermodal (horas)'!D$45:D$1645,0))</f>
        <v>102.59664589198574</v>
      </c>
      <c r="J1356" s="2" cm="1">
        <f t="array" aca="1" ref="J1356" ca="1">INDEX('Tiempos carretera (horas)'!E$45:E$1645,MATCH(C1356&amp;D1356,'Tiempos carretera (horas)'!C$45:C$1645&amp;'Tiempos carretera (horas)'!D$45:D$1645,0))</f>
        <v>8.1199999999999992</v>
      </c>
      <c r="K1356" s="12">
        <f t="shared" ca="1" si="126"/>
        <v>4.7843803411794781</v>
      </c>
      <c r="L1356" s="12">
        <f t="shared" ca="1" si="127"/>
        <v>9.8872141845795731</v>
      </c>
      <c r="M1356" s="12">
        <f t="shared" ca="1" si="128"/>
        <v>0.10882421200953708</v>
      </c>
      <c r="N1356" s="13">
        <f t="shared" ca="1" si="130"/>
        <v>-5.102833843400095</v>
      </c>
      <c r="O1356" s="13">
        <f t="shared" ca="1" si="131"/>
        <v>-94.47664589198574</v>
      </c>
      <c r="P1356" s="12">
        <f t="shared" ca="1" si="129"/>
        <v>2.1028078544131574</v>
      </c>
    </row>
    <row r="1357" spans="1:16" x14ac:dyDescent="0.25">
      <c r="A1357">
        <v>15</v>
      </c>
      <c r="B1357">
        <v>23</v>
      </c>
      <c r="C1357" s="2" t="s">
        <v>14</v>
      </c>
      <c r="D1357" s="2" t="s">
        <v>22</v>
      </c>
      <c r="E1357" s="11" cm="1">
        <f t="array" aca="1" ref="E1357" ca="1">INDEX('OD flujo mercancia multimodal'!E$45:E$1645,MATCH(C1357&amp;D1357,'OD flujo mercancia multimodal'!C$45:C$1645&amp;'OD flujo mercancia multimodal'!D$45:D$1645,0))</f>
        <v>32686.461538461539</v>
      </c>
      <c r="F1357" s="11" cm="1">
        <f t="array" aca="1" ref="F1357" ca="1">INDEX('OD flujo mercancia carretera'!E$45:E$1646,MATCH(C1357&amp;D1357,'OD flujo mercancia carretera'!C$45:C$1646&amp;'OD flujo mercancia carretera'!D$45:D$1646,0))</f>
        <v>405565.5897435901</v>
      </c>
      <c r="G1357" s="11" cm="1">
        <f t="array" aca="1" ref="G1357" ca="1">INDEX('Coste Carretera'!E$46:E$1646,MATCH(C1357&amp;D1357,'Coste Carretera'!C$46:C$1646&amp;'Coste Carretera'!D$46:D$1646,0))</f>
        <v>1280652948.1599998</v>
      </c>
      <c r="H1357" s="11" cm="1">
        <f t="array" aca="1" ref="H1357" ca="1">INDEX('Coste multimodal'!E$46:E$1646,MATCH(C1357&amp;D1357,'Coste multimodal'!C$46:C$1646&amp;'Coste multimodal'!D$46:D$1646,0))</f>
        <v>479780110.52647257</v>
      </c>
      <c r="I1357" s="12" cm="1">
        <f t="array" aca="1" ref="I1357" ca="1">INDEX('Tiempos intermodal (horas)'!E$45:E$1645,MATCH(C1357&amp;D1357,'Tiempos intermodal (horas)'!C$45:C$1645&amp;'Tiempos intermodal (horas)'!D$45:D$1645,0))</f>
        <v>102.59664589198574</v>
      </c>
      <c r="J1357" s="2" cm="1">
        <f t="array" aca="1" ref="J1357" ca="1">INDEX('Tiempos carretera (horas)'!E$45:E$1645,MATCH(C1357&amp;D1357,'Tiempos carretera (horas)'!C$45:C$1645&amp;'Tiempos carretera (horas)'!D$45:D$1645,0))</f>
        <v>8.1199999999999992</v>
      </c>
      <c r="K1357" s="12">
        <f t="shared" ca="1" si="126"/>
        <v>3.1576962655280107</v>
      </c>
      <c r="L1357" s="12">
        <f t="shared" ca="1" si="127"/>
        <v>14.67825172700093</v>
      </c>
      <c r="M1357" s="12">
        <f t="shared" ca="1" si="128"/>
        <v>7.4583704612086535E-2</v>
      </c>
      <c r="N1357" s="13">
        <f t="shared" ca="1" si="130"/>
        <v>-11.52055546147292</v>
      </c>
      <c r="O1357" s="13">
        <f t="shared" ca="1" si="131"/>
        <v>-94.47664589198574</v>
      </c>
      <c r="P1357" s="12">
        <f t="shared" ca="1" si="129"/>
        <v>2.5183216388251188</v>
      </c>
    </row>
    <row r="1358" spans="1:16" x14ac:dyDescent="0.25">
      <c r="A1358">
        <v>26</v>
      </c>
      <c r="B1358">
        <v>27</v>
      </c>
      <c r="C1358" s="2" t="s">
        <v>25</v>
      </c>
      <c r="D1358" s="2" t="s">
        <v>145</v>
      </c>
      <c r="E1358" s="11" cm="1">
        <f t="array" aca="1" ref="E1358" ca="1">INDEX('OD flujo mercancia multimodal'!E$45:E$1645,MATCH(C1358&amp;D1358,'OD flujo mercancia multimodal'!C$45:C$1645&amp;'OD flujo mercancia multimodal'!D$45:D$1645,0))</f>
        <v>60653.307692307695</v>
      </c>
      <c r="F1358" s="11" cm="1">
        <f t="array" aca="1" ref="F1358" ca="1">INDEX('OD flujo mercancia carretera'!E$45:E$1646,MATCH(C1358&amp;D1358,'OD flujo mercancia carretera'!C$45:C$1646&amp;'OD flujo mercancia carretera'!D$45:D$1646,0))</f>
        <v>463880.1</v>
      </c>
      <c r="G1358" s="11" cm="1">
        <f t="array" aca="1" ref="G1358" ca="1">INDEX('Coste Carretera'!E$46:E$1646,MATCH(C1358&amp;D1358,'Coste Carretera'!C$46:C$1646&amp;'Coste Carretera'!D$46:D$1646,0))</f>
        <v>2312681508.7200003</v>
      </c>
      <c r="H1358" s="11" cm="1">
        <f t="array" aca="1" ref="H1358" ca="1">INDEX('Coste multimodal'!E$46:E$1646,MATCH(C1358&amp;D1358,'Coste multimodal'!C$46:C$1646&amp;'Coste multimodal'!D$46:D$1646,0))</f>
        <v>933659276.84498</v>
      </c>
      <c r="I1358" s="12" cm="1">
        <f t="array" aca="1" ref="I1358" ca="1">INDEX('Tiempos intermodal (horas)'!E$45:E$1645,MATCH(C1358&amp;D1358,'Tiempos intermodal (horas)'!C$45:C$1645&amp;'Tiempos intermodal (horas)'!D$45:D$1645,0))</f>
        <v>114.20098849826388</v>
      </c>
      <c r="J1358" s="2" cm="1">
        <f t="array" aca="1" ref="J1358" ca="1">INDEX('Tiempos carretera (horas)'!E$45:E$1645,MATCH(C1358&amp;D1358,'Tiempos carretera (horas)'!C$45:C$1645&amp;'Tiempos carretera (horas)'!D$45:D$1645,0))</f>
        <v>7.28</v>
      </c>
      <c r="K1358" s="12">
        <f t="shared" ca="1" si="126"/>
        <v>4.9855156725196883</v>
      </c>
      <c r="L1358" s="12">
        <f t="shared" ca="1" si="127"/>
        <v>15.393377745883273</v>
      </c>
      <c r="M1358" s="12">
        <f t="shared" ca="1" si="128"/>
        <v>0.11563287829302006</v>
      </c>
      <c r="N1358" s="13">
        <f t="shared" ca="1" si="130"/>
        <v>-10.407862073363585</v>
      </c>
      <c r="O1358" s="13">
        <f t="shared" ca="1" si="131"/>
        <v>-106.92098849826388</v>
      </c>
      <c r="P1358" s="12">
        <f t="shared" ca="1" si="129"/>
        <v>2.0344519423750484</v>
      </c>
    </row>
    <row r="1359" spans="1:16" x14ac:dyDescent="0.25">
      <c r="A1359">
        <v>27</v>
      </c>
      <c r="B1359">
        <v>26</v>
      </c>
      <c r="C1359" s="2" t="s">
        <v>145</v>
      </c>
      <c r="D1359" s="2" t="s">
        <v>25</v>
      </c>
      <c r="E1359" s="11" cm="1">
        <f t="array" aca="1" ref="E1359" ca="1">INDEX('OD flujo mercancia multimodal'!E$45:E$1645,MATCH(C1359&amp;D1359,'OD flujo mercancia multimodal'!C$45:C$1645&amp;'OD flujo mercancia multimodal'!D$45:D$1645,0))</f>
        <v>37533.769230769227</v>
      </c>
      <c r="F1359" s="11" cm="1">
        <f t="array" aca="1" ref="F1359" ca="1">INDEX('OD flujo mercancia carretera'!E$45:E$1646,MATCH(C1359&amp;D1359,'OD flujo mercancia carretera'!C$45:C$1646&amp;'OD flujo mercancia carretera'!D$45:D$1646,0))</f>
        <v>466399.19999999995</v>
      </c>
      <c r="G1359" s="11" cm="1">
        <f t="array" aca="1" ref="G1359" ca="1">INDEX('Coste Carretera'!E$46:E$1646,MATCH(C1359&amp;D1359,'Coste Carretera'!C$46:C$1646&amp;'Coste Carretera'!D$46:D$1646,0))</f>
        <v>1431144604.5599997</v>
      </c>
      <c r="H1359" s="11" cm="1">
        <f t="array" aca="1" ref="H1359" ca="1">INDEX('Coste multimodal'!E$46:E$1646,MATCH(C1359&amp;D1359,'Coste multimodal'!C$46:C$1646&amp;'Coste multimodal'!D$46:D$1646,0))</f>
        <v>933659276.84498</v>
      </c>
      <c r="I1359" s="12" cm="1">
        <f t="array" aca="1" ref="I1359" ca="1">INDEX('Tiempos intermodal (horas)'!E$45:E$1645,MATCH(C1359&amp;D1359,'Tiempos intermodal (horas)'!C$45:C$1645&amp;'Tiempos intermodal (horas)'!D$45:D$1645,0))</f>
        <v>114.20098849826388</v>
      </c>
      <c r="J1359" s="2" cm="1">
        <f t="array" aca="1" ref="J1359" ca="1">INDEX('Tiempos carretera (horas)'!E$45:E$1645,MATCH(C1359&amp;D1359,'Tiempos carretera (horas)'!C$45:C$1645&amp;'Tiempos carretera (horas)'!D$45:D$1645,0))</f>
        <v>7.28</v>
      </c>
      <c r="K1359" s="12">
        <f t="shared" ca="1" si="126"/>
        <v>3.0684971255525308</v>
      </c>
      <c r="L1359" s="12">
        <f t="shared" ca="1" si="127"/>
        <v>24.875180297096033</v>
      </c>
      <c r="M1359" s="12">
        <f t="shared" ca="1" si="128"/>
        <v>7.4481670227020111E-2</v>
      </c>
      <c r="N1359" s="13">
        <f t="shared" ca="1" si="130"/>
        <v>-21.806683171543504</v>
      </c>
      <c r="O1359" s="13">
        <f t="shared" ca="1" si="131"/>
        <v>-106.92098849826388</v>
      </c>
      <c r="P1359" s="12">
        <f t="shared" ca="1" si="129"/>
        <v>2.5198008791904862</v>
      </c>
    </row>
    <row r="1360" spans="1:16" x14ac:dyDescent="0.25">
      <c r="A1360">
        <v>16</v>
      </c>
      <c r="B1360">
        <v>20</v>
      </c>
      <c r="C1360" s="2" t="s">
        <v>15</v>
      </c>
      <c r="D1360" s="2" t="s">
        <v>19</v>
      </c>
      <c r="E1360" s="11" cm="1">
        <f t="array" aca="1" ref="E1360" ca="1">INDEX('OD flujo mercancia multimodal'!E$45:E$1645,MATCH(C1360&amp;D1360,'OD flujo mercancia multimodal'!C$45:C$1645&amp;'OD flujo mercancia multimodal'!D$45:D$1645,0))</f>
        <v>93778.153846153844</v>
      </c>
      <c r="F1360" s="11" cm="1">
        <f t="array" aca="1" ref="F1360" ca="1">INDEX('OD flujo mercancia carretera'!E$45:E$1646,MATCH(C1360&amp;D1360,'OD flujo mercancia carretera'!C$45:C$1646&amp;'OD flujo mercancia carretera'!D$45:D$1646,0))</f>
        <v>232585.20512820518</v>
      </c>
      <c r="G1360" s="11" cm="1">
        <f t="array" aca="1" ref="G1360" ca="1">INDEX('Coste Carretera'!E$46:E$1646,MATCH(C1360&amp;D1360,'Coste Carretera'!C$46:C$1646&amp;'Coste Carretera'!D$46:D$1646,0))</f>
        <v>7205609500.3199987</v>
      </c>
      <c r="H1360" s="11" cm="1">
        <f t="array" aca="1" ref="H1360" ca="1">INDEX('Coste multimodal'!E$46:E$1646,MATCH(C1360&amp;D1360,'Coste multimodal'!C$46:C$1646&amp;'Coste multimodal'!D$46:D$1646,0))</f>
        <v>1126335073.1352983</v>
      </c>
      <c r="I1360" s="12" cm="1">
        <f t="array" aca="1" ref="I1360" ca="1">INDEX('Tiempos intermodal (horas)'!E$45:E$1645,MATCH(C1360&amp;D1360,'Tiempos intermodal (horas)'!C$45:C$1645&amp;'Tiempos intermodal (horas)'!D$45:D$1645,0))</f>
        <v>109.63543294270833</v>
      </c>
      <c r="J1360" s="2" cm="1">
        <f t="array" aca="1" ref="J1360" ca="1">INDEX('Tiempos carretera (horas)'!E$45:E$1645,MATCH(C1360&amp;D1360,'Tiempos carretera (horas)'!C$45:C$1645&amp;'Tiempos carretera (horas)'!D$45:D$1645,0))</f>
        <v>14.81</v>
      </c>
      <c r="K1360" s="12">
        <f t="shared" ca="1" si="126"/>
        <v>30.980515275458455</v>
      </c>
      <c r="L1360" s="12">
        <f t="shared" ca="1" si="127"/>
        <v>12.010633894361881</v>
      </c>
      <c r="M1360" s="12">
        <f t="shared" ca="1" si="128"/>
        <v>0.2873427769001532</v>
      </c>
      <c r="N1360" s="13">
        <f t="shared" ca="1" si="130"/>
        <v>18.969881381096574</v>
      </c>
      <c r="O1360" s="13">
        <f t="shared" ca="1" si="131"/>
        <v>-94.825432942708332</v>
      </c>
      <c r="P1360" s="12">
        <f t="shared" ca="1" si="129"/>
        <v>0.90832470410253829</v>
      </c>
    </row>
    <row r="1361" spans="1:16" x14ac:dyDescent="0.25">
      <c r="A1361">
        <v>20</v>
      </c>
      <c r="B1361">
        <v>16</v>
      </c>
      <c r="C1361" s="2" t="s">
        <v>19</v>
      </c>
      <c r="D1361" s="2" t="s">
        <v>15</v>
      </c>
      <c r="E1361" s="11" cm="1">
        <f t="array" aca="1" ref="E1361" ca="1">INDEX('OD flujo mercancia multimodal'!E$45:E$1645,MATCH(C1361&amp;D1361,'OD flujo mercancia multimodal'!C$45:C$1645&amp;'OD flujo mercancia multimodal'!D$45:D$1645,0))</f>
        <v>69382.000000000029</v>
      </c>
      <c r="F1361" s="11" cm="1">
        <f t="array" aca="1" ref="F1361" ca="1">INDEX('OD flujo mercancia carretera'!E$45:E$1646,MATCH(C1361&amp;D1361,'OD flujo mercancia carretera'!C$45:C$1646&amp;'OD flujo mercancia carretera'!D$45:D$1646,0))</f>
        <v>592132.02564102539</v>
      </c>
      <c r="G1361" s="11" cm="1">
        <f t="array" aca="1" ref="G1361" ca="1">INDEX('Coste Carretera'!E$46:E$1646,MATCH(C1361&amp;D1361,'Coste Carretera'!C$46:C$1646&amp;'Coste Carretera'!D$46:D$1646,0))</f>
        <v>5331088082.3200026</v>
      </c>
      <c r="H1361" s="11" cm="1">
        <f t="array" aca="1" ref="H1361" ca="1">INDEX('Coste multimodal'!E$46:E$1646,MATCH(C1361&amp;D1361,'Coste multimodal'!C$46:C$1646&amp;'Coste multimodal'!D$46:D$1646,0))</f>
        <v>1126335073.1352983</v>
      </c>
      <c r="I1361" s="12" cm="1">
        <f t="array" aca="1" ref="I1361" ca="1">INDEX('Tiempos intermodal (horas)'!E$45:E$1645,MATCH(C1361&amp;D1361,'Tiempos intermodal (horas)'!C$45:C$1645&amp;'Tiempos intermodal (horas)'!D$45:D$1645,0))</f>
        <v>109.63543294270833</v>
      </c>
      <c r="J1361" s="2" cm="1">
        <f t="array" aca="1" ref="J1361" ca="1">INDEX('Tiempos carretera (horas)'!E$45:E$1645,MATCH(C1361&amp;D1361,'Tiempos carretera (horas)'!C$45:C$1645&amp;'Tiempos carretera (horas)'!D$45:D$1645,0))</f>
        <v>14.81</v>
      </c>
      <c r="K1361" s="12">
        <f t="shared" ca="1" si="126"/>
        <v>9.0032084931544052</v>
      </c>
      <c r="L1361" s="12">
        <f t="shared" ca="1" si="127"/>
        <v>16.233822506345994</v>
      </c>
      <c r="M1361" s="12">
        <f t="shared" ca="1" si="128"/>
        <v>0.10488364163218905</v>
      </c>
      <c r="N1361" s="13">
        <f t="shared" ca="1" si="130"/>
        <v>-7.2306140131915893</v>
      </c>
      <c r="O1361" s="13">
        <f t="shared" ca="1" si="131"/>
        <v>-94.825432942708332</v>
      </c>
      <c r="P1361" s="12">
        <f t="shared" ca="1" si="129"/>
        <v>2.14410215842774</v>
      </c>
    </row>
    <row r="1362" spans="1:16" x14ac:dyDescent="0.25">
      <c r="A1362">
        <v>1</v>
      </c>
      <c r="B1362">
        <v>18</v>
      </c>
      <c r="C1362" s="2" t="s">
        <v>0</v>
      </c>
      <c r="D1362" s="2" t="s">
        <v>17</v>
      </c>
      <c r="E1362" s="11" cm="1">
        <f t="array" aca="1" ref="E1362" ca="1">INDEX('OD flujo mercancia multimodal'!E$45:E$1645,MATCH(C1362&amp;D1362,'OD flujo mercancia multimodal'!C$45:C$1645&amp;'OD flujo mercancia multimodal'!D$45:D$1645,0))</f>
        <v>109356.84065934064</v>
      </c>
      <c r="F1362" s="11" cm="1">
        <f t="array" aca="1" ref="F1362" ca="1">INDEX('OD flujo mercancia carretera'!E$45:E$1646,MATCH(C1362&amp;D1362,'OD flujo mercancia carretera'!C$45:C$1646&amp;'OD flujo mercancia carretera'!D$45:D$1646,0))</f>
        <v>100616.3846153846</v>
      </c>
      <c r="G1362" s="11" cm="1">
        <f t="array" aca="1" ref="G1362" ca="1">INDEX('Coste Carretera'!E$46:E$1646,MATCH(C1362&amp;D1362,'Coste Carretera'!C$46:C$1646&amp;'Coste Carretera'!D$46:D$1646,0))</f>
        <v>11199671479.285711</v>
      </c>
      <c r="H1362" s="11" cm="1">
        <f t="array" aca="1" ref="H1362" ca="1">INDEX('Coste multimodal'!E$46:E$1646,MATCH(C1362&amp;D1362,'Coste multimodal'!C$46:C$1646&amp;'Coste multimodal'!D$46:D$1646,0))</f>
        <v>734348959.47733867</v>
      </c>
      <c r="I1362" s="12" cm="1">
        <f t="array" aca="1" ref="I1362" ca="1">INDEX('Tiempos intermodal (horas)'!E$45:E$1645,MATCH(C1362&amp;D1362,'Tiempos intermodal (horas)'!C$45:C$1645&amp;'Tiempos intermodal (horas)'!D$45:D$1645,0))</f>
        <v>90.531962186796164</v>
      </c>
      <c r="J1362" s="2" cm="1">
        <f t="array" aca="1" ref="J1362" ca="1">INDEX('Tiempos carretera (horas)'!E$45:E$1645,MATCH(C1362&amp;D1362,'Tiempos carretera (horas)'!C$45:C$1645&amp;'Tiempos carretera (horas)'!D$45:D$1645,0))</f>
        <v>19.3</v>
      </c>
      <c r="K1362" s="12">
        <f t="shared" ca="1" si="126"/>
        <v>111.31061329720292</v>
      </c>
      <c r="L1362" s="12">
        <f t="shared" ca="1" si="127"/>
        <v>6.7151625362415297</v>
      </c>
      <c r="M1362" s="12">
        <f t="shared" ca="1" si="128"/>
        <v>0.52081326329230826</v>
      </c>
      <c r="N1362" s="13">
        <f t="shared" ca="1" si="130"/>
        <v>104.59545076096138</v>
      </c>
      <c r="O1362" s="13">
        <f t="shared" ca="1" si="131"/>
        <v>-71.231962186796167</v>
      </c>
      <c r="P1362" s="12">
        <f t="shared" ca="1" si="129"/>
        <v>-8.3301189291966671E-2</v>
      </c>
    </row>
    <row r="1363" spans="1:16" x14ac:dyDescent="0.25">
      <c r="A1363">
        <v>18</v>
      </c>
      <c r="B1363">
        <v>1</v>
      </c>
      <c r="C1363" s="2" t="s">
        <v>17</v>
      </c>
      <c r="D1363" s="2" t="s">
        <v>0</v>
      </c>
      <c r="E1363" s="11" cm="1">
        <f t="array" aca="1" ref="E1363" ca="1">INDEX('OD flujo mercancia multimodal'!E$45:E$1645,MATCH(C1363&amp;D1363,'OD flujo mercancia multimodal'!C$45:C$1645&amp;'OD flujo mercancia multimodal'!D$45:D$1645,0))</f>
        <v>99207.686813186796</v>
      </c>
      <c r="F1363" s="11" cm="1">
        <f t="array" aca="1" ref="F1363" ca="1">INDEX('OD flujo mercancia carretera'!E$45:E$1646,MATCH(C1363&amp;D1363,'OD flujo mercancia carretera'!C$45:C$1646&amp;'OD flujo mercancia carretera'!D$45:D$1646,0))</f>
        <v>104145.46153846159</v>
      </c>
      <c r="G1363" s="11" cm="1">
        <f t="array" aca="1" ref="G1363" ca="1">INDEX('Coste Carretera'!E$46:E$1646,MATCH(C1363&amp;D1363,'Coste Carretera'!C$46:C$1646&amp;'Coste Carretera'!D$46:D$1646,0))</f>
        <v>10160256037.285711</v>
      </c>
      <c r="H1363" s="11" cm="1">
        <f t="array" aca="1" ref="H1363" ca="1">INDEX('Coste multimodal'!E$46:E$1646,MATCH(C1363&amp;D1363,'Coste multimodal'!C$46:C$1646&amp;'Coste multimodal'!D$46:D$1646,0))</f>
        <v>734348959.47733867</v>
      </c>
      <c r="I1363" s="12" cm="1">
        <f t="array" aca="1" ref="I1363" ca="1">INDEX('Tiempos intermodal (horas)'!E$45:E$1645,MATCH(C1363&amp;D1363,'Tiempos intermodal (horas)'!C$45:C$1645&amp;'Tiempos intermodal (horas)'!D$45:D$1645,0))</f>
        <v>90.531962186796164</v>
      </c>
      <c r="J1363" s="2" cm="1">
        <f t="array" aca="1" ref="J1363" ca="1">INDEX('Tiempos carretera (horas)'!E$45:E$1645,MATCH(C1363&amp;D1363,'Tiempos carretera (horas)'!C$45:C$1645&amp;'Tiempos carretera (horas)'!D$45:D$1645,0))</f>
        <v>19.3</v>
      </c>
      <c r="K1363" s="12">
        <f t="shared" ca="1" si="126"/>
        <v>97.558317829658492</v>
      </c>
      <c r="L1363" s="12">
        <f t="shared" ca="1" si="127"/>
        <v>7.4021377079394641</v>
      </c>
      <c r="M1363" s="12">
        <f t="shared" ca="1" si="128"/>
        <v>0.48785911414379446</v>
      </c>
      <c r="N1363" s="13">
        <f t="shared" ca="1" si="130"/>
        <v>90.156180121719032</v>
      </c>
      <c r="O1363" s="13">
        <f t="shared" ca="1" si="131"/>
        <v>-71.231962186796167</v>
      </c>
      <c r="P1363" s="12">
        <f t="shared" ca="1" si="129"/>
        <v>4.8573091229608019E-2</v>
      </c>
    </row>
    <row r="1364" spans="1:16" x14ac:dyDescent="0.25">
      <c r="A1364">
        <v>3</v>
      </c>
      <c r="B1364">
        <v>16</v>
      </c>
      <c r="C1364" s="2" t="s">
        <v>2</v>
      </c>
      <c r="D1364" s="2" t="s">
        <v>15</v>
      </c>
      <c r="E1364" s="11" cm="1">
        <f t="array" aca="1" ref="E1364" ca="1">INDEX('OD flujo mercancia multimodal'!E$45:E$1645,MATCH(C1364&amp;D1364,'OD flujo mercancia multimodal'!C$45:C$1645&amp;'OD flujo mercancia multimodal'!D$45:D$1645,0))</f>
        <v>52388.80219780223</v>
      </c>
      <c r="F1364" s="11" cm="1">
        <f t="array" aca="1" ref="F1364" ca="1">INDEX('OD flujo mercancia carretera'!E$45:E$1646,MATCH(C1364&amp;D1364,'OD flujo mercancia carretera'!C$45:C$1646&amp;'OD flujo mercancia carretera'!D$45:D$1646,0))</f>
        <v>568080.46153846127</v>
      </c>
      <c r="G1364" s="11" cm="1">
        <f t="array" aca="1" ref="G1364" ca="1">INDEX('Coste Carretera'!E$46:E$1646,MATCH(C1364&amp;D1364,'Coste Carretera'!C$46:C$1646&amp;'Coste Carretera'!D$46:D$1646,0))</f>
        <v>4526151521.4000025</v>
      </c>
      <c r="H1364" s="11" cm="1">
        <f t="array" aca="1" ref="H1364" ca="1">INDEX('Coste multimodal'!E$46:E$1646,MATCH(C1364&amp;D1364,'Coste multimodal'!C$46:C$1646&amp;'Coste multimodal'!D$46:D$1646,0))</f>
        <v>611777640.32015967</v>
      </c>
      <c r="I1364" s="12" cm="1">
        <f t="array" aca="1" ref="I1364" ca="1">INDEX('Tiempos intermodal (horas)'!E$45:E$1645,MATCH(C1364&amp;D1364,'Tiempos intermodal (horas)'!C$45:C$1645&amp;'Tiempos intermodal (horas)'!D$45:D$1645,0))</f>
        <v>111.57074785918732</v>
      </c>
      <c r="J1364" s="2" cm="1">
        <f t="array" aca="1" ref="J1364" ca="1">INDEX('Tiempos carretera (horas)'!E$45:E$1645,MATCH(C1364&amp;D1364,'Tiempos carretera (horas)'!C$45:C$1645&amp;'Tiempos carretera (horas)'!D$45:D$1645,0))</f>
        <v>16.21</v>
      </c>
      <c r="K1364" s="12">
        <f t="shared" ca="1" si="126"/>
        <v>7.9674479723213709</v>
      </c>
      <c r="L1364" s="12">
        <f t="shared" ca="1" si="127"/>
        <v>11.67764130224425</v>
      </c>
      <c r="M1364" s="12">
        <f t="shared" ca="1" si="128"/>
        <v>8.4434161786409778E-2</v>
      </c>
      <c r="N1364" s="13">
        <f t="shared" ca="1" si="130"/>
        <v>-3.7101933299228795</v>
      </c>
      <c r="O1364" s="13">
        <f t="shared" ca="1" si="131"/>
        <v>-95.360747859187313</v>
      </c>
      <c r="P1364" s="12">
        <f t="shared" ca="1" si="129"/>
        <v>2.3835701963518008</v>
      </c>
    </row>
    <row r="1365" spans="1:16" x14ac:dyDescent="0.25">
      <c r="A1365">
        <v>9</v>
      </c>
      <c r="B1365">
        <v>18</v>
      </c>
      <c r="C1365" s="2" t="s">
        <v>148</v>
      </c>
      <c r="D1365" s="2" t="s">
        <v>17</v>
      </c>
      <c r="E1365" s="11" cm="1">
        <f t="array" aca="1" ref="E1365" ca="1">INDEX('OD flujo mercancia multimodal'!E$45:E$1645,MATCH(C1365&amp;D1365,'OD flujo mercancia multimodal'!C$45:C$1645&amp;'OD flujo mercancia multimodal'!D$45:D$1645,0))</f>
        <v>24654.269230769201</v>
      </c>
      <c r="F1365" s="11" cm="1">
        <f t="array" aca="1" ref="F1365" ca="1">INDEX('OD flujo mercancia carretera'!E$45:E$1646,MATCH(C1365&amp;D1365,'OD flujo mercancia carretera'!C$45:C$1646&amp;'OD flujo mercancia carretera'!D$45:D$1646,0))</f>
        <v>627762.68162393174</v>
      </c>
      <c r="G1365" s="11" cm="1">
        <f t="array" aca="1" ref="G1365" ca="1">INDEX('Coste Carretera'!E$46:E$1646,MATCH(C1365&amp;D1365,'Coste Carretera'!C$46:C$1646&amp;'Coste Carretera'!D$46:D$1646,0))</f>
        <v>2654426550.9999971</v>
      </c>
      <c r="H1365" s="11" cm="1">
        <f t="array" aca="1" ref="H1365" ca="1">INDEX('Coste multimodal'!E$46:E$1646,MATCH(C1365&amp;D1365,'Coste multimodal'!C$46:C$1646&amp;'Coste multimodal'!D$46:D$1646,0))</f>
        <v>601688333.21591008</v>
      </c>
      <c r="I1365" s="12" cm="1">
        <f t="array" aca="1" ref="I1365" ca="1">INDEX('Tiempos intermodal (horas)'!E$45:E$1645,MATCH(C1365&amp;D1365,'Tiempos intermodal (horas)'!C$45:C$1645&amp;'Tiempos intermodal (horas)'!D$45:D$1645,0))</f>
        <v>119.32738961617866</v>
      </c>
      <c r="J1365" s="2" cm="1">
        <f t="array" aca="1" ref="J1365" ca="1">INDEX('Tiempos carretera (horas)'!E$45:E$1645,MATCH(C1365&amp;D1365,'Tiempos carretera (horas)'!C$45:C$1645&amp;'Tiempos carretera (horas)'!D$45:D$1645,0))</f>
        <v>20.95</v>
      </c>
      <c r="K1365" s="12">
        <f t="shared" ca="1" si="126"/>
        <v>4.2283917612518431</v>
      </c>
      <c r="L1365" s="12">
        <f t="shared" ca="1" si="127"/>
        <v>24.405036206264292</v>
      </c>
      <c r="M1365" s="12">
        <f t="shared" ca="1" si="128"/>
        <v>3.77891303996176E-2</v>
      </c>
      <c r="N1365" s="13">
        <f t="shared" ca="1" si="130"/>
        <v>-20.17664444501245</v>
      </c>
      <c r="O1365" s="13">
        <f t="shared" ca="1" si="131"/>
        <v>-98.377389616178661</v>
      </c>
      <c r="P1365" s="12">
        <f t="shared" ca="1" si="129"/>
        <v>3.2372121201060349</v>
      </c>
    </row>
    <row r="1366" spans="1:16" x14ac:dyDescent="0.25">
      <c r="A1366">
        <v>18</v>
      </c>
      <c r="B1366">
        <v>9</v>
      </c>
      <c r="C1366" s="2" t="s">
        <v>17</v>
      </c>
      <c r="D1366" s="2" t="s">
        <v>148</v>
      </c>
      <c r="E1366" s="11" cm="1">
        <f t="array" aca="1" ref="E1366" ca="1">INDEX('OD flujo mercancia multimodal'!E$45:E$1645,MATCH(C1366&amp;D1366,'OD flujo mercancia multimodal'!C$45:C$1645&amp;'OD flujo mercancia multimodal'!D$45:D$1645,0))</f>
        <v>7325.0699300699298</v>
      </c>
      <c r="F1366" s="11" cm="1">
        <f t="array" aca="1" ref="F1366" ca="1">INDEX('OD flujo mercancia carretera'!E$45:E$1646,MATCH(C1366&amp;D1366,'OD flujo mercancia carretera'!C$45:C$1646&amp;'OD flujo mercancia carretera'!D$45:D$1646,0))</f>
        <v>625741.23717948736</v>
      </c>
      <c r="G1366" s="11" cm="1">
        <f t="array" aca="1" ref="G1366" ca="1">INDEX('Coste Carretera'!E$46:E$1646,MATCH(C1366&amp;D1366,'Coste Carretera'!C$46:C$1646&amp;'Coste Carretera'!D$46:D$1646,0))</f>
        <v>301230022.74545455</v>
      </c>
      <c r="H1366" s="11" cm="1">
        <f t="array" aca="1" ref="H1366" ca="1">INDEX('Coste multimodal'!E$46:E$1646,MATCH(C1366&amp;D1366,'Coste multimodal'!C$46:C$1646&amp;'Coste multimodal'!D$46:D$1646,0))</f>
        <v>601688333.21591008</v>
      </c>
      <c r="I1366" s="12" cm="1">
        <f t="array" aca="1" ref="I1366" ca="1">INDEX('Tiempos intermodal (horas)'!E$45:E$1645,MATCH(C1366&amp;D1366,'Tiempos intermodal (horas)'!C$45:C$1645&amp;'Tiempos intermodal (horas)'!D$45:D$1645,0))</f>
        <v>119.32738961617866</v>
      </c>
      <c r="J1366" s="2" cm="1">
        <f t="array" aca="1" ref="J1366" ca="1">INDEX('Tiempos carretera (horas)'!E$45:E$1645,MATCH(C1366&amp;D1366,'Tiempos carretera (horas)'!C$45:C$1645&amp;'Tiempos carretera (horas)'!D$45:D$1645,0))</f>
        <v>20.95</v>
      </c>
      <c r="K1366" s="12">
        <f t="shared" ca="1" si="126"/>
        <v>0.48139710929591467</v>
      </c>
      <c r="L1366" s="12">
        <f t="shared" ca="1" si="127"/>
        <v>82.140967794169029</v>
      </c>
      <c r="M1366" s="12">
        <f t="shared" ca="1" si="128"/>
        <v>1.1570778365246764E-2</v>
      </c>
      <c r="N1366" s="13">
        <f t="shared" ca="1" si="130"/>
        <v>-81.659570684873117</v>
      </c>
      <c r="O1366" s="13">
        <f t="shared" ca="1" si="131"/>
        <v>-98.377389616178661</v>
      </c>
      <c r="P1366" s="12">
        <f t="shared" ca="1" si="129"/>
        <v>4.4476342248806739</v>
      </c>
    </row>
    <row r="1367" spans="1:16" x14ac:dyDescent="0.25">
      <c r="A1367">
        <v>24</v>
      </c>
      <c r="B1367">
        <v>15</v>
      </c>
      <c r="C1367" s="2" t="s">
        <v>23</v>
      </c>
      <c r="D1367" s="2" t="s">
        <v>14</v>
      </c>
      <c r="E1367" s="11" cm="1">
        <f t="array" aca="1" ref="E1367" ca="1">INDEX('OD flujo mercancia multimodal'!E$45:E$1645,MATCH(C1367&amp;D1367,'OD flujo mercancia multimodal'!C$45:C$1645&amp;'OD flujo mercancia multimodal'!D$45:D$1645,0))</f>
        <v>51457.230769230737</v>
      </c>
      <c r="F1367" s="11" cm="1">
        <f t="array" aca="1" ref="F1367" ca="1">INDEX('OD flujo mercancia carretera'!E$45:E$1646,MATCH(C1367&amp;D1367,'OD flujo mercancia carretera'!C$45:C$1646&amp;'OD flujo mercancia carretera'!D$45:D$1646,0))</f>
        <v>374400.46153846203</v>
      </c>
      <c r="G1367" s="11" cm="1">
        <f t="array" aca="1" ref="G1367" ca="1">INDEX('Coste Carretera'!E$46:E$1646,MATCH(C1367&amp;D1367,'Coste Carretera'!C$46:C$1646&amp;'Coste Carretera'!D$46:D$1646,0))</f>
        <v>1451260629.1199992</v>
      </c>
      <c r="H1367" s="11" cm="1">
        <f t="array" aca="1" ref="H1367" ca="1">INDEX('Coste multimodal'!E$46:E$1646,MATCH(C1367&amp;D1367,'Coste multimodal'!C$46:C$1646&amp;'Coste multimodal'!D$46:D$1646,0))</f>
        <v>471432521.12647259</v>
      </c>
      <c r="I1367" s="12" cm="1">
        <f t="array" aca="1" ref="I1367" ca="1">INDEX('Tiempos intermodal (horas)'!E$45:E$1645,MATCH(C1367&amp;D1367,'Tiempos intermodal (horas)'!C$45:C$1645&amp;'Tiempos intermodal (horas)'!D$45:D$1645,0))</f>
        <v>101.88553478087464</v>
      </c>
      <c r="J1367" s="2" cm="1">
        <f t="array" aca="1" ref="J1367" ca="1">INDEX('Tiempos carretera (horas)'!E$45:E$1645,MATCH(C1367&amp;D1367,'Tiempos carretera (horas)'!C$45:C$1645&amp;'Tiempos carretera (horas)'!D$45:D$1645,0))</f>
        <v>6</v>
      </c>
      <c r="K1367" s="12">
        <f t="shared" ca="1" si="126"/>
        <v>3.8762255344359708</v>
      </c>
      <c r="L1367" s="12">
        <f t="shared" ca="1" si="127"/>
        <v>9.1616380065358953</v>
      </c>
      <c r="M1367" s="12">
        <f t="shared" ca="1" si="128"/>
        <v>0.1208319861275433</v>
      </c>
      <c r="N1367" s="13">
        <f t="shared" ca="1" si="130"/>
        <v>-5.2854124720999245</v>
      </c>
      <c r="O1367" s="13">
        <f t="shared" ca="1" si="131"/>
        <v>-95.885534780874636</v>
      </c>
      <c r="P1367" s="12">
        <f t="shared" ca="1" si="129"/>
        <v>1.9845749852066443</v>
      </c>
    </row>
    <row r="1368" spans="1:16" x14ac:dyDescent="0.25">
      <c r="A1368">
        <v>15</v>
      </c>
      <c r="B1368">
        <v>24</v>
      </c>
      <c r="C1368" s="2" t="s">
        <v>14</v>
      </c>
      <c r="D1368" s="2" t="s">
        <v>23</v>
      </c>
      <c r="E1368" s="11" cm="1">
        <f t="array" aca="1" ref="E1368" ca="1">INDEX('OD flujo mercancia multimodal'!E$45:E$1645,MATCH(C1368&amp;D1368,'OD flujo mercancia multimodal'!C$45:C$1645&amp;'OD flujo mercancia multimodal'!D$45:D$1645,0))</f>
        <v>33848.846153846149</v>
      </c>
      <c r="F1368" s="11" cm="1">
        <f t="array" aca="1" ref="F1368" ca="1">INDEX('OD flujo mercancia carretera'!E$45:E$1646,MATCH(C1368&amp;D1368,'OD flujo mercancia carretera'!C$45:C$1646&amp;'OD flujo mercancia carretera'!D$45:D$1646,0))</f>
        <v>363037.58974358981</v>
      </c>
      <c r="G1368" s="11" cm="1">
        <f t="array" aca="1" ref="G1368" ca="1">INDEX('Coste Carretera'!E$46:E$1646,MATCH(C1368&amp;D1368,'Coste Carretera'!C$46:C$1646&amp;'Coste Carretera'!D$46:D$1646,0))</f>
        <v>954647131.79999995</v>
      </c>
      <c r="H1368" s="11" cm="1">
        <f t="array" aca="1" ref="H1368" ca="1">INDEX('Coste multimodal'!E$46:E$1646,MATCH(C1368&amp;D1368,'Coste multimodal'!C$46:C$1646&amp;'Coste multimodal'!D$46:D$1646,0))</f>
        <v>471432521.12647259</v>
      </c>
      <c r="I1368" s="12" cm="1">
        <f t="array" aca="1" ref="I1368" ca="1">INDEX('Tiempos intermodal (horas)'!E$45:E$1645,MATCH(C1368&amp;D1368,'Tiempos intermodal (horas)'!C$45:C$1645&amp;'Tiempos intermodal (horas)'!D$45:D$1645,0))</f>
        <v>101.88553478087464</v>
      </c>
      <c r="J1368" s="2" cm="1">
        <f t="array" aca="1" ref="J1368" ca="1">INDEX('Tiempos carretera (horas)'!E$45:E$1645,MATCH(C1368&amp;D1368,'Tiempos carretera (horas)'!C$45:C$1645&amp;'Tiempos carretera (horas)'!D$45:D$1645,0))</f>
        <v>6</v>
      </c>
      <c r="K1368" s="12">
        <f t="shared" ca="1" si="126"/>
        <v>2.6296096017887809</v>
      </c>
      <c r="L1368" s="12">
        <f t="shared" ca="1" si="127"/>
        <v>13.927580248489653</v>
      </c>
      <c r="M1368" s="12">
        <f t="shared" ca="1" si="128"/>
        <v>8.5285973750419186E-2</v>
      </c>
      <c r="N1368" s="13">
        <f t="shared" ca="1" si="130"/>
        <v>-11.297970646700872</v>
      </c>
      <c r="O1368" s="13">
        <f t="shared" ca="1" si="131"/>
        <v>-95.885534780874636</v>
      </c>
      <c r="P1368" s="12">
        <f t="shared" ca="1" si="129"/>
        <v>2.3726014701745082</v>
      </c>
    </row>
    <row r="1369" spans="1:16" x14ac:dyDescent="0.25">
      <c r="A1369">
        <v>2</v>
      </c>
      <c r="B1369">
        <v>18</v>
      </c>
      <c r="C1369" s="2" t="s">
        <v>1</v>
      </c>
      <c r="D1369" s="2" t="s">
        <v>17</v>
      </c>
      <c r="E1369" s="11" cm="1">
        <f t="array" aca="1" ref="E1369" ca="1">INDEX('OD flujo mercancia multimodal'!E$45:E$1645,MATCH(C1369&amp;D1369,'OD flujo mercancia multimodal'!C$45:C$1645&amp;'OD flujo mercancia multimodal'!D$45:D$1645,0))</f>
        <v>30156.769230769201</v>
      </c>
      <c r="F1369" s="11" cm="1">
        <f t="array" aca="1" ref="F1369" ca="1">INDEX('OD flujo mercancia carretera'!E$45:E$1646,MATCH(C1369&amp;D1369,'OD flujo mercancia carretera'!C$45:C$1646&amp;'OD flujo mercancia carretera'!D$45:D$1646,0))</f>
        <v>91184.384615384595</v>
      </c>
      <c r="G1369" s="11" cm="1">
        <f t="array" aca="1" ref="G1369" ca="1">INDEX('Coste Carretera'!E$46:E$1646,MATCH(C1369&amp;D1369,'Coste Carretera'!C$46:C$1646&amp;'Coste Carretera'!D$46:D$1646,0))</f>
        <v>3002948353.9199972</v>
      </c>
      <c r="H1369" s="11" cm="1">
        <f t="array" aca="1" ref="H1369" ca="1">INDEX('Coste multimodal'!E$46:E$1646,MATCH(C1369&amp;D1369,'Coste multimodal'!C$46:C$1646&amp;'Coste multimodal'!D$46:D$1646,0))</f>
        <v>610817490.91591012</v>
      </c>
      <c r="I1369" s="12" cm="1">
        <f t="array" aca="1" ref="I1369" ca="1">INDEX('Tiempos intermodal (horas)'!E$45:E$1645,MATCH(C1369&amp;D1369,'Tiempos intermodal (horas)'!C$45:C$1645&amp;'Tiempos intermodal (horas)'!D$45:D$1645,0))</f>
        <v>90.909739964573944</v>
      </c>
      <c r="J1369" s="2" cm="1">
        <f t="array" aca="1" ref="J1369" ca="1">INDEX('Tiempos carretera (horas)'!E$45:E$1645,MATCH(C1369&amp;D1369,'Tiempos carretera (horas)'!C$45:C$1645&amp;'Tiempos carretera (horas)'!D$45:D$1645,0))</f>
        <v>18.579999999999998</v>
      </c>
      <c r="K1369" s="12">
        <f t="shared" ca="1" si="126"/>
        <v>32.932704065355296</v>
      </c>
      <c r="L1369" s="12">
        <f t="shared" ca="1" si="127"/>
        <v>20.254739035264027</v>
      </c>
      <c r="M1369" s="12">
        <f t="shared" ca="1" si="128"/>
        <v>0.24852878248549054</v>
      </c>
      <c r="N1369" s="13">
        <f t="shared" ca="1" si="130"/>
        <v>12.677965030091269</v>
      </c>
      <c r="O1369" s="13">
        <f t="shared" ca="1" si="131"/>
        <v>-72.329739964573946</v>
      </c>
      <c r="P1369" s="12">
        <f t="shared" ca="1" si="129"/>
        <v>1.1064742446915288</v>
      </c>
    </row>
    <row r="1370" spans="1:16" x14ac:dyDescent="0.25">
      <c r="A1370">
        <v>18</v>
      </c>
      <c r="B1370">
        <v>2</v>
      </c>
      <c r="C1370" s="2" t="s">
        <v>17</v>
      </c>
      <c r="D1370" s="2" t="s">
        <v>1</v>
      </c>
      <c r="E1370" s="11" cm="1">
        <f t="array" aca="1" ref="E1370" ca="1">INDEX('OD flujo mercancia multimodal'!E$45:E$1645,MATCH(C1370&amp;D1370,'OD flujo mercancia multimodal'!C$45:C$1645&amp;'OD flujo mercancia multimodal'!D$45:D$1645,0))</f>
        <v>27946.686813186781</v>
      </c>
      <c r="F1370" s="11" cm="1">
        <f t="array" aca="1" ref="F1370" ca="1">INDEX('OD flujo mercancia carretera'!E$45:E$1646,MATCH(C1370&amp;D1370,'OD flujo mercancia carretera'!C$45:C$1646&amp;'OD flujo mercancia carretera'!D$45:D$1646,0))</f>
        <v>94533.846153846185</v>
      </c>
      <c r="G1370" s="11" cm="1">
        <f t="array" aca="1" ref="G1370" ca="1">INDEX('Coste Carretera'!E$46:E$1646,MATCH(C1370&amp;D1370,'Coste Carretera'!C$46:C$1646&amp;'Coste Carretera'!D$46:D$1646,0))</f>
        <v>2782872943.7485676</v>
      </c>
      <c r="H1370" s="11" cm="1">
        <f t="array" aca="1" ref="H1370" ca="1">INDEX('Coste multimodal'!E$46:E$1646,MATCH(C1370&amp;D1370,'Coste multimodal'!C$46:C$1646&amp;'Coste multimodal'!D$46:D$1646,0))</f>
        <v>610817490.91591012</v>
      </c>
      <c r="I1370" s="12" cm="1">
        <f t="array" aca="1" ref="I1370" ca="1">INDEX('Tiempos intermodal (horas)'!E$45:E$1645,MATCH(C1370&amp;D1370,'Tiempos intermodal (horas)'!C$45:C$1645&amp;'Tiempos intermodal (horas)'!D$45:D$1645,0))</f>
        <v>90.909739964573944</v>
      </c>
      <c r="J1370" s="2" cm="1">
        <f t="array" aca="1" ref="J1370" ca="1">INDEX('Tiempos carretera (horas)'!E$45:E$1645,MATCH(C1370&amp;D1370,'Tiempos carretera (horas)'!C$45:C$1645&amp;'Tiempos carretera (horas)'!D$45:D$1645,0))</f>
        <v>18.579999999999998</v>
      </c>
      <c r="K1370" s="12">
        <f t="shared" ref="K1370:K1433" ca="1" si="132">G1370/(F1370*1000)</f>
        <v>29.43784746914525</v>
      </c>
      <c r="L1370" s="12">
        <f t="shared" ref="L1370:L1433" ca="1" si="133">H1370/(E1370*1000)</f>
        <v>21.856526142043176</v>
      </c>
      <c r="M1370" s="12">
        <f t="shared" ref="M1370:M1433" ca="1" si="134">E1370/(E1370+F1370)</f>
        <v>0.22817247881105279</v>
      </c>
      <c r="N1370" s="13">
        <f t="shared" ca="1" si="130"/>
        <v>7.5813213271020743</v>
      </c>
      <c r="O1370" s="13">
        <f t="shared" ca="1" si="131"/>
        <v>-72.329739964573946</v>
      </c>
      <c r="P1370" s="12">
        <f t="shared" ref="P1370:P1433" ca="1" si="135">LN(1/M1370-1)</f>
        <v>1.2186592779376821</v>
      </c>
    </row>
    <row r="1371" spans="1:16" x14ac:dyDescent="0.25">
      <c r="A1371">
        <v>19</v>
      </c>
      <c r="B1371">
        <v>18</v>
      </c>
      <c r="C1371" s="2" t="s">
        <v>18</v>
      </c>
      <c r="D1371" s="2" t="s">
        <v>17</v>
      </c>
      <c r="E1371" s="11" cm="1">
        <f t="array" aca="1" ref="E1371" ca="1">INDEX('OD flujo mercancia multimodal'!E$45:E$1645,MATCH(C1371&amp;D1371,'OD flujo mercancia multimodal'!C$45:C$1645&amp;'OD flujo mercancia multimodal'!D$45:D$1645,0))</f>
        <v>25544.692307692279</v>
      </c>
      <c r="F1371" s="11" cm="1">
        <f t="array" aca="1" ref="F1371" ca="1">INDEX('OD flujo mercancia carretera'!E$45:E$1646,MATCH(C1371&amp;D1371,'OD flujo mercancia carretera'!C$45:C$1646&amp;'OD flujo mercancia carretera'!D$45:D$1646,0))</f>
        <v>92620.384615384595</v>
      </c>
      <c r="G1371" s="11" cm="1">
        <f t="array" aca="1" ref="G1371" ca="1">INDEX('Coste Carretera'!E$46:E$1646,MATCH(C1371&amp;D1371,'Coste Carretera'!C$46:C$1646&amp;'Coste Carretera'!D$46:D$1646,0))</f>
        <v>2193527837.3999977</v>
      </c>
      <c r="H1371" s="11" cm="1">
        <f t="array" aca="1" ref="H1371" ca="1">INDEX('Coste multimodal'!E$46:E$1646,MATCH(C1371&amp;D1371,'Coste multimodal'!C$46:C$1646&amp;'Coste multimodal'!D$46:D$1646,0))</f>
        <v>402291481.03419638</v>
      </c>
      <c r="I1371" s="12" cm="1">
        <f t="array" aca="1" ref="I1371" ca="1">INDEX('Tiempos intermodal (horas)'!E$45:E$1645,MATCH(C1371&amp;D1371,'Tiempos intermodal (horas)'!C$45:C$1645&amp;'Tiempos intermodal (horas)'!D$45:D$1645,0))</f>
        <v>123.34013505888701</v>
      </c>
      <c r="J1371" s="2" cm="1">
        <f t="array" aca="1" ref="J1371" ca="1">INDEX('Tiempos carretera (horas)'!E$45:E$1645,MATCH(C1371&amp;D1371,'Tiempos carretera (horas)'!C$45:C$1645&amp;'Tiempos carretera (horas)'!D$45:D$1645,0))</f>
        <v>16.920000000000002</v>
      </c>
      <c r="K1371" s="12">
        <f t="shared" ca="1" si="132"/>
        <v>23.682992102751907</v>
      </c>
      <c r="L1371" s="12">
        <f t="shared" ca="1" si="133"/>
        <v>15.748535006352544</v>
      </c>
      <c r="M1371" s="12">
        <f t="shared" ca="1" si="134"/>
        <v>0.21617801953720528</v>
      </c>
      <c r="N1371" s="13">
        <f t="shared" ca="1" si="130"/>
        <v>7.9344570963993633</v>
      </c>
      <c r="O1371" s="13">
        <f t="shared" ca="1" si="131"/>
        <v>-106.42013505888701</v>
      </c>
      <c r="P1371" s="12">
        <f t="shared" ca="1" si="135"/>
        <v>1.2880796960596788</v>
      </c>
    </row>
    <row r="1372" spans="1:16" x14ac:dyDescent="0.25">
      <c r="A1372">
        <v>18</v>
      </c>
      <c r="B1372">
        <v>19</v>
      </c>
      <c r="C1372" s="2" t="s">
        <v>17</v>
      </c>
      <c r="D1372" s="2" t="s">
        <v>18</v>
      </c>
      <c r="E1372" s="11" cm="1">
        <f t="array" aca="1" ref="E1372" ca="1">INDEX('OD flujo mercancia multimodal'!E$45:E$1645,MATCH(C1372&amp;D1372,'OD flujo mercancia multimodal'!C$45:C$1645&amp;'OD flujo mercancia multimodal'!D$45:D$1645,0))</f>
        <v>8015.5384615384646</v>
      </c>
      <c r="F1372" s="11" cm="1">
        <f t="array" aca="1" ref="F1372" ca="1">INDEX('OD flujo mercancia carretera'!E$45:E$1646,MATCH(C1372&amp;D1372,'OD flujo mercancia carretera'!C$45:C$1646&amp;'OD flujo mercancia carretera'!D$45:D$1646,0))</f>
        <v>146922.99999999997</v>
      </c>
      <c r="G1372" s="11" cm="1">
        <f t="array" aca="1" ref="G1372" ca="1">INDEX('Coste Carretera'!E$46:E$1646,MATCH(C1372&amp;D1372,'Coste Carretera'!C$46:C$1646&amp;'Coste Carretera'!D$46:D$1646,0))</f>
        <v>688295890.80000031</v>
      </c>
      <c r="H1372" s="11" cm="1">
        <f t="array" aca="1" ref="H1372" ca="1">INDEX('Coste multimodal'!E$46:E$1646,MATCH(C1372&amp;D1372,'Coste multimodal'!C$46:C$1646&amp;'Coste multimodal'!D$46:D$1646,0))</f>
        <v>402291481.03419638</v>
      </c>
      <c r="I1372" s="12" cm="1">
        <f t="array" aca="1" ref="I1372" ca="1">INDEX('Tiempos intermodal (horas)'!E$45:E$1645,MATCH(C1372&amp;D1372,'Tiempos intermodal (horas)'!C$45:C$1645&amp;'Tiempos intermodal (horas)'!D$45:D$1645,0))</f>
        <v>123.34013505888701</v>
      </c>
      <c r="J1372" s="2" cm="1">
        <f t="array" aca="1" ref="J1372" ca="1">INDEX('Tiempos carretera (horas)'!E$45:E$1645,MATCH(C1372&amp;D1372,'Tiempos carretera (horas)'!C$45:C$1645&amp;'Tiempos carretera (horas)'!D$45:D$1645,0))</f>
        <v>16.920000000000002</v>
      </c>
      <c r="K1372" s="12">
        <f t="shared" ca="1" si="132"/>
        <v>4.6847388822716693</v>
      </c>
      <c r="L1372" s="12">
        <f t="shared" ca="1" si="133"/>
        <v>50.188952740298177</v>
      </c>
      <c r="M1372" s="12">
        <f t="shared" ca="1" si="134"/>
        <v>5.173366511088022E-2</v>
      </c>
      <c r="N1372" s="13">
        <f t="shared" ca="1" si="130"/>
        <v>-45.50421385802651</v>
      </c>
      <c r="O1372" s="13">
        <f t="shared" ca="1" si="131"/>
        <v>-106.42013505888701</v>
      </c>
      <c r="P1372" s="12">
        <f t="shared" ca="1" si="135"/>
        <v>2.9085266744872964</v>
      </c>
    </row>
    <row r="1373" spans="1:16" x14ac:dyDescent="0.25">
      <c r="A1373">
        <v>19</v>
      </c>
      <c r="B1373">
        <v>16</v>
      </c>
      <c r="C1373" s="2" t="s">
        <v>18</v>
      </c>
      <c r="D1373" s="2" t="s">
        <v>15</v>
      </c>
      <c r="E1373" s="11" cm="1">
        <f t="array" aca="1" ref="E1373" ca="1">INDEX('OD flujo mercancia multimodal'!E$45:E$1645,MATCH(C1373&amp;D1373,'OD flujo mercancia multimodal'!C$45:C$1645&amp;'OD flujo mercancia multimodal'!D$45:D$1645,0))</f>
        <v>39219.15384615388</v>
      </c>
      <c r="F1373" s="11" cm="1">
        <f t="array" aca="1" ref="F1373" ca="1">INDEX('OD flujo mercancia carretera'!E$45:E$1646,MATCH(C1373&amp;D1373,'OD flujo mercancia carretera'!C$45:C$1646&amp;'OD flujo mercancia carretera'!D$45:D$1646,0))</f>
        <v>570565.69230769202</v>
      </c>
      <c r="G1373" s="11" cm="1">
        <f t="array" aca="1" ref="G1373" ca="1">INDEX('Coste Carretera'!E$46:E$1646,MATCH(C1373&amp;D1373,'Coste Carretera'!C$46:C$1646&amp;'Coste Carretera'!D$46:D$1646,0))</f>
        <v>2883705944.0000019</v>
      </c>
      <c r="H1373" s="11" cm="1">
        <f t="array" aca="1" ref="H1373" ca="1">INDEX('Coste multimodal'!E$46:E$1646,MATCH(C1373&amp;D1373,'Coste multimodal'!C$46:C$1646&amp;'Coste multimodal'!D$46:D$1646,0))</f>
        <v>408878488.12619632</v>
      </c>
      <c r="I1373" s="12" cm="1">
        <f t="array" aca="1" ref="I1373" ca="1">INDEX('Tiempos intermodal (horas)'!E$45:E$1645,MATCH(C1373&amp;D1373,'Tiempos intermodal (horas)'!C$45:C$1645&amp;'Tiempos intermodal (horas)'!D$45:D$1645,0))</f>
        <v>121.29902394777591</v>
      </c>
      <c r="J1373" s="2" cm="1">
        <f t="array" aca="1" ref="J1373" ca="1">INDEX('Tiempos carretera (horas)'!E$45:E$1645,MATCH(C1373&amp;D1373,'Tiempos carretera (horas)'!C$45:C$1645&amp;'Tiempos carretera (horas)'!D$45:D$1645,0))</f>
        <v>14.21</v>
      </c>
      <c r="K1373" s="12">
        <f t="shared" ca="1" si="132"/>
        <v>5.0541173135325677</v>
      </c>
      <c r="L1373" s="12">
        <f t="shared" ca="1" si="133"/>
        <v>10.425479594233877</v>
      </c>
      <c r="M1373" s="12">
        <f t="shared" ca="1" si="134"/>
        <v>6.4316379938800697E-2</v>
      </c>
      <c r="N1373" s="13">
        <f t="shared" ca="1" si="130"/>
        <v>-5.3713622807013097</v>
      </c>
      <c r="O1373" s="13">
        <f t="shared" ca="1" si="131"/>
        <v>-107.0890239477759</v>
      </c>
      <c r="P1373" s="12">
        <f t="shared" ca="1" si="135"/>
        <v>2.6774630653424674</v>
      </c>
    </row>
    <row r="1374" spans="1:16" x14ac:dyDescent="0.25">
      <c r="A1374">
        <v>16</v>
      </c>
      <c r="B1374">
        <v>19</v>
      </c>
      <c r="C1374" s="2" t="s">
        <v>15</v>
      </c>
      <c r="D1374" s="2" t="s">
        <v>18</v>
      </c>
      <c r="E1374" s="11" cm="1">
        <f t="array" aca="1" ref="E1374" ca="1">INDEX('OD flujo mercancia multimodal'!E$45:E$1645,MATCH(C1374&amp;D1374,'OD flujo mercancia multimodal'!C$45:C$1645&amp;'OD flujo mercancia multimodal'!D$45:D$1645,0))</f>
        <v>36606.384615384617</v>
      </c>
      <c r="F1374" s="11" cm="1">
        <f t="array" aca="1" ref="F1374" ca="1">INDEX('OD flujo mercancia carretera'!E$45:E$1646,MATCH(C1374&amp;D1374,'OD flujo mercancia carretera'!C$45:C$1646&amp;'OD flujo mercancia carretera'!D$45:D$1646,0))</f>
        <v>260769.92307692306</v>
      </c>
      <c r="G1374" s="11" cm="1">
        <f t="array" aca="1" ref="G1374" ca="1">INDEX('Coste Carretera'!E$46:E$1646,MATCH(C1374&amp;D1374,'Coste Carretera'!C$46:C$1646&amp;'Coste Carretera'!D$46:D$1646,0))</f>
        <v>2691594248</v>
      </c>
      <c r="H1374" s="11" cm="1">
        <f t="array" aca="1" ref="H1374" ca="1">INDEX('Coste multimodal'!E$46:E$1646,MATCH(C1374&amp;D1374,'Coste multimodal'!C$46:C$1646&amp;'Coste multimodal'!D$46:D$1646,0))</f>
        <v>408878488.12619632</v>
      </c>
      <c r="I1374" s="12" cm="1">
        <f t="array" aca="1" ref="I1374" ca="1">INDEX('Tiempos intermodal (horas)'!E$45:E$1645,MATCH(C1374&amp;D1374,'Tiempos intermodal (horas)'!C$45:C$1645&amp;'Tiempos intermodal (horas)'!D$45:D$1645,0))</f>
        <v>121.29902394777591</v>
      </c>
      <c r="J1374" s="2" cm="1">
        <f t="array" aca="1" ref="J1374" ca="1">INDEX('Tiempos carretera (horas)'!E$45:E$1645,MATCH(C1374&amp;D1374,'Tiempos carretera (horas)'!C$45:C$1645&amp;'Tiempos carretera (horas)'!D$45:D$1645,0))</f>
        <v>14.21</v>
      </c>
      <c r="K1374" s="12">
        <f t="shared" ca="1" si="132"/>
        <v>10.321720450889659</v>
      </c>
      <c r="L1374" s="12">
        <f t="shared" ca="1" si="133"/>
        <v>11.169594933293586</v>
      </c>
      <c r="M1374" s="12">
        <f t="shared" ca="1" si="134"/>
        <v>0.12309785167304209</v>
      </c>
      <c r="N1374" s="13">
        <f t="shared" ca="1" si="130"/>
        <v>-0.84787448240392749</v>
      </c>
      <c r="O1374" s="13">
        <f t="shared" ca="1" si="131"/>
        <v>-107.0890239477759</v>
      </c>
      <c r="P1374" s="12">
        <f t="shared" ca="1" si="135"/>
        <v>1.9634158295394941</v>
      </c>
    </row>
    <row r="1375" spans="1:16" x14ac:dyDescent="0.25">
      <c r="A1375">
        <v>16</v>
      </c>
      <c r="B1375">
        <v>27</v>
      </c>
      <c r="C1375" s="2" t="s">
        <v>15</v>
      </c>
      <c r="D1375" s="2" t="s">
        <v>145</v>
      </c>
      <c r="E1375" s="11" cm="1">
        <f t="array" aca="1" ref="E1375" ca="1">INDEX('OD flujo mercancia multimodal'!E$45:E$1645,MATCH(C1375&amp;D1375,'OD flujo mercancia multimodal'!C$45:C$1645&amp;'OD flujo mercancia multimodal'!D$45:D$1645,0))</f>
        <v>94802.461538461532</v>
      </c>
      <c r="F1375" s="11" cm="1">
        <f t="array" aca="1" ref="F1375" ca="1">INDEX('OD flujo mercancia carretera'!E$45:E$1646,MATCH(C1375&amp;D1375,'OD flujo mercancia carretera'!C$45:C$1646&amp;'OD flujo mercancia carretera'!D$45:D$1646,0))</f>
        <v>586026.63846153847</v>
      </c>
      <c r="G1375" s="11" cm="1">
        <f t="array" aca="1" ref="G1375" ca="1">INDEX('Coste Carretera'!E$46:E$1646,MATCH(C1375&amp;D1375,'Coste Carretera'!C$46:C$1646&amp;'Coste Carretera'!D$46:D$1646,0))</f>
        <v>6871054886.3999996</v>
      </c>
      <c r="H1375" s="11" cm="1">
        <f t="array" aca="1" ref="H1375" ca="1">INDEX('Coste multimodal'!E$46:E$1646,MATCH(C1375&amp;D1375,'Coste multimodal'!C$46:C$1646&amp;'Coste multimodal'!D$46:D$1646,0))</f>
        <v>1536623247.7158813</v>
      </c>
      <c r="I1375" s="12" cm="1">
        <f t="array" aca="1" ref="I1375" ca="1">INDEX('Tiempos intermodal (horas)'!E$45:E$1645,MATCH(C1375&amp;D1375,'Tiempos intermodal (horas)'!C$45:C$1645&amp;'Tiempos intermodal (horas)'!D$45:D$1645,0))</f>
        <v>111.08209960937501</v>
      </c>
      <c r="J1375" s="2" cm="1">
        <f t="array" aca="1" ref="J1375" ca="1">INDEX('Tiempos carretera (horas)'!E$45:E$1645,MATCH(C1375&amp;D1375,'Tiempos carretera (horas)'!C$45:C$1645&amp;'Tiempos carretera (horas)'!D$45:D$1645,0))</f>
        <v>13.75</v>
      </c>
      <c r="K1375" s="12">
        <f t="shared" ca="1" si="132"/>
        <v>11.724816647308353</v>
      </c>
      <c r="L1375" s="12">
        <f t="shared" ca="1" si="133"/>
        <v>16.208685120401334</v>
      </c>
      <c r="M1375" s="12">
        <f t="shared" ca="1" si="134"/>
        <v>0.13924560736088035</v>
      </c>
      <c r="N1375" s="13">
        <f t="shared" ca="1" si="130"/>
        <v>-4.483868473092981</v>
      </c>
      <c r="O1375" s="13">
        <f t="shared" ca="1" si="131"/>
        <v>-97.332099609375007</v>
      </c>
      <c r="P1375" s="12">
        <f t="shared" ca="1" si="135"/>
        <v>1.8215698721498539</v>
      </c>
    </row>
    <row r="1376" spans="1:16" x14ac:dyDescent="0.25">
      <c r="A1376">
        <v>27</v>
      </c>
      <c r="B1376">
        <v>16</v>
      </c>
      <c r="C1376" s="2" t="s">
        <v>145</v>
      </c>
      <c r="D1376" s="2" t="s">
        <v>15</v>
      </c>
      <c r="E1376" s="11" cm="1">
        <f t="array" aca="1" ref="E1376" ca="1">INDEX('OD flujo mercancia multimodal'!E$45:E$1645,MATCH(C1376&amp;D1376,'OD flujo mercancia multimodal'!C$45:C$1645&amp;'OD flujo mercancia multimodal'!D$45:D$1645,0))</f>
        <v>70676.23076923081</v>
      </c>
      <c r="F1376" s="11" cm="1">
        <f t="array" aca="1" ref="F1376" ca="1">INDEX('OD flujo mercancia carretera'!E$45:E$1646,MATCH(C1376&amp;D1376,'OD flujo mercancia carretera'!C$45:C$1646&amp;'OD flujo mercancia carretera'!D$45:D$1646,0))</f>
        <v>950301.89230769197</v>
      </c>
      <c r="G1376" s="11" cm="1">
        <f t="array" aca="1" ref="G1376" ca="1">INDEX('Coste Carretera'!E$46:E$1646,MATCH(C1376&amp;D1376,'Coste Carretera'!C$46:C$1646&amp;'Coste Carretera'!D$46:D$1646,0))</f>
        <v>5122443583.2000027</v>
      </c>
      <c r="H1376" s="11" cm="1">
        <f t="array" aca="1" ref="H1376" ca="1">INDEX('Coste multimodal'!E$46:E$1646,MATCH(C1376&amp;D1376,'Coste multimodal'!C$46:C$1646&amp;'Coste multimodal'!D$46:D$1646,0))</f>
        <v>1536623247.7158813</v>
      </c>
      <c r="I1376" s="12" cm="1">
        <f t="array" aca="1" ref="I1376" ca="1">INDEX('Tiempos intermodal (horas)'!E$45:E$1645,MATCH(C1376&amp;D1376,'Tiempos intermodal (horas)'!C$45:C$1645&amp;'Tiempos intermodal (horas)'!D$45:D$1645,0))</f>
        <v>111.08209960937501</v>
      </c>
      <c r="J1376" s="2" cm="1">
        <f t="array" aca="1" ref="J1376" ca="1">INDEX('Tiempos carretera (horas)'!E$45:E$1645,MATCH(C1376&amp;D1376,'Tiempos carretera (horas)'!C$45:C$1645&amp;'Tiempos carretera (horas)'!D$45:D$1645,0))</f>
        <v>13.75</v>
      </c>
      <c r="K1376" s="12">
        <f t="shared" ca="1" si="132"/>
        <v>5.3903329296343658</v>
      </c>
      <c r="L1376" s="12">
        <f t="shared" ca="1" si="133"/>
        <v>21.741726051198199</v>
      </c>
      <c r="M1376" s="12">
        <f t="shared" ca="1" si="134"/>
        <v>6.9224040331279366E-2</v>
      </c>
      <c r="N1376" s="13">
        <f t="shared" ca="1" si="130"/>
        <v>-16.351393121563834</v>
      </c>
      <c r="O1376" s="13">
        <f t="shared" ca="1" si="131"/>
        <v>-97.332099609375007</v>
      </c>
      <c r="P1376" s="12">
        <f t="shared" ca="1" si="135"/>
        <v>2.5986703975691503</v>
      </c>
    </row>
    <row r="1377" spans="1:16" x14ac:dyDescent="0.25">
      <c r="A1377">
        <v>16</v>
      </c>
      <c r="B1377">
        <v>9</v>
      </c>
      <c r="C1377" s="2" t="s">
        <v>15</v>
      </c>
      <c r="D1377" s="2" t="s">
        <v>148</v>
      </c>
      <c r="E1377" s="11" cm="1">
        <f t="array" aca="1" ref="E1377" ca="1">INDEX('OD flujo mercancia multimodal'!E$45:E$1645,MATCH(C1377&amp;D1377,'OD flujo mercancia multimodal'!C$45:C$1645&amp;'OD flujo mercancia multimodal'!D$45:D$1645,0))</f>
        <v>35915.916083916083</v>
      </c>
      <c r="F1377" s="11" cm="1">
        <f t="array" aca="1" ref="F1377" ca="1">INDEX('OD flujo mercancia carretera'!E$45:E$1646,MATCH(C1377&amp;D1377,'OD flujo mercancia carretera'!C$45:C$1646&amp;'OD flujo mercancia carretera'!D$45:D$1646,0))</f>
        <v>739588.16025641048</v>
      </c>
      <c r="G1377" s="11" cm="1">
        <f t="array" aca="1" ref="G1377" ca="1">INDEX('Coste Carretera'!E$46:E$1646,MATCH(C1377&amp;D1377,'Coste Carretera'!C$46:C$1646&amp;'Coste Carretera'!D$46:D$1646,0))</f>
        <v>4293227705.3672729</v>
      </c>
      <c r="H1377" s="11" cm="1">
        <f t="array" aca="1" ref="H1377" ca="1">INDEX('Coste multimodal'!E$46:E$1646,MATCH(C1377&amp;D1377,'Coste multimodal'!C$46:C$1646&amp;'Coste multimodal'!D$46:D$1646,0))</f>
        <v>408398340.91591007</v>
      </c>
      <c r="I1377" s="12" cm="1">
        <f t="array" aca="1" ref="I1377" ca="1">INDEX('Tiempos intermodal (horas)'!E$45:E$1645,MATCH(C1377&amp;D1377,'Tiempos intermodal (horas)'!C$45:C$1645&amp;'Tiempos intermodal (horas)'!D$45:D$1645,0))</f>
        <v>118.86183406062311</v>
      </c>
      <c r="J1377" s="2" cm="1">
        <f t="array" aca="1" ref="J1377" ca="1">INDEX('Tiempos carretera (horas)'!E$45:E$1645,MATCH(C1377&amp;D1377,'Tiempos carretera (horas)'!C$45:C$1645&amp;'Tiempos carretera (horas)'!D$45:D$1645,0))</f>
        <v>18.600000000000001</v>
      </c>
      <c r="K1377" s="12">
        <f t="shared" ca="1" si="132"/>
        <v>5.8048897157559125</v>
      </c>
      <c r="L1377" s="12">
        <f t="shared" ca="1" si="133"/>
        <v>11.37095709773082</v>
      </c>
      <c r="M1377" s="12">
        <f t="shared" ca="1" si="134"/>
        <v>4.6312994579482444E-2</v>
      </c>
      <c r="N1377" s="13">
        <f t="shared" ca="1" si="130"/>
        <v>-5.5660673819749071</v>
      </c>
      <c r="O1377" s="13">
        <f t="shared" ca="1" si="131"/>
        <v>-100.2618340606231</v>
      </c>
      <c r="P1377" s="12">
        <f t="shared" ca="1" si="135"/>
        <v>3.0249129488764219</v>
      </c>
    </row>
    <row r="1378" spans="1:16" x14ac:dyDescent="0.25">
      <c r="A1378">
        <v>9</v>
      </c>
      <c r="B1378">
        <v>16</v>
      </c>
      <c r="C1378" s="2" t="s">
        <v>148</v>
      </c>
      <c r="D1378" s="2" t="s">
        <v>15</v>
      </c>
      <c r="E1378" s="11" cm="1">
        <f t="array" aca="1" ref="E1378" ca="1">INDEX('OD flujo mercancia multimodal'!E$45:E$1645,MATCH(C1378&amp;D1378,'OD flujo mercancia multimodal'!C$45:C$1645&amp;'OD flujo mercancia multimodal'!D$45:D$1645,0))</f>
        <v>38328.730769230802</v>
      </c>
      <c r="F1378" s="11" cm="1">
        <f t="array" aca="1" ref="F1378" ca="1">INDEX('OD flujo mercancia carretera'!E$45:E$1646,MATCH(C1378&amp;D1378,'OD flujo mercancia carretera'!C$45:C$1646&amp;'OD flujo mercancia carretera'!D$45:D$1646,0))</f>
        <v>1105707.989316239</v>
      </c>
      <c r="G1378" s="11" cm="1">
        <f t="array" aca="1" ref="G1378" ca="1">INDEX('Coste Carretera'!E$46:E$1646,MATCH(C1378&amp;D1378,'Coste Carretera'!C$46:C$1646&amp;'Coste Carretera'!D$46:D$1646,0))</f>
        <v>3653640266.1000028</v>
      </c>
      <c r="H1378" s="11" cm="1">
        <f t="array" aca="1" ref="H1378" ca="1">INDEX('Coste multimodal'!E$46:E$1646,MATCH(C1378&amp;D1378,'Coste multimodal'!C$46:C$1646&amp;'Coste multimodal'!D$46:D$1646,0))</f>
        <v>408398340.91591007</v>
      </c>
      <c r="I1378" s="12" cm="1">
        <f t="array" aca="1" ref="I1378" ca="1">INDEX('Tiempos intermodal (horas)'!E$45:E$1645,MATCH(C1378&amp;D1378,'Tiempos intermodal (horas)'!C$45:C$1645&amp;'Tiempos intermodal (horas)'!D$45:D$1645,0))</f>
        <v>118.86183406062311</v>
      </c>
      <c r="J1378" s="2" cm="1">
        <f t="array" aca="1" ref="J1378" ca="1">INDEX('Tiempos carretera (horas)'!E$45:E$1645,MATCH(C1378&amp;D1378,'Tiempos carretera (horas)'!C$45:C$1645&amp;'Tiempos carretera (horas)'!D$45:D$1645,0))</f>
        <v>18.600000000000001</v>
      </c>
      <c r="K1378" s="12">
        <f t="shared" ca="1" si="132"/>
        <v>3.3043446383700132</v>
      </c>
      <c r="L1378" s="12">
        <f t="shared" ca="1" si="133"/>
        <v>10.65514909363397</v>
      </c>
      <c r="M1378" s="12">
        <f t="shared" ca="1" si="134"/>
        <v>3.3503059907349218E-2</v>
      </c>
      <c r="N1378" s="13">
        <f t="shared" ca="1" si="130"/>
        <v>-7.3508044552639564</v>
      </c>
      <c r="O1378" s="13">
        <f t="shared" ca="1" si="131"/>
        <v>-100.2618340606231</v>
      </c>
      <c r="P1378" s="12">
        <f t="shared" ca="1" si="135"/>
        <v>3.3620413574985051</v>
      </c>
    </row>
    <row r="1379" spans="1:16" x14ac:dyDescent="0.25">
      <c r="A1379">
        <v>18</v>
      </c>
      <c r="B1379">
        <v>5</v>
      </c>
      <c r="C1379" s="2" t="s">
        <v>17</v>
      </c>
      <c r="D1379" s="2" t="s">
        <v>4</v>
      </c>
      <c r="E1379" s="11" cm="1">
        <f t="array" aca="1" ref="E1379" ca="1">INDEX('OD flujo mercancia multimodal'!E$45:E$1645,MATCH(C1379&amp;D1379,'OD flujo mercancia multimodal'!C$45:C$1645&amp;'OD flujo mercancia multimodal'!D$45:D$1645,0))</f>
        <v>71604.258241758289</v>
      </c>
      <c r="F1379" s="11" cm="1">
        <f t="array" aca="1" ref="F1379" ca="1">INDEX('OD flujo mercancia carretera'!E$45:E$1646,MATCH(C1379&amp;D1379,'OD flujo mercancia carretera'!C$45:C$1646&amp;'OD flujo mercancia carretera'!D$45:D$1646,0))</f>
        <v>118475.07692307688</v>
      </c>
      <c r="G1379" s="11" cm="1">
        <f t="array" aca="1" ref="G1379" ca="1">INDEX('Coste Carretera'!E$46:E$1646,MATCH(C1379&amp;D1379,'Coste Carretera'!C$46:C$1646&amp;'Coste Carretera'!D$46:D$1646,0))</f>
        <v>8991727642.071434</v>
      </c>
      <c r="H1379" s="11" cm="1">
        <f t="array" aca="1" ref="H1379" ca="1">INDEX('Coste multimodal'!E$46:E$1646,MATCH(C1379&amp;D1379,'Coste multimodal'!C$46:C$1646&amp;'Coste multimodal'!D$46:D$1646,0))</f>
        <v>719071321.97286129</v>
      </c>
      <c r="I1379" s="12" cm="1">
        <f t="array" aca="1" ref="I1379" ca="1">INDEX('Tiempos intermodal (horas)'!E$45:E$1645,MATCH(C1379&amp;D1379,'Tiempos intermodal (horas)'!C$45:C$1645&amp;'Tiempos intermodal (horas)'!D$45:D$1645,0))</f>
        <v>123.11670250328454</v>
      </c>
      <c r="J1379" s="2" cm="1">
        <f t="array" aca="1" ref="J1379" ca="1">INDEX('Tiempos carretera (horas)'!E$45:E$1645,MATCH(C1379&amp;D1379,'Tiempos carretera (horas)'!C$45:C$1645&amp;'Tiempos carretera (horas)'!D$45:D$1645,0))</f>
        <v>23.23</v>
      </c>
      <c r="K1379" s="12">
        <f t="shared" ca="1" si="132"/>
        <v>75.895520607338824</v>
      </c>
      <c r="L1379" s="12">
        <f t="shared" ca="1" si="133"/>
        <v>10.042298316184667</v>
      </c>
      <c r="M1379" s="12">
        <f t="shared" ca="1" si="134"/>
        <v>0.37670722164334014</v>
      </c>
      <c r="N1379" s="13">
        <f t="shared" ca="1" si="130"/>
        <v>65.853222291154154</v>
      </c>
      <c r="O1379" s="13">
        <f t="shared" ca="1" si="131"/>
        <v>-99.886702503284539</v>
      </c>
      <c r="P1379" s="12">
        <f t="shared" ca="1" si="135"/>
        <v>0.50354807228188103</v>
      </c>
    </row>
    <row r="1380" spans="1:16" x14ac:dyDescent="0.25">
      <c r="A1380">
        <v>10</v>
      </c>
      <c r="B1380">
        <v>18</v>
      </c>
      <c r="C1380" s="2" t="s">
        <v>9</v>
      </c>
      <c r="D1380" s="2" t="s">
        <v>17</v>
      </c>
      <c r="E1380" s="11" cm="1">
        <f t="array" aca="1" ref="E1380" ca="1">INDEX('OD flujo mercancia multimodal'!E$45:E$1645,MATCH(C1380&amp;D1380,'OD flujo mercancia multimodal'!C$45:C$1645&amp;'OD flujo mercancia multimodal'!D$45:D$1645,0))</f>
        <v>37788.340659340633</v>
      </c>
      <c r="F1380" s="11" cm="1">
        <f t="array" aca="1" ref="F1380" ca="1">INDEX('OD flujo mercancia carretera'!E$45:E$1646,MATCH(C1380&amp;D1380,'OD flujo mercancia carretera'!C$45:C$1646&amp;'OD flujo mercancia carretera'!D$45:D$1646,0))</f>
        <v>143255.30769230769</v>
      </c>
      <c r="G1380" s="11" cm="1">
        <f t="array" aca="1" ref="G1380" ca="1">INDEX('Coste Carretera'!E$46:E$1646,MATCH(C1380&amp;D1380,'Coste Carretera'!C$46:C$1646&amp;'Coste Carretera'!D$46:D$1646,0))</f>
        <v>4923900899.1942825</v>
      </c>
      <c r="H1380" s="11" cm="1">
        <f t="array" aca="1" ref="H1380" ca="1">INDEX('Coste multimodal'!E$46:E$1646,MATCH(C1380&amp;D1380,'Coste multimodal'!C$46:C$1646&amp;'Coste multimodal'!D$46:D$1646,0))</f>
        <v>766407099.03286135</v>
      </c>
      <c r="I1380" s="12" cm="1">
        <f t="array" aca="1" ref="I1380" ca="1">INDEX('Tiempos intermodal (horas)'!E$45:E$1645,MATCH(C1380&amp;D1380,'Tiempos intermodal (horas)'!C$45:C$1645&amp;'Tiempos intermodal (horas)'!D$45:D$1645,0))</f>
        <v>124.10448028106231</v>
      </c>
      <c r="J1380" s="2" cm="1">
        <f t="array" aca="1" ref="J1380" ca="1">INDEX('Tiempos carretera (horas)'!E$45:E$1645,MATCH(C1380&amp;D1380,'Tiempos carretera (horas)'!C$45:C$1645&amp;'Tiempos carretera (horas)'!D$45:D$1645,0))</f>
        <v>25.97</v>
      </c>
      <c r="K1380" s="12">
        <f t="shared" ca="1" si="132"/>
        <v>34.371507614713522</v>
      </c>
      <c r="L1380" s="12">
        <f t="shared" ca="1" si="133"/>
        <v>20.281575895114585</v>
      </c>
      <c r="M1380" s="12">
        <f t="shared" ca="1" si="134"/>
        <v>0.20872502848563251</v>
      </c>
      <c r="N1380" s="13">
        <f t="shared" ca="1" si="130"/>
        <v>14.089931719598937</v>
      </c>
      <c r="O1380" s="13">
        <f t="shared" ca="1" si="131"/>
        <v>-98.134480281062309</v>
      </c>
      <c r="P1380" s="12">
        <f t="shared" ca="1" si="135"/>
        <v>1.332627799981694</v>
      </c>
    </row>
    <row r="1381" spans="1:16" x14ac:dyDescent="0.25">
      <c r="A1381">
        <v>18</v>
      </c>
      <c r="B1381">
        <v>10</v>
      </c>
      <c r="C1381" s="2" t="s">
        <v>17</v>
      </c>
      <c r="D1381" s="2" t="s">
        <v>9</v>
      </c>
      <c r="E1381" s="11" cm="1">
        <f t="array" aca="1" ref="E1381" ca="1">INDEX('OD flujo mercancia multimodal'!E$45:E$1645,MATCH(C1381&amp;D1381,'OD flujo mercancia multimodal'!C$45:C$1645&amp;'OD flujo mercancia multimodal'!D$45:D$1645,0))</f>
        <v>27807.829670329687</v>
      </c>
      <c r="F1381" s="11" cm="1">
        <f t="array" aca="1" ref="F1381" ca="1">INDEX('OD flujo mercancia carretera'!E$45:E$1646,MATCH(C1381&amp;D1381,'OD flujo mercancia carretera'!C$45:C$1646&amp;'OD flujo mercancia carretera'!D$45:D$1646,0))</f>
        <v>150117.5384615385</v>
      </c>
      <c r="G1381" s="11" cm="1">
        <f t="array" aca="1" ref="G1381" ca="1">INDEX('Coste Carretera'!E$46:E$1646,MATCH(C1381&amp;D1381,'Coste Carretera'!C$46:C$1646&amp;'Coste Carretera'!D$46:D$1646,0))</f>
        <v>3623419158.6428595</v>
      </c>
      <c r="H1381" s="11" cm="1">
        <f t="array" aca="1" ref="H1381" ca="1">INDEX('Coste multimodal'!E$46:E$1646,MATCH(C1381&amp;D1381,'Coste multimodal'!C$46:C$1646&amp;'Coste multimodal'!D$46:D$1646,0))</f>
        <v>766407099.03286135</v>
      </c>
      <c r="I1381" s="12" cm="1">
        <f t="array" aca="1" ref="I1381" ca="1">INDEX('Tiempos intermodal (horas)'!E$45:E$1645,MATCH(C1381&amp;D1381,'Tiempos intermodal (horas)'!C$45:C$1645&amp;'Tiempos intermodal (horas)'!D$45:D$1645,0))</f>
        <v>124.10448028106231</v>
      </c>
      <c r="J1381" s="2" cm="1">
        <f t="array" aca="1" ref="J1381" ca="1">INDEX('Tiempos carretera (horas)'!E$45:E$1645,MATCH(C1381&amp;D1381,'Tiempos carretera (horas)'!C$45:C$1645&amp;'Tiempos carretera (horas)'!D$45:D$1645,0))</f>
        <v>25.97</v>
      </c>
      <c r="K1381" s="12">
        <f t="shared" ca="1" si="132"/>
        <v>24.137214050916597</v>
      </c>
      <c r="L1381" s="12">
        <f t="shared" ca="1" si="133"/>
        <v>27.56083837246026</v>
      </c>
      <c r="M1381" s="12">
        <f t="shared" ca="1" si="134"/>
        <v>0.15628929119157478</v>
      </c>
      <c r="N1381" s="13">
        <f t="shared" ca="1" si="130"/>
        <v>-3.423624321543663</v>
      </c>
      <c r="O1381" s="13">
        <f t="shared" ca="1" si="131"/>
        <v>-98.134480281062309</v>
      </c>
      <c r="P1381" s="12">
        <f t="shared" ca="1" si="135"/>
        <v>1.6861009531333735</v>
      </c>
    </row>
    <row r="1382" spans="1:16" x14ac:dyDescent="0.25">
      <c r="A1382">
        <v>26</v>
      </c>
      <c r="B1382">
        <v>30</v>
      </c>
      <c r="C1382" s="2" t="s">
        <v>25</v>
      </c>
      <c r="D1382" s="2" t="s">
        <v>146</v>
      </c>
      <c r="E1382" s="11" cm="1">
        <f t="array" aca="1" ref="E1382" ca="1">INDEX('OD flujo mercancia multimodal'!E$45:E$1645,MATCH(C1382&amp;D1382,'OD flujo mercancia multimodal'!C$45:C$1645&amp;'OD flujo mercancia multimodal'!D$45:D$1645,0))</f>
        <v>8924.6076923076926</v>
      </c>
      <c r="F1382" s="11" cm="1">
        <f t="array" aca="1" ref="F1382" ca="1">INDEX('OD flujo mercancia carretera'!E$45:E$1646,MATCH(C1382&amp;D1382,'OD flujo mercancia carretera'!C$45:C$1646&amp;'OD flujo mercancia carretera'!D$45:D$1646,0))</f>
        <v>276808.10000000003</v>
      </c>
      <c r="G1382" s="11" cm="1">
        <f t="array" aca="1" ref="G1382" ca="1">INDEX('Coste Carretera'!E$46:E$1646,MATCH(C1382&amp;D1382,'Coste Carretera'!C$46:C$1646&amp;'Coste Carretera'!D$46:D$1646,0))</f>
        <v>904397127</v>
      </c>
      <c r="H1382" s="11" cm="1">
        <f t="array" aca="1" ref="H1382" ca="1">INDEX('Coste multimodal'!E$46:E$1646,MATCH(C1382&amp;D1382,'Coste multimodal'!C$46:C$1646&amp;'Coste multimodal'!D$46:D$1646,0))</f>
        <v>346801151.97447264</v>
      </c>
      <c r="I1382" s="12" cm="1">
        <f t="array" aca="1" ref="I1382" ca="1">INDEX('Tiempos intermodal (horas)'!E$45:E$1645,MATCH(C1382&amp;D1382,'Tiempos intermodal (horas)'!C$45:C$1645&amp;'Tiempos intermodal (horas)'!D$45:D$1645,0))</f>
        <v>103.77331255865241</v>
      </c>
      <c r="J1382" s="2" cm="1">
        <f t="array" aca="1" ref="J1382" ca="1">INDEX('Tiempos carretera (horas)'!E$45:E$1645,MATCH(C1382&amp;D1382,'Tiempos carretera (horas)'!C$45:C$1645&amp;'Tiempos carretera (horas)'!D$45:D$1645,0))</f>
        <v>5.15</v>
      </c>
      <c r="K1382" s="12">
        <f t="shared" ca="1" si="132"/>
        <v>3.2672350520089544</v>
      </c>
      <c r="L1382" s="12">
        <f t="shared" ca="1" si="133"/>
        <v>38.858980016946617</v>
      </c>
      <c r="M1382" s="12">
        <f t="shared" ca="1" si="134"/>
        <v>3.1234113043572837E-2</v>
      </c>
      <c r="N1382" s="13">
        <f t="shared" ca="1" si="130"/>
        <v>-35.591744964937661</v>
      </c>
      <c r="O1382" s="13">
        <f t="shared" ca="1" si="131"/>
        <v>-98.623312558652401</v>
      </c>
      <c r="P1382" s="12">
        <f t="shared" ca="1" si="135"/>
        <v>3.4345121156654899</v>
      </c>
    </row>
    <row r="1383" spans="1:16" x14ac:dyDescent="0.25">
      <c r="A1383">
        <v>30</v>
      </c>
      <c r="B1383">
        <v>26</v>
      </c>
      <c r="C1383" s="2" t="s">
        <v>146</v>
      </c>
      <c r="D1383" s="2" t="s">
        <v>25</v>
      </c>
      <c r="E1383" s="11" cm="1">
        <f t="array" aca="1" ref="E1383" ca="1">INDEX('OD flujo mercancia multimodal'!E$45:E$1645,MATCH(C1383&amp;D1383,'OD flujo mercancia multimodal'!C$45:C$1645&amp;'OD flujo mercancia multimodal'!D$45:D$1645,0))</f>
        <v>6104.076923076922</v>
      </c>
      <c r="F1383" s="11" cm="1">
        <f t="array" aca="1" ref="F1383" ca="1">INDEX('OD flujo mercancia carretera'!E$45:E$1646,MATCH(C1383&amp;D1383,'OD flujo mercancia carretera'!C$45:C$1646&amp;'OD flujo mercancia carretera'!D$45:D$1646,0))</f>
        <v>271427.80000000005</v>
      </c>
      <c r="G1383" s="11" cm="1">
        <f t="array" aca="1" ref="G1383" ca="1">INDEX('Coste Carretera'!E$46:E$1646,MATCH(C1383&amp;D1383,'Coste Carretera'!C$46:C$1646&amp;'Coste Carretera'!D$46:D$1646,0))</f>
        <v>462667971</v>
      </c>
      <c r="H1383" s="11" cm="1">
        <f t="array" aca="1" ref="H1383" ca="1">INDEX('Coste multimodal'!E$46:E$1646,MATCH(C1383&amp;D1383,'Coste multimodal'!C$46:C$1646&amp;'Coste multimodal'!D$46:D$1646,0))</f>
        <v>346801151.97447264</v>
      </c>
      <c r="I1383" s="12" cm="1">
        <f t="array" aca="1" ref="I1383" ca="1">INDEX('Tiempos intermodal (horas)'!E$45:E$1645,MATCH(C1383&amp;D1383,'Tiempos intermodal (horas)'!C$45:C$1645&amp;'Tiempos intermodal (horas)'!D$45:D$1645,0))</f>
        <v>103.77331255865241</v>
      </c>
      <c r="J1383" s="2" cm="1">
        <f t="array" aca="1" ref="J1383" ca="1">INDEX('Tiempos carretera (horas)'!E$45:E$1645,MATCH(C1383&amp;D1383,'Tiempos carretera (horas)'!C$45:C$1645&amp;'Tiempos carretera (horas)'!D$45:D$1645,0))</f>
        <v>5.15</v>
      </c>
      <c r="K1383" s="12">
        <f t="shared" ca="1" si="132"/>
        <v>1.7045710535177307</v>
      </c>
      <c r="L1383" s="12">
        <f t="shared" ca="1" si="133"/>
        <v>56.81467588708864</v>
      </c>
      <c r="M1383" s="12">
        <f t="shared" ca="1" si="134"/>
        <v>2.199414708952074E-2</v>
      </c>
      <c r="N1383" s="13">
        <f t="shared" ca="1" si="130"/>
        <v>-55.110104833570908</v>
      </c>
      <c r="O1383" s="13">
        <f t="shared" ca="1" si="131"/>
        <v>-98.623312558652401</v>
      </c>
      <c r="P1383" s="12">
        <f t="shared" ca="1" si="135"/>
        <v>3.7947392780103444</v>
      </c>
    </row>
    <row r="1384" spans="1:16" x14ac:dyDescent="0.25">
      <c r="A1384">
        <v>18</v>
      </c>
      <c r="B1384">
        <v>34</v>
      </c>
      <c r="C1384" s="2" t="s">
        <v>17</v>
      </c>
      <c r="D1384" s="2" t="s">
        <v>33</v>
      </c>
      <c r="E1384" s="11" cm="1">
        <f t="array" aca="1" ref="E1384" ca="1">INDEX('OD flujo mercancia multimodal'!E$45:E$1645,MATCH(C1384&amp;D1384,'OD flujo mercancia multimodal'!C$45:C$1645&amp;'OD flujo mercancia multimodal'!D$45:D$1645,0))</f>
        <v>303504.92307692335</v>
      </c>
      <c r="F1384" s="11" cm="1">
        <f t="array" aca="1" ref="F1384" ca="1">INDEX('OD flujo mercancia carretera'!E$45:E$1646,MATCH(C1384&amp;D1384,'OD flujo mercancia carretera'!C$45:C$1646&amp;'OD flujo mercancia carretera'!D$45:D$1646,0))</f>
        <v>322678.00427350437</v>
      </c>
      <c r="G1384" s="11" cm="1">
        <f t="array" aca="1" ref="G1384" ca="1">INDEX('Coste Carretera'!E$46:E$1646,MATCH(C1384&amp;D1384,'Coste Carretera'!C$46:C$1646&amp;'Coste Carretera'!D$46:D$1646,0))</f>
        <v>7677595290.9599962</v>
      </c>
      <c r="H1384" s="11" cm="1">
        <f t="array" aca="1" ref="H1384" ca="1">INDEX('Coste multimodal'!E$46:E$1646,MATCH(C1384&amp;D1384,'Coste multimodal'!C$46:C$1646&amp;'Coste multimodal'!D$46:D$1646,0))</f>
        <v>2807260893.8905859</v>
      </c>
      <c r="I1384" s="12" cm="1">
        <f t="array" aca="1" ref="I1384" ca="1">INDEX('Tiempos intermodal (horas)'!E$45:E$1645,MATCH(C1384&amp;D1384,'Tiempos intermodal (horas)'!C$45:C$1645&amp;'Tiempos intermodal (horas)'!D$45:D$1645,0))</f>
        <v>123.43687030780779</v>
      </c>
      <c r="J1384" s="2" cm="1">
        <f t="array" aca="1" ref="J1384" ca="1">INDEX('Tiempos carretera (horas)'!E$45:E$1645,MATCH(C1384&amp;D1384,'Tiempos carretera (horas)'!C$45:C$1645&amp;'Tiempos carretera (horas)'!D$45:D$1645,0))</f>
        <v>21.38</v>
      </c>
      <c r="K1384" s="12">
        <f t="shared" ca="1" si="132"/>
        <v>23.793364249434266</v>
      </c>
      <c r="L1384" s="12">
        <f t="shared" ca="1" si="133"/>
        <v>9.2494739967663886</v>
      </c>
      <c r="M1384" s="12">
        <f t="shared" ca="1" si="134"/>
        <v>0.48469051106382904</v>
      </c>
      <c r="N1384" s="13">
        <f t="shared" ca="1" si="130"/>
        <v>14.543890252667877</v>
      </c>
      <c r="O1384" s="13">
        <f t="shared" ca="1" si="131"/>
        <v>-102.0568703078078</v>
      </c>
      <c r="P1384" s="12">
        <f t="shared" ca="1" si="135"/>
        <v>6.1257103823170726E-2</v>
      </c>
    </row>
    <row r="1385" spans="1:16" x14ac:dyDescent="0.25">
      <c r="A1385">
        <v>34</v>
      </c>
      <c r="B1385">
        <v>18</v>
      </c>
      <c r="C1385" s="2" t="s">
        <v>33</v>
      </c>
      <c r="D1385" s="2" t="s">
        <v>17</v>
      </c>
      <c r="E1385" s="11" cm="1">
        <f t="array" aca="1" ref="E1385" ca="1">INDEX('OD flujo mercancia multimodal'!E$45:E$1645,MATCH(C1385&amp;D1385,'OD flujo mercancia multimodal'!C$45:C$1645&amp;'OD flujo mercancia multimodal'!D$45:D$1645,0))</f>
        <v>148409.53846153844</v>
      </c>
      <c r="F1385" s="11" cm="1">
        <f t="array" aca="1" ref="F1385" ca="1">INDEX('OD flujo mercancia carretera'!E$45:E$1646,MATCH(C1385&amp;D1385,'OD flujo mercancia carretera'!C$45:C$1646&amp;'OD flujo mercancia carretera'!D$45:D$1646,0))</f>
        <v>327215.61111111112</v>
      </c>
      <c r="G1385" s="11" cm="1">
        <f t="array" aca="1" ref="G1385" ca="1">INDEX('Coste Carretera'!E$46:E$1646,MATCH(C1385&amp;D1385,'Coste Carretera'!C$46:C$1646&amp;'Coste Carretera'!D$46:D$1646,0))</f>
        <v>5836450914.7199955</v>
      </c>
      <c r="H1385" s="11" cm="1">
        <f t="array" aca="1" ref="H1385" ca="1">INDEX('Coste multimodal'!E$46:E$1646,MATCH(C1385&amp;D1385,'Coste multimodal'!C$46:C$1646&amp;'Coste multimodal'!D$46:D$1646,0))</f>
        <v>2807260893.8905859</v>
      </c>
      <c r="I1385" s="12" cm="1">
        <f t="array" aca="1" ref="I1385" ca="1">INDEX('Tiempos intermodal (horas)'!E$45:E$1645,MATCH(C1385&amp;D1385,'Tiempos intermodal (horas)'!C$45:C$1645&amp;'Tiempos intermodal (horas)'!D$45:D$1645,0))</f>
        <v>123.43687030780779</v>
      </c>
      <c r="J1385" s="2" cm="1">
        <f t="array" aca="1" ref="J1385" ca="1">INDEX('Tiempos carretera (horas)'!E$45:E$1645,MATCH(C1385&amp;D1385,'Tiempos carretera (horas)'!C$45:C$1645&amp;'Tiempos carretera (horas)'!D$45:D$1645,0))</f>
        <v>21.38</v>
      </c>
      <c r="K1385" s="12">
        <f t="shared" ca="1" si="132"/>
        <v>17.836712908963683</v>
      </c>
      <c r="L1385" s="12">
        <f t="shared" ca="1" si="133"/>
        <v>18.915636575597269</v>
      </c>
      <c r="M1385" s="12">
        <f t="shared" ca="1" si="134"/>
        <v>0.31203046894152842</v>
      </c>
      <c r="N1385" s="13">
        <f t="shared" ca="1" si="130"/>
        <v>-1.0789236666335853</v>
      </c>
      <c r="O1385" s="13">
        <f t="shared" ca="1" si="131"/>
        <v>-102.0568703078078</v>
      </c>
      <c r="P1385" s="12">
        <f t="shared" ca="1" si="135"/>
        <v>0.79064371079522278</v>
      </c>
    </row>
    <row r="1386" spans="1:16" x14ac:dyDescent="0.25">
      <c r="A1386">
        <v>18</v>
      </c>
      <c r="B1386">
        <v>33</v>
      </c>
      <c r="C1386" s="2" t="s">
        <v>17</v>
      </c>
      <c r="D1386" s="2" t="s">
        <v>32</v>
      </c>
      <c r="E1386" s="11" cm="1">
        <f t="array" aca="1" ref="E1386" ca="1">INDEX('OD flujo mercancia multimodal'!E$45:E$1645,MATCH(C1386&amp;D1386,'OD flujo mercancia multimodal'!C$45:C$1645&amp;'OD flujo mercancia multimodal'!D$45:D$1645,0))</f>
        <v>70894.384615384581</v>
      </c>
      <c r="F1386" s="11" cm="1">
        <f t="array" aca="1" ref="F1386" ca="1">INDEX('OD flujo mercancia carretera'!E$45:E$1646,MATCH(C1386&amp;D1386,'OD flujo mercancia carretera'!C$45:C$1646&amp;'OD flujo mercancia carretera'!D$45:D$1646,0))</f>
        <v>155116.33846153849</v>
      </c>
      <c r="G1386" s="11" cm="1">
        <f t="array" aca="1" ref="G1386" ca="1">INDEX('Coste Carretera'!E$46:E$1646,MATCH(C1386&amp;D1386,'Coste Carretera'!C$46:C$1646&amp;'Coste Carretera'!D$46:D$1646,0))</f>
        <v>809243653.39999998</v>
      </c>
      <c r="H1386" s="11" cm="1">
        <f t="array" aca="1" ref="H1386" ca="1">INDEX('Coste multimodal'!E$46:E$1646,MATCH(C1386&amp;D1386,'Coste multimodal'!C$46:C$1646&amp;'Coste multimodal'!D$46:D$1646,0))</f>
        <v>309852325.1348812</v>
      </c>
      <c r="I1386" s="12" cm="1">
        <f t="array" aca="1" ref="I1386" ca="1">INDEX('Tiempos intermodal (horas)'!E$45:E$1645,MATCH(C1386&amp;D1386,'Tiempos intermodal (horas)'!C$45:C$1645&amp;'Tiempos intermodal (horas)'!D$45:D$1645,0))</f>
        <v>121.32668833872935</v>
      </c>
      <c r="J1386" s="2" cm="1">
        <f t="array" aca="1" ref="J1386" ca="1">INDEX('Tiempos carretera (horas)'!E$45:E$1645,MATCH(C1386&amp;D1386,'Tiempos carretera (horas)'!C$45:C$1645&amp;'Tiempos carretera (horas)'!D$45:D$1645,0))</f>
        <v>22.03</v>
      </c>
      <c r="K1386" s="12">
        <f t="shared" ca="1" si="132"/>
        <v>5.2170110603832622</v>
      </c>
      <c r="L1386" s="12">
        <f t="shared" ca="1" si="133"/>
        <v>4.3706187283504692</v>
      </c>
      <c r="M1386" s="12">
        <f t="shared" ca="1" si="134"/>
        <v>0.31367708421186541</v>
      </c>
      <c r="N1386" s="13">
        <f t="shared" ca="1" si="130"/>
        <v>0.84639233203279307</v>
      </c>
      <c r="O1386" s="13">
        <f t="shared" ca="1" si="131"/>
        <v>-99.296688338729354</v>
      </c>
      <c r="P1386" s="12">
        <f t="shared" ca="1" si="135"/>
        <v>0.78298417717556945</v>
      </c>
    </row>
    <row r="1387" spans="1:16" x14ac:dyDescent="0.25">
      <c r="A1387">
        <v>33</v>
      </c>
      <c r="B1387">
        <v>18</v>
      </c>
      <c r="C1387" s="2" t="s">
        <v>32</v>
      </c>
      <c r="D1387" s="2" t="s">
        <v>17</v>
      </c>
      <c r="E1387" s="11" cm="1">
        <f t="array" aca="1" ref="E1387" ca="1">INDEX('OD flujo mercancia multimodal'!E$45:E$1645,MATCH(C1387&amp;D1387,'OD flujo mercancia multimodal'!C$45:C$1645&amp;'OD flujo mercancia multimodal'!D$45:D$1645,0))</f>
        <v>53893.384615384581</v>
      </c>
      <c r="F1387" s="11" cm="1">
        <f t="array" aca="1" ref="F1387" ca="1">INDEX('OD flujo mercancia carretera'!E$45:E$1646,MATCH(C1387&amp;D1387,'OD flujo mercancia carretera'!C$45:C$1646&amp;'OD flujo mercancia carretera'!D$45:D$1646,0))</f>
        <v>145306.40512820511</v>
      </c>
      <c r="G1387" s="11" cm="1">
        <f t="array" aca="1" ref="G1387" ca="1">INDEX('Coste Carretera'!E$46:E$1646,MATCH(C1387&amp;D1387,'Coste Carretera'!C$46:C$1646&amp;'Coste Carretera'!D$46:D$1646,0))</f>
        <v>2673615237.9999967</v>
      </c>
      <c r="H1387" s="11" cm="1">
        <f t="array" aca="1" ref="H1387" ca="1">INDEX('Coste multimodal'!E$46:E$1646,MATCH(C1387&amp;D1387,'Coste multimodal'!C$46:C$1646&amp;'Coste multimodal'!D$46:D$1646,0))</f>
        <v>309852325.1348812</v>
      </c>
      <c r="I1387" s="12" cm="1">
        <f t="array" aca="1" ref="I1387" ca="1">INDEX('Tiempos intermodal (horas)'!E$45:E$1645,MATCH(C1387&amp;D1387,'Tiempos intermodal (horas)'!C$45:C$1645&amp;'Tiempos intermodal (horas)'!D$45:D$1645,0))</f>
        <v>121.32668833872935</v>
      </c>
      <c r="J1387" s="2" cm="1">
        <f t="array" aca="1" ref="J1387" ca="1">INDEX('Tiempos carretera (horas)'!E$45:E$1645,MATCH(C1387&amp;D1387,'Tiempos carretera (horas)'!C$45:C$1645&amp;'Tiempos carretera (horas)'!D$45:D$1645,0))</f>
        <v>22.03</v>
      </c>
      <c r="K1387" s="12">
        <f t="shared" ca="1" si="132"/>
        <v>18.399844354012078</v>
      </c>
      <c r="L1387" s="12">
        <f t="shared" ca="1" si="133"/>
        <v>5.7493573162304186</v>
      </c>
      <c r="M1387" s="12">
        <f t="shared" ca="1" si="134"/>
        <v>0.27054940512114112</v>
      </c>
      <c r="N1387" s="13">
        <f t="shared" ca="1" si="130"/>
        <v>12.650487037781659</v>
      </c>
      <c r="O1387" s="13">
        <f t="shared" ca="1" si="131"/>
        <v>-99.296688338729354</v>
      </c>
      <c r="P1387" s="12">
        <f t="shared" ca="1" si="135"/>
        <v>0.99183691572426669</v>
      </c>
    </row>
    <row r="1388" spans="1:16" x14ac:dyDescent="0.25">
      <c r="A1388">
        <v>16</v>
      </c>
      <c r="B1388">
        <v>1</v>
      </c>
      <c r="C1388" s="2" t="s">
        <v>15</v>
      </c>
      <c r="D1388" s="2" t="s">
        <v>0</v>
      </c>
      <c r="E1388" s="11" cm="1">
        <f t="array" aca="1" ref="E1388" ca="1">INDEX('OD flujo mercancia multimodal'!E$45:E$1645,MATCH(C1388&amp;D1388,'OD flujo mercancia multimodal'!C$45:C$1645&amp;'OD flujo mercancia multimodal'!D$45:D$1645,0))</f>
        <v>127798.53296703295</v>
      </c>
      <c r="F1388" s="11" cm="1">
        <f t="array" aca="1" ref="F1388" ca="1">INDEX('OD flujo mercancia carretera'!E$45:E$1646,MATCH(C1388&amp;D1388,'OD flujo mercancia carretera'!C$45:C$1646&amp;'OD flujo mercancia carretera'!D$45:D$1646,0))</f>
        <v>217992.38461538468</v>
      </c>
      <c r="G1388" s="11" cm="1">
        <f t="array" aca="1" ref="G1388" ca="1">INDEX('Coste Carretera'!E$46:E$1646,MATCH(C1388&amp;D1388,'Coste Carretera'!C$46:C$1646&amp;'Coste Carretera'!D$46:D$1646,0))</f>
        <v>11712403270.242855</v>
      </c>
      <c r="H1388" s="11" cm="1">
        <f t="array" aca="1" ref="H1388" ca="1">INDEX('Coste multimodal'!E$46:E$1646,MATCH(C1388&amp;D1388,'Coste multimodal'!C$46:C$1646&amp;'Coste multimodal'!D$46:D$1646,0))</f>
        <v>541058967.1773386</v>
      </c>
      <c r="I1388" s="12" cm="1">
        <f t="array" aca="1" ref="I1388" ca="1">INDEX('Tiempos intermodal (horas)'!E$45:E$1645,MATCH(C1388&amp;D1388,'Tiempos intermodal (horas)'!C$45:C$1645&amp;'Tiempos intermodal (horas)'!D$45:D$1645,0))</f>
        <v>90.066406631240611</v>
      </c>
      <c r="J1388" s="2" cm="1">
        <f t="array" aca="1" ref="J1388" ca="1">INDEX('Tiempos carretera (horas)'!E$45:E$1645,MATCH(C1388&amp;D1388,'Tiempos carretera (horas)'!C$45:C$1645&amp;'Tiempos carretera (horas)'!D$45:D$1645,0))</f>
        <v>17.059999999999999</v>
      </c>
      <c r="K1388" s="12">
        <f t="shared" ca="1" si="132"/>
        <v>53.728497400987926</v>
      </c>
      <c r="L1388" s="12">
        <f t="shared" ca="1" si="133"/>
        <v>4.2336868398709298</v>
      </c>
      <c r="M1388" s="12">
        <f t="shared" ca="1" si="134"/>
        <v>0.36958325528192276</v>
      </c>
      <c r="N1388" s="13">
        <f t="shared" ca="1" si="130"/>
        <v>49.494810561116999</v>
      </c>
      <c r="O1388" s="13">
        <f t="shared" ca="1" si="131"/>
        <v>-73.006406631240608</v>
      </c>
      <c r="P1388" s="12">
        <f t="shared" ca="1" si="135"/>
        <v>0.53400506647561674</v>
      </c>
    </row>
    <row r="1389" spans="1:16" x14ac:dyDescent="0.25">
      <c r="A1389">
        <v>18</v>
      </c>
      <c r="B1389">
        <v>6</v>
      </c>
      <c r="C1389" s="2" t="s">
        <v>17</v>
      </c>
      <c r="D1389" s="2" t="s">
        <v>5</v>
      </c>
      <c r="E1389" s="11" cm="1">
        <f t="array" aca="1" ref="E1389" ca="1">INDEX('OD flujo mercancia multimodal'!E$45:E$1645,MATCH(C1389&amp;D1389,'OD flujo mercancia multimodal'!C$45:C$1645&amp;'OD flujo mercancia multimodal'!D$45:D$1645,0))</f>
        <v>19932.401098901086</v>
      </c>
      <c r="F1389" s="11" cm="1">
        <f t="array" aca="1" ref="F1389" ca="1">INDEX('OD flujo mercancia carretera'!E$45:E$1646,MATCH(C1389&amp;D1389,'OD flujo mercancia carretera'!C$45:C$1646&amp;'OD flujo mercancia carretera'!D$45:D$1646,0))</f>
        <v>184264.38827838839</v>
      </c>
      <c r="G1389" s="11" cm="1">
        <f t="array" aca="1" ref="G1389" ca="1">INDEX('Coste Carretera'!E$46:E$1646,MATCH(C1389&amp;D1389,'Coste Carretera'!C$46:C$1646&amp;'Coste Carretera'!D$46:D$1646,0))</f>
        <v>2695637992.2142839</v>
      </c>
      <c r="H1389" s="11" cm="1">
        <f t="array" aca="1" ref="H1389" ca="1">INDEX('Coste multimodal'!E$46:E$1646,MATCH(C1389&amp;D1389,'Coste multimodal'!C$46:C$1646&amp;'Coste multimodal'!D$46:D$1646,0))</f>
        <v>838528095.73571849</v>
      </c>
      <c r="I1389" s="12" cm="1">
        <f t="array" aca="1" ref="I1389" ca="1">INDEX('Tiempos intermodal (horas)'!E$45:E$1645,MATCH(C1389&amp;D1389,'Tiempos intermodal (horas)'!C$45:C$1645&amp;'Tiempos intermodal (horas)'!D$45:D$1645,0))</f>
        <v>125.66114694772898</v>
      </c>
      <c r="J1389" s="2" cm="1">
        <f t="array" aca="1" ref="J1389" ca="1">INDEX('Tiempos carretera (horas)'!E$45:E$1645,MATCH(C1389&amp;D1389,'Tiempos carretera (horas)'!C$45:C$1645&amp;'Tiempos carretera (horas)'!D$45:D$1645,0))</f>
        <v>25</v>
      </c>
      <c r="K1389" s="12">
        <f t="shared" ca="1" si="132"/>
        <v>14.629185907271939</v>
      </c>
      <c r="L1389" s="12">
        <f t="shared" ca="1" si="133"/>
        <v>42.068594324140321</v>
      </c>
      <c r="M1389" s="12">
        <f t="shared" ca="1" si="134"/>
        <v>9.7613685110751025E-2</v>
      </c>
      <c r="N1389" s="13">
        <f t="shared" ca="1" si="130"/>
        <v>-27.439408416868382</v>
      </c>
      <c r="O1389" s="13">
        <f t="shared" ca="1" si="131"/>
        <v>-100.66114694772898</v>
      </c>
      <c r="P1389" s="12">
        <f t="shared" ca="1" si="135"/>
        <v>2.2240250155024843</v>
      </c>
    </row>
    <row r="1390" spans="1:16" x14ac:dyDescent="0.25">
      <c r="A1390">
        <v>21</v>
      </c>
      <c r="B1390">
        <v>15</v>
      </c>
      <c r="C1390" s="2" t="s">
        <v>20</v>
      </c>
      <c r="D1390" s="2" t="s">
        <v>14</v>
      </c>
      <c r="E1390" s="11" cm="1">
        <f t="array" aca="1" ref="E1390" ca="1">INDEX('OD flujo mercancia multimodal'!E$45:E$1645,MATCH(C1390&amp;D1390,'OD flujo mercancia multimodal'!C$45:C$1645&amp;'OD flujo mercancia multimodal'!D$45:D$1645,0))</f>
        <v>70908.307692307659</v>
      </c>
      <c r="F1390" s="11" cm="1">
        <f t="array" aca="1" ref="F1390" ca="1">INDEX('OD flujo mercancia carretera'!E$45:E$1646,MATCH(C1390&amp;D1390,'OD flujo mercancia carretera'!C$45:C$1646&amp;'OD flujo mercancia carretera'!D$45:D$1646,0))</f>
        <v>402331.46153846203</v>
      </c>
      <c r="G1390" s="11" cm="1">
        <f t="array" aca="1" ref="G1390" ca="1">INDEX('Coste Carretera'!E$46:E$1646,MATCH(C1390&amp;D1390,'Coste Carretera'!C$46:C$1646&amp;'Coste Carretera'!D$46:D$1646,0))</f>
        <v>4454028766.7199984</v>
      </c>
      <c r="H1390" s="11" cm="1">
        <f t="array" aca="1" ref="H1390" ca="1">INDEX('Coste multimodal'!E$46:E$1646,MATCH(C1390&amp;D1390,'Coste multimodal'!C$46:C$1646&amp;'Coste multimodal'!D$46:D$1646,0))</f>
        <v>482254155.26582718</v>
      </c>
      <c r="I1390" s="12" cm="1">
        <f t="array" aca="1" ref="I1390" ca="1">INDEX('Tiempos intermodal (horas)'!E$45:E$1645,MATCH(C1390&amp;D1390,'Tiempos intermodal (horas)'!C$45:C$1645&amp;'Tiempos intermodal (horas)'!D$45:D$1645,0))</f>
        <v>112.29391283666479</v>
      </c>
      <c r="J1390" s="2" cm="1">
        <f t="array" aca="1" ref="J1390" ca="1">INDEX('Tiempos carretera (horas)'!E$45:E$1645,MATCH(C1390&amp;D1390,'Tiempos carretera (horas)'!C$45:C$1645&amp;'Tiempos carretera (horas)'!D$45:D$1645,0))</f>
        <v>12.63</v>
      </c>
      <c r="K1390" s="12">
        <f t="shared" ca="1" si="132"/>
        <v>11.07054553896527</v>
      </c>
      <c r="L1390" s="12">
        <f t="shared" ca="1" si="133"/>
        <v>6.8010952589430289</v>
      </c>
      <c r="M1390" s="12">
        <f t="shared" ca="1" si="134"/>
        <v>0.14983590201551736</v>
      </c>
      <c r="N1390" s="13">
        <f t="shared" ca="1" si="130"/>
        <v>4.2694502800222409</v>
      </c>
      <c r="O1390" s="13">
        <f t="shared" ca="1" si="131"/>
        <v>-99.663912836664792</v>
      </c>
      <c r="P1390" s="12">
        <f t="shared" ca="1" si="135"/>
        <v>1.7358886786107466</v>
      </c>
    </row>
    <row r="1391" spans="1:16" x14ac:dyDescent="0.25">
      <c r="A1391">
        <v>15</v>
      </c>
      <c r="B1391">
        <v>21</v>
      </c>
      <c r="C1391" s="2" t="s">
        <v>14</v>
      </c>
      <c r="D1391" s="2" t="s">
        <v>20</v>
      </c>
      <c r="E1391" s="11" cm="1">
        <f t="array" aca="1" ref="E1391" ca="1">INDEX('OD flujo mercancia multimodal'!E$45:E$1645,MATCH(C1391&amp;D1391,'OD flujo mercancia multimodal'!C$45:C$1645&amp;'OD flujo mercancia multimodal'!D$45:D$1645,0))</f>
        <v>63568.076923076937</v>
      </c>
      <c r="F1391" s="11" cm="1">
        <f t="array" aca="1" ref="F1391" ca="1">INDEX('OD flujo mercancia carretera'!E$45:E$1646,MATCH(C1391&amp;D1391,'OD flujo mercancia carretera'!C$45:C$1646&amp;'OD flujo mercancia carretera'!D$45:D$1646,0))</f>
        <v>402702.25641025614</v>
      </c>
      <c r="G1391" s="11" cm="1">
        <f t="array" aca="1" ref="G1391" ca="1">INDEX('Coste Carretera'!E$46:E$1646,MATCH(C1391&amp;D1391,'Coste Carretera'!C$46:C$1646&amp;'Coste Carretera'!D$46:D$1646,0))</f>
        <v>3992960098.4000006</v>
      </c>
      <c r="H1391" s="11" cm="1">
        <f t="array" aca="1" ref="H1391" ca="1">INDEX('Coste multimodal'!E$46:E$1646,MATCH(C1391&amp;D1391,'Coste multimodal'!C$46:C$1646&amp;'Coste multimodal'!D$46:D$1646,0))</f>
        <v>482254155.26582718</v>
      </c>
      <c r="I1391" s="12" cm="1">
        <f t="array" aca="1" ref="I1391" ca="1">INDEX('Tiempos intermodal (horas)'!E$45:E$1645,MATCH(C1391&amp;D1391,'Tiempos intermodal (horas)'!C$45:C$1645&amp;'Tiempos intermodal (horas)'!D$45:D$1645,0))</f>
        <v>112.29391283666479</v>
      </c>
      <c r="J1391" s="2" cm="1">
        <f t="array" aca="1" ref="J1391" ca="1">INDEX('Tiempos carretera (horas)'!E$45:E$1645,MATCH(C1391&amp;D1391,'Tiempos carretera (horas)'!C$45:C$1645&amp;'Tiempos carretera (horas)'!D$45:D$1645,0))</f>
        <v>12.63</v>
      </c>
      <c r="K1391" s="12">
        <f t="shared" ca="1" si="132"/>
        <v>9.9154152598840675</v>
      </c>
      <c r="L1391" s="12">
        <f t="shared" ca="1" si="133"/>
        <v>7.5864203954037794</v>
      </c>
      <c r="M1391" s="12">
        <f t="shared" ca="1" si="134"/>
        <v>0.13633309344095157</v>
      </c>
      <c r="N1391" s="13">
        <f t="shared" ca="1" si="130"/>
        <v>2.328994864480288</v>
      </c>
      <c r="O1391" s="13">
        <f t="shared" ca="1" si="131"/>
        <v>-99.663912836664792</v>
      </c>
      <c r="P1391" s="12">
        <f t="shared" ca="1" si="135"/>
        <v>1.8460860618830202</v>
      </c>
    </row>
    <row r="1392" spans="1:16" x14ac:dyDescent="0.25">
      <c r="A1392">
        <v>16</v>
      </c>
      <c r="B1392">
        <v>34</v>
      </c>
      <c r="C1392" s="2" t="s">
        <v>15</v>
      </c>
      <c r="D1392" s="2" t="s">
        <v>33</v>
      </c>
      <c r="E1392" s="11" cm="1">
        <f t="array" aca="1" ref="E1392" ca="1">INDEX('OD flujo mercancia multimodal'!E$45:E$1645,MATCH(C1392&amp;D1392,'OD flujo mercancia multimodal'!C$45:C$1645&amp;'OD flujo mercancia multimodal'!D$45:D$1645,0))</f>
        <v>332095.76923076954</v>
      </c>
      <c r="F1392" s="11" cm="1">
        <f t="array" aca="1" ref="F1392" ca="1">INDEX('OD flujo mercancia carretera'!E$45:E$1646,MATCH(C1392&amp;D1392,'OD flujo mercancia carretera'!C$45:C$1646&amp;'OD flujo mercancia carretera'!D$45:D$1646,0))</f>
        <v>436524.92735042749</v>
      </c>
      <c r="G1392" s="11" cm="1">
        <f t="array" aca="1" ref="G1392" ca="1">INDEX('Coste Carretera'!E$46:E$1646,MATCH(C1392&amp;D1392,'Coste Carretera'!C$46:C$1646&amp;'Coste Carretera'!D$46:D$1646,0))</f>
        <v>9551234776.9599953</v>
      </c>
      <c r="H1392" s="11" cm="1">
        <f t="array" aca="1" ref="H1392" ca="1">INDEX('Coste multimodal'!E$46:E$1646,MATCH(C1392&amp;D1392,'Coste multimodal'!C$46:C$1646&amp;'Coste multimodal'!D$46:D$1646,0))</f>
        <v>2813847900.9825859</v>
      </c>
      <c r="I1392" s="12" cm="1">
        <f t="array" aca="1" ref="I1392" ca="1">INDEX('Tiempos intermodal (horas)'!E$45:E$1645,MATCH(C1392&amp;D1392,'Tiempos intermodal (horas)'!C$45:C$1645&amp;'Tiempos intermodal (horas)'!D$45:D$1645,0))</f>
        <v>121.39575919669669</v>
      </c>
      <c r="J1392" s="2" cm="1">
        <f t="array" aca="1" ref="J1392" ca="1">INDEX('Tiempos carretera (horas)'!E$45:E$1645,MATCH(C1392&amp;D1392,'Tiempos carretera (horas)'!C$45:C$1645&amp;'Tiempos carretera (horas)'!D$45:D$1645,0))</f>
        <v>18.66</v>
      </c>
      <c r="K1392" s="12">
        <f t="shared" ca="1" si="132"/>
        <v>21.88015890623489</v>
      </c>
      <c r="L1392" s="12">
        <f t="shared" ca="1" si="133"/>
        <v>8.4730013498825265</v>
      </c>
      <c r="M1392" s="12">
        <f t="shared" ca="1" si="134"/>
        <v>0.43206717007221129</v>
      </c>
      <c r="N1392" s="13">
        <f t="shared" ca="1" si="130"/>
        <v>13.407157556352363</v>
      </c>
      <c r="O1392" s="13">
        <f t="shared" ca="1" si="131"/>
        <v>-102.73575919669669</v>
      </c>
      <c r="P1392" s="12">
        <f t="shared" ca="1" si="135"/>
        <v>0.27342209212319618</v>
      </c>
    </row>
    <row r="1393" spans="1:16" x14ac:dyDescent="0.25">
      <c r="A1393">
        <v>34</v>
      </c>
      <c r="B1393">
        <v>16</v>
      </c>
      <c r="C1393" s="2" t="s">
        <v>33</v>
      </c>
      <c r="D1393" s="2" t="s">
        <v>15</v>
      </c>
      <c r="E1393" s="11" cm="1">
        <f t="array" aca="1" ref="E1393" ca="1">INDEX('OD flujo mercancia multimodal'!E$45:E$1645,MATCH(C1393&amp;D1393,'OD flujo mercancia multimodal'!C$45:C$1645&amp;'OD flujo mercancia multimodal'!D$45:D$1645,0))</f>
        <v>162084.00000000003</v>
      </c>
      <c r="F1393" s="11" cm="1">
        <f t="array" aca="1" ref="F1393" ca="1">INDEX('OD flujo mercancia carretera'!E$45:E$1646,MATCH(C1393&amp;D1393,'OD flujo mercancia carretera'!C$45:C$1646&amp;'OD flujo mercancia carretera'!D$45:D$1646,0))</f>
        <v>805160.91880341852</v>
      </c>
      <c r="G1393" s="11" cm="1">
        <f t="array" aca="1" ref="G1393" ca="1">INDEX('Coste Carretera'!E$46:E$1646,MATCH(C1393&amp;D1393,'Coste Carretera'!C$46:C$1646&amp;'Coste Carretera'!D$46:D$1646,0))</f>
        <v>6486956475.8400021</v>
      </c>
      <c r="H1393" s="11" cm="1">
        <f t="array" aca="1" ref="H1393" ca="1">INDEX('Coste multimodal'!E$46:E$1646,MATCH(C1393&amp;D1393,'Coste multimodal'!C$46:C$1646&amp;'Coste multimodal'!D$46:D$1646,0))</f>
        <v>2813847900.9825859</v>
      </c>
      <c r="I1393" s="12" cm="1">
        <f t="array" aca="1" ref="I1393" ca="1">INDEX('Tiempos intermodal (horas)'!E$45:E$1645,MATCH(C1393&amp;D1393,'Tiempos intermodal (horas)'!C$45:C$1645&amp;'Tiempos intermodal (horas)'!D$45:D$1645,0))</f>
        <v>121.39575919669669</v>
      </c>
      <c r="J1393" s="2" cm="1">
        <f t="array" aca="1" ref="J1393" ca="1">INDEX('Tiempos carretera (horas)'!E$45:E$1645,MATCH(C1393&amp;D1393,'Tiempos carretera (horas)'!C$45:C$1645&amp;'Tiempos carretera (horas)'!D$45:D$1645,0))</f>
        <v>18.66</v>
      </c>
      <c r="K1393" s="12">
        <f t="shared" ca="1" si="132"/>
        <v>8.0567204944329944</v>
      </c>
      <c r="L1393" s="12">
        <f t="shared" ca="1" si="133"/>
        <v>17.360429783214787</v>
      </c>
      <c r="M1393" s="12">
        <f t="shared" ca="1" si="134"/>
        <v>0.16757286272489766</v>
      </c>
      <c r="N1393" s="13">
        <f t="shared" ca="1" si="130"/>
        <v>-9.3037092887817927</v>
      </c>
      <c r="O1393" s="13">
        <f t="shared" ca="1" si="131"/>
        <v>-102.73575919669669</v>
      </c>
      <c r="P1393" s="12">
        <f t="shared" ca="1" si="135"/>
        <v>1.6029274372094473</v>
      </c>
    </row>
    <row r="1394" spans="1:16" x14ac:dyDescent="0.25">
      <c r="A1394">
        <v>5</v>
      </c>
      <c r="B1394">
        <v>18</v>
      </c>
      <c r="C1394" s="2" t="s">
        <v>4</v>
      </c>
      <c r="D1394" s="2" t="s">
        <v>17</v>
      </c>
      <c r="E1394" s="11" cm="1">
        <f t="array" aca="1" ref="E1394" ca="1">INDEX('OD flujo mercancia multimodal'!E$45:E$1645,MATCH(C1394&amp;D1394,'OD flujo mercancia multimodal'!C$45:C$1645&amp;'OD flujo mercancia multimodal'!D$45:D$1645,0))</f>
        <v>70279.840659340625</v>
      </c>
      <c r="F1394" s="11" cm="1">
        <f t="array" aca="1" ref="F1394" ca="1">INDEX('OD flujo mercancia carretera'!E$45:E$1646,MATCH(C1394&amp;D1394,'OD flujo mercancia carretera'!C$45:C$1646&amp;'OD flujo mercancia carretera'!D$45:D$1646,0))</f>
        <v>117852.46153846153</v>
      </c>
      <c r="G1394" s="11" cm="1">
        <f t="array" aca="1" ref="G1394" ca="1">INDEX('Coste Carretera'!E$46:E$1646,MATCH(C1394&amp;D1394,'Coste Carretera'!C$46:C$1646&amp;'Coste Carretera'!D$46:D$1646,0))</f>
        <v>8825413480.3457088</v>
      </c>
      <c r="H1394" s="11" cm="1">
        <f t="array" aca="1" ref="H1394" ca="1">INDEX('Coste multimodal'!E$46:E$1646,MATCH(C1394&amp;D1394,'Coste multimodal'!C$46:C$1646&amp;'Coste multimodal'!D$46:D$1646,0))</f>
        <v>719071321.97286129</v>
      </c>
      <c r="I1394" s="12" cm="1">
        <f t="array" aca="1" ref="I1394" ca="1">INDEX('Tiempos intermodal (horas)'!E$45:E$1645,MATCH(C1394&amp;D1394,'Tiempos intermodal (horas)'!C$45:C$1645&amp;'Tiempos intermodal (horas)'!D$45:D$1645,0))</f>
        <v>123.11670250328454</v>
      </c>
      <c r="J1394" s="2" cm="1">
        <f t="array" aca="1" ref="J1394" ca="1">INDEX('Tiempos carretera (horas)'!E$45:E$1645,MATCH(C1394&amp;D1394,'Tiempos carretera (horas)'!C$45:C$1645&amp;'Tiempos carretera (horas)'!D$45:D$1645,0))</f>
        <v>23.23</v>
      </c>
      <c r="K1394" s="12">
        <f t="shared" ca="1" si="132"/>
        <v>74.88527066077026</v>
      </c>
      <c r="L1394" s="12">
        <f t="shared" ca="1" si="133"/>
        <v>10.231544568496291</v>
      </c>
      <c r="M1394" s="12">
        <f t="shared" ca="1" si="134"/>
        <v>0.37356604813908273</v>
      </c>
      <c r="N1394" s="13">
        <f t="shared" ca="1" si="130"/>
        <v>64.65372609227397</v>
      </c>
      <c r="O1394" s="13">
        <f t="shared" ca="1" si="131"/>
        <v>-99.886702503284539</v>
      </c>
      <c r="P1394" s="12">
        <f t="shared" ca="1" si="135"/>
        <v>0.51694852012067904</v>
      </c>
    </row>
    <row r="1395" spans="1:16" x14ac:dyDescent="0.25">
      <c r="A1395">
        <v>35</v>
      </c>
      <c r="B1395">
        <v>18</v>
      </c>
      <c r="C1395" s="2" t="s">
        <v>34</v>
      </c>
      <c r="D1395" s="2" t="s">
        <v>17</v>
      </c>
      <c r="E1395" s="11" cm="1">
        <f t="array" aca="1" ref="E1395" ca="1">INDEX('OD flujo mercancia multimodal'!E$45:E$1645,MATCH(C1395&amp;D1395,'OD flujo mercancia multimodal'!C$45:C$1645&amp;'OD flujo mercancia multimodal'!D$45:D$1645,0))</f>
        <v>33481.076923076893</v>
      </c>
      <c r="F1395" s="11" cm="1">
        <f t="array" aca="1" ref="F1395" ca="1">INDEX('OD flujo mercancia carretera'!E$45:E$1646,MATCH(C1395&amp;D1395,'OD flujo mercancia carretera'!C$45:C$1646&amp;'OD flujo mercancia carretera'!D$45:D$1646,0))</f>
        <v>66713.76923076922</v>
      </c>
      <c r="G1395" s="11" cm="1">
        <f t="array" aca="1" ref="G1395" ca="1">INDEX('Coste Carretera'!E$46:E$1646,MATCH(C1395&amp;D1395,'Coste Carretera'!C$46:C$1646&amp;'Coste Carretera'!D$46:D$1646,0))</f>
        <v>15994250305.919996</v>
      </c>
      <c r="H1395" s="11" cm="1">
        <f t="array" aca="1" ref="H1395" ca="1">INDEX('Coste multimodal'!E$46:E$1646,MATCH(C1395&amp;D1395,'Coste multimodal'!C$46:C$1646&amp;'Coste multimodal'!D$46:D$1646,0))</f>
        <v>2177526284.9625859</v>
      </c>
      <c r="I1395" s="12" cm="1">
        <f t="array" aca="1" ref="I1395" ca="1">INDEX('Tiempos intermodal (horas)'!E$45:E$1645,MATCH(C1395&amp;D1395,'Tiempos intermodal (horas)'!C$45:C$1645&amp;'Tiempos intermodal (horas)'!D$45:D$1645,0))</f>
        <v>124.36131475225224</v>
      </c>
      <c r="J1395" s="2" cm="1">
        <f t="array" aca="1" ref="J1395" ca="1">INDEX('Tiempos carretera (horas)'!E$45:E$1645,MATCH(C1395&amp;D1395,'Tiempos carretera (horas)'!C$45:C$1645&amp;'Tiempos carretera (horas)'!D$45:D$1645,0))</f>
        <v>21.21</v>
      </c>
      <c r="K1395" s="12">
        <f t="shared" ca="1" si="132"/>
        <v>239.74436597330271</v>
      </c>
      <c r="L1395" s="12">
        <f t="shared" ca="1" si="133"/>
        <v>65.037522238770094</v>
      </c>
      <c r="M1395" s="12">
        <f t="shared" ca="1" si="134"/>
        <v>0.33415967196224572</v>
      </c>
      <c r="N1395" s="13">
        <f t="shared" ca="1" si="130"/>
        <v>174.70684373453261</v>
      </c>
      <c r="O1395" s="13">
        <f t="shared" ca="1" si="131"/>
        <v>-103.15131475225223</v>
      </c>
      <c r="P1395" s="12">
        <f t="shared" ca="1" si="135"/>
        <v>0.68943095559551903</v>
      </c>
    </row>
    <row r="1396" spans="1:16" x14ac:dyDescent="0.25">
      <c r="A1396">
        <v>18</v>
      </c>
      <c r="B1396">
        <v>35</v>
      </c>
      <c r="C1396" s="2" t="s">
        <v>17</v>
      </c>
      <c r="D1396" s="2" t="s">
        <v>34</v>
      </c>
      <c r="E1396" s="11" cm="1">
        <f t="array" aca="1" ref="E1396" ca="1">INDEX('OD flujo mercancia multimodal'!E$45:E$1645,MATCH(C1396&amp;D1396,'OD flujo mercancia multimodal'!C$45:C$1645&amp;'OD flujo mercancia multimodal'!D$45:D$1645,0))</f>
        <v>29823.230769230788</v>
      </c>
      <c r="F1396" s="11" cm="1">
        <f t="array" aca="1" ref="F1396" ca="1">INDEX('OD flujo mercancia carretera'!E$45:E$1646,MATCH(C1396&amp;D1396,'OD flujo mercancia carretera'!C$45:C$1646&amp;'OD flujo mercancia carretera'!D$45:D$1646,0))</f>
        <v>71088.153846153888</v>
      </c>
      <c r="G1396" s="11" cm="1">
        <f t="array" aca="1" ref="G1396" ca="1">INDEX('Coste Carretera'!E$46:E$1646,MATCH(C1396&amp;D1396,'Coste Carretera'!C$46:C$1646&amp;'Coste Carretera'!D$46:D$1646,0))</f>
        <v>32709041205.120029</v>
      </c>
      <c r="H1396" s="11" cm="1">
        <f t="array" aca="1" ref="H1396" ca="1">INDEX('Coste multimodal'!E$46:E$1646,MATCH(C1396&amp;D1396,'Coste multimodal'!C$46:C$1646&amp;'Coste multimodal'!D$46:D$1646,0))</f>
        <v>2177526284.9625859</v>
      </c>
      <c r="I1396" s="12" cm="1">
        <f t="array" aca="1" ref="I1396" ca="1">INDEX('Tiempos intermodal (horas)'!E$45:E$1645,MATCH(C1396&amp;D1396,'Tiempos intermodal (horas)'!C$45:C$1645&amp;'Tiempos intermodal (horas)'!D$45:D$1645,0))</f>
        <v>124.36131475225224</v>
      </c>
      <c r="J1396" s="2" cm="1">
        <f t="array" aca="1" ref="J1396" ca="1">INDEX('Tiempos carretera (horas)'!E$45:E$1645,MATCH(C1396&amp;D1396,'Tiempos carretera (horas)'!C$45:C$1645&amp;'Tiempos carretera (horas)'!D$45:D$1645,0))</f>
        <v>21.21</v>
      </c>
      <c r="K1396" s="12">
        <f t="shared" ca="1" si="132"/>
        <v>460.11943531277541</v>
      </c>
      <c r="L1396" s="12">
        <f t="shared" ca="1" si="133"/>
        <v>73.014433003991726</v>
      </c>
      <c r="M1396" s="12">
        <f t="shared" ca="1" si="134"/>
        <v>0.29553881242339047</v>
      </c>
      <c r="N1396" s="13">
        <f t="shared" ca="1" si="130"/>
        <v>387.1050023087837</v>
      </c>
      <c r="O1396" s="13">
        <f t="shared" ca="1" si="131"/>
        <v>-103.15131475225223</v>
      </c>
      <c r="P1396" s="12">
        <f t="shared" ca="1" si="135"/>
        <v>0.8686330645262571</v>
      </c>
    </row>
    <row r="1397" spans="1:16" x14ac:dyDescent="0.25">
      <c r="A1397">
        <v>7</v>
      </c>
      <c r="B1397">
        <v>18</v>
      </c>
      <c r="C1397" s="2" t="s">
        <v>6</v>
      </c>
      <c r="D1397" s="2" t="s">
        <v>17</v>
      </c>
      <c r="E1397" s="11" cm="1">
        <f t="array" aca="1" ref="E1397" ca="1">INDEX('OD flujo mercancia multimodal'!E$45:E$1645,MATCH(C1397&amp;D1397,'OD flujo mercancia multimodal'!C$45:C$1645&amp;'OD flujo mercancia multimodal'!D$45:D$1645,0))</f>
        <v>26539.91208791206</v>
      </c>
      <c r="F1397" s="11" cm="1">
        <f t="array" aca="1" ref="F1397" ca="1">INDEX('OD flujo mercancia carretera'!E$45:E$1646,MATCH(C1397&amp;D1397,'OD flujo mercancia carretera'!C$45:C$1646&amp;'OD flujo mercancia carretera'!D$45:D$1646,0))</f>
        <v>108714.07692307691</v>
      </c>
      <c r="G1397" s="11" cm="1">
        <f t="array" aca="1" ref="G1397" ca="1">INDEX('Coste Carretera'!E$46:E$1646,MATCH(C1397&amp;D1397,'Coste Carretera'!C$46:C$1646&amp;'Coste Carretera'!D$46:D$1646,0))</f>
        <v>3303486553.3714252</v>
      </c>
      <c r="H1397" s="11" cm="1">
        <f t="array" aca="1" ref="H1397" ca="1">INDEX('Coste multimodal'!E$46:E$1646,MATCH(C1397&amp;D1397,'Coste multimodal'!C$46:C$1646&amp;'Coste multimodal'!D$46:D$1646,0))</f>
        <v>699839098.2014327</v>
      </c>
      <c r="I1397" s="12" cm="1">
        <f t="array" aca="1" ref="I1397" ca="1">INDEX('Tiempos intermodal (horas)'!E$45:E$1645,MATCH(C1397&amp;D1397,'Tiempos intermodal (horas)'!C$45:C$1645&amp;'Tiempos intermodal (horas)'!D$45:D$1645,0))</f>
        <v>123.55559139217343</v>
      </c>
      <c r="J1397" s="2" cm="1">
        <f t="array" aca="1" ref="J1397" ca="1">INDEX('Tiempos carretera (horas)'!E$45:E$1645,MATCH(C1397&amp;D1397,'Tiempos carretera (horas)'!C$45:C$1645&amp;'Tiempos carretera (horas)'!D$45:D$1645,0))</f>
        <v>23.18</v>
      </c>
      <c r="K1397" s="12">
        <f t="shared" ca="1" si="132"/>
        <v>30.386925473403792</v>
      </c>
      <c r="L1397" s="12">
        <f t="shared" ca="1" si="133"/>
        <v>26.369307324125739</v>
      </c>
      <c r="M1397" s="12">
        <f t="shared" ca="1" si="134"/>
        <v>0.19622276786051593</v>
      </c>
      <c r="N1397" s="13">
        <f t="shared" ca="1" si="130"/>
        <v>4.0176181492780536</v>
      </c>
      <c r="O1397" s="13">
        <f t="shared" ca="1" si="131"/>
        <v>-100.37559139217342</v>
      </c>
      <c r="P1397" s="12">
        <f t="shared" ca="1" si="135"/>
        <v>1.4100715717934442</v>
      </c>
    </row>
    <row r="1398" spans="1:16" x14ac:dyDescent="0.25">
      <c r="A1398">
        <v>18</v>
      </c>
      <c r="B1398">
        <v>7</v>
      </c>
      <c r="C1398" s="2" t="s">
        <v>17</v>
      </c>
      <c r="D1398" s="2" t="s">
        <v>6</v>
      </c>
      <c r="E1398" s="11" cm="1">
        <f t="array" aca="1" ref="E1398" ca="1">INDEX('OD flujo mercancia multimodal'!E$45:E$1645,MATCH(C1398&amp;D1398,'OD flujo mercancia multimodal'!C$45:C$1645&amp;'OD flujo mercancia multimodal'!D$45:D$1645,0))</f>
        <v>11682.401098901095</v>
      </c>
      <c r="F1398" s="11" cm="1">
        <f t="array" aca="1" ref="F1398" ca="1">INDEX('OD flujo mercancia carretera'!E$45:E$1646,MATCH(C1398&amp;D1398,'OD flujo mercancia carretera'!C$45:C$1646&amp;'OD flujo mercancia carretera'!D$45:D$1646,0))</f>
        <v>117810.69230769228</v>
      </c>
      <c r="G1398" s="11" cm="1">
        <f t="array" aca="1" ref="G1398" ca="1">INDEX('Coste Carretera'!E$46:E$1646,MATCH(C1398&amp;D1398,'Coste Carretera'!C$46:C$1646&amp;'Coste Carretera'!D$46:D$1646,0))</f>
        <v>1454136502.5428565</v>
      </c>
      <c r="H1398" s="11" cm="1">
        <f t="array" aca="1" ref="H1398" ca="1">INDEX('Coste multimodal'!E$46:E$1646,MATCH(C1398&amp;D1398,'Coste multimodal'!C$46:C$1646&amp;'Coste multimodal'!D$46:D$1646,0))</f>
        <v>699839098.2014327</v>
      </c>
      <c r="I1398" s="12" cm="1">
        <f t="array" aca="1" ref="I1398" ca="1">INDEX('Tiempos intermodal (horas)'!E$45:E$1645,MATCH(C1398&amp;D1398,'Tiempos intermodal (horas)'!C$45:C$1645&amp;'Tiempos intermodal (horas)'!D$45:D$1645,0))</f>
        <v>123.55559139217343</v>
      </c>
      <c r="J1398" s="2" cm="1">
        <f t="array" aca="1" ref="J1398" ca="1">INDEX('Tiempos carretera (horas)'!E$45:E$1645,MATCH(C1398&amp;D1398,'Tiempos carretera (horas)'!C$45:C$1645&amp;'Tiempos carretera (horas)'!D$45:D$1645,0))</f>
        <v>23.18</v>
      </c>
      <c r="K1398" s="12">
        <f t="shared" ca="1" si="132"/>
        <v>12.34299259310872</v>
      </c>
      <c r="L1398" s="12">
        <f t="shared" ca="1" si="133"/>
        <v>59.905416042192137</v>
      </c>
      <c r="M1398" s="12">
        <f t="shared" ca="1" si="134"/>
        <v>9.0216402987761693E-2</v>
      </c>
      <c r="N1398" s="13">
        <f t="shared" ca="1" si="130"/>
        <v>-47.562423449083418</v>
      </c>
      <c r="O1398" s="13">
        <f t="shared" ca="1" si="131"/>
        <v>-100.37559139217342</v>
      </c>
      <c r="P1398" s="12">
        <f t="shared" ca="1" si="135"/>
        <v>2.3109955039084364</v>
      </c>
    </row>
    <row r="1399" spans="1:16" x14ac:dyDescent="0.25">
      <c r="A1399">
        <v>16</v>
      </c>
      <c r="B1399">
        <v>2</v>
      </c>
      <c r="C1399" s="2" t="s">
        <v>15</v>
      </c>
      <c r="D1399" s="2" t="s">
        <v>1</v>
      </c>
      <c r="E1399" s="11" cm="1">
        <f t="array" aca="1" ref="E1399" ca="1">INDEX('OD flujo mercancia multimodal'!E$45:E$1645,MATCH(C1399&amp;D1399,'OD flujo mercancia multimodal'!C$45:C$1645&amp;'OD flujo mercancia multimodal'!D$45:D$1645,0))</f>
        <v>56537.532967032937</v>
      </c>
      <c r="F1399" s="11" cm="1">
        <f t="array" aca="1" ref="F1399" ca="1">INDEX('OD flujo mercancia carretera'!E$45:E$1646,MATCH(C1399&amp;D1399,'OD flujo mercancia carretera'!C$45:C$1646&amp;'OD flujo mercancia carretera'!D$45:D$1646,0))</f>
        <v>208380.76923076928</v>
      </c>
      <c r="G1399" s="11" cm="1">
        <f t="array" aca="1" ref="G1399" ca="1">INDEX('Coste Carretera'!E$46:E$1646,MATCH(C1399&amp;D1399,'Coste Carretera'!C$46:C$1646&amp;'Coste Carretera'!D$46:D$1646,0))</f>
        <v>4932092395.402854</v>
      </c>
      <c r="H1399" s="11" cm="1">
        <f t="array" aca="1" ref="H1399" ca="1">INDEX('Coste multimodal'!E$46:E$1646,MATCH(C1399&amp;D1399,'Coste multimodal'!C$46:C$1646&amp;'Coste multimodal'!D$46:D$1646,0))</f>
        <v>417527498.61591011</v>
      </c>
      <c r="I1399" s="12" cm="1">
        <f t="array" aca="1" ref="I1399" ca="1">INDEX('Tiempos intermodal (horas)'!E$45:E$1645,MATCH(C1399&amp;D1399,'Tiempos intermodal (horas)'!C$45:C$1645&amp;'Tiempos intermodal (horas)'!D$45:D$1645,0))</f>
        <v>90.444184409018391</v>
      </c>
      <c r="J1399" s="2" cm="1">
        <f t="array" aca="1" ref="J1399" ca="1">INDEX('Tiempos carretera (horas)'!E$45:E$1645,MATCH(C1399&amp;D1399,'Tiempos carretera (horas)'!C$45:C$1645&amp;'Tiempos carretera (horas)'!D$45:D$1645,0))</f>
        <v>16.329999999999998</v>
      </c>
      <c r="K1399" s="12">
        <f t="shared" ca="1" si="132"/>
        <v>23.668654327409914</v>
      </c>
      <c r="L1399" s="12">
        <f t="shared" ca="1" si="133"/>
        <v>7.3849614000556159</v>
      </c>
      <c r="M1399" s="12">
        <f t="shared" ca="1" si="134"/>
        <v>0.21341497547730387</v>
      </c>
      <c r="N1399" s="13">
        <f t="shared" ca="1" si="130"/>
        <v>16.283692927354299</v>
      </c>
      <c r="O1399" s="13">
        <f t="shared" ca="1" si="131"/>
        <v>-74.114184409018392</v>
      </c>
      <c r="P1399" s="12">
        <f t="shared" ca="1" si="135"/>
        <v>1.3044623095539385</v>
      </c>
    </row>
    <row r="1400" spans="1:16" x14ac:dyDescent="0.25">
      <c r="A1400">
        <v>2</v>
      </c>
      <c r="B1400">
        <v>16</v>
      </c>
      <c r="C1400" s="2" t="s">
        <v>1</v>
      </c>
      <c r="D1400" s="2" t="s">
        <v>15</v>
      </c>
      <c r="E1400" s="11" cm="1">
        <f t="array" aca="1" ref="E1400" ca="1">INDEX('OD flujo mercancia multimodal'!E$45:E$1645,MATCH(C1400&amp;D1400,'OD flujo mercancia multimodal'!C$45:C$1645&amp;'OD flujo mercancia multimodal'!D$45:D$1645,0))</f>
        <v>43831.230769230802</v>
      </c>
      <c r="F1400" s="11" cm="1">
        <f t="array" aca="1" ref="F1400" ca="1">INDEX('OD flujo mercancia carretera'!E$45:E$1646,MATCH(C1400&amp;D1400,'OD flujo mercancia carretera'!C$45:C$1646&amp;'OD flujo mercancia carretera'!D$45:D$1646,0))</f>
        <v>569129.69230769202</v>
      </c>
      <c r="G1400" s="11" cm="1">
        <f t="array" aca="1" ref="G1400" ca="1">INDEX('Coste Carretera'!E$46:E$1646,MATCH(C1400&amp;D1400,'Coste Carretera'!C$46:C$1646&amp;'Coste Carretera'!D$46:D$1646,0))</f>
        <v>3823648974.6400032</v>
      </c>
      <c r="H1400" s="11" cm="1">
        <f t="array" aca="1" ref="H1400" ca="1">INDEX('Coste multimodal'!E$46:E$1646,MATCH(C1400&amp;D1400,'Coste multimodal'!C$46:C$1646&amp;'Coste multimodal'!D$46:D$1646,0))</f>
        <v>417527498.61591011</v>
      </c>
      <c r="I1400" s="12" cm="1">
        <f t="array" aca="1" ref="I1400" ca="1">INDEX('Tiempos intermodal (horas)'!E$45:E$1645,MATCH(C1400&amp;D1400,'Tiempos intermodal (horas)'!C$45:C$1645&amp;'Tiempos intermodal (horas)'!D$45:D$1645,0))</f>
        <v>90.444184409018391</v>
      </c>
      <c r="J1400" s="2" cm="1">
        <f t="array" aca="1" ref="J1400" ca="1">INDEX('Tiempos carretera (horas)'!E$45:E$1645,MATCH(C1400&amp;D1400,'Tiempos carretera (horas)'!C$45:C$1645&amp;'Tiempos carretera (horas)'!D$45:D$1645,0))</f>
        <v>16.329999999999998</v>
      </c>
      <c r="K1400" s="12">
        <f t="shared" ca="1" si="132"/>
        <v>6.7184141441223568</v>
      </c>
      <c r="L1400" s="12">
        <f t="shared" ca="1" si="133"/>
        <v>9.5257991000565578</v>
      </c>
      <c r="M1400" s="12">
        <f t="shared" ca="1" si="134"/>
        <v>7.1507381823311206E-2</v>
      </c>
      <c r="N1400" s="13">
        <f t="shared" ca="1" si="130"/>
        <v>-2.807384955934201</v>
      </c>
      <c r="O1400" s="13">
        <f t="shared" ca="1" si="131"/>
        <v>-74.114184409018392</v>
      </c>
      <c r="P1400" s="12">
        <f t="shared" ca="1" si="135"/>
        <v>2.5637617438388074</v>
      </c>
    </row>
    <row r="1401" spans="1:16" x14ac:dyDescent="0.25">
      <c r="A1401">
        <v>32</v>
      </c>
      <c r="B1401">
        <v>16</v>
      </c>
      <c r="C1401" s="2" t="s">
        <v>31</v>
      </c>
      <c r="D1401" s="2" t="s">
        <v>15</v>
      </c>
      <c r="E1401" s="11" cm="1">
        <f t="array" aca="1" ref="E1401" ca="1">INDEX('OD flujo mercancia multimodal'!E$45:E$1645,MATCH(C1401&amp;D1401,'OD flujo mercancia multimodal'!C$45:C$1645&amp;'OD flujo mercancia multimodal'!D$45:D$1645,0))</f>
        <v>37518.307692307724</v>
      </c>
      <c r="F1401" s="11" cm="1">
        <f t="array" aca="1" ref="F1401" ca="1">INDEX('OD flujo mercancia carretera'!E$45:E$1646,MATCH(C1401&amp;D1401,'OD flujo mercancia carretera'!C$45:C$1646&amp;'OD flujo mercancia carretera'!D$45:D$1646,0))</f>
        <v>577141.292307692</v>
      </c>
      <c r="G1401" s="11" cm="1">
        <f t="array" aca="1" ref="G1401" ca="1">INDEX('Coste Carretera'!E$46:E$1646,MATCH(C1401&amp;D1401,'Coste Carretera'!C$46:C$1646&amp;'Coste Carretera'!D$46:D$1646,0))</f>
        <v>4105966574.4000034</v>
      </c>
      <c r="H1401" s="11" cm="1">
        <f t="array" aca="1" ref="H1401" ca="1">INDEX('Coste multimodal'!E$46:E$1646,MATCH(C1401&amp;D1401,'Coste multimodal'!C$46:C$1646&amp;'Coste multimodal'!D$46:D$1646,0))</f>
        <v>237535711.86288118</v>
      </c>
      <c r="I1401" s="12" cm="1">
        <f t="array" aca="1" ref="I1401" ca="1">INDEX('Tiempos intermodal (horas)'!E$45:E$1645,MATCH(C1401&amp;D1401,'Tiempos intermodal (horas)'!C$45:C$1645&amp;'Tiempos intermodal (horas)'!D$45:D$1645,0))</f>
        <v>120.59335500539602</v>
      </c>
      <c r="J1401" s="2" cm="1">
        <f t="array" aca="1" ref="J1401" ca="1">INDEX('Tiempos carretera (horas)'!E$45:E$1645,MATCH(C1401&amp;D1401,'Tiempos carretera (horas)'!C$45:C$1645&amp;'Tiempos carretera (horas)'!D$45:D$1645,0))</f>
        <v>20.13</v>
      </c>
      <c r="K1401" s="12">
        <f t="shared" ca="1" si="132"/>
        <v>7.1143178093917845</v>
      </c>
      <c r="L1401" s="12">
        <f t="shared" ca="1" si="133"/>
        <v>6.3311947279429788</v>
      </c>
      <c r="M1401" s="12">
        <f t="shared" ca="1" si="134"/>
        <v>6.1039163290230465E-2</v>
      </c>
      <c r="N1401" s="13">
        <f t="shared" ca="1" si="130"/>
        <v>0.78312308144880571</v>
      </c>
      <c r="O1401" s="13">
        <f t="shared" ca="1" si="131"/>
        <v>-100.46335500539602</v>
      </c>
      <c r="P1401" s="12">
        <f t="shared" ca="1" si="135"/>
        <v>2.733258091576928</v>
      </c>
    </row>
    <row r="1402" spans="1:16" x14ac:dyDescent="0.25">
      <c r="A1402">
        <v>16</v>
      </c>
      <c r="B1402">
        <v>32</v>
      </c>
      <c r="C1402" s="2" t="s">
        <v>15</v>
      </c>
      <c r="D1402" s="2" t="s">
        <v>31</v>
      </c>
      <c r="E1402" s="11" cm="1">
        <f t="array" aca="1" ref="E1402" ca="1">INDEX('OD flujo mercancia multimodal'!E$45:E$1645,MATCH(C1402&amp;D1402,'OD flujo mercancia multimodal'!C$45:C$1645&amp;'OD flujo mercancia multimodal'!D$45:D$1645,0))</f>
        <v>35807.846153846156</v>
      </c>
      <c r="F1402" s="11" cm="1">
        <f t="array" aca="1" ref="F1402" ca="1">INDEX('OD flujo mercancia carretera'!E$45:E$1646,MATCH(C1402&amp;D1402,'OD flujo mercancia carretera'!C$45:C$1646&amp;'OD flujo mercancia carretera'!D$45:D$1646,0))</f>
        <v>219253.03846153847</v>
      </c>
      <c r="G1402" s="11" cm="1">
        <f t="array" aca="1" ref="G1402" ca="1">INDEX('Coste Carretera'!E$46:E$1646,MATCH(C1402&amp;D1402,'Coste Carretera'!C$46:C$1646&amp;'Coste Carretera'!D$46:D$1646,0))</f>
        <v>3971674938.2400007</v>
      </c>
      <c r="H1402" s="11" cm="1">
        <f t="array" aca="1" ref="H1402" ca="1">INDEX('Coste multimodal'!E$46:E$1646,MATCH(C1402&amp;D1402,'Coste multimodal'!C$46:C$1646&amp;'Coste multimodal'!D$46:D$1646,0))</f>
        <v>237535711.86288118</v>
      </c>
      <c r="I1402" s="12" cm="1">
        <f t="array" aca="1" ref="I1402" ca="1">INDEX('Tiempos intermodal (horas)'!E$45:E$1645,MATCH(C1402&amp;D1402,'Tiempos intermodal (horas)'!C$45:C$1645&amp;'Tiempos intermodal (horas)'!D$45:D$1645,0))</f>
        <v>120.59335500539602</v>
      </c>
      <c r="J1402" s="2" cm="1">
        <f t="array" aca="1" ref="J1402" ca="1">INDEX('Tiempos carretera (horas)'!E$45:E$1645,MATCH(C1402&amp;D1402,'Tiempos carretera (horas)'!C$45:C$1645&amp;'Tiempos carretera (horas)'!D$45:D$1645,0))</f>
        <v>20.13</v>
      </c>
      <c r="K1402" s="12">
        <f t="shared" ca="1" si="132"/>
        <v>18.114571939839799</v>
      </c>
      <c r="L1402" s="12">
        <f t="shared" ca="1" si="133"/>
        <v>6.6336218839391776</v>
      </c>
      <c r="M1402" s="12">
        <f t="shared" ca="1" si="134"/>
        <v>0.14038940626996602</v>
      </c>
      <c r="N1402" s="13">
        <f t="shared" ca="1" si="130"/>
        <v>11.480950055900621</v>
      </c>
      <c r="O1402" s="13">
        <f t="shared" ca="1" si="131"/>
        <v>-100.46335500539602</v>
      </c>
      <c r="P1402" s="12">
        <f t="shared" ca="1" si="135"/>
        <v>1.8120594538879564</v>
      </c>
    </row>
    <row r="1403" spans="1:16" x14ac:dyDescent="0.25">
      <c r="A1403">
        <v>6</v>
      </c>
      <c r="B1403">
        <v>18</v>
      </c>
      <c r="C1403" s="2" t="s">
        <v>5</v>
      </c>
      <c r="D1403" s="2" t="s">
        <v>17</v>
      </c>
      <c r="E1403" s="11" cm="1">
        <f t="array" aca="1" ref="E1403" ca="1">INDEX('OD flujo mercancia multimodal'!E$45:E$1645,MATCH(C1403&amp;D1403,'OD flujo mercancia multimodal'!C$45:C$1645&amp;'OD flujo mercancia multimodal'!D$45:D$1645,0))</f>
        <v>35244.983516483488</v>
      </c>
      <c r="F1403" s="11" cm="1">
        <f t="array" aca="1" ref="F1403" ca="1">INDEX('OD flujo mercancia carretera'!E$45:E$1646,MATCH(C1403&amp;D1403,'OD flujo mercancia carretera'!C$45:C$1646&amp;'OD flujo mercancia carretera'!D$45:D$1646,0))</f>
        <v>180407.08424908423</v>
      </c>
      <c r="G1403" s="11" cm="1">
        <f t="array" aca="1" ref="G1403" ca="1">INDEX('Coste Carretera'!E$46:E$1646,MATCH(C1403&amp;D1403,'Coste Carretera'!C$46:C$1646&amp;'Coste Carretera'!D$46:D$1646,0))</f>
        <v>4766496325.7857103</v>
      </c>
      <c r="H1403" s="11" cm="1">
        <f t="array" aca="1" ref="H1403" ca="1">INDEX('Coste multimodal'!E$46:E$1646,MATCH(C1403&amp;D1403,'Coste multimodal'!C$46:C$1646&amp;'Coste multimodal'!D$46:D$1646,0))</f>
        <v>838528095.73571849</v>
      </c>
      <c r="I1403" s="12" cm="1">
        <f t="array" aca="1" ref="I1403" ca="1">INDEX('Tiempos intermodal (horas)'!E$45:E$1645,MATCH(C1403&amp;D1403,'Tiempos intermodal (horas)'!C$45:C$1645&amp;'Tiempos intermodal (horas)'!D$45:D$1645,0))</f>
        <v>125.66114694772898</v>
      </c>
      <c r="J1403" s="2" cm="1">
        <f t="array" aca="1" ref="J1403" ca="1">INDEX('Tiempos carretera (horas)'!E$45:E$1645,MATCH(C1403&amp;D1403,'Tiempos carretera (horas)'!C$45:C$1645&amp;'Tiempos carretera (horas)'!D$45:D$1645,0))</f>
        <v>25</v>
      </c>
      <c r="K1403" s="12">
        <f t="shared" ca="1" si="132"/>
        <v>26.420782452227375</v>
      </c>
      <c r="L1403" s="12">
        <f t="shared" ca="1" si="133"/>
        <v>23.791416879044728</v>
      </c>
      <c r="M1403" s="12">
        <f t="shared" ca="1" si="134"/>
        <v>0.16343447981587547</v>
      </c>
      <c r="N1403" s="13">
        <f t="shared" ca="1" si="130"/>
        <v>2.6293655731826462</v>
      </c>
      <c r="O1403" s="13">
        <f t="shared" ca="1" si="131"/>
        <v>-100.66114694772898</v>
      </c>
      <c r="P1403" s="12">
        <f t="shared" ca="1" si="135"/>
        <v>1.6328926689890042</v>
      </c>
    </row>
    <row r="1404" spans="1:16" x14ac:dyDescent="0.25">
      <c r="A1404">
        <v>16</v>
      </c>
      <c r="B1404">
        <v>33</v>
      </c>
      <c r="C1404" s="2" t="s">
        <v>15</v>
      </c>
      <c r="D1404" s="2" t="s">
        <v>32</v>
      </c>
      <c r="E1404" s="11" cm="1">
        <f t="array" aca="1" ref="E1404" ca="1">INDEX('OD flujo mercancia multimodal'!E$45:E$1645,MATCH(C1404&amp;D1404,'OD flujo mercancia multimodal'!C$45:C$1645&amp;'OD flujo mercancia multimodal'!D$45:D$1645,0))</f>
        <v>99485.230769230737</v>
      </c>
      <c r="F1404" s="11" cm="1">
        <f t="array" aca="1" ref="F1404" ca="1">INDEX('OD flujo mercancia carretera'!E$45:E$1646,MATCH(C1404&amp;D1404,'OD flujo mercancia carretera'!C$45:C$1646&amp;'OD flujo mercancia carretera'!D$45:D$1646,0))</f>
        <v>268963.26153846155</v>
      </c>
      <c r="G1404" s="11" cm="1">
        <f t="array" aca="1" ref="G1404" ca="1">INDEX('Coste Carretera'!E$46:E$1646,MATCH(C1404&amp;D1404,'Coste Carretera'!C$46:C$1646&amp;'Coste Carretera'!D$46:D$1646,0))</f>
        <v>3573193352.0000005</v>
      </c>
      <c r="H1404" s="11" cm="1">
        <f t="array" aca="1" ref="H1404" ca="1">INDEX('Coste multimodal'!E$46:E$1646,MATCH(C1404&amp;D1404,'Coste multimodal'!C$46:C$1646&amp;'Coste multimodal'!D$46:D$1646,0))</f>
        <v>316439332.22688121</v>
      </c>
      <c r="I1404" s="12" cm="1">
        <f t="array" aca="1" ref="I1404" ca="1">INDEX('Tiempos intermodal (horas)'!E$45:E$1645,MATCH(C1404&amp;D1404,'Tiempos intermodal (horas)'!C$45:C$1645&amp;'Tiempos intermodal (horas)'!D$45:D$1645,0))</f>
        <v>119.28557722761825</v>
      </c>
      <c r="J1404" s="2" cm="1">
        <f t="array" aca="1" ref="J1404" ca="1">INDEX('Tiempos carretera (horas)'!E$45:E$1645,MATCH(C1404&amp;D1404,'Tiempos carretera (horas)'!C$45:C$1645&amp;'Tiempos carretera (horas)'!D$45:D$1645,0))</f>
        <v>18.46</v>
      </c>
      <c r="K1404" s="12">
        <f t="shared" ca="1" si="132"/>
        <v>13.285061058381894</v>
      </c>
      <c r="L1404" s="12">
        <f t="shared" ca="1" si="133"/>
        <v>3.1807669317358718</v>
      </c>
      <c r="M1404" s="12">
        <f t="shared" ca="1" si="134"/>
        <v>0.27001123046026843</v>
      </c>
      <c r="N1404" s="13">
        <f t="shared" ca="1" si="130"/>
        <v>10.104294126646021</v>
      </c>
      <c r="O1404" s="13">
        <f t="shared" ca="1" si="131"/>
        <v>-100.82557722761825</v>
      </c>
      <c r="P1404" s="12">
        <f t="shared" ca="1" si="135"/>
        <v>0.9945655974013039</v>
      </c>
    </row>
    <row r="1405" spans="1:16" x14ac:dyDescent="0.25">
      <c r="A1405">
        <v>33</v>
      </c>
      <c r="B1405">
        <v>16</v>
      </c>
      <c r="C1405" s="2" t="s">
        <v>32</v>
      </c>
      <c r="D1405" s="2" t="s">
        <v>15</v>
      </c>
      <c r="E1405" s="11" cm="1">
        <f t="array" aca="1" ref="E1405" ca="1">INDEX('OD flujo mercancia multimodal'!E$45:E$1645,MATCH(C1405&amp;D1405,'OD flujo mercancia multimodal'!C$45:C$1645&amp;'OD flujo mercancia multimodal'!D$45:D$1645,0))</f>
        <v>67567.846153846185</v>
      </c>
      <c r="F1405" s="11" cm="1">
        <f t="array" aca="1" ref="F1405" ca="1">INDEX('OD flujo mercancia carretera'!E$45:E$1646,MATCH(C1405&amp;D1405,'OD flujo mercancia carretera'!C$45:C$1646&amp;'OD flujo mercancia carretera'!D$45:D$1646,0))</f>
        <v>623251.71282051248</v>
      </c>
      <c r="G1405" s="11" cm="1">
        <f t="array" aca="1" ref="G1405" ca="1">INDEX('Coste Carretera'!E$46:E$1646,MATCH(C1405&amp;D1405,'Coste Carretera'!C$46:C$1646&amp;'Coste Carretera'!D$46:D$1646,0))</f>
        <v>3743876888.0000029</v>
      </c>
      <c r="H1405" s="11" cm="1">
        <f t="array" aca="1" ref="H1405" ca="1">INDEX('Coste multimodal'!E$46:E$1646,MATCH(C1405&amp;D1405,'Coste multimodal'!C$46:C$1646&amp;'Coste multimodal'!D$46:D$1646,0))</f>
        <v>316439332.22688121</v>
      </c>
      <c r="I1405" s="12" cm="1">
        <f t="array" aca="1" ref="I1405" ca="1">INDEX('Tiempos intermodal (horas)'!E$45:E$1645,MATCH(C1405&amp;D1405,'Tiempos intermodal (horas)'!C$45:C$1645&amp;'Tiempos intermodal (horas)'!D$45:D$1645,0))</f>
        <v>119.28557722761825</v>
      </c>
      <c r="J1405" s="2" cm="1">
        <f t="array" aca="1" ref="J1405" ca="1">INDEX('Tiempos carretera (horas)'!E$45:E$1645,MATCH(C1405&amp;D1405,'Tiempos carretera (horas)'!C$45:C$1645&amp;'Tiempos carretera (horas)'!D$45:D$1645,0))</f>
        <v>18.46</v>
      </c>
      <c r="K1405" s="12">
        <f t="shared" ca="1" si="132"/>
        <v>6.0070061758148512</v>
      </c>
      <c r="L1405" s="12">
        <f t="shared" ca="1" si="133"/>
        <v>4.6832828074225716</v>
      </c>
      <c r="M1405" s="12">
        <f t="shared" ca="1" si="134"/>
        <v>9.7808241350552313E-2</v>
      </c>
      <c r="N1405" s="13">
        <f t="shared" ca="1" si="130"/>
        <v>1.3237233683922796</v>
      </c>
      <c r="O1405" s="13">
        <f t="shared" ca="1" si="131"/>
        <v>-100.82557722761825</v>
      </c>
      <c r="P1405" s="12">
        <f t="shared" ca="1" si="135"/>
        <v>2.2218182493272014</v>
      </c>
    </row>
    <row r="1406" spans="1:16" x14ac:dyDescent="0.25">
      <c r="A1406">
        <v>16</v>
      </c>
      <c r="B1406">
        <v>35</v>
      </c>
      <c r="C1406" s="2" t="s">
        <v>15</v>
      </c>
      <c r="D1406" s="2" t="s">
        <v>34</v>
      </c>
      <c r="E1406" s="11" cm="1">
        <f t="array" aca="1" ref="E1406" ca="1">INDEX('OD flujo mercancia multimodal'!E$45:E$1645,MATCH(C1406&amp;D1406,'OD flujo mercancia multimodal'!C$45:C$1645&amp;'OD flujo mercancia multimodal'!D$45:D$1645,0))</f>
        <v>58414.076923076937</v>
      </c>
      <c r="F1406" s="11" cm="1">
        <f t="array" aca="1" ref="F1406" ca="1">INDEX('OD flujo mercancia carretera'!E$45:E$1646,MATCH(C1406&amp;D1406,'OD flujo mercancia carretera'!C$45:C$1646&amp;'OD flujo mercancia carretera'!D$45:D$1646,0))</f>
        <v>184935.07692307697</v>
      </c>
      <c r="G1406" s="11" cm="1">
        <f t="array" aca="1" ref="G1406" ca="1">INDEX('Coste Carretera'!E$46:E$1646,MATCH(C1406&amp;D1406,'Coste Carretera'!C$46:C$1646&amp;'Coste Carretera'!D$46:D$1646,0))</f>
        <v>31691514026.600029</v>
      </c>
      <c r="H1406" s="11" cm="1">
        <f t="array" aca="1" ref="H1406" ca="1">INDEX('Coste multimodal'!E$46:E$1646,MATCH(C1406&amp;D1406,'Coste multimodal'!C$46:C$1646&amp;'Coste multimodal'!D$46:D$1646,0))</f>
        <v>2184113292.0545859</v>
      </c>
      <c r="I1406" s="12" cm="1">
        <f t="array" aca="1" ref="I1406" ca="1">INDEX('Tiempos intermodal (horas)'!E$45:E$1645,MATCH(C1406&amp;D1406,'Tiempos intermodal (horas)'!C$45:C$1645&amp;'Tiempos intermodal (horas)'!D$45:D$1645,0))</f>
        <v>122.32020364114113</v>
      </c>
      <c r="J1406" s="2" cm="1">
        <f t="array" aca="1" ref="J1406" ca="1">INDEX('Tiempos carretera (horas)'!E$45:E$1645,MATCH(C1406&amp;D1406,'Tiempos carretera (horas)'!C$45:C$1645&amp;'Tiempos carretera (horas)'!D$45:D$1645,0))</f>
        <v>18.399999999999999</v>
      </c>
      <c r="K1406" s="12">
        <f t="shared" ca="1" si="132"/>
        <v>171.36561951296019</v>
      </c>
      <c r="L1406" s="12">
        <f t="shared" ca="1" si="133"/>
        <v>37.390187555830998</v>
      </c>
      <c r="M1406" s="12">
        <f t="shared" ca="1" si="134"/>
        <v>0.24004224382882589</v>
      </c>
      <c r="N1406" s="13">
        <f t="shared" ca="1" si="130"/>
        <v>133.97543195712919</v>
      </c>
      <c r="O1406" s="13">
        <f t="shared" ca="1" si="131"/>
        <v>-103.92020364114114</v>
      </c>
      <c r="P1406" s="12">
        <f t="shared" ca="1" si="135"/>
        <v>1.1524479239437906</v>
      </c>
    </row>
    <row r="1407" spans="1:16" x14ac:dyDescent="0.25">
      <c r="A1407">
        <v>35</v>
      </c>
      <c r="B1407">
        <v>16</v>
      </c>
      <c r="C1407" s="2" t="s">
        <v>34</v>
      </c>
      <c r="D1407" s="2" t="s">
        <v>15</v>
      </c>
      <c r="E1407" s="11" cm="1">
        <f t="array" aca="1" ref="E1407" ca="1">INDEX('OD flujo mercancia multimodal'!E$45:E$1645,MATCH(C1407&amp;D1407,'OD flujo mercancia multimodal'!C$45:C$1645&amp;'OD flujo mercancia multimodal'!D$45:D$1645,0))</f>
        <v>47155.538461538497</v>
      </c>
      <c r="F1407" s="11" cm="1">
        <f t="array" aca="1" ref="F1407" ca="1">INDEX('OD flujo mercancia carretera'!E$45:E$1646,MATCH(C1407&amp;D1407,'OD flujo mercancia carretera'!C$45:C$1646&amp;'OD flujo mercancia carretera'!D$45:D$1646,0))</f>
        <v>544659.07692307665</v>
      </c>
      <c r="G1407" s="11" cm="1">
        <f t="array" aca="1" ref="G1407" ca="1">INDEX('Coste Carretera'!E$46:E$1646,MATCH(C1407&amp;D1407,'Coste Carretera'!C$46:C$1646&amp;'Coste Carretera'!D$46:D$1646,0))</f>
        <v>15467488102.560001</v>
      </c>
      <c r="H1407" s="11" cm="1">
        <f t="array" aca="1" ref="H1407" ca="1">INDEX('Coste multimodal'!E$46:E$1646,MATCH(C1407&amp;D1407,'Coste multimodal'!C$46:C$1646&amp;'Coste multimodal'!D$46:D$1646,0))</f>
        <v>2184113292.0545859</v>
      </c>
      <c r="I1407" s="12" cm="1">
        <f t="array" aca="1" ref="I1407" ca="1">INDEX('Tiempos intermodal (horas)'!E$45:E$1645,MATCH(C1407&amp;D1407,'Tiempos intermodal (horas)'!C$45:C$1645&amp;'Tiempos intermodal (horas)'!D$45:D$1645,0))</f>
        <v>122.32020364114113</v>
      </c>
      <c r="J1407" s="2" cm="1">
        <f t="array" aca="1" ref="J1407" ca="1">INDEX('Tiempos carretera (horas)'!E$45:E$1645,MATCH(C1407&amp;D1407,'Tiempos carretera (horas)'!C$45:C$1645&amp;'Tiempos carretera (horas)'!D$45:D$1645,0))</f>
        <v>18.399999999999999</v>
      </c>
      <c r="K1407" s="12">
        <f t="shared" ca="1" si="132"/>
        <v>28.398476694705867</v>
      </c>
      <c r="L1407" s="12">
        <f t="shared" ca="1" si="133"/>
        <v>46.317216668748593</v>
      </c>
      <c r="M1407" s="12">
        <f t="shared" ca="1" si="134"/>
        <v>7.9679577414445105E-2</v>
      </c>
      <c r="N1407" s="13">
        <f t="shared" ca="1" si="130"/>
        <v>-17.918739974042726</v>
      </c>
      <c r="O1407" s="13">
        <f t="shared" ca="1" si="131"/>
        <v>-103.92020364114114</v>
      </c>
      <c r="P1407" s="12">
        <f t="shared" ca="1" si="135"/>
        <v>2.4467085850961712</v>
      </c>
    </row>
    <row r="1408" spans="1:16" x14ac:dyDescent="0.25">
      <c r="A1408">
        <v>32</v>
      </c>
      <c r="B1408">
        <v>18</v>
      </c>
      <c r="C1408" s="2" t="s">
        <v>31</v>
      </c>
      <c r="D1408" s="2" t="s">
        <v>17</v>
      </c>
      <c r="E1408" s="11" cm="1">
        <f t="array" aca="1" ref="E1408" ca="1">INDEX('OD flujo mercancia multimodal'!E$45:E$1645,MATCH(C1408&amp;D1408,'OD flujo mercancia multimodal'!C$45:C$1645&amp;'OD flujo mercancia multimodal'!D$45:D$1645,0))</f>
        <v>23843.846153846123</v>
      </c>
      <c r="F1408" s="11" cm="1">
        <f t="array" aca="1" ref="F1408" ca="1">INDEX('OD flujo mercancia carretera'!E$45:E$1646,MATCH(C1408&amp;D1408,'OD flujo mercancia carretera'!C$45:C$1646&amp;'OD flujo mercancia carretera'!D$45:D$1646,0))</f>
        <v>99195.984615384601</v>
      </c>
      <c r="G1408" s="11" cm="1">
        <f t="array" aca="1" ref="G1408" ca="1">INDEX('Coste Carretera'!E$46:E$1646,MATCH(C1408&amp;D1408,'Coste Carretera'!C$46:C$1646&amp;'Coste Carretera'!D$46:D$1646,0))</f>
        <v>2990962283.9599962</v>
      </c>
      <c r="H1408" s="11" cm="1">
        <f t="array" aca="1" ref="H1408" ca="1">INDEX('Coste multimodal'!E$46:E$1646,MATCH(C1408&amp;D1408,'Coste multimodal'!C$46:C$1646&amp;'Coste multimodal'!D$46:D$1646,0))</f>
        <v>230948704.77088121</v>
      </c>
      <c r="I1408" s="12" cm="1">
        <f t="array" aca="1" ref="I1408" ca="1">INDEX('Tiempos intermodal (horas)'!E$45:E$1645,MATCH(C1408&amp;D1408,'Tiempos intermodal (horas)'!C$45:C$1645&amp;'Tiempos intermodal (horas)'!D$45:D$1645,0))</f>
        <v>122.63446611650713</v>
      </c>
      <c r="J1408" s="2" cm="1">
        <f t="array" aca="1" ref="J1408" ca="1">INDEX('Tiempos carretera (horas)'!E$45:E$1645,MATCH(C1408&amp;D1408,'Tiempos carretera (horas)'!C$45:C$1645&amp;'Tiempos carretera (horas)'!D$45:D$1645,0))</f>
        <v>21.52</v>
      </c>
      <c r="K1408" s="12">
        <f t="shared" ca="1" si="132"/>
        <v>30.152049960055731</v>
      </c>
      <c r="L1408" s="12">
        <f t="shared" ca="1" si="133"/>
        <v>9.6858830274589796</v>
      </c>
      <c r="M1408" s="12">
        <f t="shared" ca="1" si="134"/>
        <v>0.19378965335678022</v>
      </c>
      <c r="N1408" s="13">
        <f t="shared" ref="N1408:N1471" ca="1" si="136">K1408-L1408</f>
        <v>20.466166932596749</v>
      </c>
      <c r="O1408" s="13">
        <f t="shared" ref="O1408:O1471" ca="1" si="137">J1408-I1408</f>
        <v>-101.11446611650713</v>
      </c>
      <c r="P1408" s="12">
        <f t="shared" ca="1" si="135"/>
        <v>1.4255713746629093</v>
      </c>
    </row>
    <row r="1409" spans="1:16" x14ac:dyDescent="0.25">
      <c r="A1409">
        <v>18</v>
      </c>
      <c r="B1409">
        <v>32</v>
      </c>
      <c r="C1409" s="2" t="s">
        <v>17</v>
      </c>
      <c r="D1409" s="2" t="s">
        <v>31</v>
      </c>
      <c r="E1409" s="11" cm="1">
        <f t="array" aca="1" ref="E1409" ca="1">INDEX('OD flujo mercancia multimodal'!E$45:E$1645,MATCH(C1409&amp;D1409,'OD flujo mercancia multimodal'!C$45:C$1645&amp;'OD flujo mercancia multimodal'!D$45:D$1645,0))</f>
        <v>7217</v>
      </c>
      <c r="F1409" s="11" cm="1">
        <f t="array" aca="1" ref="F1409" ca="1">INDEX('OD flujo mercancia carretera'!E$45:E$1646,MATCH(C1409&amp;D1409,'OD flujo mercancia carretera'!C$45:C$1646&amp;'OD flujo mercancia carretera'!D$45:D$1646,0))</f>
        <v>105406.11538461538</v>
      </c>
      <c r="G1409" s="11" cm="1">
        <f t="array" aca="1" ref="G1409" ca="1">INDEX('Coste Carretera'!E$46:E$1646,MATCH(C1409&amp;D1409,'Coste Carretera'!C$46:C$1646&amp;'Coste Carretera'!D$46:D$1646,0))</f>
        <v>1096177235.9600003</v>
      </c>
      <c r="H1409" s="11" cm="1">
        <f t="array" aca="1" ref="H1409" ca="1">INDEX('Coste multimodal'!E$46:E$1646,MATCH(C1409&amp;D1409,'Coste multimodal'!C$46:C$1646&amp;'Coste multimodal'!D$46:D$1646,0))</f>
        <v>230948704.77088121</v>
      </c>
      <c r="I1409" s="12" cm="1">
        <f t="array" aca="1" ref="I1409" ca="1">INDEX('Tiempos intermodal (horas)'!E$45:E$1645,MATCH(C1409&amp;D1409,'Tiempos intermodal (horas)'!C$45:C$1645&amp;'Tiempos intermodal (horas)'!D$45:D$1645,0))</f>
        <v>122.63446611650713</v>
      </c>
      <c r="J1409" s="2" cm="1">
        <f t="array" aca="1" ref="J1409" ca="1">INDEX('Tiempos carretera (horas)'!E$45:E$1645,MATCH(C1409&amp;D1409,'Tiempos carretera (horas)'!C$45:C$1645&amp;'Tiempos carretera (horas)'!D$45:D$1645,0))</f>
        <v>21.52</v>
      </c>
      <c r="K1409" s="12">
        <f t="shared" ca="1" si="132"/>
        <v>10.399560138993545</v>
      </c>
      <c r="L1409" s="12">
        <f t="shared" ca="1" si="133"/>
        <v>32.000651901189023</v>
      </c>
      <c r="M1409" s="12">
        <f t="shared" ca="1" si="134"/>
        <v>6.4080983511719314E-2</v>
      </c>
      <c r="N1409" s="13">
        <f t="shared" ca="1" si="136"/>
        <v>-21.60109176219548</v>
      </c>
      <c r="O1409" s="13">
        <f t="shared" ca="1" si="137"/>
        <v>-101.11446611650713</v>
      </c>
      <c r="P1409" s="12">
        <f t="shared" ca="1" si="135"/>
        <v>2.6813813010608896</v>
      </c>
    </row>
    <row r="1410" spans="1:16" x14ac:dyDescent="0.25">
      <c r="A1410">
        <v>5</v>
      </c>
      <c r="B1410">
        <v>16</v>
      </c>
      <c r="C1410" s="2" t="s">
        <v>4</v>
      </c>
      <c r="D1410" s="2" t="s">
        <v>15</v>
      </c>
      <c r="E1410" s="11" cm="1">
        <f t="array" aca="1" ref="E1410" ca="1">INDEX('OD flujo mercancia multimodal'!E$45:E$1645,MATCH(C1410&amp;D1410,'OD flujo mercancia multimodal'!C$45:C$1645&amp;'OD flujo mercancia multimodal'!D$45:D$1645,0))</f>
        <v>83954.30219780223</v>
      </c>
      <c r="F1410" s="11" cm="1">
        <f t="array" aca="1" ref="F1410" ca="1">INDEX('OD flujo mercancia carretera'!E$45:E$1646,MATCH(C1410&amp;D1410,'OD flujo mercancia carretera'!C$45:C$1646&amp;'OD flujo mercancia carretera'!D$45:D$1646,0))</f>
        <v>595797.7692307689</v>
      </c>
      <c r="G1410" s="11" cm="1">
        <f t="array" aca="1" ref="G1410" ca="1">INDEX('Coste Carretera'!E$46:E$1646,MATCH(C1410&amp;D1410,'Coste Carretera'!C$46:C$1646&amp;'Coste Carretera'!D$46:D$1646,0))</f>
        <v>9506407575.2800026</v>
      </c>
      <c r="H1410" s="11" cm="1">
        <f t="array" aca="1" ref="H1410" ca="1">INDEX('Coste multimodal'!E$46:E$1646,MATCH(C1410&amp;D1410,'Coste multimodal'!C$46:C$1646&amp;'Coste multimodal'!D$46:D$1646,0))</f>
        <v>525781329.67286134</v>
      </c>
      <c r="I1410" s="12" cm="1">
        <f t="array" aca="1" ref="I1410" ca="1">INDEX('Tiempos intermodal (horas)'!E$45:E$1645,MATCH(C1410&amp;D1410,'Tiempos intermodal (horas)'!C$45:C$1645&amp;'Tiempos intermodal (horas)'!D$45:D$1645,0))</f>
        <v>122.65114694772898</v>
      </c>
      <c r="J1410" s="2" cm="1">
        <f t="array" aca="1" ref="J1410" ca="1">INDEX('Tiempos carretera (horas)'!E$45:E$1645,MATCH(C1410&amp;D1410,'Tiempos carretera (horas)'!C$45:C$1645&amp;'Tiempos carretera (horas)'!D$45:D$1645,0))</f>
        <v>21.06</v>
      </c>
      <c r="K1410" s="12">
        <f t="shared" ca="1" si="132"/>
        <v>15.955762284161739</v>
      </c>
      <c r="L1410" s="12">
        <f t="shared" ca="1" si="133"/>
        <v>6.2627085915631051</v>
      </c>
      <c r="M1410" s="12">
        <f t="shared" ca="1" si="134"/>
        <v>0.12350723995789134</v>
      </c>
      <c r="N1410" s="13">
        <f t="shared" ca="1" si="136"/>
        <v>9.6930536925986353</v>
      </c>
      <c r="O1410" s="13">
        <f t="shared" ca="1" si="137"/>
        <v>-101.59114694772897</v>
      </c>
      <c r="P1410" s="12">
        <f t="shared" ca="1" si="135"/>
        <v>1.9596286667591341</v>
      </c>
    </row>
    <row r="1411" spans="1:16" x14ac:dyDescent="0.25">
      <c r="A1411">
        <v>16</v>
      </c>
      <c r="B1411">
        <v>10</v>
      </c>
      <c r="C1411" s="2" t="s">
        <v>15</v>
      </c>
      <c r="D1411" s="2" t="s">
        <v>9</v>
      </c>
      <c r="E1411" s="11" cm="1">
        <f t="array" aca="1" ref="E1411" ca="1">INDEX('OD flujo mercancia multimodal'!E$45:E$1645,MATCH(C1411&amp;D1411,'OD flujo mercancia multimodal'!C$45:C$1645&amp;'OD flujo mercancia multimodal'!D$45:D$1645,0))</f>
        <v>56398.675824175836</v>
      </c>
      <c r="F1411" s="11" cm="1">
        <f t="array" aca="1" ref="F1411" ca="1">INDEX('OD flujo mercancia carretera'!E$45:E$1646,MATCH(C1411&amp;D1411,'OD flujo mercancia carretera'!C$45:C$1646&amp;'OD flujo mercancia carretera'!D$45:D$1646,0))</f>
        <v>263964.46153846156</v>
      </c>
      <c r="G1411" s="11" cm="1">
        <f t="array" aca="1" ref="G1411" ca="1">INDEX('Coste Carretera'!E$46:E$1646,MATCH(C1411&amp;D1411,'Coste Carretera'!C$46:C$1646&amp;'Coste Carretera'!D$46:D$1646,0))</f>
        <v>6578731826.9685717</v>
      </c>
      <c r="H1411" s="11" cm="1">
        <f t="array" aca="1" ref="H1411" ca="1">INDEX('Coste multimodal'!E$46:E$1646,MATCH(C1411&amp;D1411,'Coste multimodal'!C$46:C$1646&amp;'Coste multimodal'!D$46:D$1646,0))</f>
        <v>573117106.73286128</v>
      </c>
      <c r="I1411" s="12" cm="1">
        <f t="array" aca="1" ref="I1411" ca="1">INDEX('Tiempos intermodal (horas)'!E$45:E$1645,MATCH(C1411&amp;D1411,'Tiempos intermodal (horas)'!C$45:C$1645&amp;'Tiempos intermodal (horas)'!D$45:D$1645,0))</f>
        <v>123.63892472550675</v>
      </c>
      <c r="J1411" s="2" cm="1">
        <f t="array" aca="1" ref="J1411" ca="1">INDEX('Tiempos carretera (horas)'!E$45:E$1645,MATCH(C1411&amp;D1411,'Tiempos carretera (horas)'!C$45:C$1645&amp;'Tiempos carretera (horas)'!D$45:D$1645,0))</f>
        <v>21.95</v>
      </c>
      <c r="K1411" s="12">
        <f t="shared" ca="1" si="132"/>
        <v>24.922793729980967</v>
      </c>
      <c r="L1411" s="12">
        <f t="shared" ca="1" si="133"/>
        <v>10.161889412431721</v>
      </c>
      <c r="M1411" s="12">
        <f t="shared" ca="1" si="134"/>
        <v>0.17604608410466072</v>
      </c>
      <c r="N1411" s="13">
        <f t="shared" ca="1" si="136"/>
        <v>14.760904317549246</v>
      </c>
      <c r="O1411" s="13">
        <f t="shared" ca="1" si="137"/>
        <v>-101.68892472550675</v>
      </c>
      <c r="P1411" s="12">
        <f t="shared" ca="1" si="135"/>
        <v>1.5433687987665978</v>
      </c>
    </row>
    <row r="1412" spans="1:16" x14ac:dyDescent="0.25">
      <c r="A1412">
        <v>10</v>
      </c>
      <c r="B1412">
        <v>16</v>
      </c>
      <c r="C1412" s="2" t="s">
        <v>9</v>
      </c>
      <c r="D1412" s="2" t="s">
        <v>15</v>
      </c>
      <c r="E1412" s="11" cm="1">
        <f t="array" aca="1" ref="E1412" ca="1">INDEX('OD flujo mercancia multimodal'!E$45:E$1645,MATCH(C1412&amp;D1412,'OD flujo mercancia multimodal'!C$45:C$1645&amp;'OD flujo mercancia multimodal'!D$45:D$1645,0))</f>
        <v>51462.80219780223</v>
      </c>
      <c r="F1412" s="11" cm="1">
        <f t="array" aca="1" ref="F1412" ca="1">INDEX('OD flujo mercancia carretera'!E$45:E$1646,MATCH(C1412&amp;D1412,'OD flujo mercancia carretera'!C$45:C$1646&amp;'OD flujo mercancia carretera'!D$45:D$1646,0))</f>
        <v>621200.61538461514</v>
      </c>
      <c r="G1412" s="11" cm="1">
        <f t="array" aca="1" ref="G1412" ca="1">INDEX('Coste Carretera'!E$46:E$1646,MATCH(C1412&amp;D1412,'Coste Carretera'!C$46:C$1646&amp;'Coste Carretera'!D$46:D$1646,0))</f>
        <v>6002977370.9428606</v>
      </c>
      <c r="H1412" s="11" cm="1">
        <f t="array" aca="1" ref="H1412" ca="1">INDEX('Coste multimodal'!E$46:E$1646,MATCH(C1412&amp;D1412,'Coste multimodal'!C$46:C$1646&amp;'Coste multimodal'!D$46:D$1646,0))</f>
        <v>573117106.73286128</v>
      </c>
      <c r="I1412" s="12" cm="1">
        <f t="array" aca="1" ref="I1412" ca="1">INDEX('Tiempos intermodal (horas)'!E$45:E$1645,MATCH(C1412&amp;D1412,'Tiempos intermodal (horas)'!C$45:C$1645&amp;'Tiempos intermodal (horas)'!D$45:D$1645,0))</f>
        <v>123.63892472550675</v>
      </c>
      <c r="J1412" s="2" cm="1">
        <f t="array" aca="1" ref="J1412" ca="1">INDEX('Tiempos carretera (horas)'!E$45:E$1645,MATCH(C1412&amp;D1412,'Tiempos carretera (horas)'!C$45:C$1645&amp;'Tiempos carretera (horas)'!D$45:D$1645,0))</f>
        <v>21.95</v>
      </c>
      <c r="K1412" s="12">
        <f t="shared" ca="1" si="132"/>
        <v>9.6635084098011212</v>
      </c>
      <c r="L1412" s="12">
        <f t="shared" ca="1" si="133"/>
        <v>11.136531285840801</v>
      </c>
      <c r="M1412" s="12">
        <f t="shared" ca="1" si="134"/>
        <v>7.6506021960822332E-2</v>
      </c>
      <c r="N1412" s="13">
        <f t="shared" ca="1" si="136"/>
        <v>-1.4730228760396802</v>
      </c>
      <c r="O1412" s="13">
        <f t="shared" ca="1" si="137"/>
        <v>-101.68892472550675</v>
      </c>
      <c r="P1412" s="12">
        <f t="shared" ca="1" si="135"/>
        <v>2.4907948226393661</v>
      </c>
    </row>
    <row r="1413" spans="1:16" x14ac:dyDescent="0.25">
      <c r="A1413">
        <v>1</v>
      </c>
      <c r="B1413">
        <v>15</v>
      </c>
      <c r="C1413" s="2" t="s">
        <v>0</v>
      </c>
      <c r="D1413" s="2" t="s">
        <v>14</v>
      </c>
      <c r="E1413" s="11" cm="1">
        <f t="array" aca="1" ref="E1413" ca="1">INDEX('OD flujo mercancia multimodal'!E$45:E$1645,MATCH(C1413&amp;D1413,'OD flujo mercancia multimodal'!C$45:C$1645&amp;'OD flujo mercancia multimodal'!D$45:D$1645,0))</f>
        <v>133338.84065934064</v>
      </c>
      <c r="F1413" s="11" cm="1">
        <f t="array" aca="1" ref="F1413" ca="1">INDEX('OD flujo mercancia carretera'!E$45:E$1646,MATCH(C1413&amp;D1413,'OD flujo mercancia carretera'!C$45:C$1646&amp;'OD flujo mercancia carretera'!D$45:D$1646,0))</f>
        <v>340348.46153846203</v>
      </c>
      <c r="G1413" s="11" cm="1">
        <f t="array" aca="1" ref="G1413" ca="1">INDEX('Coste Carretera'!E$46:E$1646,MATCH(C1413&amp;D1413,'Coste Carretera'!C$46:C$1646&amp;'Coste Carretera'!D$46:D$1646,0))</f>
        <v>10042238776.988569</v>
      </c>
      <c r="H1413" s="11" cm="1">
        <f t="array" aca="1" ref="H1413" ca="1">INDEX('Coste multimodal'!E$46:E$1646,MATCH(C1413&amp;D1413,'Coste multimodal'!C$46:C$1646&amp;'Coste multimodal'!D$46:D$1646,0))</f>
        <v>662783378.70072949</v>
      </c>
      <c r="I1413" s="12" cm="1">
        <f t="array" aca="1" ref="I1413" ca="1">INDEX('Tiempos intermodal (horas)'!E$45:E$1645,MATCH(C1413&amp;D1413,'Tiempos intermodal (horas)'!C$45:C$1645&amp;'Tiempos intermodal (horas)'!D$45:D$1645,0))</f>
        <v>116.400722949512</v>
      </c>
      <c r="J1413" s="2" cm="1">
        <f t="array" aca="1" ref="J1413" ca="1">INDEX('Tiempos carretera (horas)'!E$45:E$1645,MATCH(C1413&amp;D1413,'Tiempos carretera (horas)'!C$45:C$1645&amp;'Tiempos carretera (horas)'!D$45:D$1645,0))</f>
        <v>14.42</v>
      </c>
      <c r="K1413" s="12">
        <f t="shared" ca="1" si="132"/>
        <v>29.505756340413832</v>
      </c>
      <c r="L1413" s="12">
        <f t="shared" ca="1" si="133"/>
        <v>4.9706700270031208</v>
      </c>
      <c r="M1413" s="12">
        <f t="shared" ca="1" si="134"/>
        <v>0.28149127080392145</v>
      </c>
      <c r="N1413" s="13">
        <f t="shared" ca="1" si="136"/>
        <v>24.535086313410712</v>
      </c>
      <c r="O1413" s="13">
        <f t="shared" ca="1" si="137"/>
        <v>-101.980722949512</v>
      </c>
      <c r="P1413" s="12">
        <f t="shared" ca="1" si="135"/>
        <v>0.93707641711814815</v>
      </c>
    </row>
    <row r="1414" spans="1:16" x14ac:dyDescent="0.25">
      <c r="A1414">
        <v>15</v>
      </c>
      <c r="B1414">
        <v>1</v>
      </c>
      <c r="C1414" s="2" t="s">
        <v>14</v>
      </c>
      <c r="D1414" s="2" t="s">
        <v>0</v>
      </c>
      <c r="E1414" s="11" cm="1">
        <f t="array" aca="1" ref="E1414" ca="1">INDEX('OD flujo mercancia multimodal'!E$45:E$1645,MATCH(C1414&amp;D1414,'OD flujo mercancia multimodal'!C$45:C$1645&amp;'OD flujo mercancia multimodal'!D$45:D$1645,0))</f>
        <v>118743.84065934064</v>
      </c>
      <c r="F1414" s="11" cm="1">
        <f t="array" aca="1" ref="F1414" ca="1">INDEX('OD flujo mercancia carretera'!E$45:E$1646,MATCH(C1414&amp;D1414,'OD flujo mercancia carretera'!C$45:C$1646&amp;'OD flujo mercancia carretera'!D$45:D$1646,0))</f>
        <v>343957.76923076931</v>
      </c>
      <c r="G1414" s="11" cm="1">
        <f t="array" aca="1" ref="G1414" ca="1">INDEX('Coste Carretera'!E$46:E$1646,MATCH(C1414&amp;D1414,'Coste Carretera'!C$46:C$1646&amp;'Coste Carretera'!D$46:D$1646,0))</f>
        <v>8943035617.3885689</v>
      </c>
      <c r="H1414" s="11" cm="1">
        <f t="array" aca="1" ref="H1414" ca="1">INDEX('Coste multimodal'!E$46:E$1646,MATCH(C1414&amp;D1414,'Coste multimodal'!C$46:C$1646&amp;'Coste multimodal'!D$46:D$1646,0))</f>
        <v>662783378.70072949</v>
      </c>
      <c r="I1414" s="12" cm="1">
        <f t="array" aca="1" ref="I1414" ca="1">INDEX('Tiempos intermodal (horas)'!E$45:E$1645,MATCH(C1414&amp;D1414,'Tiempos intermodal (horas)'!C$45:C$1645&amp;'Tiempos intermodal (horas)'!D$45:D$1645,0))</f>
        <v>116.400722949512</v>
      </c>
      <c r="J1414" s="2" cm="1">
        <f t="array" aca="1" ref="J1414" ca="1">INDEX('Tiempos carretera (horas)'!E$45:E$1645,MATCH(C1414&amp;D1414,'Tiempos carretera (horas)'!C$45:C$1645&amp;'Tiempos carretera (horas)'!D$45:D$1645,0))</f>
        <v>14.42</v>
      </c>
      <c r="K1414" s="12">
        <f t="shared" ca="1" si="132"/>
        <v>26.000388470331298</v>
      </c>
      <c r="L1414" s="12">
        <f t="shared" ca="1" si="133"/>
        <v>5.5816232237439722</v>
      </c>
      <c r="M1414" s="12">
        <f t="shared" ca="1" si="134"/>
        <v>0.25663157015499016</v>
      </c>
      <c r="N1414" s="13">
        <f t="shared" ca="1" si="136"/>
        <v>20.418765246587327</v>
      </c>
      <c r="O1414" s="13">
        <f t="shared" ca="1" si="137"/>
        <v>-101.980722949512</v>
      </c>
      <c r="P1414" s="12">
        <f t="shared" ca="1" si="135"/>
        <v>1.0635503125355714</v>
      </c>
    </row>
    <row r="1415" spans="1:16" x14ac:dyDescent="0.25">
      <c r="A1415">
        <v>16</v>
      </c>
      <c r="B1415">
        <v>7</v>
      </c>
      <c r="C1415" s="2" t="s">
        <v>15</v>
      </c>
      <c r="D1415" s="2" t="s">
        <v>6</v>
      </c>
      <c r="E1415" s="11" cm="1">
        <f t="array" aca="1" ref="E1415" ca="1">INDEX('OD flujo mercancia multimodal'!E$45:E$1645,MATCH(C1415&amp;D1415,'OD flujo mercancia multimodal'!C$45:C$1645&amp;'OD flujo mercancia multimodal'!D$45:D$1645,0))</f>
        <v>40273.247252747249</v>
      </c>
      <c r="F1415" s="11" cm="1">
        <f t="array" aca="1" ref="F1415" ca="1">INDEX('OD flujo mercancia carretera'!E$45:E$1646,MATCH(C1415&amp;D1415,'OD flujo mercancia carretera'!C$45:C$1646&amp;'OD flujo mercancia carretera'!D$45:D$1646,0))</f>
        <v>231657.61538461538</v>
      </c>
      <c r="G1415" s="11" cm="1">
        <f t="array" aca="1" ref="G1415" ca="1">INDEX('Coste Carretera'!E$46:E$1646,MATCH(C1415&amp;D1415,'Coste Carretera'!C$46:C$1646&amp;'Coste Carretera'!D$46:D$1646,0))</f>
        <v>4513732118.1542854</v>
      </c>
      <c r="H1415" s="11" cm="1">
        <f t="array" aca="1" ref="H1415" ca="1">INDEX('Coste multimodal'!E$46:E$1646,MATCH(C1415&amp;D1415,'Coste multimodal'!C$46:C$1646&amp;'Coste multimodal'!D$46:D$1646,0))</f>
        <v>506549105.90143275</v>
      </c>
      <c r="I1415" s="12" cm="1">
        <f t="array" aca="1" ref="I1415" ca="1">INDEX('Tiempos intermodal (horas)'!E$45:E$1645,MATCH(C1415&amp;D1415,'Tiempos intermodal (horas)'!C$45:C$1645&amp;'Tiempos intermodal (horas)'!D$45:D$1645,0))</f>
        <v>30.843059911962744</v>
      </c>
      <c r="J1415" s="2" cm="1">
        <f t="array" aca="1" ref="J1415" ca="1">INDEX('Tiempos carretera (horas)'!E$45:E$1645,MATCH(C1415&amp;D1415,'Tiempos carretera (horas)'!C$45:C$1645&amp;'Tiempos carretera (horas)'!D$45:D$1645,0))</f>
        <v>21</v>
      </c>
      <c r="K1415" s="12">
        <f t="shared" ca="1" si="132"/>
        <v>19.484497026615113</v>
      </c>
      <c r="L1415" s="12">
        <f t="shared" ca="1" si="133"/>
        <v>12.577806371620017</v>
      </c>
      <c r="M1415" s="12">
        <f t="shared" ca="1" si="134"/>
        <v>0.14810105356247932</v>
      </c>
      <c r="N1415" s="13">
        <f t="shared" ca="1" si="136"/>
        <v>6.9066906549950957</v>
      </c>
      <c r="O1415" s="13">
        <f t="shared" ca="1" si="137"/>
        <v>-9.8430599119627438</v>
      </c>
      <c r="P1415" s="12">
        <f t="shared" ca="1" si="135"/>
        <v>1.7495730772200058</v>
      </c>
    </row>
    <row r="1416" spans="1:16" x14ac:dyDescent="0.25">
      <c r="A1416">
        <v>7</v>
      </c>
      <c r="B1416">
        <v>16</v>
      </c>
      <c r="C1416" s="2" t="s">
        <v>6</v>
      </c>
      <c r="D1416" s="2" t="s">
        <v>15</v>
      </c>
      <c r="E1416" s="11" cm="1">
        <f t="array" aca="1" ref="E1416" ca="1">INDEX('OD flujo mercancia multimodal'!E$45:E$1645,MATCH(C1416&amp;D1416,'OD flujo mercancia multimodal'!C$45:C$1645&amp;'OD flujo mercancia multimodal'!D$45:D$1645,0))</f>
        <v>40214.373626373657</v>
      </c>
      <c r="F1416" s="11" cm="1">
        <f t="array" aca="1" ref="F1416" ca="1">INDEX('OD flujo mercancia carretera'!E$45:E$1646,MATCH(C1416&amp;D1416,'OD flujo mercancia carretera'!C$45:C$1646&amp;'OD flujo mercancia carretera'!D$45:D$1646,0))</f>
        <v>586659.38461538428</v>
      </c>
      <c r="G1416" s="11" cm="1">
        <f t="array" aca="1" ref="G1416" ca="1">INDEX('Coste Carretera'!E$46:E$1646,MATCH(C1416&amp;D1416,'Coste Carretera'!C$46:C$1646&amp;'Coste Carretera'!D$46:D$1646,0))</f>
        <v>4507133698.6971464</v>
      </c>
      <c r="H1416" s="11" cm="1">
        <f t="array" aca="1" ref="H1416" ca="1">INDEX('Coste multimodal'!E$46:E$1646,MATCH(C1416&amp;D1416,'Coste multimodal'!C$46:C$1646&amp;'Coste multimodal'!D$46:D$1646,0))</f>
        <v>506549105.90143275</v>
      </c>
      <c r="I1416" s="12" cm="1">
        <f t="array" aca="1" ref="I1416" ca="1">INDEX('Tiempos intermodal (horas)'!E$45:E$1645,MATCH(C1416&amp;D1416,'Tiempos intermodal (horas)'!C$45:C$1645&amp;'Tiempos intermodal (horas)'!D$45:D$1645,0))</f>
        <v>30.843059911962744</v>
      </c>
      <c r="J1416" s="2" cm="1">
        <f t="array" aca="1" ref="J1416" ca="1">INDEX('Tiempos carretera (horas)'!E$45:E$1645,MATCH(C1416&amp;D1416,'Tiempos carretera (horas)'!C$45:C$1645&amp;'Tiempos carretera (horas)'!D$45:D$1645,0))</f>
        <v>21</v>
      </c>
      <c r="K1416" s="12">
        <f t="shared" ca="1" si="132"/>
        <v>7.6827096214476098</v>
      </c>
      <c r="L1416" s="12">
        <f t="shared" ca="1" si="133"/>
        <v>12.596220212397499</v>
      </c>
      <c r="M1416" s="12">
        <f t="shared" ca="1" si="134"/>
        <v>6.4150673237887743E-2</v>
      </c>
      <c r="N1416" s="13">
        <f t="shared" ca="1" si="136"/>
        <v>-4.9135105909498895</v>
      </c>
      <c r="O1416" s="13">
        <f t="shared" ca="1" si="137"/>
        <v>-9.8430599119627438</v>
      </c>
      <c r="P1416" s="12">
        <f t="shared" ca="1" si="135"/>
        <v>2.6802199020865989</v>
      </c>
    </row>
    <row r="1417" spans="1:16" x14ac:dyDescent="0.25">
      <c r="A1417">
        <v>36</v>
      </c>
      <c r="B1417">
        <v>15</v>
      </c>
      <c r="C1417" s="2" t="s">
        <v>35</v>
      </c>
      <c r="D1417" s="2" t="s">
        <v>14</v>
      </c>
      <c r="E1417" s="11" cm="1">
        <f t="array" aca="1" ref="E1417" ca="1">INDEX('OD flujo mercancia multimodal'!E$45:E$1645,MATCH(C1417&amp;D1417,'OD flujo mercancia multimodal'!C$45:C$1645&amp;'OD flujo mercancia multimodal'!D$45:D$1645,0))</f>
        <v>49826.999999999964</v>
      </c>
      <c r="F1417" s="11" cm="1">
        <f t="array" aca="1" ref="F1417" ca="1">INDEX('OD flujo mercancia carretera'!E$45:E$1646,MATCH(C1417&amp;D1417,'OD flujo mercancia carretera'!C$45:C$1646&amp;'OD flujo mercancia carretera'!D$45:D$1646,0))</f>
        <v>384945.38461538509</v>
      </c>
      <c r="G1417" s="11" cm="1">
        <f t="array" aca="1" ref="G1417" ca="1">INDEX('Coste Carretera'!E$46:E$1646,MATCH(C1417&amp;D1417,'Coste Carretera'!C$46:C$1646&amp;'Coste Carretera'!D$46:D$1646,0))</f>
        <v>4569192651.1999969</v>
      </c>
      <c r="H1417" s="11" cm="1">
        <f t="array" aca="1" ref="H1417" ca="1">INDEX('Coste multimodal'!E$46:E$1646,MATCH(C1417&amp;D1417,'Coste multimodal'!C$46:C$1646&amp;'Coste multimodal'!D$46:D$1646,0))</f>
        <v>437159265.07130092</v>
      </c>
      <c r="I1417" s="12" cm="1">
        <f t="array" aca="1" ref="I1417" ca="1">INDEX('Tiempos intermodal (horas)'!E$45:E$1645,MATCH(C1417&amp;D1417,'Tiempos intermodal (horas)'!C$45:C$1645&amp;'Tiempos intermodal (horas)'!D$45:D$1645,0))</f>
        <v>117.02072294951201</v>
      </c>
      <c r="J1417" s="2" cm="1">
        <f t="array" aca="1" ref="J1417" ca="1">INDEX('Tiempos carretera (horas)'!E$45:E$1645,MATCH(C1417&amp;D1417,'Tiempos carretera (horas)'!C$45:C$1645&amp;'Tiempos carretera (horas)'!D$45:D$1645,0))</f>
        <v>14.93</v>
      </c>
      <c r="K1417" s="12">
        <f t="shared" ca="1" si="132"/>
        <v>11.869716676211787</v>
      </c>
      <c r="L1417" s="12">
        <f t="shared" ca="1" si="133"/>
        <v>8.7735417559014444</v>
      </c>
      <c r="M1417" s="12">
        <f t="shared" ca="1" si="134"/>
        <v>0.11460479497583242</v>
      </c>
      <c r="N1417" s="13">
        <f t="shared" ca="1" si="136"/>
        <v>3.096174920310343</v>
      </c>
      <c r="O1417" s="13">
        <f t="shared" ca="1" si="137"/>
        <v>-102.09072294951201</v>
      </c>
      <c r="P1417" s="12">
        <f t="shared" ca="1" si="135"/>
        <v>2.0445444602981389</v>
      </c>
    </row>
    <row r="1418" spans="1:16" x14ac:dyDescent="0.25">
      <c r="A1418">
        <v>15</v>
      </c>
      <c r="B1418">
        <v>36</v>
      </c>
      <c r="C1418" s="2" t="s">
        <v>14</v>
      </c>
      <c r="D1418" s="2" t="s">
        <v>35</v>
      </c>
      <c r="E1418" s="11" cm="1">
        <f t="array" aca="1" ref="E1418" ca="1">INDEX('OD flujo mercancia multimodal'!E$45:E$1645,MATCH(C1418&amp;D1418,'OD flujo mercancia multimodal'!C$45:C$1645&amp;'OD flujo mercancia multimodal'!D$45:D$1645,0))</f>
        <v>29983.615384615379</v>
      </c>
      <c r="F1418" s="11" cm="1">
        <f t="array" aca="1" ref="F1418" ca="1">INDEX('OD flujo mercancia carretera'!E$45:E$1646,MATCH(C1418&amp;D1418,'OD flujo mercancia carretera'!C$45:C$1646&amp;'OD flujo mercancia carretera'!D$45:D$1646,0))</f>
        <v>386746.84615384624</v>
      </c>
      <c r="G1418" s="11" cm="1">
        <f t="array" aca="1" ref="G1418" ca="1">INDEX('Coste Carretera'!E$46:E$1646,MATCH(C1418&amp;D1418,'Coste Carretera'!C$46:C$1646&amp;'Coste Carretera'!D$46:D$1646,0))</f>
        <v>3924825288.3200006</v>
      </c>
      <c r="H1418" s="11" cm="1">
        <f t="array" aca="1" ref="H1418" ca="1">INDEX('Coste multimodal'!E$46:E$1646,MATCH(C1418&amp;D1418,'Coste multimodal'!C$46:C$1646&amp;'Coste multimodal'!D$46:D$1646,0))</f>
        <v>437159265.07130092</v>
      </c>
      <c r="I1418" s="12" cm="1">
        <f t="array" aca="1" ref="I1418" ca="1">INDEX('Tiempos intermodal (horas)'!E$45:E$1645,MATCH(C1418&amp;D1418,'Tiempos intermodal (horas)'!C$45:C$1645&amp;'Tiempos intermodal (horas)'!D$45:D$1645,0))</f>
        <v>117.02072294951201</v>
      </c>
      <c r="J1418" s="2" cm="1">
        <f t="array" aca="1" ref="J1418" ca="1">INDEX('Tiempos carretera (horas)'!E$45:E$1645,MATCH(C1418&amp;D1418,'Tiempos carretera (horas)'!C$45:C$1645&amp;'Tiempos carretera (horas)'!D$45:D$1645,0))</f>
        <v>14.93</v>
      </c>
      <c r="K1418" s="12">
        <f t="shared" ca="1" si="132"/>
        <v>10.148305868171764</v>
      </c>
      <c r="L1418" s="12">
        <f t="shared" ca="1" si="133"/>
        <v>14.579938391806071</v>
      </c>
      <c r="M1418" s="12">
        <f t="shared" ca="1" si="134"/>
        <v>7.1949660876537772E-2</v>
      </c>
      <c r="N1418" s="13">
        <f t="shared" ca="1" si="136"/>
        <v>-4.4316325236343062</v>
      </c>
      <c r="O1418" s="13">
        <f t="shared" ca="1" si="137"/>
        <v>-102.09072294951201</v>
      </c>
      <c r="P1418" s="12">
        <f t="shared" ca="1" si="135"/>
        <v>2.557119256059075</v>
      </c>
    </row>
    <row r="1419" spans="1:16" x14ac:dyDescent="0.25">
      <c r="A1419">
        <v>6</v>
      </c>
      <c r="B1419">
        <v>16</v>
      </c>
      <c r="C1419" s="2" t="s">
        <v>5</v>
      </c>
      <c r="D1419" s="2" t="s">
        <v>15</v>
      </c>
      <c r="E1419" s="11" cm="1">
        <f t="array" aca="1" ref="E1419" ca="1">INDEX('OD flujo mercancia multimodal'!E$45:E$1645,MATCH(C1419&amp;D1419,'OD flujo mercancia multimodal'!C$45:C$1645&amp;'OD flujo mercancia multimodal'!D$45:D$1645,0))</f>
        <v>48919.445054945085</v>
      </c>
      <c r="F1419" s="11" cm="1">
        <f t="array" aca="1" ref="F1419" ca="1">INDEX('OD flujo mercancia carretera'!E$45:E$1646,MATCH(C1419&amp;D1419,'OD flujo mercancia carretera'!C$45:C$1646&amp;'OD flujo mercancia carretera'!D$45:D$1646,0))</f>
        <v>658352.39194139163</v>
      </c>
      <c r="G1419" s="11" cm="1">
        <f t="array" aca="1" ref="G1419" ca="1">INDEX('Coste Carretera'!E$46:E$1646,MATCH(C1419&amp;D1419,'Coste Carretera'!C$46:C$1646&amp;'Coste Carretera'!D$46:D$1646,0))</f>
        <v>6009474005.7742891</v>
      </c>
      <c r="H1419" s="11" cm="1">
        <f t="array" aca="1" ref="H1419" ca="1">INDEX('Coste multimodal'!E$46:E$1646,MATCH(C1419&amp;D1419,'Coste multimodal'!C$46:C$1646&amp;'Coste multimodal'!D$46:D$1646,0))</f>
        <v>645238103.43571842</v>
      </c>
      <c r="I1419" s="12" cm="1">
        <f t="array" aca="1" ref="I1419" ca="1">INDEX('Tiempos intermodal (horas)'!E$45:E$1645,MATCH(C1419&amp;D1419,'Tiempos intermodal (horas)'!C$45:C$1645&amp;'Tiempos intermodal (horas)'!D$45:D$1645,0))</f>
        <v>125.19559139217343</v>
      </c>
      <c r="J1419" s="2" cm="1">
        <f t="array" aca="1" ref="J1419" ca="1">INDEX('Tiempos carretera (horas)'!E$45:E$1645,MATCH(C1419&amp;D1419,'Tiempos carretera (horas)'!C$45:C$1645&amp;'Tiempos carretera (horas)'!D$45:D$1645,0))</f>
        <v>22.56</v>
      </c>
      <c r="K1419" s="12">
        <f t="shared" ca="1" si="132"/>
        <v>9.1280506903805243</v>
      </c>
      <c r="L1419" s="12">
        <f t="shared" ca="1" si="133"/>
        <v>13.189808320822188</v>
      </c>
      <c r="M1419" s="12">
        <f t="shared" ca="1" si="134"/>
        <v>6.9166397551891301E-2</v>
      </c>
      <c r="N1419" s="13">
        <f t="shared" ca="1" si="136"/>
        <v>-4.0617576304416634</v>
      </c>
      <c r="O1419" s="13">
        <f t="shared" ca="1" si="137"/>
        <v>-102.63559139217342</v>
      </c>
      <c r="P1419" s="12">
        <f t="shared" ca="1" si="135"/>
        <v>2.599565371207825</v>
      </c>
    </row>
    <row r="1420" spans="1:16" x14ac:dyDescent="0.25">
      <c r="A1420">
        <v>15</v>
      </c>
      <c r="B1420">
        <v>9</v>
      </c>
      <c r="C1420" s="2" t="s">
        <v>14</v>
      </c>
      <c r="D1420" s="2" t="s">
        <v>148</v>
      </c>
      <c r="E1420" s="11" cm="1">
        <f t="array" aca="1" ref="E1420" ca="1">INDEX('OD flujo mercancia multimodal'!E$45:E$1645,MATCH(C1420&amp;D1420,'OD flujo mercancia multimodal'!C$45:C$1645&amp;'OD flujo mercancia multimodal'!D$45:D$1645,0))</f>
        <v>26861.223776223775</v>
      </c>
      <c r="F1420" s="11" cm="1">
        <f t="array" aca="1" ref="F1420" ca="1">INDEX('OD flujo mercancia carretera'!E$45:E$1646,MATCH(C1420&amp;D1420,'OD flujo mercancia carretera'!C$45:C$1646&amp;'OD flujo mercancia carretera'!D$45:D$1646,0))</f>
        <v>865553.54487179511</v>
      </c>
      <c r="G1420" s="11" cm="1">
        <f t="array" aca="1" ref="G1420" ca="1">INDEX('Coste Carretera'!E$46:E$1646,MATCH(C1420&amp;D1420,'Coste Carretera'!C$46:C$1646&amp;'Coste Carretera'!D$46:D$1646,0))</f>
        <v>2560513922.9999995</v>
      </c>
      <c r="H1420" s="11" cm="1">
        <f t="array" aca="1" ref="H1420" ca="1">INDEX('Coste multimodal'!E$46:E$1646,MATCH(C1420&amp;D1420,'Coste multimodal'!C$46:C$1646&amp;'Coste multimodal'!D$46:D$1646,0))</f>
        <v>530122752.43930089</v>
      </c>
      <c r="I1420" s="12" cm="1">
        <f t="array" aca="1" ref="I1420" ca="1">INDEX('Tiempos intermodal (horas)'!E$45:E$1645,MATCH(C1420&amp;D1420,'Tiempos intermodal (horas)'!C$45:C$1645&amp;'Tiempos intermodal (horas)'!D$45:D$1645,0))</f>
        <v>118.86183406062311</v>
      </c>
      <c r="J1420" s="2" cm="1">
        <f t="array" aca="1" ref="J1420" ca="1">INDEX('Tiempos carretera (horas)'!E$45:E$1645,MATCH(C1420&amp;D1420,'Tiempos carretera (horas)'!C$45:C$1645&amp;'Tiempos carretera (horas)'!D$45:D$1645,0))</f>
        <v>15.76</v>
      </c>
      <c r="K1420" s="12">
        <f t="shared" ca="1" si="132"/>
        <v>2.9582386187087484</v>
      </c>
      <c r="L1420" s="12">
        <f t="shared" ca="1" si="133"/>
        <v>19.735614313616615</v>
      </c>
      <c r="M1420" s="12">
        <f t="shared" ca="1" si="134"/>
        <v>3.0099483692899557E-2</v>
      </c>
      <c r="N1420" s="13">
        <f t="shared" ca="1" si="136"/>
        <v>-16.777375694907867</v>
      </c>
      <c r="O1420" s="13">
        <f t="shared" ca="1" si="137"/>
        <v>-103.1018340606231</v>
      </c>
      <c r="P1420" s="12">
        <f t="shared" ca="1" si="135"/>
        <v>3.4726854871816966</v>
      </c>
    </row>
    <row r="1421" spans="1:16" x14ac:dyDescent="0.25">
      <c r="A1421">
        <v>9</v>
      </c>
      <c r="B1421">
        <v>15</v>
      </c>
      <c r="C1421" s="2" t="s">
        <v>148</v>
      </c>
      <c r="D1421" s="2" t="s">
        <v>14</v>
      </c>
      <c r="E1421" s="11" cm="1">
        <f t="array" aca="1" ref="E1421" ca="1">INDEX('OD flujo mercancia multimodal'!E$45:E$1645,MATCH(C1421&amp;D1421,'OD flujo mercancia multimodal'!C$45:C$1645&amp;'OD flujo mercancia multimodal'!D$45:D$1645,0))</f>
        <v>48636.269230769198</v>
      </c>
      <c r="F1421" s="11" cm="1">
        <f t="array" aca="1" ref="F1421" ca="1">INDEX('OD flujo mercancia carretera'!E$45:E$1646,MATCH(C1421&amp;D1421,'OD flujo mercancia carretera'!C$45:C$1646&amp;'OD flujo mercancia carretera'!D$45:D$1646,0))</f>
        <v>867494.7585470092</v>
      </c>
      <c r="G1421" s="11" cm="1">
        <f t="array" aca="1" ref="G1421" ca="1">INDEX('Coste Carretera'!E$46:E$1646,MATCH(C1421&amp;D1421,'Coste Carretera'!C$46:C$1646&amp;'Coste Carretera'!D$46:D$1646,0))</f>
        <v>3918414103.2399969</v>
      </c>
      <c r="H1421" s="11" cm="1">
        <f t="array" aca="1" ref="H1421" ca="1">INDEX('Coste multimodal'!E$46:E$1646,MATCH(C1421&amp;D1421,'Coste multimodal'!C$46:C$1646&amp;'Coste multimodal'!D$46:D$1646,0))</f>
        <v>530122752.43930089</v>
      </c>
      <c r="I1421" s="12" cm="1">
        <f t="array" aca="1" ref="I1421" ca="1">INDEX('Tiempos intermodal (horas)'!E$45:E$1645,MATCH(C1421&amp;D1421,'Tiempos intermodal (horas)'!C$45:C$1645&amp;'Tiempos intermodal (horas)'!D$45:D$1645,0))</f>
        <v>118.86183406062311</v>
      </c>
      <c r="J1421" s="2" cm="1">
        <f t="array" aca="1" ref="J1421" ca="1">INDEX('Tiempos carretera (horas)'!E$45:E$1645,MATCH(C1421&amp;D1421,'Tiempos carretera (horas)'!C$45:C$1645&amp;'Tiempos carretera (horas)'!D$45:D$1645,0))</f>
        <v>15.76</v>
      </c>
      <c r="K1421" s="12">
        <f t="shared" ca="1" si="132"/>
        <v>4.5169311567980612</v>
      </c>
      <c r="L1421" s="12">
        <f t="shared" ca="1" si="133"/>
        <v>10.899741300550344</v>
      </c>
      <c r="M1421" s="12">
        <f t="shared" ca="1" si="134"/>
        <v>5.3088769789561875E-2</v>
      </c>
      <c r="N1421" s="13">
        <f t="shared" ca="1" si="136"/>
        <v>-6.3828101437522831</v>
      </c>
      <c r="O1421" s="13">
        <f t="shared" ca="1" si="137"/>
        <v>-103.1018340606231</v>
      </c>
      <c r="P1421" s="12">
        <f t="shared" ca="1" si="135"/>
        <v>2.8812399367358759</v>
      </c>
    </row>
    <row r="1422" spans="1:16" x14ac:dyDescent="0.25">
      <c r="A1422">
        <v>2</v>
      </c>
      <c r="B1422">
        <v>15</v>
      </c>
      <c r="C1422" s="2" t="s">
        <v>1</v>
      </c>
      <c r="D1422" s="2" t="s">
        <v>14</v>
      </c>
      <c r="E1422" s="11" cm="1">
        <f t="array" aca="1" ref="E1422" ca="1">INDEX('OD flujo mercancia multimodal'!E$45:E$1645,MATCH(C1422&amp;D1422,'OD flujo mercancia multimodal'!C$45:C$1645&amp;'OD flujo mercancia multimodal'!D$45:D$1645,0))</f>
        <v>54138.769230769198</v>
      </c>
      <c r="F1422" s="11" cm="1">
        <f t="array" aca="1" ref="F1422" ca="1">INDEX('OD flujo mercancia carretera'!E$45:E$1646,MATCH(C1422&amp;D1422,'OD flujo mercancia carretera'!C$45:C$1646&amp;'OD flujo mercancia carretera'!D$45:D$1646,0))</f>
        <v>330916.46153846203</v>
      </c>
      <c r="G1422" s="11" cm="1">
        <f t="array" aca="1" ref="G1422" ca="1">INDEX('Coste Carretera'!E$46:E$1646,MATCH(C1422&amp;D1422,'Coste Carretera'!C$46:C$1646&amp;'Coste Carretera'!D$46:D$1646,0))</f>
        <v>3628137772.159997</v>
      </c>
      <c r="H1422" s="11" cm="1">
        <f t="array" aca="1" ref="H1422" ca="1">INDEX('Coste multimodal'!E$46:E$1646,MATCH(C1422&amp;D1422,'Coste multimodal'!C$46:C$1646&amp;'Coste multimodal'!D$46:D$1646,0))</f>
        <v>539251910.13930094</v>
      </c>
      <c r="I1422" s="12" cm="1">
        <f t="array" aca="1" ref="I1422" ca="1">INDEX('Tiempos intermodal (horas)'!E$45:E$1645,MATCH(C1422&amp;D1422,'Tiempos intermodal (horas)'!C$45:C$1645&amp;'Tiempos intermodal (horas)'!D$45:D$1645,0))</f>
        <v>116.77850072728978</v>
      </c>
      <c r="J1422" s="2" cm="1">
        <f t="array" aca="1" ref="J1422" ca="1">INDEX('Tiempos carretera (horas)'!E$45:E$1645,MATCH(C1422&amp;D1422,'Tiempos carretera (horas)'!C$45:C$1645&amp;'Tiempos carretera (horas)'!D$45:D$1645,0))</f>
        <v>13.35</v>
      </c>
      <c r="K1422" s="12">
        <f t="shared" ca="1" si="132"/>
        <v>10.96390839939615</v>
      </c>
      <c r="L1422" s="12">
        <f t="shared" ca="1" si="133"/>
        <v>9.9605498573621585</v>
      </c>
      <c r="M1422" s="12">
        <f t="shared" ca="1" si="134"/>
        <v>0.14060000982875959</v>
      </c>
      <c r="N1422" s="13">
        <f t="shared" ca="1" si="136"/>
        <v>1.0033585420339914</v>
      </c>
      <c r="O1422" s="13">
        <f t="shared" ca="1" si="137"/>
        <v>-103.42850072728979</v>
      </c>
      <c r="P1422" s="12">
        <f t="shared" ca="1" si="135"/>
        <v>1.8103154106217341</v>
      </c>
    </row>
    <row r="1423" spans="1:16" x14ac:dyDescent="0.25">
      <c r="A1423">
        <v>15</v>
      </c>
      <c r="B1423">
        <v>2</v>
      </c>
      <c r="C1423" s="2" t="s">
        <v>14</v>
      </c>
      <c r="D1423" s="2" t="s">
        <v>1</v>
      </c>
      <c r="E1423" s="11" cm="1">
        <f t="array" aca="1" ref="E1423" ca="1">INDEX('OD flujo mercancia multimodal'!E$45:E$1645,MATCH(C1423&amp;D1423,'OD flujo mercancia multimodal'!C$45:C$1645&amp;'OD flujo mercancia multimodal'!D$45:D$1645,0))</f>
        <v>47482.840659340625</v>
      </c>
      <c r="F1423" s="11" cm="1">
        <f t="array" aca="1" ref="F1423" ca="1">INDEX('OD flujo mercancia carretera'!E$45:E$1646,MATCH(C1423&amp;D1423,'OD flujo mercancia carretera'!C$45:C$1646&amp;'OD flujo mercancia carretera'!D$45:D$1646,0))</f>
        <v>334346.15384615393</v>
      </c>
      <c r="G1423" s="11" cm="1">
        <f t="array" aca="1" ref="G1423" ca="1">INDEX('Coste Carretera'!E$46:E$1646,MATCH(C1423&amp;D1423,'Coste Carretera'!C$46:C$1646&amp;'Coste Carretera'!D$46:D$1646,0))</f>
        <v>3182087257.862855</v>
      </c>
      <c r="H1423" s="11" cm="1">
        <f t="array" aca="1" ref="H1423" ca="1">INDEX('Coste multimodal'!E$46:E$1646,MATCH(C1423&amp;D1423,'Coste multimodal'!C$46:C$1646&amp;'Coste multimodal'!D$46:D$1646,0))</f>
        <v>539251910.13930094</v>
      </c>
      <c r="I1423" s="12" cm="1">
        <f t="array" aca="1" ref="I1423" ca="1">INDEX('Tiempos intermodal (horas)'!E$45:E$1645,MATCH(C1423&amp;D1423,'Tiempos intermodal (horas)'!C$45:C$1645&amp;'Tiempos intermodal (horas)'!D$45:D$1645,0))</f>
        <v>116.77850072728978</v>
      </c>
      <c r="J1423" s="2" cm="1">
        <f t="array" aca="1" ref="J1423" ca="1">INDEX('Tiempos carretera (horas)'!E$45:E$1645,MATCH(C1423&amp;D1423,'Tiempos carretera (horas)'!C$45:C$1645&amp;'Tiempos carretera (horas)'!D$45:D$1645,0))</f>
        <v>13.35</v>
      </c>
      <c r="K1423" s="12">
        <f t="shared" ca="1" si="132"/>
        <v>9.5173436908356397</v>
      </c>
      <c r="L1423" s="12">
        <f t="shared" ca="1" si="133"/>
        <v>11.356774418954682</v>
      </c>
      <c r="M1423" s="12">
        <f t="shared" ca="1" si="134"/>
        <v>0.12435629913552138</v>
      </c>
      <c r="N1423" s="13">
        <f t="shared" ca="1" si="136"/>
        <v>-1.8394307281190425</v>
      </c>
      <c r="O1423" s="13">
        <f t="shared" ca="1" si="137"/>
        <v>-103.42850072728979</v>
      </c>
      <c r="P1423" s="12">
        <f t="shared" ca="1" si="135"/>
        <v>1.9518084485602651</v>
      </c>
    </row>
    <row r="1424" spans="1:16" x14ac:dyDescent="0.25">
      <c r="A1424">
        <v>4</v>
      </c>
      <c r="B1424">
        <v>18</v>
      </c>
      <c r="C1424" s="2" t="s">
        <v>3</v>
      </c>
      <c r="D1424" s="2" t="s">
        <v>17</v>
      </c>
      <c r="E1424" s="11" cm="1">
        <f t="array" aca="1" ref="E1424" ca="1">INDEX('OD flujo mercancia multimodal'!E$45:E$1645,MATCH(C1424&amp;D1424,'OD flujo mercancia multimodal'!C$45:C$1645&amp;'OD flujo mercancia multimodal'!D$45:D$1645,0))</f>
        <v>53353.91208791206</v>
      </c>
      <c r="F1424" s="11" cm="1">
        <f t="array" aca="1" ref="F1424" ca="1">INDEX('OD flujo mercancia carretera'!E$45:E$1646,MATCH(C1424&amp;D1424,'OD flujo mercancia carretera'!C$45:C$1646&amp;'OD flujo mercancia carretera'!D$45:D$1646,0))</f>
        <v>83762.538461538454</v>
      </c>
      <c r="G1424" s="11" cm="1">
        <f t="array" aca="1" ref="G1424" ca="1">INDEX('Coste Carretera'!E$46:E$1646,MATCH(C1424&amp;D1424,'Coste Carretera'!C$46:C$1646&amp;'Coste Carretera'!D$46:D$1646,0))</f>
        <v>6358072593.2228537</v>
      </c>
      <c r="H1424" s="11" cm="1">
        <f t="array" aca="1" ref="H1424" ca="1">INDEX('Coste multimodal'!E$46:E$1646,MATCH(C1424&amp;D1424,'Coste multimodal'!C$46:C$1646&amp;'Coste multimodal'!D$46:D$1646,0))</f>
        <v>821006634.99897516</v>
      </c>
      <c r="I1424" s="12" cm="1">
        <f t="array" aca="1" ref="I1424" ca="1">INDEX('Tiempos intermodal (horas)'!E$45:E$1645,MATCH(C1424&amp;D1424,'Tiempos intermodal (horas)'!C$45:C$1645&amp;'Tiempos intermodal (horas)'!D$45:D$1645,0))</f>
        <v>126.8360621950075</v>
      </c>
      <c r="J1424" s="2" cm="1">
        <f t="array" aca="1" ref="J1424" ca="1">INDEX('Tiempos carretera (horas)'!E$45:E$1645,MATCH(C1424&amp;D1424,'Tiempos carretera (horas)'!C$45:C$1645&amp;'Tiempos carretera (horas)'!D$45:D$1645,0))</f>
        <v>22.25</v>
      </c>
      <c r="K1424" s="12">
        <f t="shared" ca="1" si="132"/>
        <v>75.905920594112757</v>
      </c>
      <c r="L1424" s="12">
        <f t="shared" ca="1" si="133"/>
        <v>15.38793694539568</v>
      </c>
      <c r="M1424" s="12">
        <f t="shared" ca="1" si="134"/>
        <v>0.38911386543418564</v>
      </c>
      <c r="N1424" s="13">
        <f t="shared" ca="1" si="136"/>
        <v>60.517983648717077</v>
      </c>
      <c r="O1424" s="13">
        <f t="shared" ca="1" si="137"/>
        <v>-104.5860621950075</v>
      </c>
      <c r="P1424" s="12">
        <f t="shared" ca="1" si="135"/>
        <v>0.45103856868043624</v>
      </c>
    </row>
    <row r="1425" spans="1:16" x14ac:dyDescent="0.25">
      <c r="A1425">
        <v>3</v>
      </c>
      <c r="B1425">
        <v>15</v>
      </c>
      <c r="C1425" s="2" t="s">
        <v>2</v>
      </c>
      <c r="D1425" s="2" t="s">
        <v>14</v>
      </c>
      <c r="E1425" s="11" cm="1">
        <f t="array" aca="1" ref="E1425" ca="1">INDEX('OD flujo mercancia multimodal'!E$45:E$1645,MATCH(C1425&amp;D1425,'OD flujo mercancia multimodal'!C$45:C$1645&amp;'OD flujo mercancia multimodal'!D$45:D$1645,0))</f>
        <v>62696.340659340625</v>
      </c>
      <c r="F1425" s="11" cm="1">
        <f t="array" aca="1" ref="F1425" ca="1">INDEX('OD flujo mercancia carretera'!E$45:E$1646,MATCH(C1425&amp;D1425,'OD flujo mercancia carretera'!C$45:C$1646&amp;'OD flujo mercancia carretera'!D$45:D$1646,0))</f>
        <v>329867.23076923128</v>
      </c>
      <c r="G1425" s="11" cm="1">
        <f t="array" aca="1" ref="G1425" ca="1">INDEX('Coste Carretera'!E$46:E$1646,MATCH(C1425&amp;D1425,'Coste Carretera'!C$46:C$1646&amp;'Coste Carretera'!D$46:D$1646,0))</f>
        <v>4148942882.3999972</v>
      </c>
      <c r="H1425" s="11" cm="1">
        <f t="array" aca="1" ref="H1425" ca="1">INDEX('Coste multimodal'!E$46:E$1646,MATCH(C1425&amp;D1425,'Coste multimodal'!C$46:C$1646&amp;'Coste multimodal'!D$46:D$1646,0))</f>
        <v>885700288.83611095</v>
      </c>
      <c r="I1425" s="12" cm="1">
        <f t="array" aca="1" ref="I1425" ca="1">INDEX('Tiempos intermodal (horas)'!E$45:E$1645,MATCH(C1425&amp;D1425,'Tiempos intermodal (horas)'!C$45:C$1645&amp;'Tiempos intermodal (horas)'!D$45:D$1645,0))</f>
        <v>118.19448504950263</v>
      </c>
      <c r="J1425" s="2" cm="1">
        <f t="array" aca="1" ref="J1425" ca="1">INDEX('Tiempos carretera (horas)'!E$45:E$1645,MATCH(C1425&amp;D1425,'Tiempos carretera (horas)'!C$45:C$1645&amp;'Tiempos carretera (horas)'!D$45:D$1645,0))</f>
        <v>13.56</v>
      </c>
      <c r="K1425" s="12">
        <f t="shared" ca="1" si="132"/>
        <v>12.577614553361069</v>
      </c>
      <c r="L1425" s="12">
        <f t="shared" ca="1" si="133"/>
        <v>14.126825896403533</v>
      </c>
      <c r="M1425" s="12">
        <f t="shared" ca="1" si="134"/>
        <v>0.15971003226606934</v>
      </c>
      <c r="N1425" s="13">
        <f t="shared" ca="1" si="136"/>
        <v>-1.5492113430424634</v>
      </c>
      <c r="O1425" s="13">
        <f t="shared" ca="1" si="137"/>
        <v>-104.63448504950263</v>
      </c>
      <c r="P1425" s="12">
        <f t="shared" ca="1" si="135"/>
        <v>1.660387159255599</v>
      </c>
    </row>
    <row r="1426" spans="1:16" x14ac:dyDescent="0.25">
      <c r="A1426">
        <v>18</v>
      </c>
      <c r="B1426">
        <v>8</v>
      </c>
      <c r="C1426" s="2" t="s">
        <v>17</v>
      </c>
      <c r="D1426" s="2" t="s">
        <v>7</v>
      </c>
      <c r="E1426" s="11" cm="1">
        <f t="array" aca="1" ref="E1426" ca="1">INDEX('OD flujo mercancia multimodal'!E$45:E$1645,MATCH(C1426&amp;D1426,'OD flujo mercancia multimodal'!C$45:C$1645&amp;'OD flujo mercancia multimodal'!D$45:D$1645,0))</f>
        <v>41329.472527472484</v>
      </c>
      <c r="F1426" s="11" cm="1">
        <f t="array" aca="1" ref="F1426" ca="1">INDEX('OD flujo mercancia carretera'!E$45:E$1646,MATCH(C1426&amp;D1426,'OD flujo mercancia carretera'!C$45:C$1646&amp;'OD flujo mercancia carretera'!D$45:D$1646,0))</f>
        <v>175408.46153846139</v>
      </c>
      <c r="G1426" s="11" cm="1">
        <f t="array" aca="1" ref="G1426" ca="1">INDEX('Coste Carretera'!E$46:E$1646,MATCH(C1426&amp;D1426,'Coste Carretera'!C$46:C$1646&amp;'Coste Carretera'!D$46:D$1646,0))</f>
        <v>4894756888.0571375</v>
      </c>
      <c r="H1426" s="11" cm="1">
        <f t="array" aca="1" ref="H1426" ca="1">INDEX('Coste multimodal'!E$46:E$1646,MATCH(C1426&amp;D1426,'Coste multimodal'!C$46:C$1646&amp;'Coste multimodal'!D$46:D$1646,0))</f>
        <v>738070447.5424037</v>
      </c>
      <c r="I1426" s="12" cm="1">
        <f t="array" aca="1" ref="I1426" ca="1">INDEX('Tiempos intermodal (horas)'!E$45:E$1645,MATCH(C1426&amp;D1426,'Tiempos intermodal (horas)'!C$45:C$1645&amp;'Tiempos intermodal (horas)'!D$45:D$1645,0))</f>
        <v>126.98939552834084</v>
      </c>
      <c r="J1426" s="2" cm="1">
        <f t="array" aca="1" ref="J1426" ca="1">INDEX('Tiempos carretera (horas)'!E$45:E$1645,MATCH(C1426&amp;D1426,'Tiempos carretera (horas)'!C$45:C$1645&amp;'Tiempos carretera (horas)'!D$45:D$1645,0))</f>
        <v>22</v>
      </c>
      <c r="K1426" s="12">
        <f t="shared" ca="1" si="132"/>
        <v>27.904907466415899</v>
      </c>
      <c r="L1426" s="12">
        <f t="shared" ca="1" si="133"/>
        <v>17.858211160372161</v>
      </c>
      <c r="M1426" s="12">
        <f t="shared" ca="1" si="134"/>
        <v>0.19068868911013814</v>
      </c>
      <c r="N1426" s="13">
        <f t="shared" ca="1" si="136"/>
        <v>10.046696306043739</v>
      </c>
      <c r="O1426" s="13">
        <f t="shared" ca="1" si="137"/>
        <v>-104.98939552834084</v>
      </c>
      <c r="P1426" s="12">
        <f t="shared" ca="1" si="135"/>
        <v>1.4455414541759868</v>
      </c>
    </row>
    <row r="1427" spans="1:16" x14ac:dyDescent="0.25">
      <c r="A1427">
        <v>8</v>
      </c>
      <c r="B1427">
        <v>18</v>
      </c>
      <c r="C1427" s="2" t="s">
        <v>7</v>
      </c>
      <c r="D1427" s="2" t="s">
        <v>17</v>
      </c>
      <c r="E1427" s="11" cm="1">
        <f t="array" aca="1" ref="E1427" ca="1">INDEX('OD flujo mercancia multimodal'!E$45:E$1645,MATCH(C1427&amp;D1427,'OD flujo mercancia multimodal'!C$45:C$1645&amp;'OD flujo mercancia multimodal'!D$45:D$1645,0))</f>
        <v>30696.41208791206</v>
      </c>
      <c r="F1427" s="11" cm="1">
        <f t="array" aca="1" ref="F1427" ca="1">INDEX('OD flujo mercancia carretera'!E$45:E$1646,MATCH(C1427&amp;D1427,'OD flujo mercancia carretera'!C$45:C$1646&amp;'OD flujo mercancia carretera'!D$45:D$1646,0))</f>
        <v>169710.30769230769</v>
      </c>
      <c r="G1427" s="11" cm="1">
        <f t="array" aca="1" ref="G1427" ca="1">INDEX('Coste Carretera'!E$46:E$1646,MATCH(C1427&amp;D1427,'Coste Carretera'!C$46:C$1646&amp;'Coste Carretera'!D$46:D$1646,0))</f>
        <v>3635455894.2428541</v>
      </c>
      <c r="H1427" s="11" cm="1">
        <f t="array" aca="1" ref="H1427" ca="1">INDEX('Coste multimodal'!E$46:E$1646,MATCH(C1427&amp;D1427,'Coste multimodal'!C$46:C$1646&amp;'Coste multimodal'!D$46:D$1646,0))</f>
        <v>738070447.5424037</v>
      </c>
      <c r="I1427" s="12" cm="1">
        <f t="array" aca="1" ref="I1427" ca="1">INDEX('Tiempos intermodal (horas)'!E$45:E$1645,MATCH(C1427&amp;D1427,'Tiempos intermodal (horas)'!C$45:C$1645&amp;'Tiempos intermodal (horas)'!D$45:D$1645,0))</f>
        <v>126.98939552834084</v>
      </c>
      <c r="J1427" s="2" cm="1">
        <f t="array" aca="1" ref="J1427" ca="1">INDEX('Tiempos carretera (horas)'!E$45:E$1645,MATCH(C1427&amp;D1427,'Tiempos carretera (horas)'!C$45:C$1645&amp;'Tiempos carretera (horas)'!D$45:D$1645,0))</f>
        <v>22</v>
      </c>
      <c r="K1427" s="12">
        <f t="shared" ca="1" si="132"/>
        <v>21.42153852454323</v>
      </c>
      <c r="L1427" s="12">
        <f t="shared" ca="1" si="133"/>
        <v>24.044192703324061</v>
      </c>
      <c r="M1427" s="12">
        <f t="shared" ca="1" si="134"/>
        <v>0.15317057293076763</v>
      </c>
      <c r="N1427" s="13">
        <f t="shared" ca="1" si="136"/>
        <v>-2.6226541787808308</v>
      </c>
      <c r="O1427" s="13">
        <f t="shared" ca="1" si="137"/>
        <v>-104.98939552834084</v>
      </c>
      <c r="P1427" s="12">
        <f t="shared" ca="1" si="135"/>
        <v>1.7099471334064027</v>
      </c>
    </row>
    <row r="1428" spans="1:16" x14ac:dyDescent="0.25">
      <c r="A1428">
        <v>16</v>
      </c>
      <c r="B1428">
        <v>5</v>
      </c>
      <c r="C1428" s="2" t="s">
        <v>15</v>
      </c>
      <c r="D1428" s="2" t="s">
        <v>4</v>
      </c>
      <c r="E1428" s="11" cm="1">
        <f t="array" aca="1" ref="E1428" ca="1">INDEX('OD flujo mercancia multimodal'!E$45:E$1645,MATCH(C1428&amp;D1428,'OD flujo mercancia multimodal'!C$45:C$1645&amp;'OD flujo mercancia multimodal'!D$45:D$1645,0))</f>
        <v>100195.10439560443</v>
      </c>
      <c r="F1428" s="11" cm="1">
        <f t="array" aca="1" ref="F1428" ca="1">INDEX('OD flujo mercancia carretera'!E$45:E$1646,MATCH(C1428&amp;D1428,'OD flujo mercancia carretera'!C$45:C$1646&amp;'OD flujo mercancia carretera'!D$45:D$1646,0))</f>
        <v>232321.99999999997</v>
      </c>
      <c r="G1428" s="11" cm="1">
        <f t="array" aca="1" ref="G1428" ca="1">INDEX('Coste Carretera'!E$46:E$1646,MATCH(C1428&amp;D1428,'Coste Carretera'!C$46:C$1646&amp;'Coste Carretera'!D$46:D$1646,0))</f>
        <v>11345404279.440004</v>
      </c>
      <c r="H1428" s="11" cm="1">
        <f t="array" aca="1" ref="H1428" ca="1">INDEX('Coste multimodal'!E$46:E$1646,MATCH(C1428&amp;D1428,'Coste multimodal'!C$46:C$1646&amp;'Coste multimodal'!D$46:D$1646,0))</f>
        <v>525781329.67286134</v>
      </c>
      <c r="I1428" s="12" cm="1">
        <f t="array" aca="1" ref="I1428" ca="1">INDEX('Tiempos intermodal (horas)'!E$45:E$1645,MATCH(C1428&amp;D1428,'Tiempos intermodal (horas)'!C$45:C$1645&amp;'Tiempos intermodal (horas)'!D$45:D$1645,0))</f>
        <v>122.65114694772898</v>
      </c>
      <c r="J1428" s="2" cm="1">
        <f t="array" aca="1" ref="J1428" ca="1">INDEX('Tiempos carretera (horas)'!E$45:E$1645,MATCH(C1428&amp;D1428,'Tiempos carretera (horas)'!C$45:C$1645&amp;'Tiempos carretera (horas)'!D$45:D$1645,0))</f>
        <v>21.06</v>
      </c>
      <c r="K1428" s="12">
        <f t="shared" ca="1" si="132"/>
        <v>48.834825283184571</v>
      </c>
      <c r="L1428" s="12">
        <f t="shared" ca="1" si="133"/>
        <v>5.2475750471489846</v>
      </c>
      <c r="M1428" s="12">
        <f t="shared" ca="1" si="134"/>
        <v>0.30132315923333575</v>
      </c>
      <c r="N1428" s="13">
        <f t="shared" ca="1" si="136"/>
        <v>43.587250236035587</v>
      </c>
      <c r="O1428" s="13">
        <f t="shared" ca="1" si="137"/>
        <v>-101.59114694772897</v>
      </c>
      <c r="P1428" s="12">
        <f t="shared" ca="1" si="135"/>
        <v>0.84100501128494609</v>
      </c>
    </row>
    <row r="1429" spans="1:16" x14ac:dyDescent="0.25">
      <c r="A1429">
        <v>26</v>
      </c>
      <c r="B1429">
        <v>21</v>
      </c>
      <c r="C1429" s="2" t="s">
        <v>25</v>
      </c>
      <c r="D1429" s="2" t="s">
        <v>20</v>
      </c>
      <c r="E1429" s="11" cm="1">
        <f t="array" aca="1" ref="E1429" ca="1">INDEX('OD flujo mercancia multimodal'!E$45:E$1645,MATCH(C1429&amp;D1429,'OD flujo mercancia multimodal'!C$45:C$1645&amp;'OD flujo mercancia multimodal'!D$45:D$1645,0))</f>
        <v>38473.615384615397</v>
      </c>
      <c r="F1429" s="11" cm="1">
        <f t="array" aca="1" ref="F1429" ca="1">INDEX('OD flujo mercancia carretera'!E$45:E$1646,MATCH(C1429&amp;D1429,'OD flujo mercancia carretera'!C$45:C$1646&amp;'OD flujo mercancia carretera'!D$45:D$1646,0))</f>
        <v>154590.33333333299</v>
      </c>
      <c r="G1429" s="11" cm="1">
        <f t="array" aca="1" ref="G1429" ca="1">INDEX('Coste Carretera'!E$46:E$1646,MATCH(C1429&amp;D1429,'Coste Carretera'!C$46:C$1646&amp;'Coste Carretera'!D$46:D$1646,0))</f>
        <v>1877169246.1200008</v>
      </c>
      <c r="H1429" s="11" cm="1">
        <f t="array" aca="1" ref="H1429" ca="1">INDEX('Coste multimodal'!E$46:E$1646,MATCH(C1429&amp;D1429,'Coste multimodal'!C$46:C$1646&amp;'Coste multimodal'!D$46:D$1646,0))</f>
        <v>555715079.14582717</v>
      </c>
      <c r="I1429" s="12" cm="1">
        <f t="array" aca="1" ref="I1429" ca="1">INDEX('Tiempos intermodal (horas)'!E$45:E$1645,MATCH(C1429&amp;D1429,'Tiempos intermodal (horas)'!C$45:C$1645&amp;'Tiempos intermodal (horas)'!D$45:D$1645,0))</f>
        <v>114.99280172555369</v>
      </c>
      <c r="J1429" s="2" cm="1">
        <f t="array" aca="1" ref="J1429" ca="1">INDEX('Tiempos carretera (horas)'!E$45:E$1645,MATCH(C1429&amp;D1429,'Tiempos carretera (horas)'!C$45:C$1645&amp;'Tiempos carretera (horas)'!D$45:D$1645,0))</f>
        <v>9.5500000000000007</v>
      </c>
      <c r="K1429" s="12">
        <f t="shared" ca="1" si="132"/>
        <v>12.142863047409207</v>
      </c>
      <c r="L1429" s="12">
        <f t="shared" ca="1" si="133"/>
        <v>14.444056624011562</v>
      </c>
      <c r="M1429" s="12">
        <f t="shared" ca="1" si="134"/>
        <v>0.19927912818577223</v>
      </c>
      <c r="N1429" s="13">
        <f t="shared" ca="1" si="136"/>
        <v>-2.3011935766023548</v>
      </c>
      <c r="O1429" s="13">
        <f t="shared" ca="1" si="137"/>
        <v>-105.44280172555369</v>
      </c>
      <c r="P1429" s="12">
        <f t="shared" ca="1" si="135"/>
        <v>1.3908059155741834</v>
      </c>
    </row>
    <row r="1430" spans="1:16" x14ac:dyDescent="0.25">
      <c r="A1430">
        <v>21</v>
      </c>
      <c r="B1430">
        <v>26</v>
      </c>
      <c r="C1430" s="2" t="s">
        <v>20</v>
      </c>
      <c r="D1430" s="2" t="s">
        <v>25</v>
      </c>
      <c r="E1430" s="11" cm="1">
        <f t="array" aca="1" ref="E1430" ca="1">INDEX('OD flujo mercancia multimodal'!E$45:E$1645,MATCH(C1430&amp;D1430,'OD flujo mercancia multimodal'!C$45:C$1645&amp;'OD flujo mercancia multimodal'!D$45:D$1645,0))</f>
        <v>27458.307692307691</v>
      </c>
      <c r="F1430" s="11" cm="1">
        <f t="array" aca="1" ref="F1430" ca="1">INDEX('OD flujo mercancia carretera'!E$45:E$1646,MATCH(C1430&amp;D1430,'OD flujo mercancia carretera'!C$45:C$1646&amp;'OD flujo mercancia carretera'!D$45:D$1646,0))</f>
        <v>156642</v>
      </c>
      <c r="G1430" s="11" cm="1">
        <f t="array" aca="1" ref="G1430" ca="1">INDEX('Coste Carretera'!E$46:E$1646,MATCH(C1430&amp;D1430,'Coste Carretera'!C$46:C$1646&amp;'Coste Carretera'!D$46:D$1646,0))</f>
        <v>1339720487.2800002</v>
      </c>
      <c r="H1430" s="11" cm="1">
        <f t="array" aca="1" ref="H1430" ca="1">INDEX('Coste multimodal'!E$46:E$1646,MATCH(C1430&amp;D1430,'Coste multimodal'!C$46:C$1646&amp;'Coste multimodal'!D$46:D$1646,0))</f>
        <v>555715079.14582717</v>
      </c>
      <c r="I1430" s="12" cm="1">
        <f t="array" aca="1" ref="I1430" ca="1">INDEX('Tiempos intermodal (horas)'!E$45:E$1645,MATCH(C1430&amp;D1430,'Tiempos intermodal (horas)'!C$45:C$1645&amp;'Tiempos intermodal (horas)'!D$45:D$1645,0))</f>
        <v>114.99280172555369</v>
      </c>
      <c r="J1430" s="2" cm="1">
        <f t="array" aca="1" ref="J1430" ca="1">INDEX('Tiempos carretera (horas)'!E$45:E$1645,MATCH(C1430&amp;D1430,'Tiempos carretera (horas)'!C$45:C$1645&amp;'Tiempos carretera (horas)'!D$45:D$1645,0))</f>
        <v>9.5500000000000007</v>
      </c>
      <c r="K1430" s="12">
        <f t="shared" ca="1" si="132"/>
        <v>8.5527539694334873</v>
      </c>
      <c r="L1430" s="12">
        <f t="shared" ca="1" si="133"/>
        <v>20.238504330749706</v>
      </c>
      <c r="M1430" s="12">
        <f t="shared" ca="1" si="134"/>
        <v>0.14914862466280923</v>
      </c>
      <c r="N1430" s="13">
        <f t="shared" ca="1" si="136"/>
        <v>-11.685750361316218</v>
      </c>
      <c r="O1430" s="13">
        <f t="shared" ca="1" si="137"/>
        <v>-105.44280172555369</v>
      </c>
      <c r="P1430" s="12">
        <f t="shared" ca="1" si="135"/>
        <v>1.7412941764931134</v>
      </c>
    </row>
    <row r="1431" spans="1:16" x14ac:dyDescent="0.25">
      <c r="A1431">
        <v>4</v>
      </c>
      <c r="B1431">
        <v>16</v>
      </c>
      <c r="C1431" s="2" t="s">
        <v>3</v>
      </c>
      <c r="D1431" s="2" t="s">
        <v>15</v>
      </c>
      <c r="E1431" s="11" cm="1">
        <f t="array" aca="1" ref="E1431" ca="1">INDEX('OD flujo mercancia multimodal'!E$45:E$1645,MATCH(C1431&amp;D1431,'OD flujo mercancia multimodal'!C$45:C$1645&amp;'OD flujo mercancia multimodal'!D$45:D$1645,0))</f>
        <v>67028.373626373665</v>
      </c>
      <c r="F1431" s="11" cm="1">
        <f t="array" aca="1" ref="F1431" ca="1">INDEX('OD flujo mercancia carretera'!E$45:E$1646,MATCH(C1431&amp;D1431,'OD flujo mercancia carretera'!C$45:C$1646&amp;'OD flujo mercancia carretera'!D$45:D$1646,0))</f>
        <v>561707.84615384589</v>
      </c>
      <c r="G1431" s="11" cm="1">
        <f t="array" aca="1" ref="G1431" ca="1">INDEX('Coste Carretera'!E$46:E$1646,MATCH(C1431&amp;D1431,'Coste Carretera'!C$46:C$1646&amp;'Coste Carretera'!D$46:D$1646,0))</f>
        <v>7156831261.7485743</v>
      </c>
      <c r="H1431" s="11" cm="1">
        <f t="array" aca="1" ref="H1431" ca="1">INDEX('Coste multimodal'!E$46:E$1646,MATCH(C1431&amp;D1431,'Coste multimodal'!C$46:C$1646&amp;'Coste multimodal'!D$46:D$1646,0))</f>
        <v>627716642.69897509</v>
      </c>
      <c r="I1431" s="12" cm="1">
        <f t="array" aca="1" ref="I1431" ca="1">INDEX('Tiempos intermodal (horas)'!E$45:E$1645,MATCH(C1431&amp;D1431,'Tiempos intermodal (horas)'!C$45:C$1645&amp;'Tiempos intermodal (horas)'!D$45:D$1645,0))</f>
        <v>126.37050663945195</v>
      </c>
      <c r="J1431" s="2" cm="1">
        <f t="array" aca="1" ref="J1431" ca="1">INDEX('Tiempos carretera (horas)'!E$45:E$1645,MATCH(C1431&amp;D1431,'Tiempos carretera (horas)'!C$45:C$1645&amp;'Tiempos carretera (horas)'!D$45:D$1645,0))</f>
        <v>20.6</v>
      </c>
      <c r="K1431" s="12">
        <f t="shared" ca="1" si="132"/>
        <v>12.741198668940068</v>
      </c>
      <c r="L1431" s="12">
        <f t="shared" ca="1" si="133"/>
        <v>9.3649391852764179</v>
      </c>
      <c r="M1431" s="12">
        <f t="shared" ca="1" si="134"/>
        <v>0.10660809973664956</v>
      </c>
      <c r="N1431" s="13">
        <f t="shared" ca="1" si="136"/>
        <v>3.3762594836636506</v>
      </c>
      <c r="O1431" s="13">
        <f t="shared" ca="1" si="137"/>
        <v>-105.77050663945195</v>
      </c>
      <c r="P1431" s="12">
        <f t="shared" ca="1" si="135"/>
        <v>2.1258658513187343</v>
      </c>
    </row>
    <row r="1432" spans="1:16" x14ac:dyDescent="0.25">
      <c r="A1432">
        <v>16</v>
      </c>
      <c r="B1432">
        <v>6</v>
      </c>
      <c r="C1432" s="2" t="s">
        <v>15</v>
      </c>
      <c r="D1432" s="2" t="s">
        <v>5</v>
      </c>
      <c r="E1432" s="11" cm="1">
        <f t="array" aca="1" ref="E1432" ca="1">INDEX('OD flujo mercancia multimodal'!E$45:E$1645,MATCH(C1432&amp;D1432,'OD flujo mercancia multimodal'!C$45:C$1645&amp;'OD flujo mercancia multimodal'!D$45:D$1645,0))</f>
        <v>48523.247252747242</v>
      </c>
      <c r="F1432" s="11" cm="1">
        <f t="array" aca="1" ref="F1432" ca="1">INDEX('OD flujo mercancia carretera'!E$45:E$1646,MATCH(C1432&amp;D1432,'OD flujo mercancia carretera'!C$45:C$1646&amp;'OD flujo mercancia carretera'!D$45:D$1646,0))</f>
        <v>298111.31135531148</v>
      </c>
      <c r="G1432" s="11" cm="1">
        <f t="array" aca="1" ref="G1432" ca="1">INDEX('Coste Carretera'!E$46:E$1646,MATCH(C1432&amp;D1432,'Coste Carretera'!C$46:C$1646&amp;'Coste Carretera'!D$46:D$1646,0))</f>
        <v>5960803372.0257139</v>
      </c>
      <c r="H1432" s="11" cm="1">
        <f t="array" aca="1" ref="H1432" ca="1">INDEX('Coste multimodal'!E$46:E$1646,MATCH(C1432&amp;D1432,'Coste multimodal'!C$46:C$1646&amp;'Coste multimodal'!D$46:D$1646,0))</f>
        <v>645238103.43571842</v>
      </c>
      <c r="I1432" s="12" cm="1">
        <f t="array" aca="1" ref="I1432" ca="1">INDEX('Tiempos intermodal (horas)'!E$45:E$1645,MATCH(C1432&amp;D1432,'Tiempos intermodal (horas)'!C$45:C$1645&amp;'Tiempos intermodal (horas)'!D$45:D$1645,0))</f>
        <v>125.19559139217343</v>
      </c>
      <c r="J1432" s="2" cm="1">
        <f t="array" aca="1" ref="J1432" ca="1">INDEX('Tiempos carretera (horas)'!E$45:E$1645,MATCH(C1432&amp;D1432,'Tiempos carretera (horas)'!C$45:C$1645&amp;'Tiempos carretera (horas)'!D$45:D$1645,0))</f>
        <v>22.56</v>
      </c>
      <c r="K1432" s="12">
        <f t="shared" ca="1" si="132"/>
        <v>19.995227101333235</v>
      </c>
      <c r="L1432" s="12">
        <f t="shared" ca="1" si="133"/>
        <v>13.297504597637721</v>
      </c>
      <c r="M1432" s="12">
        <f t="shared" ca="1" si="134"/>
        <v>0.13998387075886654</v>
      </c>
      <c r="N1432" s="13">
        <f t="shared" ca="1" si="136"/>
        <v>6.6977225036955144</v>
      </c>
      <c r="O1432" s="13">
        <f t="shared" ca="1" si="137"/>
        <v>-102.63559139217342</v>
      </c>
      <c r="P1432" s="12">
        <f t="shared" ca="1" si="135"/>
        <v>1.8154239368962182</v>
      </c>
    </row>
    <row r="1433" spans="1:16" x14ac:dyDescent="0.25">
      <c r="A1433">
        <v>18</v>
      </c>
      <c r="B1433">
        <v>4</v>
      </c>
      <c r="C1433" s="2" t="s">
        <v>17</v>
      </c>
      <c r="D1433" s="2" t="s">
        <v>3</v>
      </c>
      <c r="E1433" s="11" cm="1">
        <f t="array" aca="1" ref="E1433" ca="1">INDEX('OD flujo mercancia multimodal'!E$45:E$1645,MATCH(C1433&amp;D1433,'OD flujo mercancia multimodal'!C$45:C$1645&amp;'OD flujo mercancia multimodal'!D$45:D$1645,0))</f>
        <v>37867.686813186781</v>
      </c>
      <c r="F1433" s="11" cm="1">
        <f t="array" aca="1" ref="F1433" ca="1">INDEX('OD flujo mercancia carretera'!E$45:E$1646,MATCH(C1433&amp;D1433,'OD flujo mercancia carretera'!C$45:C$1646&amp;'OD flujo mercancia carretera'!D$45:D$1646,0))</f>
        <v>86674.999999999985</v>
      </c>
      <c r="G1433" s="11" cm="1">
        <f t="array" aca="1" ref="G1433" ca="1">INDEX('Coste Carretera'!E$46:E$1646,MATCH(C1433&amp;D1433,'Coste Carretera'!C$46:C$1646&amp;'Coste Carretera'!D$46:D$1646,0))</f>
        <v>4512611958.0314236</v>
      </c>
      <c r="H1433" s="11" cm="1">
        <f t="array" aca="1" ref="H1433" ca="1">INDEX('Coste multimodal'!E$46:E$1646,MATCH(C1433&amp;D1433,'Coste multimodal'!C$46:C$1646&amp;'Coste multimodal'!D$46:D$1646,0))</f>
        <v>821006634.99897516</v>
      </c>
      <c r="I1433" s="12" cm="1">
        <f t="array" aca="1" ref="I1433" ca="1">INDEX('Tiempos intermodal (horas)'!E$45:E$1645,MATCH(C1433&amp;D1433,'Tiempos intermodal (horas)'!C$45:C$1645&amp;'Tiempos intermodal (horas)'!D$45:D$1645,0))</f>
        <v>126.8360621950075</v>
      </c>
      <c r="J1433" s="2" cm="1">
        <f t="array" aca="1" ref="J1433" ca="1">INDEX('Tiempos carretera (horas)'!E$45:E$1645,MATCH(C1433&amp;D1433,'Tiempos carretera (horas)'!C$45:C$1645&amp;'Tiempos carretera (horas)'!D$45:D$1645,0))</f>
        <v>22.25</v>
      </c>
      <c r="K1433" s="12">
        <f t="shared" ca="1" si="132"/>
        <v>52.063593400997107</v>
      </c>
      <c r="L1433" s="12">
        <f t="shared" ca="1" si="133"/>
        <v>21.680929153377107</v>
      </c>
      <c r="M1433" s="12">
        <f t="shared" ca="1" si="134"/>
        <v>0.3040538772861715</v>
      </c>
      <c r="N1433" s="13">
        <f t="shared" ca="1" si="136"/>
        <v>30.382664247619999</v>
      </c>
      <c r="O1433" s="13">
        <f t="shared" ca="1" si="137"/>
        <v>-104.5860621950075</v>
      </c>
      <c r="P1433" s="12">
        <f t="shared" ca="1" si="135"/>
        <v>0.82806733382594666</v>
      </c>
    </row>
    <row r="1434" spans="1:16" x14ac:dyDescent="0.25">
      <c r="A1434">
        <v>31</v>
      </c>
      <c r="B1434">
        <v>18</v>
      </c>
      <c r="C1434" s="2" t="s">
        <v>30</v>
      </c>
      <c r="D1434" s="2" t="s">
        <v>17</v>
      </c>
      <c r="E1434" s="11" cm="1">
        <f t="array" aca="1" ref="E1434" ca="1">INDEX('OD flujo mercancia multimodal'!E$45:E$1645,MATCH(C1434&amp;D1434,'OD flujo mercancia multimodal'!C$45:C$1645&amp;'OD flujo mercancia multimodal'!D$45:D$1645,0))</f>
        <v>25572.076923076893</v>
      </c>
      <c r="F1434" s="11" cm="1">
        <f t="array" aca="1" ref="F1434" ca="1">INDEX('OD flujo mercancia carretera'!E$45:E$1646,MATCH(C1434&amp;D1434,'OD flujo mercancia carretera'!C$45:C$1646&amp;'OD flujo mercancia carretera'!D$45:D$1646,0))</f>
        <v>72753.692307692298</v>
      </c>
      <c r="G1434" s="11" cm="1">
        <f t="array" aca="1" ref="G1434" ca="1">INDEX('Coste Carretera'!E$46:E$1646,MATCH(C1434&amp;D1434,'Coste Carretera'!C$46:C$1646&amp;'Coste Carretera'!D$46:D$1646,0))</f>
        <v>3033939739.3199964</v>
      </c>
      <c r="H1434" s="11" cm="1">
        <f t="array" aca="1" ref="H1434" ca="1">INDEX('Coste multimodal'!E$46:E$1646,MATCH(C1434&amp;D1434,'Coste multimodal'!C$46:C$1646&amp;'Coste multimodal'!D$46:D$1646,0))</f>
        <v>525762463.66754657</v>
      </c>
      <c r="I1434" s="12" cm="1">
        <f t="array" aca="1" ref="I1434" ca="1">INDEX('Tiempos intermodal (horas)'!E$45:E$1645,MATCH(C1434&amp;D1434,'Tiempos intermodal (horas)'!C$45:C$1645&amp;'Tiempos intermodal (horas)'!D$45:D$1645,0))</f>
        <v>129.24717330611861</v>
      </c>
      <c r="J1434" s="2" cm="1">
        <f t="array" aca="1" ref="J1434" ca="1">INDEX('Tiempos carretera (horas)'!E$45:E$1645,MATCH(C1434&amp;D1434,'Tiempos carretera (horas)'!C$45:C$1645&amp;'Tiempos carretera (horas)'!D$45:D$1645,0))</f>
        <v>21.92</v>
      </c>
      <c r="K1434" s="12">
        <f t="shared" ref="K1434:K1497" ca="1" si="138">G1434/(F1434*1000)</f>
        <v>41.701522535636528</v>
      </c>
      <c r="L1434" s="12">
        <f t="shared" ref="L1434:L1497" ca="1" si="139">H1434/(E1434*1000)</f>
        <v>20.560021982144324</v>
      </c>
      <c r="M1434" s="12">
        <f t="shared" ref="M1434:M1497" ca="1" si="140">E1434/(E1434+F1434)</f>
        <v>0.26007502532789334</v>
      </c>
      <c r="N1434" s="13">
        <f t="shared" ca="1" si="136"/>
        <v>21.141500553492204</v>
      </c>
      <c r="O1434" s="13">
        <f t="shared" ca="1" si="137"/>
        <v>-107.32717330611861</v>
      </c>
      <c r="P1434" s="12">
        <f t="shared" ref="P1434:P1497" ca="1" si="141">LN(1/M1434-1)</f>
        <v>1.0455786471362798</v>
      </c>
    </row>
    <row r="1435" spans="1:16" x14ac:dyDescent="0.25">
      <c r="A1435">
        <v>18</v>
      </c>
      <c r="B1435">
        <v>31</v>
      </c>
      <c r="C1435" s="2" t="s">
        <v>17</v>
      </c>
      <c r="D1435" s="2" t="s">
        <v>30</v>
      </c>
      <c r="E1435" s="11" cm="1">
        <f t="array" aca="1" ref="E1435" ca="1">INDEX('OD flujo mercancia multimodal'!E$45:E$1645,MATCH(C1435&amp;D1435,'OD flujo mercancia multimodal'!C$45:C$1645&amp;'OD flujo mercancia multimodal'!D$45:D$1645,0))</f>
        <v>9372.0769230769256</v>
      </c>
      <c r="F1435" s="11" cm="1">
        <f t="array" aca="1" ref="F1435" ca="1">INDEX('OD flujo mercancia carretera'!E$45:E$1646,MATCH(C1435&amp;D1435,'OD flujo mercancia carretera'!C$45:C$1646&amp;'OD flujo mercancia carretera'!D$45:D$1646,0))</f>
        <v>79859.307692307688</v>
      </c>
      <c r="G1435" s="11" cm="1">
        <f t="array" aca="1" ref="G1435" ca="1">INDEX('Coste Carretera'!E$46:E$1646,MATCH(C1435&amp;D1435,'Coste Carretera'!C$46:C$1646&amp;'Coste Carretera'!D$46:D$1646,0))</f>
        <v>1718291895.4440002</v>
      </c>
      <c r="H1435" s="11" cm="1">
        <f t="array" aca="1" ref="H1435" ca="1">INDEX('Coste multimodal'!E$46:E$1646,MATCH(C1435&amp;D1435,'Coste multimodal'!C$46:C$1646&amp;'Coste multimodal'!D$46:D$1646,0))</f>
        <v>525762463.66754657</v>
      </c>
      <c r="I1435" s="12" cm="1">
        <f t="array" aca="1" ref="I1435" ca="1">INDEX('Tiempos intermodal (horas)'!E$45:E$1645,MATCH(C1435&amp;D1435,'Tiempos intermodal (horas)'!C$45:C$1645&amp;'Tiempos intermodal (horas)'!D$45:D$1645,0))</f>
        <v>129.24717330611861</v>
      </c>
      <c r="J1435" s="2" cm="1">
        <f t="array" aca="1" ref="J1435" ca="1">INDEX('Tiempos carretera (horas)'!E$45:E$1645,MATCH(C1435&amp;D1435,'Tiempos carretera (horas)'!C$45:C$1645&amp;'Tiempos carretera (horas)'!D$45:D$1645,0))</f>
        <v>21.92</v>
      </c>
      <c r="K1435" s="12">
        <f t="shared" ca="1" si="138"/>
        <v>21.516488748743711</v>
      </c>
      <c r="L1435" s="12">
        <f t="shared" ca="1" si="139"/>
        <v>56.098820782505342</v>
      </c>
      <c r="M1435" s="12">
        <f t="shared" ca="1" si="140"/>
        <v>0.10503117219881246</v>
      </c>
      <c r="N1435" s="13">
        <f t="shared" ca="1" si="136"/>
        <v>-34.582332033761631</v>
      </c>
      <c r="O1435" s="13">
        <f t="shared" ca="1" si="137"/>
        <v>-107.32717330611861</v>
      </c>
      <c r="P1435" s="12">
        <f t="shared" ca="1" si="141"/>
        <v>2.1425317042140128</v>
      </c>
    </row>
    <row r="1436" spans="1:16" x14ac:dyDescent="0.25">
      <c r="A1436">
        <v>15</v>
      </c>
      <c r="B1436">
        <v>34</v>
      </c>
      <c r="C1436" s="2" t="s">
        <v>14</v>
      </c>
      <c r="D1436" s="2" t="s">
        <v>33</v>
      </c>
      <c r="E1436" s="11" cm="1">
        <f t="array" aca="1" ref="E1436" ca="1">INDEX('OD flujo mercancia multimodal'!E$45:E$1645,MATCH(C1436&amp;D1436,'OD flujo mercancia multimodal'!C$45:C$1645&amp;'OD flujo mercancia multimodal'!D$45:D$1645,0))</f>
        <v>323041.07692307723</v>
      </c>
      <c r="F1436" s="11" cm="1">
        <f t="array" aca="1" ref="F1436" ca="1">INDEX('OD flujo mercancia carretera'!E$45:E$1646,MATCH(C1436&amp;D1436,'OD flujo mercancia carretera'!C$45:C$1646&amp;'OD flujo mercancia carretera'!D$45:D$1646,0))</f>
        <v>562490.31196581211</v>
      </c>
      <c r="G1436" s="11" cm="1">
        <f t="array" aca="1" ref="G1436" ca="1">INDEX('Coste Carretera'!E$46:E$1646,MATCH(C1436&amp;D1436,'Coste Carretera'!C$46:C$1646&amp;'Coste Carretera'!D$46:D$1646,0))</f>
        <v>7413831944.6799955</v>
      </c>
      <c r="H1436" s="11" cm="1">
        <f t="array" aca="1" ref="H1436" ca="1">INDEX('Coste multimodal'!E$46:E$1646,MATCH(C1436&amp;D1436,'Coste multimodal'!C$46:C$1646&amp;'Coste multimodal'!D$46:D$1646,0))</f>
        <v>3047261321.434907</v>
      </c>
      <c r="I1436" s="12" cm="1">
        <f t="array" aca="1" ref="I1436" ca="1">INDEX('Tiempos intermodal (horas)'!E$45:E$1645,MATCH(C1436&amp;D1436,'Tiempos intermodal (horas)'!C$45:C$1645&amp;'Tiempos intermodal (horas)'!D$45:D$1645,0))</f>
        <v>122.68254850553679</v>
      </c>
      <c r="J1436" s="2" cm="1">
        <f t="array" aca="1" ref="J1436" ca="1">INDEX('Tiempos carretera (horas)'!E$45:E$1645,MATCH(C1436&amp;D1436,'Tiempos carretera (horas)'!C$45:C$1645&amp;'Tiempos carretera (horas)'!D$45:D$1645,0))</f>
        <v>15.25</v>
      </c>
      <c r="K1436" s="12">
        <f t="shared" ca="1" si="138"/>
        <v>13.180372687255465</v>
      </c>
      <c r="L1436" s="12">
        <f t="shared" ca="1" si="139"/>
        <v>9.4330459471583641</v>
      </c>
      <c r="M1436" s="12">
        <f t="shared" ca="1" si="140"/>
        <v>0.36479912623809918</v>
      </c>
      <c r="N1436" s="13">
        <f t="shared" ca="1" si="136"/>
        <v>3.7473267400971011</v>
      </c>
      <c r="O1436" s="13">
        <f t="shared" ca="1" si="137"/>
        <v>-107.43254850553679</v>
      </c>
      <c r="P1436" s="12">
        <f t="shared" ca="1" si="141"/>
        <v>0.55459442248506419</v>
      </c>
    </row>
    <row r="1437" spans="1:16" x14ac:dyDescent="0.25">
      <c r="A1437">
        <v>34</v>
      </c>
      <c r="B1437">
        <v>15</v>
      </c>
      <c r="C1437" s="2" t="s">
        <v>33</v>
      </c>
      <c r="D1437" s="2" t="s">
        <v>14</v>
      </c>
      <c r="E1437" s="11" cm="1">
        <f t="array" aca="1" ref="E1437" ca="1">INDEX('OD flujo mercancia multimodal'!E$45:E$1645,MATCH(C1437&amp;D1437,'OD flujo mercancia multimodal'!C$45:C$1645&amp;'OD flujo mercancia multimodal'!D$45:D$1645,0))</f>
        <v>172391.53846153844</v>
      </c>
      <c r="F1437" s="11" cm="1">
        <f t="array" aca="1" ref="F1437" ca="1">INDEX('OD flujo mercancia carretera'!E$45:E$1646,MATCH(C1437&amp;D1437,'OD flujo mercancia carretera'!C$45:C$1646&amp;'OD flujo mercancia carretera'!D$45:D$1646,0))</f>
        <v>566947.68803418847</v>
      </c>
      <c r="G1437" s="11" cm="1">
        <f t="array" aca="1" ref="G1437" ca="1">INDEX('Coste Carretera'!E$46:E$1646,MATCH(C1437&amp;D1437,'Coste Carretera'!C$46:C$1646&amp;'Coste Carretera'!D$46:D$1646,0))</f>
        <v>6384513727.199996</v>
      </c>
      <c r="H1437" s="11" cm="1">
        <f t="array" aca="1" ref="H1437" ca="1">INDEX('Coste multimodal'!E$46:E$1646,MATCH(C1437&amp;D1437,'Coste multimodal'!C$46:C$1646&amp;'Coste multimodal'!D$46:D$1646,0))</f>
        <v>3047261321.434907</v>
      </c>
      <c r="I1437" s="12" cm="1">
        <f t="array" aca="1" ref="I1437" ca="1">INDEX('Tiempos intermodal (horas)'!E$45:E$1645,MATCH(C1437&amp;D1437,'Tiempos intermodal (horas)'!C$45:C$1645&amp;'Tiempos intermodal (horas)'!D$45:D$1645,0))</f>
        <v>122.68254850553679</v>
      </c>
      <c r="J1437" s="2" cm="1">
        <f t="array" aca="1" ref="J1437" ca="1">INDEX('Tiempos carretera (horas)'!E$45:E$1645,MATCH(C1437&amp;D1437,'Tiempos carretera (horas)'!C$45:C$1645&amp;'Tiempos carretera (horas)'!D$45:D$1645,0))</f>
        <v>15.25</v>
      </c>
      <c r="K1437" s="12">
        <f t="shared" ca="1" si="138"/>
        <v>11.261204273250325</v>
      </c>
      <c r="L1437" s="12">
        <f t="shared" ca="1" si="139"/>
        <v>17.67639727929436</v>
      </c>
      <c r="M1437" s="12">
        <f t="shared" ca="1" si="140"/>
        <v>0.23316974439274499</v>
      </c>
      <c r="N1437" s="13">
        <f t="shared" ca="1" si="136"/>
        <v>-6.415193006044035</v>
      </c>
      <c r="O1437" s="13">
        <f t="shared" ca="1" si="137"/>
        <v>-107.43254850553679</v>
      </c>
      <c r="P1437" s="12">
        <f t="shared" ca="1" si="141"/>
        <v>1.1904987623332737</v>
      </c>
    </row>
    <row r="1438" spans="1:16" x14ac:dyDescent="0.25">
      <c r="A1438">
        <v>31</v>
      </c>
      <c r="B1438">
        <v>16</v>
      </c>
      <c r="C1438" s="2" t="s">
        <v>30</v>
      </c>
      <c r="D1438" s="2" t="s">
        <v>15</v>
      </c>
      <c r="E1438" s="11" cm="1">
        <f t="array" aca="1" ref="E1438" ca="1">INDEX('OD flujo mercancia multimodal'!E$45:E$1645,MATCH(C1438&amp;D1438,'OD flujo mercancia multimodal'!C$45:C$1645&amp;'OD flujo mercancia multimodal'!D$45:D$1645,0))</f>
        <v>39246.538461538497</v>
      </c>
      <c r="F1438" s="11" cm="1">
        <f t="array" aca="1" ref="F1438" ca="1">INDEX('OD flujo mercancia carretera'!E$45:E$1646,MATCH(C1438&amp;D1438,'OD flujo mercancia carretera'!C$45:C$1646&amp;'OD flujo mercancia carretera'!D$45:D$1646,0))</f>
        <v>550698.99999999977</v>
      </c>
      <c r="G1438" s="11" cm="1">
        <f t="array" aca="1" ref="G1438" ca="1">INDEX('Coste Carretera'!E$46:E$1646,MATCH(C1438&amp;D1438,'Coste Carretera'!C$46:C$1646&amp;'Coste Carretera'!D$46:D$1646,0))</f>
        <v>4171925876.8000026</v>
      </c>
      <c r="H1438" s="11" cm="1">
        <f t="array" aca="1" ref="H1438" ca="1">INDEX('Coste multimodal'!E$46:E$1646,MATCH(C1438&amp;D1438,'Coste multimodal'!C$46:C$1646&amp;'Coste multimodal'!D$46:D$1646,0))</f>
        <v>532349470.75954652</v>
      </c>
      <c r="I1438" s="12" cm="1">
        <f t="array" aca="1" ref="I1438" ca="1">INDEX('Tiempos intermodal (horas)'!E$45:E$1645,MATCH(C1438&amp;D1438,'Tiempos intermodal (horas)'!C$45:C$1645&amp;'Tiempos intermodal (horas)'!D$45:D$1645,0))</f>
        <v>127.2060621950075</v>
      </c>
      <c r="J1438" s="2" cm="1">
        <f t="array" aca="1" ref="J1438" ca="1">INDEX('Tiempos carretera (horas)'!E$45:E$1645,MATCH(C1438&amp;D1438,'Tiempos carretera (horas)'!C$45:C$1645&amp;'Tiempos carretera (horas)'!D$45:D$1645,0))</f>
        <v>19.75</v>
      </c>
      <c r="K1438" s="12">
        <f t="shared" ca="1" si="138"/>
        <v>7.5756917604716998</v>
      </c>
      <c r="L1438" s="12">
        <f t="shared" ca="1" si="139"/>
        <v>13.564240099321056</v>
      </c>
      <c r="M1438" s="12">
        <f t="shared" ca="1" si="140"/>
        <v>6.6525697548091872E-2</v>
      </c>
      <c r="N1438" s="13">
        <f t="shared" ca="1" si="136"/>
        <v>-5.9885483388493563</v>
      </c>
      <c r="O1438" s="13">
        <f t="shared" ca="1" si="137"/>
        <v>-107.4560621950075</v>
      </c>
      <c r="P1438" s="12">
        <f t="shared" ca="1" si="141"/>
        <v>2.6413251321195212</v>
      </c>
    </row>
    <row r="1439" spans="1:16" x14ac:dyDescent="0.25">
      <c r="A1439">
        <v>16</v>
      </c>
      <c r="B1439">
        <v>31</v>
      </c>
      <c r="C1439" s="2" t="s">
        <v>15</v>
      </c>
      <c r="D1439" s="2" t="s">
        <v>30</v>
      </c>
      <c r="E1439" s="11" cm="1">
        <f t="array" aca="1" ref="E1439" ca="1">INDEX('OD flujo mercancia multimodal'!E$45:E$1645,MATCH(C1439&amp;D1439,'OD flujo mercancia multimodal'!C$45:C$1645&amp;'OD flujo mercancia multimodal'!D$45:D$1645,0))</f>
        <v>37962.923076923078</v>
      </c>
      <c r="F1439" s="11" cm="1">
        <f t="array" aca="1" ref="F1439" ca="1">INDEX('OD flujo mercancia carretera'!E$45:E$1646,MATCH(C1439&amp;D1439,'OD flujo mercancia carretera'!C$45:C$1646&amp;'OD flujo mercancia carretera'!D$45:D$1646,0))</f>
        <v>193706.23076923078</v>
      </c>
      <c r="G1439" s="11" cm="1">
        <f t="array" aca="1" ref="G1439" ca="1">INDEX('Coste Carretera'!E$46:E$1646,MATCH(C1439&amp;D1439,'Coste Carretera'!C$46:C$1646&amp;'Coste Carretera'!D$46:D$1646,0))</f>
        <v>4578761526.9440002</v>
      </c>
      <c r="H1439" s="11" cm="1">
        <f t="array" aca="1" ref="H1439" ca="1">INDEX('Coste multimodal'!E$46:E$1646,MATCH(C1439&amp;D1439,'Coste multimodal'!C$46:C$1646&amp;'Coste multimodal'!D$46:D$1646,0))</f>
        <v>532349470.75954652</v>
      </c>
      <c r="I1439" s="12" cm="1">
        <f t="array" aca="1" ref="I1439" ca="1">INDEX('Tiempos intermodal (horas)'!E$45:E$1645,MATCH(C1439&amp;D1439,'Tiempos intermodal (horas)'!C$45:C$1645&amp;'Tiempos intermodal (horas)'!D$45:D$1645,0))</f>
        <v>127.2060621950075</v>
      </c>
      <c r="J1439" s="2" cm="1">
        <f t="array" aca="1" ref="J1439" ca="1">INDEX('Tiempos carretera (horas)'!E$45:E$1645,MATCH(C1439&amp;D1439,'Tiempos carretera (horas)'!C$45:C$1645&amp;'Tiempos carretera (horas)'!D$45:D$1645,0))</f>
        <v>19.75</v>
      </c>
      <c r="K1439" s="12">
        <f t="shared" ca="1" si="138"/>
        <v>23.637657440141119</v>
      </c>
      <c r="L1439" s="12">
        <f t="shared" ca="1" si="139"/>
        <v>14.022878841043497</v>
      </c>
      <c r="M1439" s="12">
        <f t="shared" ca="1" si="140"/>
        <v>0.16386697342596321</v>
      </c>
      <c r="N1439" s="13">
        <f t="shared" ca="1" si="136"/>
        <v>9.6147785990976224</v>
      </c>
      <c r="O1439" s="13">
        <f t="shared" ca="1" si="137"/>
        <v>-107.4560621950075</v>
      </c>
      <c r="P1439" s="12">
        <f t="shared" ca="1" si="141"/>
        <v>1.6297327620947555</v>
      </c>
    </row>
    <row r="1440" spans="1:16" x14ac:dyDescent="0.25">
      <c r="A1440">
        <v>26</v>
      </c>
      <c r="B1440">
        <v>1</v>
      </c>
      <c r="C1440" s="2" t="s">
        <v>25</v>
      </c>
      <c r="D1440" s="2" t="s">
        <v>0</v>
      </c>
      <c r="E1440" s="11" cm="1">
        <f t="array" aca="1" ref="E1440" ca="1">INDEX('OD flujo mercancia multimodal'!E$45:E$1645,MATCH(C1440&amp;D1440,'OD flujo mercancia multimodal'!C$45:C$1645&amp;'OD flujo mercancia multimodal'!D$45:D$1645,0))</f>
        <v>93649.379120879094</v>
      </c>
      <c r="F1440" s="11" cm="1">
        <f t="array" aca="1" ref="F1440" ca="1">INDEX('OD flujo mercancia carretera'!E$45:E$1646,MATCH(C1440&amp;D1440,'OD flujo mercancia carretera'!C$45:C$1646&amp;'OD flujo mercancia carretera'!D$45:D$1646,0))</f>
        <v>95845.846153846214</v>
      </c>
      <c r="G1440" s="11" cm="1">
        <f t="array" aca="1" ref="G1440" ca="1">INDEX('Coste Carretera'!E$46:E$1646,MATCH(C1440&amp;D1440,'Coste Carretera'!C$46:C$1646&amp;'Coste Carretera'!D$46:D$1646,0))</f>
        <v>5218491780.3057127</v>
      </c>
      <c r="H1440" s="11" cm="1">
        <f t="array" aca="1" ref="H1440" ca="1">INDEX('Coste multimodal'!E$46:E$1646,MATCH(C1440&amp;D1440,'Coste multimodal'!C$46:C$1646&amp;'Coste multimodal'!D$46:D$1646,0))</f>
        <v>519395834.84872949</v>
      </c>
      <c r="I1440" s="12" cm="1">
        <f t="array" aca="1" ref="I1440" ca="1">INDEX('Tiempos intermodal (horas)'!E$45:E$1645,MATCH(C1440&amp;D1440,'Tiempos intermodal (horas)'!C$45:C$1645&amp;'Tiempos intermodal (horas)'!D$45:D$1645,0))</f>
        <v>119.09961183840089</v>
      </c>
      <c r="J1440" s="2" cm="1">
        <f t="array" aca="1" ref="J1440" ca="1">INDEX('Tiempos carretera (horas)'!E$45:E$1645,MATCH(C1440&amp;D1440,'Tiempos carretera (horas)'!C$45:C$1645&amp;'Tiempos carretera (horas)'!D$45:D$1645,0))</f>
        <v>11.5</v>
      </c>
      <c r="K1440" s="12">
        <f t="shared" ca="1" si="138"/>
        <v>54.446718243055528</v>
      </c>
      <c r="L1440" s="12">
        <f t="shared" ca="1" si="139"/>
        <v>5.5461748889793796</v>
      </c>
      <c r="M1440" s="12">
        <f t="shared" ca="1" si="140"/>
        <v>0.49420442644456419</v>
      </c>
      <c r="N1440" s="13">
        <f t="shared" ca="1" si="136"/>
        <v>48.900543354076149</v>
      </c>
      <c r="O1440" s="13">
        <f t="shared" ca="1" si="137"/>
        <v>-107.59961183840089</v>
      </c>
      <c r="P1440" s="12">
        <f t="shared" ca="1" si="141"/>
        <v>2.3183332522106435E-2</v>
      </c>
    </row>
    <row r="1441" spans="1:16" x14ac:dyDescent="0.25">
      <c r="A1441">
        <v>1</v>
      </c>
      <c r="B1441">
        <v>26</v>
      </c>
      <c r="C1441" s="2" t="s">
        <v>0</v>
      </c>
      <c r="D1441" s="2" t="s">
        <v>25</v>
      </c>
      <c r="E1441" s="11" cm="1">
        <f t="array" aca="1" ref="E1441" ca="1">INDEX('OD flujo mercancia multimodal'!E$45:E$1645,MATCH(C1441&amp;D1441,'OD flujo mercancia multimodal'!C$45:C$1645&amp;'OD flujo mercancia multimodal'!D$45:D$1645,0))</f>
        <v>89888.840659340669</v>
      </c>
      <c r="F1441" s="11" cm="1">
        <f t="array" aca="1" ref="F1441" ca="1">INDEX('OD flujo mercancia carretera'!E$45:E$1646,MATCH(C1441&amp;D1441,'OD flujo mercancia carretera'!C$45:C$1646&amp;'OD flujo mercancia carretera'!D$45:D$1646,0))</f>
        <v>94659</v>
      </c>
      <c r="G1441" s="11" cm="1">
        <f t="array" aca="1" ref="G1441" ca="1">INDEX('Coste Carretera'!E$46:E$1646,MATCH(C1441&amp;D1441,'Coste Carretera'!C$46:C$1646&amp;'Coste Carretera'!D$46:D$1646,0))</f>
        <v>5008940588.0257139</v>
      </c>
      <c r="H1441" s="11" cm="1">
        <f t="array" aca="1" ref="H1441" ca="1">INDEX('Coste multimodal'!E$46:E$1646,MATCH(C1441&amp;D1441,'Coste multimodal'!C$46:C$1646&amp;'Coste multimodal'!D$46:D$1646,0))</f>
        <v>519395834.84872949</v>
      </c>
      <c r="I1441" s="12" cm="1">
        <f t="array" aca="1" ref="I1441" ca="1">INDEX('Tiempos intermodal (horas)'!E$45:E$1645,MATCH(C1441&amp;D1441,'Tiempos intermodal (horas)'!C$45:C$1645&amp;'Tiempos intermodal (horas)'!D$45:D$1645,0))</f>
        <v>119.09961183840089</v>
      </c>
      <c r="J1441" s="2" cm="1">
        <f t="array" aca="1" ref="J1441" ca="1">INDEX('Tiempos carretera (horas)'!E$45:E$1645,MATCH(C1441&amp;D1441,'Tiempos carretera (horas)'!C$45:C$1645&amp;'Tiempos carretera (horas)'!D$45:D$1645,0))</f>
        <v>11.5</v>
      </c>
      <c r="K1441" s="12">
        <f t="shared" ca="1" si="138"/>
        <v>52.91562966042018</v>
      </c>
      <c r="L1441" s="12">
        <f t="shared" ca="1" si="139"/>
        <v>5.778201510208901</v>
      </c>
      <c r="M1441" s="12">
        <f t="shared" ca="1" si="140"/>
        <v>0.48707609007069164</v>
      </c>
      <c r="N1441" s="13">
        <f t="shared" ca="1" si="136"/>
        <v>47.137428150211278</v>
      </c>
      <c r="O1441" s="13">
        <f t="shared" ca="1" si="137"/>
        <v>-107.59961183840089</v>
      </c>
      <c r="P1441" s="12">
        <f t="shared" ca="1" si="141"/>
        <v>5.1707157122210891E-2</v>
      </c>
    </row>
    <row r="1442" spans="1:16" x14ac:dyDescent="0.25">
      <c r="A1442">
        <v>16</v>
      </c>
      <c r="B1442">
        <v>8</v>
      </c>
      <c r="C1442" s="2" t="s">
        <v>15</v>
      </c>
      <c r="D1442" s="2" t="s">
        <v>7</v>
      </c>
      <c r="E1442" s="11" cm="1">
        <f t="array" aca="1" ref="E1442" ca="1">INDEX('OD flujo mercancia multimodal'!E$45:E$1645,MATCH(C1442&amp;D1442,'OD flujo mercancia multimodal'!C$45:C$1645&amp;'OD flujo mercancia multimodal'!D$45:D$1645,0))</f>
        <v>69920.318681318633</v>
      </c>
      <c r="F1442" s="11" cm="1">
        <f t="array" aca="1" ref="F1442" ca="1">INDEX('OD flujo mercancia carretera'!E$45:E$1646,MATCH(C1442&amp;D1442,'OD flujo mercancia carretera'!C$45:C$1646&amp;'OD flujo mercancia carretera'!D$45:D$1646,0))</f>
        <v>289255.38461538445</v>
      </c>
      <c r="G1442" s="11" cm="1">
        <f t="array" aca="1" ref="G1442" ca="1">INDEX('Coste Carretera'!E$46:E$1646,MATCH(C1442&amp;D1442,'Coste Carretera'!C$46:C$1646&amp;'Coste Carretera'!D$46:D$1646,0))</f>
        <v>7414202361.8914223</v>
      </c>
      <c r="H1442" s="11" cm="1">
        <f t="array" aca="1" ref="H1442" ca="1">INDEX('Coste multimodal'!E$46:E$1646,MATCH(C1442&amp;D1442,'Coste multimodal'!C$46:C$1646&amp;'Coste multimodal'!D$46:D$1646,0))</f>
        <v>544780455.24240375</v>
      </c>
      <c r="I1442" s="12" cm="1">
        <f t="array" aca="1" ref="I1442" ca="1">INDEX('Tiempos intermodal (horas)'!E$45:E$1645,MATCH(C1442&amp;D1442,'Tiempos intermodal (horas)'!C$45:C$1645&amp;'Tiempos intermodal (horas)'!D$45:D$1645,0))</f>
        <v>126.52383997278528</v>
      </c>
      <c r="J1442" s="2" cm="1">
        <f t="array" aca="1" ref="J1442" ca="1">INDEX('Tiempos carretera (horas)'!E$45:E$1645,MATCH(C1442&amp;D1442,'Tiempos carretera (horas)'!C$45:C$1645&amp;'Tiempos carretera (horas)'!D$45:D$1645,0))</f>
        <v>18.809999999999999</v>
      </c>
      <c r="K1442" s="12">
        <f t="shared" ca="1" si="138"/>
        <v>25.632028844510184</v>
      </c>
      <c r="L1442" s="12">
        <f t="shared" ca="1" si="139"/>
        <v>7.7914469715933761</v>
      </c>
      <c r="M1442" s="12">
        <f t="shared" ca="1" si="140"/>
        <v>0.19466884324177069</v>
      </c>
      <c r="N1442" s="13">
        <f t="shared" ca="1" si="136"/>
        <v>17.840581872916808</v>
      </c>
      <c r="O1442" s="13">
        <f t="shared" ca="1" si="137"/>
        <v>-107.71383997278528</v>
      </c>
      <c r="P1442" s="12">
        <f t="shared" ca="1" si="141"/>
        <v>1.4199536925479661</v>
      </c>
    </row>
    <row r="1443" spans="1:16" x14ac:dyDescent="0.25">
      <c r="A1443">
        <v>8</v>
      </c>
      <c r="B1443">
        <v>16</v>
      </c>
      <c r="C1443" s="2" t="s">
        <v>7</v>
      </c>
      <c r="D1443" s="2" t="s">
        <v>15</v>
      </c>
      <c r="E1443" s="11" cm="1">
        <f t="array" aca="1" ref="E1443" ca="1">INDEX('OD flujo mercancia multimodal'!E$45:E$1645,MATCH(C1443&amp;D1443,'OD flujo mercancia multimodal'!C$45:C$1645&amp;'OD flujo mercancia multimodal'!D$45:D$1645,0))</f>
        <v>44370.873626373657</v>
      </c>
      <c r="F1443" s="11" cm="1">
        <f t="array" aca="1" ref="F1443" ca="1">INDEX('OD flujo mercancia carretera'!E$45:E$1646,MATCH(C1443&amp;D1443,'OD flujo mercancia carretera'!C$45:C$1646&amp;'OD flujo mercancia carretera'!D$45:D$1646,0))</f>
        <v>647655.61538461514</v>
      </c>
      <c r="G1443" s="11" cm="1">
        <f t="array" aca="1" ref="G1443" ca="1">INDEX('Coste Carretera'!E$46:E$1646,MATCH(C1443&amp;D1443,'Coste Carretera'!C$46:C$1646&amp;'Coste Carretera'!D$46:D$1646,0))</f>
        <v>4704993373.0885744</v>
      </c>
      <c r="H1443" s="11" cm="1">
        <f t="array" aca="1" ref="H1443" ca="1">INDEX('Coste multimodal'!E$46:E$1646,MATCH(C1443&amp;D1443,'Coste multimodal'!C$46:C$1646&amp;'Coste multimodal'!D$46:D$1646,0))</f>
        <v>544780455.24240375</v>
      </c>
      <c r="I1443" s="12" cm="1">
        <f t="array" aca="1" ref="I1443" ca="1">INDEX('Tiempos intermodal (horas)'!E$45:E$1645,MATCH(C1443&amp;D1443,'Tiempos intermodal (horas)'!C$45:C$1645&amp;'Tiempos intermodal (horas)'!D$45:D$1645,0))</f>
        <v>126.52383997278528</v>
      </c>
      <c r="J1443" s="2" cm="1">
        <f t="array" aca="1" ref="J1443" ca="1">INDEX('Tiempos carretera (horas)'!E$45:E$1645,MATCH(C1443&amp;D1443,'Tiempos carretera (horas)'!C$45:C$1645&amp;'Tiempos carretera (horas)'!D$45:D$1645,0))</f>
        <v>18.809999999999999</v>
      </c>
      <c r="K1443" s="12">
        <f t="shared" ca="1" si="138"/>
        <v>7.2646530985367566</v>
      </c>
      <c r="L1443" s="12">
        <f t="shared" ca="1" si="139"/>
        <v>12.277884357872797</v>
      </c>
      <c r="M1443" s="12">
        <f t="shared" ca="1" si="140"/>
        <v>6.4117305234639765E-2</v>
      </c>
      <c r="N1443" s="13">
        <f t="shared" ca="1" si="136"/>
        <v>-5.01323125933604</v>
      </c>
      <c r="O1443" s="13">
        <f t="shared" ca="1" si="137"/>
        <v>-107.71383997278528</v>
      </c>
      <c r="P1443" s="12">
        <f t="shared" ca="1" si="141"/>
        <v>2.6807758425683388</v>
      </c>
    </row>
    <row r="1444" spans="1:16" x14ac:dyDescent="0.25">
      <c r="A1444">
        <v>36</v>
      </c>
      <c r="B1444">
        <v>26</v>
      </c>
      <c r="C1444" s="2" t="s">
        <v>35</v>
      </c>
      <c r="D1444" s="2" t="s">
        <v>25</v>
      </c>
      <c r="E1444" s="11" cm="1">
        <f t="array" aca="1" ref="E1444" ca="1">INDEX('OD flujo mercancia multimodal'!E$45:E$1645,MATCH(C1444&amp;D1444,'OD flujo mercancia multimodal'!C$45:C$1645&amp;'OD flujo mercancia multimodal'!D$45:D$1645,0))</f>
        <v>6376.9999999999982</v>
      </c>
      <c r="F1444" s="11" cm="1">
        <f t="array" aca="1" ref="F1444" ca="1">INDEX('OD flujo mercancia carretera'!E$45:E$1646,MATCH(C1444&amp;D1444,'OD flujo mercancia carretera'!C$45:C$1646&amp;'OD flujo mercancia carretera'!D$45:D$1646,0))</f>
        <v>139255.92307692306</v>
      </c>
      <c r="G1444" s="11" cm="1">
        <f t="array" aca="1" ref="G1444" ca="1">INDEX('Coste Carretera'!E$46:E$1646,MATCH(C1444&amp;D1444,'Coste Carretera'!C$46:C$1646&amp;'Coste Carretera'!D$46:D$1646,0))</f>
        <v>847097786.79999983</v>
      </c>
      <c r="H1444" s="11" cm="1">
        <f t="array" aca="1" ref="H1444" ca="1">INDEX('Coste multimodal'!E$46:E$1646,MATCH(C1444&amp;D1444,'Coste multimodal'!C$46:C$1646&amp;'Coste multimodal'!D$46:D$1646,0))</f>
        <v>339964807.71130097</v>
      </c>
      <c r="I1444" s="12" cm="1">
        <f t="array" aca="1" ref="I1444" ca="1">INDEX('Tiempos intermodal (horas)'!E$45:E$1645,MATCH(C1444&amp;D1444,'Tiempos intermodal (horas)'!C$45:C$1645&amp;'Tiempos intermodal (horas)'!D$45:D$1645,0))</f>
        <v>119.71961183840089</v>
      </c>
      <c r="J1444" s="2" cm="1">
        <f t="array" aca="1" ref="J1444" ca="1">INDEX('Tiempos carretera (horas)'!E$45:E$1645,MATCH(C1444&amp;D1444,'Tiempos carretera (horas)'!C$45:C$1645&amp;'Tiempos carretera (horas)'!D$45:D$1645,0))</f>
        <v>11.68</v>
      </c>
      <c r="K1444" s="12">
        <f t="shared" ca="1" si="138"/>
        <v>6.0830287723709571</v>
      </c>
      <c r="L1444" s="12">
        <f t="shared" ca="1" si="139"/>
        <v>53.311087927128909</v>
      </c>
      <c r="M1444" s="12">
        <f t="shared" ca="1" si="140"/>
        <v>4.3788175539343374E-2</v>
      </c>
      <c r="N1444" s="13">
        <f t="shared" ca="1" si="136"/>
        <v>-47.22805915475795</v>
      </c>
      <c r="O1444" s="13">
        <f t="shared" ca="1" si="137"/>
        <v>-108.0396118384009</v>
      </c>
      <c r="P1444" s="12">
        <f t="shared" ca="1" si="141"/>
        <v>3.0836156461310344</v>
      </c>
    </row>
    <row r="1445" spans="1:16" x14ac:dyDescent="0.25">
      <c r="A1445">
        <v>26</v>
      </c>
      <c r="B1445">
        <v>36</v>
      </c>
      <c r="C1445" s="2" t="s">
        <v>25</v>
      </c>
      <c r="D1445" s="2" t="s">
        <v>35</v>
      </c>
      <c r="E1445" s="11" cm="1">
        <f t="array" aca="1" ref="E1445" ca="1">INDEX('OD flujo mercancia multimodal'!E$45:E$1645,MATCH(C1445&amp;D1445,'OD flujo mercancia multimodal'!C$45:C$1645&amp;'OD flujo mercancia multimodal'!D$45:D$1645,0))</f>
        <v>4889.1538461538421</v>
      </c>
      <c r="F1445" s="11" cm="1">
        <f t="array" aca="1" ref="F1445" ca="1">INDEX('OD flujo mercancia carretera'!E$45:E$1646,MATCH(C1445&amp;D1445,'OD flujo mercancia carretera'!C$45:C$1646&amp;'OD flujo mercancia carretera'!D$45:D$1646,0))</f>
        <v>138634.92307692312</v>
      </c>
      <c r="G1445" s="11" cm="1">
        <f t="array" aca="1" ref="G1445" ca="1">INDEX('Coste Carretera'!E$46:E$1646,MATCH(C1445&amp;D1445,'Coste Carretera'!C$46:C$1646&amp;'Coste Carretera'!D$46:D$1646,0))</f>
        <v>1466827217.7600007</v>
      </c>
      <c r="H1445" s="11" cm="1">
        <f t="array" aca="1" ref="H1445" ca="1">INDEX('Coste multimodal'!E$46:E$1646,MATCH(C1445&amp;D1445,'Coste multimodal'!C$46:C$1646&amp;'Coste multimodal'!D$46:D$1646,0))</f>
        <v>339964807.71130097</v>
      </c>
      <c r="I1445" s="12" cm="1">
        <f t="array" aca="1" ref="I1445" ca="1">INDEX('Tiempos intermodal (horas)'!E$45:E$1645,MATCH(C1445&amp;D1445,'Tiempos intermodal (horas)'!C$45:C$1645&amp;'Tiempos intermodal (horas)'!D$45:D$1645,0))</f>
        <v>119.71961183840089</v>
      </c>
      <c r="J1445" s="2" cm="1">
        <f t="array" aca="1" ref="J1445" ca="1">INDEX('Tiempos carretera (horas)'!E$45:E$1645,MATCH(C1445&amp;D1445,'Tiempos carretera (horas)'!C$45:C$1645&amp;'Tiempos carretera (horas)'!D$45:D$1645,0))</f>
        <v>11.68</v>
      </c>
      <c r="K1445" s="12">
        <f t="shared" ca="1" si="138"/>
        <v>10.580502987303678</v>
      </c>
      <c r="L1445" s="12">
        <f t="shared" ca="1" si="139"/>
        <v>69.534487645288877</v>
      </c>
      <c r="M1445" s="12">
        <f t="shared" ca="1" si="140"/>
        <v>3.406504295982498E-2</v>
      </c>
      <c r="N1445" s="13">
        <f t="shared" ca="1" si="136"/>
        <v>-58.953984657985202</v>
      </c>
      <c r="O1445" s="13">
        <f t="shared" ca="1" si="137"/>
        <v>-108.0396118384009</v>
      </c>
      <c r="P1445" s="12">
        <f t="shared" ca="1" si="141"/>
        <v>3.3448247743509039</v>
      </c>
    </row>
    <row r="1446" spans="1:16" x14ac:dyDescent="0.25">
      <c r="A1446">
        <v>35</v>
      </c>
      <c r="B1446">
        <v>15</v>
      </c>
      <c r="C1446" s="2" t="s">
        <v>34</v>
      </c>
      <c r="D1446" s="2" t="s">
        <v>14</v>
      </c>
      <c r="E1446" s="11" cm="1">
        <f t="array" aca="1" ref="E1446" ca="1">INDEX('OD flujo mercancia multimodal'!E$45:E$1645,MATCH(C1446&amp;D1446,'OD flujo mercancia multimodal'!C$45:C$1645&amp;'OD flujo mercancia multimodal'!D$45:D$1645,0))</f>
        <v>57463.076923076893</v>
      </c>
      <c r="F1446" s="11" cm="1">
        <f t="array" aca="1" ref="F1446" ca="1">INDEX('OD flujo mercancia carretera'!E$45:E$1646,MATCH(C1446&amp;D1446,'OD flujo mercancia carretera'!C$45:C$1646&amp;'OD flujo mercancia carretera'!D$45:D$1646,0))</f>
        <v>306445.84615384665</v>
      </c>
      <c r="G1446" s="11" cm="1">
        <f t="array" aca="1" ref="G1446" ca="1">INDEX('Coste Carretera'!E$46:E$1646,MATCH(C1446&amp;D1446,'Coste Carretera'!C$46:C$1646&amp;'Coste Carretera'!D$46:D$1646,0))</f>
        <v>13906949529.599997</v>
      </c>
      <c r="H1446" s="11" cm="1">
        <f t="array" aca="1" ref="H1446" ca="1">INDEX('Coste multimodal'!E$46:E$1646,MATCH(C1446&amp;D1446,'Coste multimodal'!C$46:C$1646&amp;'Coste multimodal'!D$46:D$1646,0))</f>
        <v>2417526712.506907</v>
      </c>
      <c r="I1446" s="12" cm="1">
        <f t="array" aca="1" ref="I1446" ca="1">INDEX('Tiempos intermodal (horas)'!E$45:E$1645,MATCH(C1446&amp;D1446,'Tiempos intermodal (horas)'!C$45:C$1645&amp;'Tiempos intermodal (horas)'!D$45:D$1645,0))</f>
        <v>123.60699294998123</v>
      </c>
      <c r="J1446" s="2" cm="1">
        <f t="array" aca="1" ref="J1446" ca="1">INDEX('Tiempos carretera (horas)'!E$45:E$1645,MATCH(C1446&amp;D1446,'Tiempos carretera (horas)'!C$45:C$1645&amp;'Tiempos carretera (horas)'!D$45:D$1645,0))</f>
        <v>15.35</v>
      </c>
      <c r="K1446" s="12">
        <f t="shared" ca="1" si="138"/>
        <v>45.381426128446257</v>
      </c>
      <c r="L1446" s="12">
        <f t="shared" ca="1" si="139"/>
        <v>42.070958291062901</v>
      </c>
      <c r="M1446" s="12">
        <f t="shared" ca="1" si="140"/>
        <v>0.15790510558854934</v>
      </c>
      <c r="N1446" s="13">
        <f t="shared" ca="1" si="136"/>
        <v>3.3104678373833565</v>
      </c>
      <c r="O1446" s="13">
        <f t="shared" ca="1" si="137"/>
        <v>-108.25699294998124</v>
      </c>
      <c r="P1446" s="12">
        <f t="shared" ca="1" si="141"/>
        <v>1.6738984540380824</v>
      </c>
    </row>
    <row r="1447" spans="1:16" x14ac:dyDescent="0.25">
      <c r="A1447">
        <v>15</v>
      </c>
      <c r="B1447">
        <v>35</v>
      </c>
      <c r="C1447" s="2" t="s">
        <v>14</v>
      </c>
      <c r="D1447" s="2" t="s">
        <v>34</v>
      </c>
      <c r="E1447" s="11" cm="1">
        <f t="array" aca="1" ref="E1447" ca="1">INDEX('OD flujo mercancia multimodal'!E$45:E$1645,MATCH(C1447&amp;D1447,'OD flujo mercancia multimodal'!C$45:C$1645&amp;'OD flujo mercancia multimodal'!D$45:D$1645,0))</f>
        <v>49359.384615384632</v>
      </c>
      <c r="F1447" s="11" cm="1">
        <f t="array" aca="1" ref="F1447" ca="1">INDEX('OD flujo mercancia carretera'!E$45:E$1646,MATCH(C1447&amp;D1447,'OD flujo mercancia carretera'!C$45:C$1646&amp;'OD flujo mercancia carretera'!D$45:D$1646,0))</f>
        <v>310900.46153846162</v>
      </c>
      <c r="G1447" s="11" cm="1">
        <f t="array" aca="1" ref="G1447" ca="1">INDEX('Coste Carretera'!E$46:E$1646,MATCH(C1447&amp;D1447,'Coste Carretera'!C$46:C$1646&amp;'Coste Carretera'!D$46:D$1646,0))</f>
        <v>26059956264.960026</v>
      </c>
      <c r="H1447" s="11" cm="1">
        <f t="array" aca="1" ref="H1447" ca="1">INDEX('Coste multimodal'!E$46:E$1646,MATCH(C1447&amp;D1447,'Coste multimodal'!C$46:C$1646&amp;'Coste multimodal'!D$46:D$1646,0))</f>
        <v>2417526712.506907</v>
      </c>
      <c r="I1447" s="12" cm="1">
        <f t="array" aca="1" ref="I1447" ca="1">INDEX('Tiempos intermodal (horas)'!E$45:E$1645,MATCH(C1447&amp;D1447,'Tiempos intermodal (horas)'!C$45:C$1645&amp;'Tiempos intermodal (horas)'!D$45:D$1645,0))</f>
        <v>123.60699294998123</v>
      </c>
      <c r="J1447" s="2" cm="1">
        <f t="array" aca="1" ref="J1447" ca="1">INDEX('Tiempos carretera (horas)'!E$45:E$1645,MATCH(C1447&amp;D1447,'Tiempos carretera (horas)'!C$45:C$1645&amp;'Tiempos carretera (horas)'!D$45:D$1645,0))</f>
        <v>15.35</v>
      </c>
      <c r="K1447" s="12">
        <f t="shared" ca="1" si="138"/>
        <v>83.820899255037418</v>
      </c>
      <c r="L1447" s="12">
        <f t="shared" ca="1" si="139"/>
        <v>48.978056176036638</v>
      </c>
      <c r="M1447" s="12">
        <f t="shared" ca="1" si="140"/>
        <v>0.13701050822718133</v>
      </c>
      <c r="N1447" s="13">
        <f t="shared" ca="1" si="136"/>
        <v>34.842843079000779</v>
      </c>
      <c r="O1447" s="13">
        <f t="shared" ca="1" si="137"/>
        <v>-108.25699294998124</v>
      </c>
      <c r="P1447" s="12">
        <f t="shared" ca="1" si="141"/>
        <v>1.8403448893414371</v>
      </c>
    </row>
    <row r="1448" spans="1:16" x14ac:dyDescent="0.25">
      <c r="A1448">
        <v>9</v>
      </c>
      <c r="B1448">
        <v>26</v>
      </c>
      <c r="C1448" s="2" t="s">
        <v>148</v>
      </c>
      <c r="D1448" s="2" t="s">
        <v>25</v>
      </c>
      <c r="E1448" s="11" cm="1">
        <f t="array" aca="1" ref="E1448" ca="1">INDEX('OD flujo mercancia multimodal'!E$45:E$1645,MATCH(C1448&amp;D1448,'OD flujo mercancia multimodal'!C$45:C$1645&amp;'OD flujo mercancia multimodal'!D$45:D$1645,0))</f>
        <v>5186.2692307692296</v>
      </c>
      <c r="F1448" s="11" cm="1">
        <f t="array" aca="1" ref="F1448" ca="1">INDEX('OD flujo mercancia carretera'!E$45:E$1646,MATCH(C1448&amp;D1448,'OD flujo mercancia carretera'!C$45:C$1646&amp;'OD flujo mercancia carretera'!D$45:D$1646,0))</f>
        <v>621805.29700854712</v>
      </c>
      <c r="G1448" s="11" cm="1">
        <f t="array" aca="1" ref="G1448" ca="1">INDEX('Coste Carretera'!E$46:E$1646,MATCH(C1448&amp;D1448,'Coste Carretera'!C$46:C$1646&amp;'Coste Carretera'!D$46:D$1646,0))</f>
        <v>327404197.71999985</v>
      </c>
      <c r="H1448" s="11" cm="1">
        <f t="array" aca="1" ref="H1448" ca="1">INDEX('Coste multimodal'!E$46:E$1646,MATCH(C1448&amp;D1448,'Coste multimodal'!C$46:C$1646&amp;'Coste multimodal'!D$46:D$1646,0))</f>
        <v>386735208.5873009</v>
      </c>
      <c r="I1448" s="12" cm="1">
        <f t="array" aca="1" ref="I1448" ca="1">INDEX('Tiempos intermodal (horas)'!E$45:E$1645,MATCH(C1448&amp;D1448,'Tiempos intermodal (horas)'!C$45:C$1645&amp;'Tiempos intermodal (horas)'!D$45:D$1645,0))</f>
        <v>121.560722949512</v>
      </c>
      <c r="J1448" s="2" cm="1">
        <f t="array" aca="1" ref="J1448" ca="1">INDEX('Tiempos carretera (horas)'!E$45:E$1645,MATCH(C1448&amp;D1448,'Tiempos carretera (horas)'!C$45:C$1645&amp;'Tiempos carretera (horas)'!D$45:D$1645,0))</f>
        <v>12.46</v>
      </c>
      <c r="K1448" s="12">
        <f t="shared" ca="1" si="138"/>
        <v>0.52653812904958175</v>
      </c>
      <c r="L1448" s="12">
        <f t="shared" ca="1" si="139"/>
        <v>74.569057520745062</v>
      </c>
      <c r="M1448" s="12">
        <f t="shared" ca="1" si="140"/>
        <v>8.271673033620492E-3</v>
      </c>
      <c r="N1448" s="13">
        <f t="shared" ca="1" si="136"/>
        <v>-74.042519391695478</v>
      </c>
      <c r="O1448" s="13">
        <f t="shared" ca="1" si="137"/>
        <v>-109.100722949512</v>
      </c>
      <c r="P1448" s="12">
        <f t="shared" ca="1" si="141"/>
        <v>4.7866124157306498</v>
      </c>
    </row>
    <row r="1449" spans="1:16" x14ac:dyDescent="0.25">
      <c r="A1449">
        <v>26</v>
      </c>
      <c r="B1449">
        <v>9</v>
      </c>
      <c r="C1449" s="2" t="s">
        <v>25</v>
      </c>
      <c r="D1449" s="2" t="s">
        <v>148</v>
      </c>
      <c r="E1449" s="11" cm="1">
        <f t="array" aca="1" ref="E1449" ca="1">INDEX('OD flujo mercancia multimodal'!E$45:E$1645,MATCH(C1449&amp;D1449,'OD flujo mercancia multimodal'!C$45:C$1645&amp;'OD flujo mercancia multimodal'!D$45:D$1645,0))</f>
        <v>1766.7622377622374</v>
      </c>
      <c r="F1449" s="11" cm="1">
        <f t="array" aca="1" ref="F1449" ca="1">INDEX('OD flujo mercancia carretera'!E$45:E$1646,MATCH(C1449&amp;D1449,'OD flujo mercancia carretera'!C$45:C$1646&amp;'OD flujo mercancia carretera'!D$45:D$1646,0))</f>
        <v>617441.62179487199</v>
      </c>
      <c r="G1449" s="11" cm="1">
        <f t="array" aca="1" ref="G1449" ca="1">INDEX('Coste Carretera'!E$46:E$1646,MATCH(C1449&amp;D1449,'Coste Carretera'!C$46:C$1646&amp;'Coste Carretera'!D$46:D$1646,0))</f>
        <v>53076081.759999983</v>
      </c>
      <c r="H1449" s="11" cm="1">
        <f t="array" aca="1" ref="H1449" ca="1">INDEX('Coste multimodal'!E$46:E$1646,MATCH(C1449&amp;D1449,'Coste multimodal'!C$46:C$1646&amp;'Coste multimodal'!D$46:D$1646,0))</f>
        <v>386735208.5873009</v>
      </c>
      <c r="I1449" s="12" cm="1">
        <f t="array" aca="1" ref="I1449" ca="1">INDEX('Tiempos intermodal (horas)'!E$45:E$1645,MATCH(C1449&amp;D1449,'Tiempos intermodal (horas)'!C$45:C$1645&amp;'Tiempos intermodal (horas)'!D$45:D$1645,0))</f>
        <v>121.560722949512</v>
      </c>
      <c r="J1449" s="2" cm="1">
        <f t="array" aca="1" ref="J1449" ca="1">INDEX('Tiempos carretera (horas)'!E$45:E$1645,MATCH(C1449&amp;D1449,'Tiempos carretera (horas)'!C$45:C$1645&amp;'Tiempos carretera (horas)'!D$45:D$1645,0))</f>
        <v>12.46</v>
      </c>
      <c r="K1449" s="12">
        <f t="shared" ca="1" si="138"/>
        <v>8.596129558890192E-2</v>
      </c>
      <c r="L1449" s="12">
        <f t="shared" ca="1" si="139"/>
        <v>218.89488031911733</v>
      </c>
      <c r="M1449" s="12">
        <f t="shared" ca="1" si="140"/>
        <v>2.8532595541683162E-3</v>
      </c>
      <c r="N1449" s="13">
        <f t="shared" ca="1" si="136"/>
        <v>-218.80891902352843</v>
      </c>
      <c r="O1449" s="13">
        <f t="shared" ca="1" si="137"/>
        <v>-109.100722949512</v>
      </c>
      <c r="P1449" s="12">
        <f t="shared" ca="1" si="141"/>
        <v>5.8564358971562021</v>
      </c>
    </row>
    <row r="1450" spans="1:16" x14ac:dyDescent="0.25">
      <c r="A1450">
        <v>26</v>
      </c>
      <c r="B1450">
        <v>2</v>
      </c>
      <c r="C1450" s="2" t="s">
        <v>25</v>
      </c>
      <c r="D1450" s="2" t="s">
        <v>1</v>
      </c>
      <c r="E1450" s="11" cm="1">
        <f t="array" aca="1" ref="E1450" ca="1">INDEX('OD flujo mercancia multimodal'!E$45:E$1645,MATCH(C1450&amp;D1450,'OD flujo mercancia multimodal'!C$45:C$1645&amp;'OD flujo mercancia multimodal'!D$45:D$1645,0))</f>
        <v>22388.37912087909</v>
      </c>
      <c r="F1450" s="11" cm="1">
        <f t="array" aca="1" ref="F1450" ca="1">INDEX('OD flujo mercancia carretera'!E$45:E$1646,MATCH(C1450&amp;D1450,'OD flujo mercancia carretera'!C$45:C$1646&amp;'OD flujo mercancia carretera'!D$45:D$1646,0))</f>
        <v>86234.23076923081</v>
      </c>
      <c r="G1450" s="11" cm="1">
        <f t="array" aca="1" ref="G1450" ca="1">INDEX('Coste Carretera'!E$46:E$1646,MATCH(C1450&amp;D1450,'Coste Carretera'!C$46:C$1646&amp;'Coste Carretera'!D$46:D$1646,0))</f>
        <v>1184068535.1285698</v>
      </c>
      <c r="H1450" s="11" cm="1">
        <f t="array" aca="1" ref="H1450" ca="1">INDEX('Coste multimodal'!E$46:E$1646,MATCH(C1450&amp;D1450,'Coste multimodal'!C$46:C$1646&amp;'Coste multimodal'!D$46:D$1646,0))</f>
        <v>395864366.28730094</v>
      </c>
      <c r="I1450" s="12" cm="1">
        <f t="array" aca="1" ref="I1450" ca="1">INDEX('Tiempos intermodal (horas)'!E$45:E$1645,MATCH(C1450&amp;D1450,'Tiempos intermodal (horas)'!C$45:C$1645&amp;'Tiempos intermodal (horas)'!D$45:D$1645,0))</f>
        <v>119.47738961617867</v>
      </c>
      <c r="J1450" s="2" cm="1">
        <f t="array" aca="1" ref="J1450" ca="1">INDEX('Tiempos carretera (horas)'!E$45:E$1645,MATCH(C1450&amp;D1450,'Tiempos carretera (horas)'!C$45:C$1645&amp;'Tiempos carretera (horas)'!D$45:D$1645,0))</f>
        <v>10.16</v>
      </c>
      <c r="K1450" s="12">
        <f t="shared" ca="1" si="138"/>
        <v>13.7308412745888</v>
      </c>
      <c r="L1450" s="12">
        <f t="shared" ca="1" si="139"/>
        <v>17.681689422443419</v>
      </c>
      <c r="M1450" s="12">
        <f t="shared" ca="1" si="140"/>
        <v>0.20611159263737736</v>
      </c>
      <c r="N1450" s="13">
        <f t="shared" ca="1" si="136"/>
        <v>-3.9508481478546198</v>
      </c>
      <c r="O1450" s="13">
        <f t="shared" ca="1" si="137"/>
        <v>-109.31738961617867</v>
      </c>
      <c r="P1450" s="12">
        <f t="shared" ca="1" si="141"/>
        <v>1.3485251725378085</v>
      </c>
    </row>
    <row r="1451" spans="1:16" x14ac:dyDescent="0.25">
      <c r="A1451">
        <v>2</v>
      </c>
      <c r="B1451">
        <v>26</v>
      </c>
      <c r="C1451" s="2" t="s">
        <v>1</v>
      </c>
      <c r="D1451" s="2" t="s">
        <v>25</v>
      </c>
      <c r="E1451" s="11" cm="1">
        <f t="array" aca="1" ref="E1451" ca="1">INDEX('OD flujo mercancia multimodal'!E$45:E$1645,MATCH(C1451&amp;D1451,'OD flujo mercancia multimodal'!C$45:C$1645&amp;'OD flujo mercancia multimodal'!D$45:D$1645,0))</f>
        <v>10688.76923076923</v>
      </c>
      <c r="F1451" s="11" cm="1">
        <f t="array" aca="1" ref="F1451" ca="1">INDEX('OD flujo mercancia carretera'!E$45:E$1646,MATCH(C1451&amp;D1451,'OD flujo mercancia carretera'!C$45:C$1646&amp;'OD flujo mercancia carretera'!D$45:D$1646,0))</f>
        <v>85227</v>
      </c>
      <c r="G1451" s="11" cm="1">
        <f t="array" aca="1" ref="G1451" ca="1">INDEX('Coste Carretera'!E$46:E$1646,MATCH(C1451&amp;D1451,'Coste Carretera'!C$46:C$1646&amp;'Coste Carretera'!D$46:D$1646,0))</f>
        <v>565303779.12</v>
      </c>
      <c r="H1451" s="11" cm="1">
        <f t="array" aca="1" ref="H1451" ca="1">INDEX('Coste multimodal'!E$46:E$1646,MATCH(C1451&amp;D1451,'Coste multimodal'!C$46:C$1646&amp;'Coste multimodal'!D$46:D$1646,0))</f>
        <v>395864366.28730094</v>
      </c>
      <c r="I1451" s="12" cm="1">
        <f t="array" aca="1" ref="I1451" ca="1">INDEX('Tiempos intermodal (horas)'!E$45:E$1645,MATCH(C1451&amp;D1451,'Tiempos intermodal (horas)'!C$45:C$1645&amp;'Tiempos intermodal (horas)'!D$45:D$1645,0))</f>
        <v>119.47738961617867</v>
      </c>
      <c r="J1451" s="2" cm="1">
        <f t="array" aca="1" ref="J1451" ca="1">INDEX('Tiempos carretera (horas)'!E$45:E$1645,MATCH(C1451&amp;D1451,'Tiempos carretera (horas)'!C$45:C$1645&amp;'Tiempos carretera (horas)'!D$45:D$1645,0))</f>
        <v>10.16</v>
      </c>
      <c r="K1451" s="12">
        <f t="shared" ca="1" si="138"/>
        <v>6.6329189003484812</v>
      </c>
      <c r="L1451" s="12">
        <f t="shared" ca="1" si="139"/>
        <v>37.035542422203839</v>
      </c>
      <c r="M1451" s="12">
        <f t="shared" ca="1" si="140"/>
        <v>0.11143912326921457</v>
      </c>
      <c r="N1451" s="13">
        <f t="shared" ca="1" si="136"/>
        <v>-30.402623521855357</v>
      </c>
      <c r="O1451" s="13">
        <f t="shared" ca="1" si="137"/>
        <v>-109.31738961617867</v>
      </c>
      <c r="P1451" s="12">
        <f t="shared" ca="1" si="141"/>
        <v>2.0761246993948737</v>
      </c>
    </row>
    <row r="1452" spans="1:16" x14ac:dyDescent="0.25">
      <c r="A1452">
        <v>3</v>
      </c>
      <c r="B1452">
        <v>26</v>
      </c>
      <c r="C1452" s="2" t="s">
        <v>2</v>
      </c>
      <c r="D1452" s="2" t="s">
        <v>25</v>
      </c>
      <c r="E1452" s="11" cm="1">
        <f t="array" aca="1" ref="E1452" ca="1">INDEX('OD flujo mercancia multimodal'!E$45:E$1645,MATCH(C1452&amp;D1452,'OD flujo mercancia multimodal'!C$45:C$1645&amp;'OD flujo mercancia multimodal'!D$45:D$1645,0))</f>
        <v>19246.340659340658</v>
      </c>
      <c r="F1452" s="11" cm="1">
        <f t="array" aca="1" ref="F1452" ca="1">INDEX('OD flujo mercancia carretera'!E$45:E$1646,MATCH(C1452&amp;D1452,'OD flujo mercancia carretera'!C$45:C$1646&amp;'OD flujo mercancia carretera'!D$45:D$1646,0))</f>
        <v>84177.769230769234</v>
      </c>
      <c r="G1452" s="11" cm="1">
        <f t="array" aca="1" ref="G1452" ca="1">INDEX('Coste Carretera'!E$46:E$1646,MATCH(C1452&amp;D1452,'Coste Carretera'!C$46:C$1646&amp;'Coste Carretera'!D$46:D$1646,0))</f>
        <v>1002731268.9371426</v>
      </c>
      <c r="H1452" s="11" cm="1">
        <f t="array" aca="1" ref="H1452" ca="1">INDEX('Coste multimodal'!E$46:E$1646,MATCH(C1452&amp;D1452,'Coste multimodal'!C$46:C$1646&amp;'Coste multimodal'!D$46:D$1646,0))</f>
        <v>742312744.98411095</v>
      </c>
      <c r="I1452" s="12" cm="1">
        <f t="array" aca="1" ref="I1452" ca="1">INDEX('Tiempos intermodal (horas)'!E$45:E$1645,MATCH(C1452&amp;D1452,'Tiempos intermodal (horas)'!C$45:C$1645&amp;'Tiempos intermodal (horas)'!D$45:D$1645,0))</f>
        <v>120.89337393839152</v>
      </c>
      <c r="J1452" s="2" cm="1">
        <f t="array" aca="1" ref="J1452" ca="1">INDEX('Tiempos carretera (horas)'!E$45:E$1645,MATCH(C1452&amp;D1452,'Tiempos carretera (horas)'!C$45:C$1645&amp;'Tiempos carretera (horas)'!D$45:D$1645,0))</f>
        <v>10.050000000000001</v>
      </c>
      <c r="K1452" s="12">
        <f t="shared" ca="1" si="138"/>
        <v>11.912067498346314</v>
      </c>
      <c r="L1452" s="12">
        <f t="shared" ca="1" si="139"/>
        <v>38.569032842295186</v>
      </c>
      <c r="M1452" s="12">
        <f t="shared" ca="1" si="140"/>
        <v>0.18609143148333851</v>
      </c>
      <c r="N1452" s="13">
        <f t="shared" ca="1" si="136"/>
        <v>-26.656965343948873</v>
      </c>
      <c r="O1452" s="13">
        <f t="shared" ca="1" si="137"/>
        <v>-110.84337393839152</v>
      </c>
      <c r="P1452" s="12">
        <f t="shared" ca="1" si="141"/>
        <v>1.4756099159557676</v>
      </c>
    </row>
    <row r="1453" spans="1:16" x14ac:dyDescent="0.25">
      <c r="A1453">
        <v>16</v>
      </c>
      <c r="B1453">
        <v>3</v>
      </c>
      <c r="C1453" s="2" t="s">
        <v>15</v>
      </c>
      <c r="D1453" s="2" t="s">
        <v>2</v>
      </c>
      <c r="E1453" s="11" cm="1">
        <f t="array" aca="1" ref="E1453" ca="1">INDEX('OD flujo mercancia multimodal'!E$45:E$1645,MATCH(C1453&amp;D1453,'OD flujo mercancia multimodal'!C$45:C$1645&amp;'OD flujo mercancia multimodal'!D$45:D$1645,0))</f>
        <v>51802.175824175836</v>
      </c>
      <c r="F1453" s="11" cm="1">
        <f t="array" aca="1" ref="F1453" ca="1">INDEX('OD flujo mercancia carretera'!E$45:E$1646,MATCH(C1453&amp;D1453,'OD flujo mercancia carretera'!C$45:C$1646&amp;'OD flujo mercancia carretera'!D$45:D$1646,0))</f>
        <v>211414.99999999997</v>
      </c>
      <c r="G1453" s="11" cm="1">
        <f t="array" aca="1" ref="G1453" ca="1">INDEX('Coste Carretera'!E$46:E$1646,MATCH(C1453&amp;D1453,'Coste Carretera'!C$46:C$1646&amp;'Coste Carretera'!D$46:D$1646,0))</f>
        <v>4475469701.2000008</v>
      </c>
      <c r="H1453" s="11" cm="1">
        <f t="array" aca="1" ref="H1453" ca="1">INDEX('Coste multimodal'!E$46:E$1646,MATCH(C1453&amp;D1453,'Coste multimodal'!C$46:C$1646&amp;'Coste multimodal'!D$46:D$1646,0))</f>
        <v>611777640.32015967</v>
      </c>
      <c r="I1453" s="12" cm="1">
        <f t="array" aca="1" ref="I1453" ca="1">INDEX('Tiempos intermodal (horas)'!E$45:E$1645,MATCH(C1453&amp;D1453,'Tiempos intermodal (horas)'!C$45:C$1645&amp;'Tiempos intermodal (horas)'!D$45:D$1645,0))</f>
        <v>111.57074785918732</v>
      </c>
      <c r="J1453" s="2" cm="1">
        <f t="array" aca="1" ref="J1453" ca="1">INDEX('Tiempos carretera (horas)'!E$45:E$1645,MATCH(C1453&amp;D1453,'Tiempos carretera (horas)'!C$45:C$1645&amp;'Tiempos carretera (horas)'!D$45:D$1645,0))</f>
        <v>16.21</v>
      </c>
      <c r="K1453" s="12">
        <f t="shared" ca="1" si="138"/>
        <v>21.169120928978558</v>
      </c>
      <c r="L1453" s="12">
        <f t="shared" ca="1" si="139"/>
        <v>11.809883090560183</v>
      </c>
      <c r="M1453" s="12">
        <f t="shared" ca="1" si="140"/>
        <v>0.19680393447720421</v>
      </c>
      <c r="N1453" s="13">
        <f t="shared" ca="1" si="136"/>
        <v>9.359237838418375</v>
      </c>
      <c r="O1453" s="13">
        <f t="shared" ca="1" si="137"/>
        <v>-95.360747859187313</v>
      </c>
      <c r="P1453" s="12">
        <f t="shared" ca="1" si="141"/>
        <v>1.4063908737424449</v>
      </c>
    </row>
    <row r="1454" spans="1:16" x14ac:dyDescent="0.25">
      <c r="A1454">
        <v>18</v>
      </c>
      <c r="B1454">
        <v>3</v>
      </c>
      <c r="C1454" s="2" t="s">
        <v>17</v>
      </c>
      <c r="D1454" s="2" t="s">
        <v>2</v>
      </c>
      <c r="E1454" s="11" cm="1">
        <f t="array" aca="1" ref="E1454" ca="1">INDEX('OD flujo mercancia multimodal'!E$45:E$1645,MATCH(C1454&amp;D1454,'OD flujo mercancia multimodal'!C$45:C$1645&amp;'OD flujo mercancia multimodal'!D$45:D$1645,0))</f>
        <v>23211.329670329687</v>
      </c>
      <c r="F1454" s="11" cm="1">
        <f t="array" aca="1" ref="F1454" ca="1">INDEX('OD flujo mercancia carretera'!E$45:E$1646,MATCH(C1454&amp;D1454,'OD flujo mercancia carretera'!C$45:C$1646&amp;'OD flujo mercancia carretera'!D$45:D$1646,0))</f>
        <v>97568.076923076878</v>
      </c>
      <c r="G1454" s="11" cm="1">
        <f t="array" aca="1" ref="G1454" ca="1">INDEX('Coste Carretera'!E$46:E$1646,MATCH(C1454&amp;D1454,'Coste Carretera'!C$46:C$1646&amp;'Coste Carretera'!D$46:D$1646,0))</f>
        <v>2293050043.4914298</v>
      </c>
      <c r="H1454" s="11" cm="1">
        <f t="array" aca="1" ref="H1454" ca="1">INDEX('Coste multimodal'!E$46:E$1646,MATCH(C1454&amp;D1454,'Coste multimodal'!C$46:C$1646&amp;'Coste multimodal'!D$46:D$1646,0))</f>
        <v>805067632.62015963</v>
      </c>
      <c r="I1454" s="12" cm="1">
        <f t="array" aca="1" ref="I1454" ca="1">INDEX('Tiempos intermodal (horas)'!E$45:E$1645,MATCH(C1454&amp;D1454,'Tiempos intermodal (horas)'!C$45:C$1645&amp;'Tiempos intermodal (horas)'!D$45:D$1645,0))</f>
        <v>112.03630341474287</v>
      </c>
      <c r="J1454" s="2" cm="1">
        <f t="array" aca="1" ref="J1454" ca="1">INDEX('Tiempos carretera (horas)'!E$45:E$1645,MATCH(C1454&amp;D1454,'Tiempos carretera (horas)'!C$45:C$1645&amp;'Tiempos carretera (horas)'!D$45:D$1645,0))</f>
        <v>18.03</v>
      </c>
      <c r="K1454" s="12">
        <f t="shared" ca="1" si="138"/>
        <v>23.502052267559613</v>
      </c>
      <c r="L1454" s="12">
        <f t="shared" ca="1" si="139"/>
        <v>34.684253080479586</v>
      </c>
      <c r="M1454" s="12">
        <f t="shared" ca="1" si="140"/>
        <v>0.19217953064191334</v>
      </c>
      <c r="N1454" s="13">
        <f t="shared" ca="1" si="136"/>
        <v>-11.182200812919973</v>
      </c>
      <c r="O1454" s="13">
        <f t="shared" ca="1" si="137"/>
        <v>-94.006303414742874</v>
      </c>
      <c r="P1454" s="12">
        <f t="shared" ca="1" si="141"/>
        <v>1.4359098518820128</v>
      </c>
    </row>
    <row r="1455" spans="1:16" x14ac:dyDescent="0.25">
      <c r="A1455">
        <v>10</v>
      </c>
      <c r="B1455">
        <v>15</v>
      </c>
      <c r="C1455" s="2" t="s">
        <v>9</v>
      </c>
      <c r="D1455" s="2" t="s">
        <v>14</v>
      </c>
      <c r="E1455" s="11" cm="1">
        <f t="array" aca="1" ref="E1455" ca="1">INDEX('OD flujo mercancia multimodal'!E$45:E$1645,MATCH(C1455&amp;D1455,'OD flujo mercancia multimodal'!C$45:C$1645&amp;'OD flujo mercancia multimodal'!D$45:D$1645,0))</f>
        <v>61770.340659340625</v>
      </c>
      <c r="F1455" s="11" cm="1">
        <f t="array" aca="1" ref="F1455" ca="1">INDEX('OD flujo mercancia carretera'!E$45:E$1646,MATCH(C1455&amp;D1455,'OD flujo mercancia carretera'!C$45:C$1646&amp;'OD flujo mercancia carretera'!D$45:D$1646,0))</f>
        <v>382987.38461538509</v>
      </c>
      <c r="G1455" s="11" cm="1">
        <f t="array" aca="1" ref="G1455" ca="1">INDEX('Coste Carretera'!E$46:E$1646,MATCH(C1455&amp;D1455,'Coste Carretera'!C$46:C$1646&amp;'Coste Carretera'!D$46:D$1646,0))</f>
        <v>6374810342.6571388</v>
      </c>
      <c r="H1455" s="11" cm="1">
        <f t="array" aca="1" ref="H1455" ca="1">INDEX('Coste multimodal'!E$46:E$1646,MATCH(C1455&amp;D1455,'Coste multimodal'!C$46:C$1646&amp;'Coste multimodal'!D$46:D$1646,0))</f>
        <v>661990541.16761243</v>
      </c>
      <c r="I1455" s="12" cm="1">
        <f t="array" aca="1" ref="I1455" ca="1">INDEX('Tiempos intermodal (horas)'!E$45:E$1645,MATCH(C1455&amp;D1455,'Tiempos intermodal (horas)'!C$45:C$1645&amp;'Tiempos intermodal (horas)'!D$45:D$1645,0))</f>
        <v>132.53188326998873</v>
      </c>
      <c r="J1455" s="2" cm="1">
        <f t="array" aca="1" ref="J1455" ca="1">INDEX('Tiempos carretera (horas)'!E$45:E$1645,MATCH(C1455&amp;D1455,'Tiempos carretera (horas)'!C$45:C$1645&amp;'Tiempos carretera (horas)'!D$45:D$1645,0))</f>
        <v>20.149999999999999</v>
      </c>
      <c r="K1455" s="12">
        <f t="shared" ca="1" si="138"/>
        <v>16.644961684727654</v>
      </c>
      <c r="L1455" s="12">
        <f t="shared" ca="1" si="139"/>
        <v>10.716964389405698</v>
      </c>
      <c r="M1455" s="12">
        <f t="shared" ca="1" si="140"/>
        <v>0.13888536870536705</v>
      </c>
      <c r="N1455" s="13">
        <f t="shared" ca="1" si="136"/>
        <v>5.9279972953219566</v>
      </c>
      <c r="O1455" s="13">
        <f t="shared" ca="1" si="137"/>
        <v>-112.38188326998872</v>
      </c>
      <c r="P1455" s="12">
        <f t="shared" ca="1" si="141"/>
        <v>1.8245787256403032</v>
      </c>
    </row>
    <row r="1456" spans="1:16" x14ac:dyDescent="0.25">
      <c r="A1456">
        <v>15</v>
      </c>
      <c r="B1456">
        <v>10</v>
      </c>
      <c r="C1456" s="2" t="s">
        <v>14</v>
      </c>
      <c r="D1456" s="2" t="s">
        <v>9</v>
      </c>
      <c r="E1456" s="11" cm="1">
        <f t="array" aca="1" ref="E1456" ca="1">INDEX('OD flujo mercancia multimodal'!E$45:E$1645,MATCH(C1456&amp;D1456,'OD flujo mercancia multimodal'!C$45:C$1645&amp;'OD flujo mercancia multimodal'!D$45:D$1645,0))</f>
        <v>47343.983516483531</v>
      </c>
      <c r="F1456" s="11" cm="1">
        <f t="array" aca="1" ref="F1456" ca="1">INDEX('OD flujo mercancia carretera'!E$45:E$1646,MATCH(C1456&amp;D1456,'OD flujo mercancia carretera'!C$45:C$1646&amp;'OD flujo mercancia carretera'!D$45:D$1646,0))</f>
        <v>389929.84615384624</v>
      </c>
      <c r="G1456" s="11" cm="1">
        <f t="array" aca="1" ref="G1456" ca="1">INDEX('Coste Carretera'!E$46:E$1646,MATCH(C1456&amp;D1456,'Coste Carretera'!C$46:C$1646&amp;'Coste Carretera'!D$46:D$1646,0))</f>
        <v>4885984318.0714302</v>
      </c>
      <c r="H1456" s="11" cm="1">
        <f t="array" aca="1" ref="H1456" ca="1">INDEX('Coste multimodal'!E$46:E$1646,MATCH(C1456&amp;D1456,'Coste multimodal'!C$46:C$1646&amp;'Coste multimodal'!D$46:D$1646,0))</f>
        <v>661990541.16761243</v>
      </c>
      <c r="I1456" s="12" cm="1">
        <f t="array" aca="1" ref="I1456" ca="1">INDEX('Tiempos intermodal (horas)'!E$45:E$1645,MATCH(C1456&amp;D1456,'Tiempos intermodal (horas)'!C$45:C$1645&amp;'Tiempos intermodal (horas)'!D$45:D$1645,0))</f>
        <v>132.53188326998873</v>
      </c>
      <c r="J1456" s="2" cm="1">
        <f t="array" aca="1" ref="J1456" ca="1">INDEX('Tiempos carretera (horas)'!E$45:E$1645,MATCH(C1456&amp;D1456,'Tiempos carretera (horas)'!C$45:C$1645&amp;'Tiempos carretera (horas)'!D$45:D$1645,0))</f>
        <v>20.149999999999999</v>
      </c>
      <c r="K1456" s="12">
        <f t="shared" ca="1" si="138"/>
        <v>12.530418910645974</v>
      </c>
      <c r="L1456" s="12">
        <f t="shared" ca="1" si="139"/>
        <v>13.982569526223545</v>
      </c>
      <c r="M1456" s="12">
        <f t="shared" ca="1" si="140"/>
        <v>0.10827079121606063</v>
      </c>
      <c r="N1456" s="13">
        <f t="shared" ca="1" si="136"/>
        <v>-1.4521506155775707</v>
      </c>
      <c r="O1456" s="13">
        <f t="shared" ca="1" si="137"/>
        <v>-112.38188326998872</v>
      </c>
      <c r="P1456" s="12">
        <f t="shared" ca="1" si="141"/>
        <v>2.1085270937932945</v>
      </c>
    </row>
    <row r="1457" spans="1:16" x14ac:dyDescent="0.25">
      <c r="A1457">
        <v>5</v>
      </c>
      <c r="B1457">
        <v>15</v>
      </c>
      <c r="C1457" s="2" t="s">
        <v>4</v>
      </c>
      <c r="D1457" s="2" t="s">
        <v>14</v>
      </c>
      <c r="E1457" s="11" cm="1">
        <f t="array" aca="1" ref="E1457" ca="1">INDEX('OD flujo mercancia multimodal'!E$45:E$1645,MATCH(C1457&amp;D1457,'OD flujo mercancia multimodal'!C$45:C$1645&amp;'OD flujo mercancia multimodal'!D$45:D$1645,0))</f>
        <v>94261.840659340625</v>
      </c>
      <c r="F1457" s="11" cm="1">
        <f t="array" aca="1" ref="F1457" ca="1">INDEX('OD flujo mercancia carretera'!E$45:E$1646,MATCH(C1457&amp;D1457,'OD flujo mercancia carretera'!C$45:C$1646&amp;'OD flujo mercancia carretera'!D$45:D$1646,0))</f>
        <v>357584.53846153896</v>
      </c>
      <c r="G1457" s="11" cm="1">
        <f t="array" aca="1" ref="G1457" ca="1">INDEX('Coste Carretera'!E$46:E$1646,MATCH(C1457&amp;D1457,'Coste Carretera'!C$46:C$1646&amp;'Coste Carretera'!D$46:D$1646,0))</f>
        <v>9282434758.9285679</v>
      </c>
      <c r="H1457" s="11" cm="1">
        <f t="array" aca="1" ref="H1457" ca="1">INDEX('Coste multimodal'!E$46:E$1646,MATCH(C1457&amp;D1457,'Coste multimodal'!C$46:C$1646&amp;'Coste multimodal'!D$46:D$1646,0))</f>
        <v>614654764.10761237</v>
      </c>
      <c r="I1457" s="12" cm="1">
        <f t="array" aca="1" ref="I1457" ca="1">INDEX('Tiempos intermodal (horas)'!E$45:E$1645,MATCH(C1457&amp;D1457,'Tiempos intermodal (horas)'!C$45:C$1645&amp;'Tiempos intermodal (horas)'!D$45:D$1645,0))</f>
        <v>131.54410549221095</v>
      </c>
      <c r="J1457" s="2" cm="1">
        <f t="array" aca="1" ref="J1457" ca="1">INDEX('Tiempos carretera (horas)'!E$45:E$1645,MATCH(C1457&amp;D1457,'Tiempos carretera (horas)'!C$45:C$1645&amp;'Tiempos carretera (horas)'!D$45:D$1645,0))</f>
        <v>18.82</v>
      </c>
      <c r="K1457" s="12">
        <f t="shared" ca="1" si="138"/>
        <v>25.958713983733855</v>
      </c>
      <c r="L1457" s="12">
        <f t="shared" ca="1" si="139"/>
        <v>6.5207167588521395</v>
      </c>
      <c r="M1457" s="12">
        <f t="shared" ca="1" si="140"/>
        <v>0.20861479700852789</v>
      </c>
      <c r="N1457" s="13">
        <f t="shared" ca="1" si="136"/>
        <v>19.437997224881716</v>
      </c>
      <c r="O1457" s="13">
        <f t="shared" ca="1" si="137"/>
        <v>-112.72410549221095</v>
      </c>
      <c r="P1457" s="12">
        <f t="shared" ca="1" si="141"/>
        <v>1.3332953566251164</v>
      </c>
    </row>
    <row r="1458" spans="1:16" x14ac:dyDescent="0.25">
      <c r="A1458">
        <v>16</v>
      </c>
      <c r="B1458">
        <v>4</v>
      </c>
      <c r="C1458" s="2" t="s">
        <v>15</v>
      </c>
      <c r="D1458" s="2" t="s">
        <v>3</v>
      </c>
      <c r="E1458" s="11" cm="1">
        <f t="array" aca="1" ref="E1458" ca="1">INDEX('OD flujo mercancia multimodal'!E$45:E$1645,MATCH(C1458&amp;D1458,'OD flujo mercancia multimodal'!C$45:C$1645&amp;'OD flujo mercancia multimodal'!D$45:D$1645,0))</f>
        <v>66458.532967032937</v>
      </c>
      <c r="F1458" s="11" cm="1">
        <f t="array" aca="1" ref="F1458" ca="1">INDEX('OD flujo mercancia carretera'!E$45:E$1646,MATCH(C1458&amp;D1458,'OD flujo mercancia carretera'!C$45:C$1646&amp;'OD flujo mercancia carretera'!D$45:D$1646,0))</f>
        <v>200521.92307692306</v>
      </c>
      <c r="G1458" s="11" cm="1">
        <f t="array" aca="1" ref="G1458" ca="1">INDEX('Coste Carretera'!E$46:E$1646,MATCH(C1458&amp;D1458,'Coste Carretera'!C$46:C$1646&amp;'Coste Carretera'!D$46:D$1646,0))</f>
        <v>7095987573.8542814</v>
      </c>
      <c r="H1458" s="11" cm="1">
        <f t="array" aca="1" ref="H1458" ca="1">INDEX('Coste multimodal'!E$46:E$1646,MATCH(C1458&amp;D1458,'Coste multimodal'!C$46:C$1646&amp;'Coste multimodal'!D$46:D$1646,0))</f>
        <v>627716642.69897509</v>
      </c>
      <c r="I1458" s="12" cm="1">
        <f t="array" aca="1" ref="I1458" ca="1">INDEX('Tiempos intermodal (horas)'!E$45:E$1645,MATCH(C1458&amp;D1458,'Tiempos intermodal (horas)'!C$45:C$1645&amp;'Tiempos intermodal (horas)'!D$45:D$1645,0))</f>
        <v>126.37050663945195</v>
      </c>
      <c r="J1458" s="2" cm="1">
        <f t="array" aca="1" ref="J1458" ca="1">INDEX('Tiempos carretera (horas)'!E$45:E$1645,MATCH(C1458&amp;D1458,'Tiempos carretera (horas)'!C$45:C$1645&amp;'Tiempos carretera (horas)'!D$45:D$1645,0))</f>
        <v>20.6</v>
      </c>
      <c r="K1458" s="12">
        <f t="shared" ca="1" si="138"/>
        <v>35.387589870321356</v>
      </c>
      <c r="L1458" s="12">
        <f t="shared" ca="1" si="139"/>
        <v>9.4452377245576091</v>
      </c>
      <c r="M1458" s="12">
        <f t="shared" ca="1" si="140"/>
        <v>0.248926584184466</v>
      </c>
      <c r="N1458" s="13">
        <f t="shared" ca="1" si="136"/>
        <v>25.942352145763749</v>
      </c>
      <c r="O1458" s="13">
        <f t="shared" ca="1" si="137"/>
        <v>-105.77050663945195</v>
      </c>
      <c r="P1458" s="12">
        <f t="shared" ca="1" si="141"/>
        <v>1.1043453940396151</v>
      </c>
    </row>
    <row r="1459" spans="1:16" x14ac:dyDescent="0.25">
      <c r="A1459">
        <v>7</v>
      </c>
      <c r="B1459">
        <v>15</v>
      </c>
      <c r="C1459" s="2" t="s">
        <v>6</v>
      </c>
      <c r="D1459" s="2" t="s">
        <v>14</v>
      </c>
      <c r="E1459" s="11" cm="1">
        <f t="array" aca="1" ref="E1459" ca="1">INDEX('OD flujo mercancia multimodal'!E$45:E$1645,MATCH(C1459&amp;D1459,'OD flujo mercancia multimodal'!C$45:C$1645&amp;'OD flujo mercancia multimodal'!D$45:D$1645,0))</f>
        <v>50521.912087912053</v>
      </c>
      <c r="F1459" s="11" cm="1">
        <f t="array" aca="1" ref="F1459" ca="1">INDEX('OD flujo mercancia carretera'!E$45:E$1646,MATCH(C1459&amp;D1459,'OD flujo mercancia carretera'!C$45:C$1646&amp;'OD flujo mercancia carretera'!D$45:D$1646,0))</f>
        <v>348446.15384615434</v>
      </c>
      <c r="G1459" s="11" cm="1">
        <f t="array" aca="1" ref="G1459" ca="1">INDEX('Coste Carretera'!E$46:E$1646,MATCH(C1459&amp;D1459,'Coste Carretera'!C$46:C$1646&amp;'Coste Carretera'!D$46:D$1646,0))</f>
        <v>4919423665.5771389</v>
      </c>
      <c r="H1459" s="11" cm="1">
        <f t="array" aca="1" ref="H1459" ca="1">INDEX('Coste multimodal'!E$46:E$1646,MATCH(C1459&amp;D1459,'Coste multimodal'!C$46:C$1646&amp;'Coste multimodal'!D$46:D$1646,0))</f>
        <v>595422540.33618379</v>
      </c>
      <c r="I1459" s="12" cm="1">
        <f t="array" aca="1" ref="I1459" ca="1">INDEX('Tiempos intermodal (horas)'!E$45:E$1645,MATCH(C1459&amp;D1459,'Tiempos intermodal (horas)'!C$45:C$1645&amp;'Tiempos intermodal (horas)'!D$45:D$1645,0))</f>
        <v>131.98299438109984</v>
      </c>
      <c r="J1459" s="2" cm="1">
        <f t="array" aca="1" ref="J1459" ca="1">INDEX('Tiempos carretera (horas)'!E$45:E$1645,MATCH(C1459&amp;D1459,'Tiempos carretera (horas)'!C$45:C$1645&amp;'Tiempos carretera (horas)'!D$45:D$1645,0))</f>
        <v>19</v>
      </c>
      <c r="K1459" s="12">
        <f t="shared" ca="1" si="138"/>
        <v>14.118174677138663</v>
      </c>
      <c r="L1459" s="12">
        <f t="shared" ca="1" si="139"/>
        <v>11.785431622225666</v>
      </c>
      <c r="M1459" s="12">
        <f t="shared" ca="1" si="140"/>
        <v>0.12663146853528204</v>
      </c>
      <c r="N1459" s="13">
        <f t="shared" ca="1" si="136"/>
        <v>2.3327430549129975</v>
      </c>
      <c r="O1459" s="13">
        <f t="shared" ca="1" si="137"/>
        <v>-112.98299438109984</v>
      </c>
      <c r="P1459" s="12">
        <f t="shared" ca="1" si="141"/>
        <v>1.9310765650268467</v>
      </c>
    </row>
    <row r="1460" spans="1:16" x14ac:dyDescent="0.25">
      <c r="A1460">
        <v>15</v>
      </c>
      <c r="B1460">
        <v>7</v>
      </c>
      <c r="C1460" s="2" t="s">
        <v>14</v>
      </c>
      <c r="D1460" s="2" t="s">
        <v>6</v>
      </c>
      <c r="E1460" s="11" cm="1">
        <f t="array" aca="1" ref="E1460" ca="1">INDEX('OD flujo mercancia multimodal'!E$45:E$1645,MATCH(C1460&amp;D1460,'OD flujo mercancia multimodal'!C$45:C$1645&amp;'OD flujo mercancia multimodal'!D$45:D$1645,0))</f>
        <v>31218.554945054941</v>
      </c>
      <c r="F1460" s="11" cm="1">
        <f t="array" aca="1" ref="F1460" ca="1">INDEX('OD flujo mercancia carretera'!E$45:E$1646,MATCH(C1460&amp;D1460,'OD flujo mercancia carretera'!C$45:C$1646&amp;'OD flujo mercancia carretera'!D$45:D$1646,0))</f>
        <v>357623</v>
      </c>
      <c r="G1460" s="11" cm="1">
        <f t="array" aca="1" ref="G1460" ca="1">INDEX('Coste Carretera'!E$46:E$1646,MATCH(C1460&amp;D1460,'Coste Carretera'!C$46:C$1646&amp;'Coste Carretera'!D$46:D$1646,0))</f>
        <v>3039815629.594285</v>
      </c>
      <c r="H1460" s="11" cm="1">
        <f t="array" aca="1" ref="H1460" ca="1">INDEX('Coste multimodal'!E$46:E$1646,MATCH(C1460&amp;D1460,'Coste multimodal'!C$46:C$1646&amp;'Coste multimodal'!D$46:D$1646,0))</f>
        <v>595422540.33618379</v>
      </c>
      <c r="I1460" s="12" cm="1">
        <f t="array" aca="1" ref="I1460" ca="1">INDEX('Tiempos intermodal (horas)'!E$45:E$1645,MATCH(C1460&amp;D1460,'Tiempos intermodal (horas)'!C$45:C$1645&amp;'Tiempos intermodal (horas)'!D$45:D$1645,0))</f>
        <v>131.98299438109984</v>
      </c>
      <c r="J1460" s="2" cm="1">
        <f t="array" aca="1" ref="J1460" ca="1">INDEX('Tiempos carretera (horas)'!E$45:E$1645,MATCH(C1460&amp;D1460,'Tiempos carretera (horas)'!C$45:C$1645&amp;'Tiempos carretera (horas)'!D$45:D$1645,0))</f>
        <v>19</v>
      </c>
      <c r="K1460" s="12">
        <f t="shared" ca="1" si="138"/>
        <v>8.500056287191498</v>
      </c>
      <c r="L1460" s="12">
        <f t="shared" ca="1" si="139"/>
        <v>19.072713051072835</v>
      </c>
      <c r="M1460" s="12">
        <f t="shared" ca="1" si="140"/>
        <v>8.0286056230451666E-2</v>
      </c>
      <c r="N1460" s="13">
        <f t="shared" ca="1" si="136"/>
        <v>-10.572656763881337</v>
      </c>
      <c r="O1460" s="13">
        <f t="shared" ca="1" si="137"/>
        <v>-112.98299438109984</v>
      </c>
      <c r="P1460" s="12">
        <f t="shared" ca="1" si="141"/>
        <v>2.4384667310813843</v>
      </c>
    </row>
    <row r="1461" spans="1:16" x14ac:dyDescent="0.25">
      <c r="A1461">
        <v>26</v>
      </c>
      <c r="B1461">
        <v>34</v>
      </c>
      <c r="C1461" s="2" t="s">
        <v>25</v>
      </c>
      <c r="D1461" s="2" t="s">
        <v>33</v>
      </c>
      <c r="E1461" s="11" cm="1">
        <f t="array" aca="1" ref="E1461" ca="1">INDEX('OD flujo mercancia multimodal'!E$45:E$1645,MATCH(C1461&amp;D1461,'OD flujo mercancia multimodal'!C$45:C$1645&amp;'OD flujo mercancia multimodal'!D$45:D$1645,0))</f>
        <v>297946.61538461567</v>
      </c>
      <c r="F1461" s="11" cm="1">
        <f t="array" aca="1" ref="F1461" ca="1">INDEX('OD flujo mercancia carretera'!E$45:E$1646,MATCH(C1461&amp;D1461,'OD flujo mercancia carretera'!C$45:C$1646&amp;'OD flujo mercancia carretera'!D$45:D$1646,0))</f>
        <v>314378.38888888899</v>
      </c>
      <c r="G1461" s="11" cm="1">
        <f t="array" aca="1" ref="G1461" ca="1">INDEX('Coste Carretera'!E$46:E$1646,MATCH(C1461&amp;D1461,'Coste Carretera'!C$46:C$1646&amp;'Coste Carretera'!D$46:D$1646,0))</f>
        <v>4028523192.2399979</v>
      </c>
      <c r="H1461" s="11" cm="1">
        <f t="array" aca="1" ref="H1461" ca="1">INDEX('Coste multimodal'!E$46:E$1646,MATCH(C1461&amp;D1461,'Coste multimodal'!C$46:C$1646&amp;'Coste multimodal'!D$46:D$1646,0))</f>
        <v>2950066864.0749068</v>
      </c>
      <c r="I1461" s="12" cm="1">
        <f t="array" aca="1" ref="I1461" ca="1">INDEX('Tiempos intermodal (horas)'!E$45:E$1645,MATCH(C1461&amp;D1461,'Tiempos intermodal (horas)'!C$45:C$1645&amp;'Tiempos intermodal (horas)'!D$45:D$1645,0))</f>
        <v>125.38143739442567</v>
      </c>
      <c r="J1461" s="2" cm="1">
        <f t="array" aca="1" ref="J1461" ca="1">INDEX('Tiempos carretera (horas)'!E$45:E$1645,MATCH(C1461&amp;D1461,'Tiempos carretera (horas)'!C$45:C$1645&amp;'Tiempos carretera (horas)'!D$45:D$1645,0))</f>
        <v>12</v>
      </c>
      <c r="K1461" s="12">
        <f t="shared" ca="1" si="138"/>
        <v>12.814249753229067</v>
      </c>
      <c r="L1461" s="12">
        <f t="shared" ca="1" si="139"/>
        <v>9.9013269886174111</v>
      </c>
      <c r="M1461" s="12">
        <f t="shared" ca="1" si="140"/>
        <v>0.48658247385816872</v>
      </c>
      <c r="N1461" s="13">
        <f t="shared" ca="1" si="136"/>
        <v>2.9129227646116558</v>
      </c>
      <c r="O1461" s="13">
        <f t="shared" ca="1" si="137"/>
        <v>-113.38143739442567</v>
      </c>
      <c r="P1461" s="12">
        <f t="shared" ca="1" si="141"/>
        <v>5.3682993109017876E-2</v>
      </c>
    </row>
    <row r="1462" spans="1:16" x14ac:dyDescent="0.25">
      <c r="A1462">
        <v>34</v>
      </c>
      <c r="B1462">
        <v>26</v>
      </c>
      <c r="C1462" s="2" t="s">
        <v>33</v>
      </c>
      <c r="D1462" s="2" t="s">
        <v>25</v>
      </c>
      <c r="E1462" s="11" cm="1">
        <f t="array" aca="1" ref="E1462" ca="1">INDEX('OD flujo mercancia multimodal'!E$45:E$1645,MATCH(C1462&amp;D1462,'OD flujo mercancia multimodal'!C$45:C$1645&amp;'OD flujo mercancia multimodal'!D$45:D$1645,0))</f>
        <v>128941.53846153847</v>
      </c>
      <c r="F1462" s="11" cm="1">
        <f t="array" aca="1" ref="F1462" ca="1">INDEX('OD flujo mercancia carretera'!E$45:E$1646,MATCH(C1462&amp;D1462,'OD flujo mercancia carretera'!C$45:C$1646&amp;'OD flujo mercancia carretera'!D$45:D$1646,0))</f>
        <v>321258.2264957265</v>
      </c>
      <c r="G1462" s="11" cm="1">
        <f t="array" aca="1" ref="G1462" ca="1">INDEX('Coste Carretera'!E$46:E$1646,MATCH(C1462&amp;D1462,'Coste Carretera'!C$46:C$1646&amp;'Coste Carretera'!D$46:D$1646,0))</f>
        <v>2122616888.7999995</v>
      </c>
      <c r="H1462" s="11" cm="1">
        <f t="array" aca="1" ref="H1462" ca="1">INDEX('Coste multimodal'!E$46:E$1646,MATCH(C1462&amp;D1462,'Coste multimodal'!C$46:C$1646&amp;'Coste multimodal'!D$46:D$1646,0))</f>
        <v>2950066864.0749068</v>
      </c>
      <c r="I1462" s="12" cm="1">
        <f t="array" aca="1" ref="I1462" ca="1">INDEX('Tiempos intermodal (horas)'!E$45:E$1645,MATCH(C1462&amp;D1462,'Tiempos intermodal (horas)'!C$45:C$1645&amp;'Tiempos intermodal (horas)'!D$45:D$1645,0))</f>
        <v>125.38143739442567</v>
      </c>
      <c r="J1462" s="2" cm="1">
        <f t="array" aca="1" ref="J1462" ca="1">INDEX('Tiempos carretera (horas)'!E$45:E$1645,MATCH(C1462&amp;D1462,'Tiempos carretera (horas)'!C$45:C$1645&amp;'Tiempos carretera (horas)'!D$45:D$1645,0))</f>
        <v>12</v>
      </c>
      <c r="K1462" s="12">
        <f t="shared" ca="1" si="138"/>
        <v>6.6071985516244363</v>
      </c>
      <c r="L1462" s="12">
        <f t="shared" ca="1" si="139"/>
        <v>22.879103966600123</v>
      </c>
      <c r="M1462" s="12">
        <f t="shared" ca="1" si="140"/>
        <v>0.28640960857404751</v>
      </c>
      <c r="N1462" s="13">
        <f t="shared" ca="1" si="136"/>
        <v>-16.271905414975688</v>
      </c>
      <c r="O1462" s="13">
        <f t="shared" ca="1" si="137"/>
        <v>-113.38143739442567</v>
      </c>
      <c r="P1462" s="12">
        <f t="shared" ca="1" si="141"/>
        <v>0.91288613223103898</v>
      </c>
    </row>
    <row r="1463" spans="1:16" x14ac:dyDescent="0.25">
      <c r="A1463">
        <v>15</v>
      </c>
      <c r="B1463">
        <v>5</v>
      </c>
      <c r="C1463" s="2" t="s">
        <v>14</v>
      </c>
      <c r="D1463" s="2" t="s">
        <v>4</v>
      </c>
      <c r="E1463" s="11" cm="1">
        <f t="array" aca="1" ref="E1463" ca="1">INDEX('OD flujo mercancia multimodal'!E$45:E$1645,MATCH(C1463&amp;D1463,'OD flujo mercancia multimodal'!C$45:C$1645&amp;'OD flujo mercancia multimodal'!D$45:D$1645,0))</f>
        <v>91140.412087912133</v>
      </c>
      <c r="F1463" s="11" cm="1">
        <f t="array" aca="1" ref="F1463" ca="1">INDEX('OD flujo mercancia carretera'!E$45:E$1646,MATCH(C1463&amp;D1463,'OD flujo mercancia carretera'!C$45:C$1646&amp;'OD flujo mercancia carretera'!D$45:D$1646,0))</f>
        <v>358287.38461538462</v>
      </c>
      <c r="G1463" s="11" cm="1">
        <f t="array" aca="1" ref="G1463" ca="1">INDEX('Coste Carretera'!E$46:E$1646,MATCH(C1463&amp;D1463,'Coste Carretera'!C$46:C$1646&amp;'Coste Carretera'!D$46:D$1646,0))</f>
        <v>8975052080.3571472</v>
      </c>
      <c r="H1463" s="11" cm="1">
        <f t="array" aca="1" ref="H1463" ca="1">INDEX('Coste multimodal'!E$46:E$1646,MATCH(C1463&amp;D1463,'Coste multimodal'!C$46:C$1646&amp;'Coste multimodal'!D$46:D$1646,0))</f>
        <v>614654764.10761237</v>
      </c>
      <c r="I1463" s="12" cm="1">
        <f t="array" aca="1" ref="I1463" ca="1">INDEX('Tiempos intermodal (horas)'!E$45:E$1645,MATCH(C1463&amp;D1463,'Tiempos intermodal (horas)'!C$45:C$1645&amp;'Tiempos intermodal (horas)'!D$45:D$1645,0))</f>
        <v>131.54410549221095</v>
      </c>
      <c r="J1463" s="2" cm="1">
        <f t="array" aca="1" ref="J1463" ca="1">INDEX('Tiempos carretera (horas)'!E$45:E$1645,MATCH(C1463&amp;D1463,'Tiempos carretera (horas)'!C$45:C$1645&amp;'Tiempos carretera (horas)'!D$45:D$1645,0))</f>
        <v>18.82</v>
      </c>
      <c r="K1463" s="12">
        <f t="shared" ca="1" si="138"/>
        <v>25.049869087608851</v>
      </c>
      <c r="L1463" s="12">
        <f t="shared" ca="1" si="139"/>
        <v>6.7440419680649377</v>
      </c>
      <c r="M1463" s="12">
        <f t="shared" ca="1" si="140"/>
        <v>0.20279211200655042</v>
      </c>
      <c r="N1463" s="13">
        <f t="shared" ca="1" si="136"/>
        <v>18.305827119543913</v>
      </c>
      <c r="O1463" s="13">
        <f t="shared" ca="1" si="137"/>
        <v>-112.72410549221095</v>
      </c>
      <c r="P1463" s="12">
        <f t="shared" ca="1" si="141"/>
        <v>1.3689341073833103</v>
      </c>
    </row>
    <row r="1464" spans="1:16" x14ac:dyDescent="0.25">
      <c r="A1464">
        <v>6</v>
      </c>
      <c r="B1464">
        <v>15</v>
      </c>
      <c r="C1464" s="2" t="s">
        <v>5</v>
      </c>
      <c r="D1464" s="2" t="s">
        <v>14</v>
      </c>
      <c r="E1464" s="11" cm="1">
        <f t="array" aca="1" ref="E1464" ca="1">INDEX('OD flujo mercancia multimodal'!E$45:E$1645,MATCH(C1464&amp;D1464,'OD flujo mercancia multimodal'!C$45:C$1645&amp;'OD flujo mercancia multimodal'!D$45:D$1645,0))</f>
        <v>59226.98351648348</v>
      </c>
      <c r="F1464" s="11" cm="1">
        <f t="array" aca="1" ref="F1464" ca="1">INDEX('OD flujo mercancia carretera'!E$45:E$1646,MATCH(C1464&amp;D1464,'OD flujo mercancia carretera'!C$45:C$1646&amp;'OD flujo mercancia carretera'!D$45:D$1646,0))</f>
        <v>420139.16117216164</v>
      </c>
      <c r="G1464" s="11" cm="1">
        <f t="array" aca="1" ref="G1464" ca="1">INDEX('Coste Carretera'!E$46:E$1646,MATCH(C1464&amp;D1464,'Coste Carretera'!C$46:C$1646&amp;'Coste Carretera'!D$46:D$1646,0))</f>
        <v>6404727817.8542814</v>
      </c>
      <c r="H1464" s="11" cm="1">
        <f t="array" aca="1" ref="H1464" ca="1">INDEX('Coste multimodal'!E$46:E$1646,MATCH(C1464&amp;D1464,'Coste multimodal'!C$46:C$1646&amp;'Coste multimodal'!D$46:D$1646,0))</f>
        <v>734111537.87046957</v>
      </c>
      <c r="I1464" s="12" cm="1">
        <f t="array" aca="1" ref="I1464" ca="1">INDEX('Tiempos intermodal (horas)'!E$45:E$1645,MATCH(C1464&amp;D1464,'Tiempos intermodal (horas)'!C$45:C$1645&amp;'Tiempos intermodal (horas)'!D$45:D$1645,0))</f>
        <v>134.0885499366554</v>
      </c>
      <c r="J1464" s="2" cm="1">
        <f t="array" aca="1" ref="J1464" ca="1">INDEX('Tiempos carretera (horas)'!E$45:E$1645,MATCH(C1464&amp;D1464,'Tiempos carretera (horas)'!C$45:C$1645&amp;'Tiempos carretera (horas)'!D$45:D$1645,0))</f>
        <v>19.95</v>
      </c>
      <c r="K1464" s="12">
        <f t="shared" ca="1" si="138"/>
        <v>15.244300959676067</v>
      </c>
      <c r="L1464" s="12">
        <f t="shared" ca="1" si="139"/>
        <v>12.394883113811778</v>
      </c>
      <c r="M1464" s="12">
        <f t="shared" ca="1" si="140"/>
        <v>0.12355270427984065</v>
      </c>
      <c r="N1464" s="13">
        <f t="shared" ca="1" si="136"/>
        <v>2.8494178458642896</v>
      </c>
      <c r="O1464" s="13">
        <f t="shared" ca="1" si="137"/>
        <v>-114.13854993665539</v>
      </c>
      <c r="P1464" s="12">
        <f t="shared" ca="1" si="141"/>
        <v>1.9592087518351253</v>
      </c>
    </row>
    <row r="1465" spans="1:16" x14ac:dyDescent="0.25">
      <c r="A1465">
        <v>26</v>
      </c>
      <c r="B1465">
        <v>35</v>
      </c>
      <c r="C1465" s="2" t="s">
        <v>25</v>
      </c>
      <c r="D1465" s="2" t="s">
        <v>34</v>
      </c>
      <c r="E1465" s="11" cm="1">
        <f t="array" aca="1" ref="E1465" ca="1">INDEX('OD flujo mercancia multimodal'!E$45:E$1645,MATCH(C1465&amp;D1465,'OD flujo mercancia multimodal'!C$45:C$1645&amp;'OD flujo mercancia multimodal'!D$45:D$1645,0))</f>
        <v>24264.923076923093</v>
      </c>
      <c r="F1465" s="11" cm="1">
        <f t="array" aca="1" ref="F1465" ca="1">INDEX('OD flujo mercancia carretera'!E$45:E$1646,MATCH(C1465&amp;D1465,'OD flujo mercancia carretera'!C$45:C$1646&amp;'OD flujo mercancia carretera'!D$45:D$1646,0))</f>
        <v>62788.538461538505</v>
      </c>
      <c r="G1465" s="11" cm="1">
        <f t="array" aca="1" ref="G1465" ca="1">INDEX('Coste Carretera'!E$46:E$1646,MATCH(C1465&amp;D1465,'Coste Carretera'!C$46:C$1646&amp;'Coste Carretera'!D$46:D$1646,0))</f>
        <v>18558713300.640015</v>
      </c>
      <c r="H1465" s="11" cm="1">
        <f t="array" aca="1" ref="H1465" ca="1">INDEX('Coste multimodal'!E$46:E$1646,MATCH(C1465&amp;D1465,'Coste multimodal'!C$46:C$1646&amp;'Coste multimodal'!D$46:D$1646,0))</f>
        <v>2320332255.1469069</v>
      </c>
      <c r="I1465" s="12" cm="1">
        <f t="array" aca="1" ref="I1465" ca="1">INDEX('Tiempos intermodal (horas)'!E$45:E$1645,MATCH(C1465&amp;D1465,'Tiempos intermodal (horas)'!C$45:C$1645&amp;'Tiempos intermodal (horas)'!D$45:D$1645,0))</f>
        <v>126.30588183887012</v>
      </c>
      <c r="J1465" s="2" cm="1">
        <f t="array" aca="1" ref="J1465" ca="1">INDEX('Tiempos carretera (horas)'!E$45:E$1645,MATCH(C1465&amp;D1465,'Tiempos carretera (horas)'!C$45:C$1645&amp;'Tiempos carretera (horas)'!D$45:D$1645,0))</f>
        <v>11.95</v>
      </c>
      <c r="K1465" s="12">
        <f t="shared" ca="1" si="138"/>
        <v>295.5748573763708</v>
      </c>
      <c r="L1465" s="12">
        <f t="shared" ca="1" si="139"/>
        <v>95.624958207826978</v>
      </c>
      <c r="M1465" s="12">
        <f t="shared" ca="1" si="140"/>
        <v>0.27873587848316023</v>
      </c>
      <c r="N1465" s="13">
        <f t="shared" ca="1" si="136"/>
        <v>199.94989916854382</v>
      </c>
      <c r="O1465" s="13">
        <f t="shared" ca="1" si="137"/>
        <v>-114.35588183887012</v>
      </c>
      <c r="P1465" s="12">
        <f t="shared" ca="1" si="141"/>
        <v>0.95074073551579796</v>
      </c>
    </row>
    <row r="1466" spans="1:16" x14ac:dyDescent="0.25">
      <c r="A1466">
        <v>35</v>
      </c>
      <c r="B1466">
        <v>26</v>
      </c>
      <c r="C1466" s="2" t="s">
        <v>34</v>
      </c>
      <c r="D1466" s="2" t="s">
        <v>25</v>
      </c>
      <c r="E1466" s="11" cm="1">
        <f t="array" aca="1" ref="E1466" ca="1">INDEX('OD flujo mercancia multimodal'!E$45:E$1645,MATCH(C1466&amp;D1466,'OD flujo mercancia multimodal'!C$45:C$1645&amp;'OD flujo mercancia multimodal'!D$45:D$1645,0))</f>
        <v>14013.076923076922</v>
      </c>
      <c r="F1466" s="11" cm="1">
        <f t="array" aca="1" ref="F1466" ca="1">INDEX('OD flujo mercancia carretera'!E$45:E$1646,MATCH(C1466&amp;D1466,'OD flujo mercancia carretera'!C$45:C$1646&amp;'OD flujo mercancia carretera'!D$45:D$1646,0))</f>
        <v>60756.384615384617</v>
      </c>
      <c r="G1466" s="11" cm="1">
        <f t="array" aca="1" ref="G1466" ca="1">INDEX('Coste Carretera'!E$46:E$1646,MATCH(C1466&amp;D1466,'Coste Carretera'!C$46:C$1646&amp;'Coste Carretera'!D$46:D$1646,0))</f>
        <v>8031603385.6000004</v>
      </c>
      <c r="H1466" s="11" cm="1">
        <f t="array" aca="1" ref="H1466" ca="1">INDEX('Coste multimodal'!E$46:E$1646,MATCH(C1466&amp;D1466,'Coste multimodal'!C$46:C$1646&amp;'Coste multimodal'!D$46:D$1646,0))</f>
        <v>2320332255.1469069</v>
      </c>
      <c r="I1466" s="12" cm="1">
        <f t="array" aca="1" ref="I1466" ca="1">INDEX('Tiempos intermodal (horas)'!E$45:E$1645,MATCH(C1466&amp;D1466,'Tiempos intermodal (horas)'!C$45:C$1645&amp;'Tiempos intermodal (horas)'!D$45:D$1645,0))</f>
        <v>126.30588183887012</v>
      </c>
      <c r="J1466" s="2" cm="1">
        <f t="array" aca="1" ref="J1466" ca="1">INDEX('Tiempos carretera (horas)'!E$45:E$1645,MATCH(C1466&amp;D1466,'Tiempos carretera (horas)'!C$45:C$1645&amp;'Tiempos carretera (horas)'!D$45:D$1645,0))</f>
        <v>11.95</v>
      </c>
      <c r="K1466" s="12">
        <f t="shared" ca="1" si="138"/>
        <v>132.19357004936487</v>
      </c>
      <c r="L1466" s="12">
        <f t="shared" ca="1" si="139"/>
        <v>165.58335245600148</v>
      </c>
      <c r="M1466" s="12">
        <f t="shared" ca="1" si="140"/>
        <v>0.18741711702535899</v>
      </c>
      <c r="N1466" s="13">
        <f t="shared" ca="1" si="136"/>
        <v>-33.389782406636613</v>
      </c>
      <c r="O1466" s="13">
        <f t="shared" ca="1" si="137"/>
        <v>-114.35588183887012</v>
      </c>
      <c r="P1466" s="12">
        <f t="shared" ca="1" si="141"/>
        <v>1.4668812136667424</v>
      </c>
    </row>
    <row r="1467" spans="1:16" x14ac:dyDescent="0.25">
      <c r="A1467">
        <v>15</v>
      </c>
      <c r="B1467">
        <v>6</v>
      </c>
      <c r="C1467" s="2" t="s">
        <v>14</v>
      </c>
      <c r="D1467" s="2" t="s">
        <v>5</v>
      </c>
      <c r="E1467" s="11" cm="1">
        <f t="array" aca="1" ref="E1467" ca="1">INDEX('OD flujo mercancia multimodal'!E$45:E$1645,MATCH(C1467&amp;D1467,'OD flujo mercancia multimodal'!C$45:C$1645&amp;'OD flujo mercancia multimodal'!D$45:D$1645,0))</f>
        <v>39468.55494505493</v>
      </c>
      <c r="F1467" s="11" cm="1">
        <f t="array" aca="1" ref="F1467" ca="1">INDEX('OD flujo mercancia carretera'!E$45:E$1646,MATCH(C1467&amp;D1467,'OD flujo mercancia carretera'!C$45:C$1646&amp;'OD flujo mercancia carretera'!D$45:D$1646,0))</f>
        <v>424076.69597069611</v>
      </c>
      <c r="G1467" s="11" cm="1">
        <f t="array" aca="1" ref="G1467" ca="1">INDEX('Coste Carretera'!E$46:E$1646,MATCH(C1467&amp;D1467,'Coste Carretera'!C$46:C$1646&amp;'Coste Carretera'!D$46:D$1646,0))</f>
        <v>4268077433.2657132</v>
      </c>
      <c r="H1467" s="11" cm="1">
        <f t="array" aca="1" ref="H1467" ca="1">INDEX('Coste multimodal'!E$46:E$1646,MATCH(C1467&amp;D1467,'Coste multimodal'!C$46:C$1646&amp;'Coste multimodal'!D$46:D$1646,0))</f>
        <v>734111537.87046957</v>
      </c>
      <c r="I1467" s="12" cm="1">
        <f t="array" aca="1" ref="I1467" ca="1">INDEX('Tiempos intermodal (horas)'!E$45:E$1645,MATCH(C1467&amp;D1467,'Tiempos intermodal (horas)'!C$45:C$1645&amp;'Tiempos intermodal (horas)'!D$45:D$1645,0))</f>
        <v>134.0885499366554</v>
      </c>
      <c r="J1467" s="2" cm="1">
        <f t="array" aca="1" ref="J1467" ca="1">INDEX('Tiempos carretera (horas)'!E$45:E$1645,MATCH(C1467&amp;D1467,'Tiempos carretera (horas)'!C$45:C$1645&amp;'Tiempos carretera (horas)'!D$45:D$1645,0))</f>
        <v>19.95</v>
      </c>
      <c r="K1467" s="12">
        <f t="shared" ca="1" si="138"/>
        <v>10.064399845165365</v>
      </c>
      <c r="L1467" s="12">
        <f t="shared" ca="1" si="139"/>
        <v>18.599909190808805</v>
      </c>
      <c r="M1467" s="12">
        <f t="shared" ca="1" si="140"/>
        <v>8.5144988255371659E-2</v>
      </c>
      <c r="N1467" s="13">
        <f t="shared" ca="1" si="136"/>
        <v>-8.5355093456434403</v>
      </c>
      <c r="O1467" s="13">
        <f t="shared" ca="1" si="137"/>
        <v>-114.13854993665539</v>
      </c>
      <c r="P1467" s="12">
        <f t="shared" ca="1" si="141"/>
        <v>2.3744100480684072</v>
      </c>
    </row>
    <row r="1468" spans="1:16" x14ac:dyDescent="0.25">
      <c r="A1468">
        <v>15</v>
      </c>
      <c r="B1468">
        <v>8</v>
      </c>
      <c r="C1468" s="2" t="s">
        <v>14</v>
      </c>
      <c r="D1468" s="2" t="s">
        <v>7</v>
      </c>
      <c r="E1468" s="11" cm="1">
        <f t="array" aca="1" ref="E1468" ca="1">INDEX('OD flujo mercancia multimodal'!E$45:E$1645,MATCH(C1468&amp;D1468,'OD flujo mercancia multimodal'!C$45:C$1645&amp;'OD flujo mercancia multimodal'!D$45:D$1645,0))</f>
        <v>60865.626373626335</v>
      </c>
      <c r="F1468" s="11" cm="1">
        <f t="array" aca="1" ref="F1468" ca="1">INDEX('OD flujo mercancia carretera'!E$45:E$1646,MATCH(C1468&amp;D1468,'OD flujo mercancia carretera'!C$45:C$1646&amp;'OD flujo mercancia carretera'!D$45:D$1646,0))</f>
        <v>415220.76923076913</v>
      </c>
      <c r="G1468" s="11" cm="1">
        <f t="array" aca="1" ref="G1468" ca="1">INDEX('Coste Carretera'!E$46:E$1646,MATCH(C1468&amp;D1468,'Coste Carretera'!C$46:C$1646&amp;'Coste Carretera'!D$46:D$1646,0))</f>
        <v>5558996430.3314247</v>
      </c>
      <c r="H1468" s="11" cm="1">
        <f t="array" aca="1" ref="H1468" ca="1">INDEX('Coste multimodal'!E$46:E$1646,MATCH(C1468&amp;D1468,'Coste multimodal'!C$46:C$1646&amp;'Coste multimodal'!D$46:D$1646,0))</f>
        <v>701770082.50373673</v>
      </c>
      <c r="I1468" s="12" cm="1">
        <f t="array" aca="1" ref="I1468" ca="1">INDEX('Tiempos intermodal (horas)'!E$45:E$1645,MATCH(C1468&amp;D1468,'Tiempos intermodal (horas)'!C$45:C$1645&amp;'Tiempos intermodal (horas)'!D$45:D$1645,0))</f>
        <v>133.6158984961524</v>
      </c>
      <c r="J1468" s="2" cm="1">
        <f t="array" aca="1" ref="J1468" ca="1">INDEX('Tiempos carretera (horas)'!E$45:E$1645,MATCH(C1468&amp;D1468,'Tiempos carretera (horas)'!C$45:C$1645&amp;'Tiempos carretera (horas)'!D$45:D$1645,0))</f>
        <v>18.22</v>
      </c>
      <c r="K1468" s="12">
        <f t="shared" ca="1" si="138"/>
        <v>13.388050026085944</v>
      </c>
      <c r="L1468" s="12">
        <f t="shared" ca="1" si="139"/>
        <v>11.529826017001618</v>
      </c>
      <c r="M1468" s="12">
        <f t="shared" ca="1" si="140"/>
        <v>0.12784575853371516</v>
      </c>
      <c r="N1468" s="13">
        <f t="shared" ca="1" si="136"/>
        <v>1.8582240090843261</v>
      </c>
      <c r="O1468" s="13">
        <f t="shared" ca="1" si="137"/>
        <v>-115.3958984961524</v>
      </c>
      <c r="P1468" s="12">
        <f t="shared" ca="1" si="141"/>
        <v>1.9201417648284052</v>
      </c>
    </row>
    <row r="1469" spans="1:16" x14ac:dyDescent="0.25">
      <c r="A1469">
        <v>8</v>
      </c>
      <c r="B1469">
        <v>15</v>
      </c>
      <c r="C1469" s="2" t="s">
        <v>7</v>
      </c>
      <c r="D1469" s="2" t="s">
        <v>14</v>
      </c>
      <c r="E1469" s="11" cm="1">
        <f t="array" aca="1" ref="E1469" ca="1">INDEX('OD flujo mercancia multimodal'!E$45:E$1645,MATCH(C1469&amp;D1469,'OD flujo mercancia multimodal'!C$45:C$1645&amp;'OD flujo mercancia multimodal'!D$45:D$1645,0))</f>
        <v>54678.412087912053</v>
      </c>
      <c r="F1469" s="11" cm="1">
        <f t="array" aca="1" ref="F1469" ca="1">INDEX('OD flujo mercancia carretera'!E$45:E$1646,MATCH(C1469&amp;D1469,'OD flujo mercancia carretera'!C$45:C$1646&amp;'OD flujo mercancia carretera'!D$45:D$1646,0))</f>
        <v>409442.38461538509</v>
      </c>
      <c r="G1469" s="11" cm="1">
        <f t="array" aca="1" ref="G1469" ca="1">INDEX('Coste Carretera'!E$46:E$1646,MATCH(C1469&amp;D1469,'Coste Carretera'!C$46:C$1646&amp;'Coste Carretera'!D$46:D$1646,0))</f>
        <v>4993904042.768568</v>
      </c>
      <c r="H1469" s="11" cm="1">
        <f t="array" aca="1" ref="H1469" ca="1">INDEX('Coste multimodal'!E$46:E$1646,MATCH(C1469&amp;D1469,'Coste multimodal'!C$46:C$1646&amp;'Coste multimodal'!D$46:D$1646,0))</f>
        <v>701770082.50373673</v>
      </c>
      <c r="I1469" s="12" cm="1">
        <f t="array" aca="1" ref="I1469" ca="1">INDEX('Tiempos intermodal (horas)'!E$45:E$1645,MATCH(C1469&amp;D1469,'Tiempos intermodal (horas)'!C$45:C$1645&amp;'Tiempos intermodal (horas)'!D$45:D$1645,0))</f>
        <v>133.6158984961524</v>
      </c>
      <c r="J1469" s="2" cm="1">
        <f t="array" aca="1" ref="J1469" ca="1">INDEX('Tiempos carretera (horas)'!E$45:E$1645,MATCH(C1469&amp;D1469,'Tiempos carretera (horas)'!C$45:C$1645&amp;'Tiempos carretera (horas)'!D$45:D$1645,0))</f>
        <v>18.22</v>
      </c>
      <c r="K1469" s="12">
        <f t="shared" ca="1" si="138"/>
        <v>12.196841925536495</v>
      </c>
      <c r="L1469" s="12">
        <f t="shared" ca="1" si="139"/>
        <v>12.834500046845353</v>
      </c>
      <c r="M1469" s="12">
        <f t="shared" ca="1" si="140"/>
        <v>0.11781073478348533</v>
      </c>
      <c r="N1469" s="13">
        <f t="shared" ca="1" si="136"/>
        <v>-0.63765812130885813</v>
      </c>
      <c r="O1469" s="13">
        <f t="shared" ca="1" si="137"/>
        <v>-115.3958984961524</v>
      </c>
      <c r="P1469" s="12">
        <f t="shared" ca="1" si="141"/>
        <v>2.0133272251397734</v>
      </c>
    </row>
    <row r="1470" spans="1:16" x14ac:dyDescent="0.25">
      <c r="A1470">
        <v>15</v>
      </c>
      <c r="B1470">
        <v>33</v>
      </c>
      <c r="C1470" s="2" t="s">
        <v>14</v>
      </c>
      <c r="D1470" s="2" t="s">
        <v>32</v>
      </c>
      <c r="E1470" s="11" cm="1">
        <f t="array" aca="1" ref="E1470" ca="1">INDEX('OD flujo mercancia multimodal'!E$45:E$1645,MATCH(C1470&amp;D1470,'OD flujo mercancia multimodal'!C$45:C$1645&amp;'OD flujo mercancia multimodal'!D$45:D$1645,0))</f>
        <v>90430.538461538425</v>
      </c>
      <c r="F1470" s="11" cm="1">
        <f t="array" aca="1" ref="F1470" ca="1">INDEX('OD flujo mercancia carretera'!E$45:E$1646,MATCH(C1470&amp;D1470,'OD flujo mercancia carretera'!C$45:C$1646&amp;'OD flujo mercancia carretera'!D$45:D$1646,0))</f>
        <v>394928.64615384623</v>
      </c>
      <c r="G1470" s="11" cm="1">
        <f t="array" aca="1" ref="G1470" ca="1">INDEX('Coste Carretera'!E$46:E$1646,MATCH(C1470&amp;D1470,'Coste Carretera'!C$46:C$1646&amp;'Coste Carretera'!D$46:D$1646,0))</f>
        <v>2295893595.7599998</v>
      </c>
      <c r="H1470" s="11" cm="1">
        <f t="array" aca="1" ref="H1470" ca="1">INDEX('Coste multimodal'!E$46:E$1646,MATCH(C1470&amp;D1470,'Coste multimodal'!C$46:C$1646&amp;'Coste multimodal'!D$46:D$1646,0))</f>
        <v>656321314.21636653</v>
      </c>
      <c r="I1470" s="12" cm="1">
        <f t="array" aca="1" ref="I1470" ca="1">INDEX('Tiempos intermodal (horas)'!E$45:E$1645,MATCH(C1470&amp;D1470,'Tiempos intermodal (horas)'!C$45:C$1645&amp;'Tiempos intermodal (horas)'!D$45:D$1645,0))</f>
        <v>131.78972427505627</v>
      </c>
      <c r="J1470" s="2" cm="1">
        <f t="array" aca="1" ref="J1470" ca="1">INDEX('Tiempos carretera (horas)'!E$45:E$1645,MATCH(C1470&amp;D1470,'Tiempos carretera (horas)'!C$45:C$1645&amp;'Tiempos carretera (horas)'!D$45:D$1645,0))</f>
        <v>15.9</v>
      </c>
      <c r="K1470" s="12">
        <f t="shared" ca="1" si="138"/>
        <v>5.8134390050440254</v>
      </c>
      <c r="L1470" s="12">
        <f t="shared" ca="1" si="139"/>
        <v>7.2577397567472266</v>
      </c>
      <c r="M1470" s="12">
        <f t="shared" ca="1" si="140"/>
        <v>0.1863167347563407</v>
      </c>
      <c r="N1470" s="13">
        <f t="shared" ca="1" si="136"/>
        <v>-1.4443007517032012</v>
      </c>
      <c r="O1470" s="13">
        <f t="shared" ca="1" si="137"/>
        <v>-115.88972427505627</v>
      </c>
      <c r="P1470" s="12">
        <f t="shared" ca="1" si="141"/>
        <v>1.4741230807432115</v>
      </c>
    </row>
    <row r="1471" spans="1:16" x14ac:dyDescent="0.25">
      <c r="A1471">
        <v>33</v>
      </c>
      <c r="B1471">
        <v>15</v>
      </c>
      <c r="C1471" s="2" t="s">
        <v>32</v>
      </c>
      <c r="D1471" s="2" t="s">
        <v>14</v>
      </c>
      <c r="E1471" s="11" cm="1">
        <f t="array" aca="1" ref="E1471" ca="1">INDEX('OD flujo mercancia multimodal'!E$45:E$1645,MATCH(C1471&amp;D1471,'OD flujo mercancia multimodal'!C$45:C$1645&amp;'OD flujo mercancia multimodal'!D$45:D$1645,0))</f>
        <v>77875.384615384581</v>
      </c>
      <c r="F1471" s="11" cm="1">
        <f t="array" aca="1" ref="F1471" ca="1">INDEX('OD flujo mercancia carretera'!E$45:E$1646,MATCH(C1471&amp;D1471,'OD flujo mercancia carretera'!C$45:C$1646&amp;'OD flujo mercancia carretera'!D$45:D$1646,0))</f>
        <v>385038.48205128254</v>
      </c>
      <c r="G1471" s="11" cm="1">
        <f t="array" aca="1" ref="G1471" ca="1">INDEX('Coste Carretera'!E$46:E$1646,MATCH(C1471&amp;D1471,'Coste Carretera'!C$46:C$1646&amp;'Coste Carretera'!D$46:D$1646,0))</f>
        <v>4104303160.9599972</v>
      </c>
      <c r="H1471" s="11" cm="1">
        <f t="array" aca="1" ref="H1471" ca="1">INDEX('Coste multimodal'!E$46:E$1646,MATCH(C1471&amp;D1471,'Coste multimodal'!C$46:C$1646&amp;'Coste multimodal'!D$46:D$1646,0))</f>
        <v>656321314.21636653</v>
      </c>
      <c r="I1471" s="12" cm="1">
        <f t="array" aca="1" ref="I1471" ca="1">INDEX('Tiempos intermodal (horas)'!E$45:E$1645,MATCH(C1471&amp;D1471,'Tiempos intermodal (horas)'!C$45:C$1645&amp;'Tiempos intermodal (horas)'!D$45:D$1645,0))</f>
        <v>131.78972427505627</v>
      </c>
      <c r="J1471" s="2" cm="1">
        <f t="array" aca="1" ref="J1471" ca="1">INDEX('Tiempos carretera (horas)'!E$45:E$1645,MATCH(C1471&amp;D1471,'Tiempos carretera (horas)'!C$45:C$1645&amp;'Tiempos carretera (horas)'!D$45:D$1645,0))</f>
        <v>15.9</v>
      </c>
      <c r="K1471" s="12">
        <f t="shared" ca="1" si="138"/>
        <v>10.659462241525649</v>
      </c>
      <c r="L1471" s="12">
        <f t="shared" ca="1" si="139"/>
        <v>8.427840420408117</v>
      </c>
      <c r="M1471" s="12">
        <f t="shared" ca="1" si="140"/>
        <v>0.16822867108334158</v>
      </c>
      <c r="N1471" s="13">
        <f t="shared" ca="1" si="136"/>
        <v>2.2316218211175318</v>
      </c>
      <c r="O1471" s="13">
        <f t="shared" ca="1" si="137"/>
        <v>-115.88972427505627</v>
      </c>
      <c r="P1471" s="12">
        <f t="shared" ca="1" si="141"/>
        <v>1.5982333666959687</v>
      </c>
    </row>
    <row r="1472" spans="1:16" x14ac:dyDescent="0.25">
      <c r="A1472">
        <v>4</v>
      </c>
      <c r="B1472">
        <v>15</v>
      </c>
      <c r="C1472" s="2" t="s">
        <v>3</v>
      </c>
      <c r="D1472" s="2" t="s">
        <v>14</v>
      </c>
      <c r="E1472" s="11" cm="1">
        <f t="array" aca="1" ref="E1472" ca="1">INDEX('OD flujo mercancia multimodal'!E$45:E$1645,MATCH(C1472&amp;D1472,'OD flujo mercancia multimodal'!C$45:C$1645&amp;'OD flujo mercancia multimodal'!D$45:D$1645,0))</f>
        <v>77335.91208791206</v>
      </c>
      <c r="F1472" s="11" cm="1">
        <f t="array" aca="1" ref="F1472" ca="1">INDEX('OD flujo mercancia carretera'!E$45:E$1646,MATCH(C1472&amp;D1472,'OD flujo mercancia carretera'!C$45:C$1646&amp;'OD flujo mercancia carretera'!D$45:D$1646,0))</f>
        <v>323494.6153846159</v>
      </c>
      <c r="G1472" s="11" cm="1">
        <f t="array" aca="1" ref="G1472" ca="1">INDEX('Coste Carretera'!E$46:E$1646,MATCH(C1472&amp;D1472,'Coste Carretera'!C$46:C$1646&amp;'Coste Carretera'!D$46:D$1646,0))</f>
        <v>7120128726.308568</v>
      </c>
      <c r="H1472" s="11" cm="1">
        <f t="array" aca="1" ref="H1472" ca="1">INDEX('Coste multimodal'!E$46:E$1646,MATCH(C1472&amp;D1472,'Coste multimodal'!C$46:C$1646&amp;'Coste multimodal'!D$46:D$1646,0))</f>
        <v>784706269.96030819</v>
      </c>
      <c r="I1472" s="12" cm="1">
        <f t="array" aca="1" ref="I1472" ca="1">INDEX('Tiempos intermodal (horas)'!E$45:E$1645,MATCH(C1472&amp;D1472,'Tiempos intermodal (horas)'!C$45:C$1645&amp;'Tiempos intermodal (horas)'!D$45:D$1645,0))</f>
        <v>133.46256516281909</v>
      </c>
      <c r="J1472" s="2" cm="1">
        <f t="array" aca="1" ref="J1472" ca="1">INDEX('Tiempos carretera (horas)'!E$45:E$1645,MATCH(C1472&amp;D1472,'Tiempos carretera (horas)'!C$45:C$1645&amp;'Tiempos carretera (horas)'!D$45:D$1645,0))</f>
        <v>17.46</v>
      </c>
      <c r="K1472" s="12">
        <f t="shared" ca="1" si="138"/>
        <v>22.010037842030716</v>
      </c>
      <c r="L1472" s="12">
        <f t="shared" ca="1" si="139"/>
        <v>10.146725483347099</v>
      </c>
      <c r="M1472" s="12">
        <f t="shared" ca="1" si="140"/>
        <v>0.192939177002212</v>
      </c>
      <c r="N1472" s="13">
        <f t="shared" ref="N1472:N1497" ca="1" si="142">K1472-L1472</f>
        <v>11.863312358683617</v>
      </c>
      <c r="O1472" s="13">
        <f t="shared" ref="O1472:O1497" ca="1" si="143">J1472-I1472</f>
        <v>-116.00256516281908</v>
      </c>
      <c r="P1472" s="12">
        <f t="shared" ca="1" si="141"/>
        <v>1.431024040526</v>
      </c>
    </row>
    <row r="1473" spans="1:16" x14ac:dyDescent="0.25">
      <c r="A1473">
        <v>32</v>
      </c>
      <c r="B1473">
        <v>15</v>
      </c>
      <c r="C1473" s="2" t="s">
        <v>31</v>
      </c>
      <c r="D1473" s="2" t="s">
        <v>14</v>
      </c>
      <c r="E1473" s="11" cm="1">
        <f t="array" aca="1" ref="E1473" ca="1">INDEX('OD flujo mercancia multimodal'!E$45:E$1645,MATCH(C1473&amp;D1473,'OD flujo mercancia multimodal'!C$45:C$1645&amp;'OD flujo mercancia multimodal'!D$45:D$1645,0))</f>
        <v>47825.84615384612</v>
      </c>
      <c r="F1473" s="11" cm="1">
        <f t="array" aca="1" ref="F1473" ca="1">INDEX('OD flujo mercancia carretera'!E$45:E$1646,MATCH(C1473&amp;D1473,'OD flujo mercancia carretera'!C$45:C$1646&amp;'OD flujo mercancia carretera'!D$45:D$1646,0))</f>
        <v>338928.061538462</v>
      </c>
      <c r="G1473" s="11" cm="1">
        <f t="array" aca="1" ref="G1473" ca="1">INDEX('Coste Carretera'!E$46:E$1646,MATCH(C1473&amp;D1473,'Coste Carretera'!C$46:C$1646&amp;'Coste Carretera'!D$46:D$1646,0))</f>
        <v>4492053287.119997</v>
      </c>
      <c r="H1473" s="11" cm="1">
        <f t="array" aca="1" ref="H1473" ca="1">INDEX('Coste multimodal'!E$46:E$1646,MATCH(C1473&amp;D1473,'Coste multimodal'!C$46:C$1646&amp;'Coste multimodal'!D$46:D$1646,0))</f>
        <v>577417693.85236645</v>
      </c>
      <c r="I1473" s="12" cm="1">
        <f t="array" aca="1" ref="I1473" ca="1">INDEX('Tiempos intermodal (horas)'!E$45:E$1645,MATCH(C1473&amp;D1473,'Tiempos intermodal (horas)'!C$45:C$1645&amp;'Tiempos intermodal (horas)'!D$45:D$1645,0))</f>
        <v>133.09750205283405</v>
      </c>
      <c r="J1473" s="2" cm="1">
        <f t="array" aca="1" ref="J1473" ca="1">INDEX('Tiempos carretera (horas)'!E$45:E$1645,MATCH(C1473&amp;D1473,'Tiempos carretera (horas)'!C$45:C$1645&amp;'Tiempos carretera (horas)'!D$45:D$1645,0))</f>
        <v>16.5</v>
      </c>
      <c r="K1473" s="12">
        <f t="shared" ca="1" si="138"/>
        <v>13.253707192994503</v>
      </c>
      <c r="L1473" s="12">
        <f t="shared" ca="1" si="139"/>
        <v>12.073339842120721</v>
      </c>
      <c r="M1473" s="12">
        <f t="shared" ca="1" si="140"/>
        <v>0.12365963265688626</v>
      </c>
      <c r="N1473" s="13">
        <f t="shared" ca="1" si="142"/>
        <v>1.180367350873782</v>
      </c>
      <c r="O1473" s="13">
        <f t="shared" ca="1" si="143"/>
        <v>-116.59750205283405</v>
      </c>
      <c r="P1473" s="12">
        <f t="shared" ca="1" si="141"/>
        <v>1.9582216691304328</v>
      </c>
    </row>
    <row r="1474" spans="1:16" x14ac:dyDescent="0.25">
      <c r="A1474">
        <v>15</v>
      </c>
      <c r="B1474">
        <v>32</v>
      </c>
      <c r="C1474" s="2" t="s">
        <v>14</v>
      </c>
      <c r="D1474" s="2" t="s">
        <v>31</v>
      </c>
      <c r="E1474" s="11" cm="1">
        <f t="array" aca="1" ref="E1474" ca="1">INDEX('OD flujo mercancia multimodal'!E$45:E$1645,MATCH(C1474&amp;D1474,'OD flujo mercancia multimodal'!C$45:C$1645&amp;'OD flujo mercancia multimodal'!D$45:D$1645,0))</f>
        <v>26753.153846153844</v>
      </c>
      <c r="F1474" s="11" cm="1">
        <f t="array" aca="1" ref="F1474" ca="1">INDEX('OD flujo mercancia carretera'!E$45:E$1646,MATCH(C1474&amp;D1474,'OD flujo mercancia carretera'!C$45:C$1646&amp;'OD flujo mercancia carretera'!D$45:D$1646,0))</f>
        <v>345218.42307692312</v>
      </c>
      <c r="G1474" s="11" cm="1">
        <f t="array" aca="1" ref="G1474" ca="1">INDEX('Coste Carretera'!E$46:E$1646,MATCH(C1474&amp;D1474,'Coste Carretera'!C$46:C$1646&amp;'Coste Carretera'!D$46:D$1646,0))</f>
        <v>2620517243.2799997</v>
      </c>
      <c r="H1474" s="11" cm="1">
        <f t="array" aca="1" ref="H1474" ca="1">INDEX('Coste multimodal'!E$46:E$1646,MATCH(C1474&amp;D1474,'Coste multimodal'!C$46:C$1646&amp;'Coste multimodal'!D$46:D$1646,0))</f>
        <v>577417693.85236645</v>
      </c>
      <c r="I1474" s="12" cm="1">
        <f t="array" aca="1" ref="I1474" ca="1">INDEX('Tiempos intermodal (horas)'!E$45:E$1645,MATCH(C1474&amp;D1474,'Tiempos intermodal (horas)'!C$45:C$1645&amp;'Tiempos intermodal (horas)'!D$45:D$1645,0))</f>
        <v>133.09750205283405</v>
      </c>
      <c r="J1474" s="2" cm="1">
        <f t="array" aca="1" ref="J1474" ca="1">INDEX('Tiempos carretera (horas)'!E$45:E$1645,MATCH(C1474&amp;D1474,'Tiempos carretera (horas)'!C$45:C$1645&amp;'Tiempos carretera (horas)'!D$45:D$1645,0))</f>
        <v>16.5</v>
      </c>
      <c r="K1474" s="12">
        <f t="shared" ca="1" si="138"/>
        <v>7.5908962792987564</v>
      </c>
      <c r="L1474" s="12">
        <f t="shared" ca="1" si="139"/>
        <v>21.583163509351202</v>
      </c>
      <c r="M1474" s="12">
        <f t="shared" ca="1" si="140"/>
        <v>7.1922575556589763E-2</v>
      </c>
      <c r="N1474" s="13">
        <f t="shared" ca="1" si="142"/>
        <v>-13.992267230052445</v>
      </c>
      <c r="O1474" s="13">
        <f t="shared" ca="1" si="143"/>
        <v>-116.59750205283405</v>
      </c>
      <c r="P1474" s="12">
        <f t="shared" ca="1" si="141"/>
        <v>2.5575249598863721</v>
      </c>
    </row>
    <row r="1475" spans="1:16" x14ac:dyDescent="0.25">
      <c r="A1475">
        <v>31</v>
      </c>
      <c r="B1475">
        <v>15</v>
      </c>
      <c r="C1475" s="2" t="s">
        <v>30</v>
      </c>
      <c r="D1475" s="2" t="s">
        <v>14</v>
      </c>
      <c r="E1475" s="11" cm="1">
        <f t="array" aca="1" ref="E1475" ca="1">INDEX('OD flujo mercancia multimodal'!E$45:E$1645,MATCH(C1475&amp;D1475,'OD flujo mercancia multimodal'!C$45:C$1645&amp;'OD flujo mercancia multimodal'!D$45:D$1645,0))</f>
        <v>49554.076923076893</v>
      </c>
      <c r="F1475" s="11" cm="1">
        <f t="array" aca="1" ref="F1475" ca="1">INDEX('OD flujo mercancia carretera'!E$45:E$1646,MATCH(C1475&amp;D1475,'OD flujo mercancia carretera'!C$45:C$1646&amp;'OD flujo mercancia carretera'!D$45:D$1646,0))</f>
        <v>312485.76923076971</v>
      </c>
      <c r="G1475" s="11" cm="1">
        <f t="array" aca="1" ref="G1475" ca="1">INDEX('Coste Carretera'!E$46:E$1646,MATCH(C1475&amp;D1475,'Coste Carretera'!C$46:C$1646&amp;'Coste Carretera'!D$46:D$1646,0))</f>
        <v>4528489408.7999964</v>
      </c>
      <c r="H1475" s="11" cm="1">
        <f t="array" aca="1" ref="H1475" ca="1">INDEX('Coste multimodal'!E$46:E$1646,MATCH(C1475&amp;D1475,'Coste multimodal'!C$46:C$1646&amp;'Coste multimodal'!D$46:D$1646,0))</f>
        <v>598053794.73687959</v>
      </c>
      <c r="I1475" s="12" cm="1">
        <f t="array" aca="1" ref="I1475" ca="1">INDEX('Tiempos intermodal (horas)'!E$45:E$1645,MATCH(C1475&amp;D1475,'Tiempos intermodal (horas)'!C$45:C$1645&amp;'Tiempos intermodal (horas)'!D$45:D$1645,0))</f>
        <v>134.71812071837462</v>
      </c>
      <c r="J1475" s="2" cm="1">
        <f t="array" aca="1" ref="J1475" ca="1">INDEX('Tiempos carretera (horas)'!E$45:E$1645,MATCH(C1475&amp;D1475,'Tiempos carretera (horas)'!C$45:C$1645&amp;'Tiempos carretera (horas)'!D$45:D$1645,0))</f>
        <v>17.22</v>
      </c>
      <c r="K1475" s="12">
        <f t="shared" ca="1" si="138"/>
        <v>14.491826043622877</v>
      </c>
      <c r="L1475" s="12">
        <f t="shared" ca="1" si="139"/>
        <v>12.068710222677385</v>
      </c>
      <c r="M1475" s="12">
        <f t="shared" ca="1" si="140"/>
        <v>0.13687464915676489</v>
      </c>
      <c r="N1475" s="13">
        <f t="shared" ca="1" si="142"/>
        <v>2.4231158209454922</v>
      </c>
      <c r="O1475" s="13">
        <f t="shared" ca="1" si="143"/>
        <v>-117.49812071837462</v>
      </c>
      <c r="P1475" s="12">
        <f t="shared" ca="1" si="141"/>
        <v>1.8414943933144556</v>
      </c>
    </row>
    <row r="1476" spans="1:16" x14ac:dyDescent="0.25">
      <c r="A1476">
        <v>15</v>
      </c>
      <c r="B1476">
        <v>31</v>
      </c>
      <c r="C1476" s="2" t="s">
        <v>14</v>
      </c>
      <c r="D1476" s="2" t="s">
        <v>30</v>
      </c>
      <c r="E1476" s="11" cm="1">
        <f t="array" aca="1" ref="E1476" ca="1">INDEX('OD flujo mercancia multimodal'!E$45:E$1645,MATCH(C1476&amp;D1476,'OD flujo mercancia multimodal'!C$45:C$1645&amp;'OD flujo mercancia multimodal'!D$45:D$1645,0))</f>
        <v>28908.23076923077</v>
      </c>
      <c r="F1476" s="11" cm="1">
        <f t="array" aca="1" ref="F1476" ca="1">INDEX('OD flujo mercancia carretera'!E$45:E$1646,MATCH(C1476&amp;D1476,'OD flujo mercancia carretera'!C$45:C$1646&amp;'OD flujo mercancia carretera'!D$45:D$1646,0))</f>
        <v>319671.61538461543</v>
      </c>
      <c r="G1476" s="11" cm="1">
        <f t="array" aca="1" ref="G1476" ca="1">INDEX('Coste Carretera'!E$46:E$1646,MATCH(C1476&amp;D1476,'Coste Carretera'!C$46:C$1646&amp;'Coste Carretera'!D$46:D$1646,0))</f>
        <v>3108825837.8399997</v>
      </c>
      <c r="H1476" s="11" cm="1">
        <f t="array" aca="1" ref="H1476" ca="1">INDEX('Coste multimodal'!E$46:E$1646,MATCH(C1476&amp;D1476,'Coste multimodal'!C$46:C$1646&amp;'Coste multimodal'!D$46:D$1646,0))</f>
        <v>598053794.73687959</v>
      </c>
      <c r="I1476" s="12" cm="1">
        <f t="array" aca="1" ref="I1476" ca="1">INDEX('Tiempos intermodal (horas)'!E$45:E$1645,MATCH(C1476&amp;D1476,'Tiempos intermodal (horas)'!C$45:C$1645&amp;'Tiempos intermodal (horas)'!D$45:D$1645,0))</f>
        <v>134.71812071837462</v>
      </c>
      <c r="J1476" s="2" cm="1">
        <f t="array" aca="1" ref="J1476" ca="1">INDEX('Tiempos carretera (horas)'!E$45:E$1645,MATCH(C1476&amp;D1476,'Tiempos carretera (horas)'!C$45:C$1645&amp;'Tiempos carretera (horas)'!D$45:D$1645,0))</f>
        <v>17.22</v>
      </c>
      <c r="K1476" s="12">
        <f t="shared" ca="1" si="138"/>
        <v>9.7250606191594198</v>
      </c>
      <c r="L1476" s="12">
        <f t="shared" ca="1" si="139"/>
        <v>20.68801095131127</v>
      </c>
      <c r="M1476" s="12">
        <f t="shared" ca="1" si="140"/>
        <v>8.2931446233044936E-2</v>
      </c>
      <c r="N1476" s="13">
        <f t="shared" ca="1" si="142"/>
        <v>-10.96295033215185</v>
      </c>
      <c r="O1476" s="13">
        <f t="shared" ca="1" si="143"/>
        <v>-117.49812071837462</v>
      </c>
      <c r="P1476" s="12">
        <f t="shared" ca="1" si="141"/>
        <v>2.4031679106914297</v>
      </c>
    </row>
    <row r="1477" spans="1:16" x14ac:dyDescent="0.25">
      <c r="A1477">
        <v>15</v>
      </c>
      <c r="B1477">
        <v>3</v>
      </c>
      <c r="C1477" s="2" t="s">
        <v>14</v>
      </c>
      <c r="D1477" s="2" t="s">
        <v>2</v>
      </c>
      <c r="E1477" s="11" cm="1">
        <f t="array" aca="1" ref="E1477" ca="1">INDEX('OD flujo mercancia multimodal'!E$45:E$1645,MATCH(C1477&amp;D1477,'OD flujo mercancia multimodal'!C$45:C$1645&amp;'OD flujo mercancia multimodal'!D$45:D$1645,0))</f>
        <v>42747.483516483531</v>
      </c>
      <c r="F1477" s="11" cm="1">
        <f t="array" aca="1" ref="F1477" ca="1">INDEX('OD flujo mercancia carretera'!E$45:E$1646,MATCH(C1477&amp;D1477,'OD flujo mercancia carretera'!C$45:C$1646&amp;'OD flujo mercancia carretera'!D$45:D$1646,0))</f>
        <v>337380.38461538462</v>
      </c>
      <c r="G1477" s="11" cm="1">
        <f t="array" aca="1" ref="G1477" ca="1">INDEX('Coste Carretera'!E$46:E$1646,MATCH(C1477&amp;D1477,'Coste Carretera'!C$46:C$1646&amp;'Coste Carretera'!D$46:D$1646,0))</f>
        <v>2828823271.2000008</v>
      </c>
      <c r="H1477" s="11" cm="1">
        <f t="array" aca="1" ref="H1477" ca="1">INDEX('Coste multimodal'!E$46:E$1646,MATCH(C1477&amp;D1477,'Coste multimodal'!C$46:C$1646&amp;'Coste multimodal'!D$46:D$1646,0))</f>
        <v>885700288.83611095</v>
      </c>
      <c r="I1477" s="12" cm="1">
        <f t="array" aca="1" ref="I1477" ca="1">INDEX('Tiempos intermodal (horas)'!E$45:E$1645,MATCH(C1477&amp;D1477,'Tiempos intermodal (horas)'!C$45:C$1645&amp;'Tiempos intermodal (horas)'!D$45:D$1645,0))</f>
        <v>118.19448504950263</v>
      </c>
      <c r="J1477" s="2" cm="1">
        <f t="array" aca="1" ref="J1477" ca="1">INDEX('Tiempos carretera (horas)'!E$45:E$1645,MATCH(C1477&amp;D1477,'Tiempos carretera (horas)'!C$45:C$1645&amp;'Tiempos carretera (horas)'!D$45:D$1645,0))</f>
        <v>13.56</v>
      </c>
      <c r="K1477" s="12">
        <f t="shared" ca="1" si="138"/>
        <v>8.3846702422397019</v>
      </c>
      <c r="L1477" s="12">
        <f t="shared" ca="1" si="139"/>
        <v>20.719355058516669</v>
      </c>
      <c r="M1477" s="12">
        <f t="shared" ca="1" si="140"/>
        <v>0.11245553693962325</v>
      </c>
      <c r="N1477" s="13">
        <f t="shared" ca="1" si="142"/>
        <v>-12.334684816276967</v>
      </c>
      <c r="O1477" s="13">
        <f t="shared" ca="1" si="143"/>
        <v>-104.63448504950263</v>
      </c>
      <c r="P1477" s="12">
        <f t="shared" ca="1" si="141"/>
        <v>2.0659007029993366</v>
      </c>
    </row>
    <row r="1478" spans="1:16" x14ac:dyDescent="0.25">
      <c r="A1478">
        <v>26</v>
      </c>
      <c r="B1478">
        <v>10</v>
      </c>
      <c r="C1478" s="2" t="s">
        <v>25</v>
      </c>
      <c r="D1478" s="2" t="s">
        <v>9</v>
      </c>
      <c r="E1478" s="11" cm="1">
        <f t="array" aca="1" ref="E1478" ca="1">INDEX('OD flujo mercancia multimodal'!E$45:E$1645,MATCH(C1478&amp;D1478,'OD flujo mercancia multimodal'!C$45:C$1645&amp;'OD flujo mercancia multimodal'!D$45:D$1645,0))</f>
        <v>22249.521978021992</v>
      </c>
      <c r="F1478" s="11" cm="1">
        <f t="array" aca="1" ref="F1478" ca="1">INDEX('OD flujo mercancia carretera'!E$45:E$1646,MATCH(C1478&amp;D1478,'OD flujo mercancia carretera'!C$45:C$1646&amp;'OD flujo mercancia carretera'!D$45:D$1646,0))</f>
        <v>141817.92307692312</v>
      </c>
      <c r="G1478" s="11" cm="1">
        <f t="array" aca="1" ref="G1478" ca="1">INDEX('Coste Carretera'!E$46:E$1646,MATCH(C1478&amp;D1478,'Coste Carretera'!C$46:C$1646&amp;'Coste Carretera'!D$46:D$1646,0))</f>
        <v>1879020190.0114295</v>
      </c>
      <c r="H1478" s="11" cm="1">
        <f t="array" aca="1" ref="H1478" ca="1">INDEX('Coste multimodal'!E$46:E$1646,MATCH(C1478&amp;D1478,'Coste multimodal'!C$46:C$1646&amp;'Coste multimodal'!D$46:D$1646,0))</f>
        <v>518602997.31561244</v>
      </c>
      <c r="I1478" s="12" cm="1">
        <f t="array" aca="1" ref="I1478" ca="1">INDEX('Tiempos intermodal (horas)'!E$45:E$1645,MATCH(C1478&amp;D1478,'Tiempos intermodal (horas)'!C$45:C$1645&amp;'Tiempos intermodal (horas)'!D$45:D$1645,0))</f>
        <v>135.23077215887761</v>
      </c>
      <c r="J1478" s="2" cm="1">
        <f t="array" aca="1" ref="J1478" ca="1">INDEX('Tiempos carretera (horas)'!E$45:E$1645,MATCH(C1478&amp;D1478,'Tiempos carretera (horas)'!C$45:C$1645&amp;'Tiempos carretera (horas)'!D$45:D$1645,0))</f>
        <v>16.73</v>
      </c>
      <c r="K1478" s="12">
        <f t="shared" ca="1" si="138"/>
        <v>13.249525513021613</v>
      </c>
      <c r="L1478" s="12">
        <f t="shared" ca="1" si="139"/>
        <v>23.308500642300849</v>
      </c>
      <c r="M1478" s="12">
        <f t="shared" ca="1" si="140"/>
        <v>0.13561204643962591</v>
      </c>
      <c r="N1478" s="13">
        <f t="shared" ca="1" si="142"/>
        <v>-10.058975129279236</v>
      </c>
      <c r="O1478" s="13">
        <f t="shared" ca="1" si="143"/>
        <v>-118.50077215887761</v>
      </c>
      <c r="P1478" s="12">
        <f t="shared" ca="1" si="141"/>
        <v>1.8522234787383358</v>
      </c>
    </row>
    <row r="1479" spans="1:16" x14ac:dyDescent="0.25">
      <c r="A1479">
        <v>10</v>
      </c>
      <c r="B1479">
        <v>26</v>
      </c>
      <c r="C1479" s="2" t="s">
        <v>9</v>
      </c>
      <c r="D1479" s="2" t="s">
        <v>25</v>
      </c>
      <c r="E1479" s="11" cm="1">
        <f t="array" aca="1" ref="E1479" ca="1">INDEX('OD flujo mercancia multimodal'!E$45:E$1645,MATCH(C1479&amp;D1479,'OD flujo mercancia multimodal'!C$45:C$1645&amp;'OD flujo mercancia multimodal'!D$45:D$1645,0))</f>
        <v>18320.340659340658</v>
      </c>
      <c r="F1479" s="11" cm="1">
        <f t="array" aca="1" ref="F1479" ca="1">INDEX('OD flujo mercancia carretera'!E$45:E$1646,MATCH(C1479&amp;D1479,'OD flujo mercancia carretera'!C$45:C$1646&amp;'OD flujo mercancia carretera'!D$45:D$1646,0))</f>
        <v>137297.92307692306</v>
      </c>
      <c r="G1479" s="11" cm="1">
        <f t="array" aca="1" ref="G1479" ca="1">INDEX('Coste Carretera'!E$46:E$1646,MATCH(C1479&amp;D1479,'Coste Carretera'!C$46:C$1646&amp;'Coste Carretera'!D$46:D$1646,0))</f>
        <v>1547192340.6171427</v>
      </c>
      <c r="H1479" s="11" cm="1">
        <f t="array" aca="1" ref="H1479" ca="1">INDEX('Coste multimodal'!E$46:E$1646,MATCH(C1479&amp;D1479,'Coste multimodal'!C$46:C$1646&amp;'Coste multimodal'!D$46:D$1646,0))</f>
        <v>518602997.31561244</v>
      </c>
      <c r="I1479" s="12" cm="1">
        <f t="array" aca="1" ref="I1479" ca="1">INDEX('Tiempos intermodal (horas)'!E$45:E$1645,MATCH(C1479&amp;D1479,'Tiempos intermodal (horas)'!C$45:C$1645&amp;'Tiempos intermodal (horas)'!D$45:D$1645,0))</f>
        <v>135.23077215887761</v>
      </c>
      <c r="J1479" s="2" cm="1">
        <f t="array" aca="1" ref="J1479" ca="1">INDEX('Tiempos carretera (horas)'!E$45:E$1645,MATCH(C1479&amp;D1479,'Tiempos carretera (horas)'!C$45:C$1645&amp;'Tiempos carretera (horas)'!D$45:D$1645,0))</f>
        <v>16.73</v>
      </c>
      <c r="K1479" s="12">
        <f t="shared" ca="1" si="138"/>
        <v>11.268869229364137</v>
      </c>
      <c r="L1479" s="12">
        <f t="shared" ca="1" si="139"/>
        <v>28.307497494660495</v>
      </c>
      <c r="M1479" s="12">
        <f t="shared" ca="1" si="140"/>
        <v>0.11772616028147773</v>
      </c>
      <c r="N1479" s="13">
        <f t="shared" ca="1" si="142"/>
        <v>-17.03862826529636</v>
      </c>
      <c r="O1479" s="13">
        <f t="shared" ca="1" si="143"/>
        <v>-118.50077215887761</v>
      </c>
      <c r="P1479" s="12">
        <f t="shared" ca="1" si="141"/>
        <v>2.0141412317463714</v>
      </c>
    </row>
    <row r="1480" spans="1:16" x14ac:dyDescent="0.25">
      <c r="A1480">
        <v>5</v>
      </c>
      <c r="B1480">
        <v>26</v>
      </c>
      <c r="C1480" s="2" t="s">
        <v>4</v>
      </c>
      <c r="D1480" s="2" t="s">
        <v>25</v>
      </c>
      <c r="E1480" s="11" cm="1">
        <f t="array" aca="1" ref="E1480" ca="1">INDEX('OD flujo mercancia multimodal'!E$45:E$1645,MATCH(C1480&amp;D1480,'OD flujo mercancia multimodal'!C$45:C$1645&amp;'OD flujo mercancia multimodal'!D$45:D$1645,0))</f>
        <v>50811.840659340654</v>
      </c>
      <c r="F1480" s="11" cm="1">
        <f t="array" aca="1" ref="F1480" ca="1">INDEX('OD flujo mercancia carretera'!E$45:E$1646,MATCH(C1480&amp;D1480,'OD flujo mercancia carretera'!C$45:C$1646&amp;'OD flujo mercancia carretera'!D$45:D$1646,0))</f>
        <v>111895.07692307692</v>
      </c>
      <c r="G1480" s="11" cm="1">
        <f t="array" aca="1" ref="G1480" ca="1">INDEX('Coste Carretera'!E$46:E$1646,MATCH(C1480&amp;D1480,'Coste Carretera'!C$46:C$1646&amp;'Coste Carretera'!D$46:D$1646,0))</f>
        <v>4117708235.614285</v>
      </c>
      <c r="H1480" s="11" cm="1">
        <f t="array" aca="1" ref="H1480" ca="1">INDEX('Coste multimodal'!E$46:E$1646,MATCH(C1480&amp;D1480,'Coste multimodal'!C$46:C$1646&amp;'Coste multimodal'!D$46:D$1646,0))</f>
        <v>471267220.25561237</v>
      </c>
      <c r="I1480" s="12" cm="1">
        <f t="array" aca="1" ref="I1480" ca="1">INDEX('Tiempos intermodal (horas)'!E$45:E$1645,MATCH(C1480&amp;D1480,'Tiempos intermodal (horas)'!C$45:C$1645&amp;'Tiempos intermodal (horas)'!D$45:D$1645,0))</f>
        <v>134.24299438109983</v>
      </c>
      <c r="J1480" s="2" cm="1">
        <f t="array" aca="1" ref="J1480" ca="1">INDEX('Tiempos carretera (horas)'!E$45:E$1645,MATCH(C1480&amp;D1480,'Tiempos carretera (horas)'!C$45:C$1645&amp;'Tiempos carretera (horas)'!D$45:D$1645,0))</f>
        <v>15.42</v>
      </c>
      <c r="K1480" s="12">
        <f t="shared" ca="1" si="138"/>
        <v>36.799726572823509</v>
      </c>
      <c r="L1480" s="12">
        <f t="shared" ca="1" si="139"/>
        <v>9.274751989701441</v>
      </c>
      <c r="M1480" s="12">
        <f t="shared" ca="1" si="140"/>
        <v>0.31229059842278939</v>
      </c>
      <c r="N1480" s="13">
        <f t="shared" ca="1" si="142"/>
        <v>27.524974583122066</v>
      </c>
      <c r="O1480" s="13">
        <f t="shared" ca="1" si="143"/>
        <v>-118.82299438109983</v>
      </c>
      <c r="P1480" s="12">
        <f t="shared" ca="1" si="141"/>
        <v>0.78943220775465461</v>
      </c>
    </row>
    <row r="1481" spans="1:16" x14ac:dyDescent="0.25">
      <c r="A1481">
        <v>7</v>
      </c>
      <c r="B1481">
        <v>26</v>
      </c>
      <c r="C1481" s="2" t="s">
        <v>6</v>
      </c>
      <c r="D1481" s="2" t="s">
        <v>25</v>
      </c>
      <c r="E1481" s="11" cm="1">
        <f t="array" aca="1" ref="E1481" ca="1">INDEX('OD flujo mercancia multimodal'!E$45:E$1645,MATCH(C1481&amp;D1481,'OD flujo mercancia multimodal'!C$45:C$1645&amp;'OD flujo mercancia multimodal'!D$45:D$1645,0))</f>
        <v>7071.9120879120874</v>
      </c>
      <c r="F1481" s="11" cm="1">
        <f t="array" aca="1" ref="F1481" ca="1">INDEX('OD flujo mercancia carretera'!E$45:E$1646,MATCH(C1481&amp;D1481,'OD flujo mercancia carretera'!C$45:C$1646&amp;'OD flujo mercancia carretera'!D$45:D$1646,0))</f>
        <v>102756.69230769231</v>
      </c>
      <c r="G1481" s="11" cm="1">
        <f t="array" aca="1" ref="G1481" ca="1">INDEX('Coste Carretera'!E$46:E$1646,MATCH(C1481&amp;D1481,'Coste Carretera'!C$46:C$1646&amp;'Coste Carretera'!D$46:D$1646,0))</f>
        <v>564924987.56571424</v>
      </c>
      <c r="H1481" s="11" cm="1">
        <f t="array" aca="1" ref="H1481" ca="1">INDEX('Coste multimodal'!E$46:E$1646,MATCH(C1481&amp;D1481,'Coste multimodal'!C$46:C$1646&amp;'Coste multimodal'!D$46:D$1646,0))</f>
        <v>452034996.48418379</v>
      </c>
      <c r="I1481" s="12" cm="1">
        <f t="array" aca="1" ref="I1481" ca="1">INDEX('Tiempos intermodal (horas)'!E$45:E$1645,MATCH(C1481&amp;D1481,'Tiempos intermodal (horas)'!C$45:C$1645&amp;'Tiempos intermodal (horas)'!D$45:D$1645,0))</f>
        <v>134.68188326998873</v>
      </c>
      <c r="J1481" s="2" cm="1">
        <f t="array" aca="1" ref="J1481" ca="1">INDEX('Tiempos carretera (horas)'!E$45:E$1645,MATCH(C1481&amp;D1481,'Tiempos carretera (horas)'!C$45:C$1645&amp;'Tiempos carretera (horas)'!D$45:D$1645,0))</f>
        <v>15.63</v>
      </c>
      <c r="K1481" s="12">
        <f t="shared" ca="1" si="138"/>
        <v>5.4976953313572574</v>
      </c>
      <c r="L1481" s="12">
        <f t="shared" ca="1" si="139"/>
        <v>63.919770334368323</v>
      </c>
      <c r="M1481" s="12">
        <f t="shared" ca="1" si="140"/>
        <v>6.4390439328892379E-2</v>
      </c>
      <c r="N1481" s="13">
        <f t="shared" ca="1" si="142"/>
        <v>-58.422075003011066</v>
      </c>
      <c r="O1481" s="13">
        <f t="shared" ca="1" si="143"/>
        <v>-119.05188326998874</v>
      </c>
      <c r="P1481" s="12">
        <f t="shared" ca="1" si="141"/>
        <v>2.676233088953524</v>
      </c>
    </row>
    <row r="1482" spans="1:16" x14ac:dyDescent="0.25">
      <c r="A1482">
        <v>26</v>
      </c>
      <c r="B1482">
        <v>7</v>
      </c>
      <c r="C1482" s="2" t="s">
        <v>25</v>
      </c>
      <c r="D1482" s="2" t="s">
        <v>6</v>
      </c>
      <c r="E1482" s="11" cm="1">
        <f t="array" aca="1" ref="E1482" ca="1">INDEX('OD flujo mercancia multimodal'!E$45:E$1645,MATCH(C1482&amp;D1482,'OD flujo mercancia multimodal'!C$45:C$1645&amp;'OD flujo mercancia multimodal'!D$45:D$1645,0))</f>
        <v>6124.0934065934025</v>
      </c>
      <c r="F1482" s="11" cm="1">
        <f t="array" aca="1" ref="F1482" ca="1">INDEX('OD flujo mercancia carretera'!E$45:E$1646,MATCH(C1482&amp;D1482,'OD flujo mercancia carretera'!C$45:C$1646&amp;'OD flujo mercancia carretera'!D$45:D$1646,0))</f>
        <v>109511.07692307691</v>
      </c>
      <c r="G1482" s="11" cm="1">
        <f t="array" aca="1" ref="G1482" ca="1">INDEX('Coste Carretera'!E$46:E$1646,MATCH(C1482&amp;D1482,'Coste Carretera'!C$46:C$1646&amp;'Coste Carretera'!D$46:D$1646,0))</f>
        <v>489210463.67142826</v>
      </c>
      <c r="H1482" s="11" cm="1">
        <f t="array" aca="1" ref="H1482" ca="1">INDEX('Coste multimodal'!E$46:E$1646,MATCH(C1482&amp;D1482,'Coste multimodal'!C$46:C$1646&amp;'Coste multimodal'!D$46:D$1646,0))</f>
        <v>452034996.48418379</v>
      </c>
      <c r="I1482" s="12" cm="1">
        <f t="array" aca="1" ref="I1482" ca="1">INDEX('Tiempos intermodal (horas)'!E$45:E$1645,MATCH(C1482&amp;D1482,'Tiempos intermodal (horas)'!C$45:C$1645&amp;'Tiempos intermodal (horas)'!D$45:D$1645,0))</f>
        <v>134.68188326998873</v>
      </c>
      <c r="J1482" s="2" cm="1">
        <f t="array" aca="1" ref="J1482" ca="1">INDEX('Tiempos carretera (horas)'!E$45:E$1645,MATCH(C1482&amp;D1482,'Tiempos carretera (horas)'!C$45:C$1645&amp;'Tiempos carretera (horas)'!D$45:D$1645,0))</f>
        <v>15.63</v>
      </c>
      <c r="K1482" s="12">
        <f t="shared" ca="1" si="138"/>
        <v>4.4672235669370766</v>
      </c>
      <c r="L1482" s="12">
        <f t="shared" ca="1" si="139"/>
        <v>73.812557463200648</v>
      </c>
      <c r="M1482" s="12">
        <f t="shared" ca="1" si="140"/>
        <v>5.2960473782620865E-2</v>
      </c>
      <c r="N1482" s="13">
        <f t="shared" ca="1" si="142"/>
        <v>-69.345333896263568</v>
      </c>
      <c r="O1482" s="13">
        <f t="shared" ca="1" si="143"/>
        <v>-119.05188326998874</v>
      </c>
      <c r="P1482" s="12">
        <f t="shared" ca="1" si="141"/>
        <v>2.8837949730297789</v>
      </c>
    </row>
    <row r="1483" spans="1:16" x14ac:dyDescent="0.25">
      <c r="A1483">
        <v>6</v>
      </c>
      <c r="B1483">
        <v>26</v>
      </c>
      <c r="C1483" s="2" t="s">
        <v>5</v>
      </c>
      <c r="D1483" s="2" t="s">
        <v>25</v>
      </c>
      <c r="E1483" s="11" cm="1">
        <f t="array" aca="1" ref="E1483" ca="1">INDEX('OD flujo mercancia multimodal'!E$45:E$1645,MATCH(C1483&amp;D1483,'OD flujo mercancia multimodal'!C$45:C$1645&amp;'OD flujo mercancia multimodal'!D$45:D$1645,0))</f>
        <v>15776.983516483517</v>
      </c>
      <c r="F1483" s="11" cm="1">
        <f t="array" aca="1" ref="F1483" ca="1">INDEX('OD flujo mercancia carretera'!E$45:E$1646,MATCH(C1483&amp;D1483,'OD flujo mercancia carretera'!C$45:C$1646&amp;'OD flujo mercancia carretera'!D$45:D$1646,0))</f>
        <v>174449.69963369961</v>
      </c>
      <c r="G1483" s="11" cm="1">
        <f t="array" aca="1" ref="G1483" ca="1">INDEX('Coste Carretera'!E$46:E$1646,MATCH(C1483&amp;D1483,'Coste Carretera'!C$46:C$1646&amp;'Coste Carretera'!D$46:D$1646,0))</f>
        <v>1430175982.817143</v>
      </c>
      <c r="H1483" s="11" cm="1">
        <f t="array" aca="1" ref="H1483" ca="1">INDEX('Coste multimodal'!E$46:E$1646,MATCH(C1483&amp;D1483,'Coste multimodal'!C$46:C$1646&amp;'Coste multimodal'!D$46:D$1646,0))</f>
        <v>590723994.01846957</v>
      </c>
      <c r="I1483" s="12" cm="1">
        <f t="array" aca="1" ref="I1483" ca="1">INDEX('Tiempos intermodal (horas)'!E$45:E$1645,MATCH(C1483&amp;D1483,'Tiempos intermodal (horas)'!C$45:C$1645&amp;'Tiempos intermodal (horas)'!D$45:D$1645,0))</f>
        <v>136.78743882554429</v>
      </c>
      <c r="J1483" s="2" cm="1">
        <f t="array" aca="1" ref="J1483" ca="1">INDEX('Tiempos carretera (horas)'!E$45:E$1645,MATCH(C1483&amp;D1483,'Tiempos carretera (horas)'!C$45:C$1645&amp;'Tiempos carretera (horas)'!D$45:D$1645,0))</f>
        <v>17.46</v>
      </c>
      <c r="K1483" s="12">
        <f t="shared" ca="1" si="138"/>
        <v>8.19821407443035</v>
      </c>
      <c r="L1483" s="12">
        <f t="shared" ca="1" si="139"/>
        <v>37.442137998134527</v>
      </c>
      <c r="M1483" s="12">
        <f t="shared" ca="1" si="140"/>
        <v>8.293780480852761E-2</v>
      </c>
      <c r="N1483" s="13">
        <f t="shared" ca="1" si="142"/>
        <v>-29.243923923704177</v>
      </c>
      <c r="O1483" s="13">
        <f t="shared" ca="1" si="143"/>
        <v>-119.32743882554428</v>
      </c>
      <c r="P1483" s="12">
        <f t="shared" ca="1" si="141"/>
        <v>2.403084307347751</v>
      </c>
    </row>
    <row r="1484" spans="1:16" x14ac:dyDescent="0.25">
      <c r="A1484">
        <v>26</v>
      </c>
      <c r="B1484">
        <v>3</v>
      </c>
      <c r="C1484" s="2" t="s">
        <v>25</v>
      </c>
      <c r="D1484" s="2" t="s">
        <v>2</v>
      </c>
      <c r="E1484" s="11" cm="1">
        <f t="array" aca="1" ref="E1484" ca="1">INDEX('OD flujo mercancia multimodal'!E$45:E$1645,MATCH(C1484&amp;D1484,'OD flujo mercancia multimodal'!C$45:C$1645&amp;'OD flujo mercancia multimodal'!D$45:D$1645,0))</f>
        <v>17653.021978021992</v>
      </c>
      <c r="F1484" s="11" cm="1">
        <f t="array" aca="1" ref="F1484" ca="1">INDEX('OD flujo mercancia carretera'!E$45:E$1646,MATCH(C1484&amp;D1484,'OD flujo mercancia carretera'!C$45:C$1646&amp;'OD flujo mercancia carretera'!D$45:D$1646,0))</f>
        <v>89268.461538461503</v>
      </c>
      <c r="G1484" s="11" cm="1">
        <f t="array" aca="1" ref="G1484" ca="1">INDEX('Coste Carretera'!E$46:E$1646,MATCH(C1484&amp;D1484,'Coste Carretera'!C$46:C$1646&amp;'Coste Carretera'!D$46:D$1646,0))</f>
        <v>919719620.57142901</v>
      </c>
      <c r="H1484" s="11" cm="1">
        <f t="array" aca="1" ref="H1484" ca="1">INDEX('Coste multimodal'!E$46:E$1646,MATCH(C1484&amp;D1484,'Coste multimodal'!C$46:C$1646&amp;'Coste multimodal'!D$46:D$1646,0))</f>
        <v>742312744.98411095</v>
      </c>
      <c r="I1484" s="12" cm="1">
        <f t="array" aca="1" ref="I1484" ca="1">INDEX('Tiempos intermodal (horas)'!E$45:E$1645,MATCH(C1484&amp;D1484,'Tiempos intermodal (horas)'!C$45:C$1645&amp;'Tiempos intermodal (horas)'!D$45:D$1645,0))</f>
        <v>120.89337393839152</v>
      </c>
      <c r="J1484" s="2" cm="1">
        <f t="array" aca="1" ref="J1484" ca="1">INDEX('Tiempos carretera (horas)'!E$45:E$1645,MATCH(C1484&amp;D1484,'Tiempos carretera (horas)'!C$45:C$1645&amp;'Tiempos carretera (horas)'!D$45:D$1645,0))</f>
        <v>10.050000000000001</v>
      </c>
      <c r="K1484" s="12">
        <f t="shared" ca="1" si="138"/>
        <v>10.302850578142493</v>
      </c>
      <c r="L1484" s="12">
        <f t="shared" ca="1" si="139"/>
        <v>42.050179618440978</v>
      </c>
      <c r="M1484" s="12">
        <f t="shared" ca="1" si="140"/>
        <v>0.16510266596984247</v>
      </c>
      <c r="N1484" s="13">
        <f t="shared" ca="1" si="142"/>
        <v>-31.747329040298485</v>
      </c>
      <c r="O1484" s="13">
        <f t="shared" ca="1" si="143"/>
        <v>-110.84337393839152</v>
      </c>
      <c r="P1484" s="12">
        <f t="shared" ca="1" si="141"/>
        <v>1.6207412656319202</v>
      </c>
    </row>
    <row r="1485" spans="1:16" x14ac:dyDescent="0.25">
      <c r="A1485">
        <v>26</v>
      </c>
      <c r="B1485">
        <v>5</v>
      </c>
      <c r="C1485" s="2" t="s">
        <v>25</v>
      </c>
      <c r="D1485" s="2" t="s">
        <v>4</v>
      </c>
      <c r="E1485" s="11" cm="1">
        <f t="array" aca="1" ref="E1485" ca="1">INDEX('OD flujo mercancia multimodal'!E$45:E$1645,MATCH(C1485&amp;D1485,'OD flujo mercancia multimodal'!C$45:C$1645&amp;'OD flujo mercancia multimodal'!D$45:D$1645,0))</f>
        <v>66045.950549450587</v>
      </c>
      <c r="F1485" s="11" cm="1">
        <f t="array" aca="1" ref="F1485" ca="1">INDEX('OD flujo mercancia carretera'!E$45:E$1646,MATCH(C1485&amp;D1485,'OD flujo mercancia carretera'!C$45:C$1646&amp;'OD flujo mercancia carretera'!D$45:D$1646,0))</f>
        <v>110175.4615384615</v>
      </c>
      <c r="G1485" s="11" cm="1">
        <f t="array" aca="1" ref="G1485" ca="1">INDEX('Coste Carretera'!E$46:E$1646,MATCH(C1485&amp;D1485,'Coste Carretera'!C$46:C$1646&amp;'Coste Carretera'!D$46:D$1646,0))</f>
        <v>5352255517.1685743</v>
      </c>
      <c r="H1485" s="11" cm="1">
        <f t="array" aca="1" ref="H1485" ca="1">INDEX('Coste multimodal'!E$46:E$1646,MATCH(C1485&amp;D1485,'Coste multimodal'!C$46:C$1646&amp;'Coste multimodal'!D$46:D$1646,0))</f>
        <v>471267220.25561237</v>
      </c>
      <c r="I1485" s="12" cm="1">
        <f t="array" aca="1" ref="I1485" ca="1">INDEX('Tiempos intermodal (horas)'!E$45:E$1645,MATCH(C1485&amp;D1485,'Tiempos intermodal (horas)'!C$45:C$1645&amp;'Tiempos intermodal (horas)'!D$45:D$1645,0))</f>
        <v>134.24299438109983</v>
      </c>
      <c r="J1485" s="2" cm="1">
        <f t="array" aca="1" ref="J1485" ca="1">INDEX('Tiempos carretera (horas)'!E$45:E$1645,MATCH(C1485&amp;D1485,'Tiempos carretera (horas)'!C$45:C$1645&amp;'Tiempos carretera (horas)'!D$45:D$1645,0))</f>
        <v>15.42</v>
      </c>
      <c r="K1485" s="12">
        <f t="shared" ca="1" si="138"/>
        <v>48.579379132440835</v>
      </c>
      <c r="L1485" s="12">
        <f t="shared" ca="1" si="139"/>
        <v>7.1354445857018964</v>
      </c>
      <c r="M1485" s="12">
        <f t="shared" ca="1" si="140"/>
        <v>0.37478958865964623</v>
      </c>
      <c r="N1485" s="13">
        <f t="shared" ca="1" si="142"/>
        <v>41.443934546738937</v>
      </c>
      <c r="O1485" s="13">
        <f t="shared" ca="1" si="143"/>
        <v>-118.82299438109983</v>
      </c>
      <c r="P1485" s="12">
        <f t="shared" ca="1" si="141"/>
        <v>0.51172347963530718</v>
      </c>
    </row>
    <row r="1486" spans="1:16" x14ac:dyDescent="0.25">
      <c r="A1486">
        <v>15</v>
      </c>
      <c r="B1486">
        <v>4</v>
      </c>
      <c r="C1486" s="2" t="s">
        <v>14</v>
      </c>
      <c r="D1486" s="2" t="s">
        <v>3</v>
      </c>
      <c r="E1486" s="11" cm="1">
        <f t="array" aca="1" ref="E1486" ca="1">INDEX('OD flujo mercancia multimodal'!E$45:E$1645,MATCH(C1486&amp;D1486,'OD flujo mercancia multimodal'!C$45:C$1645&amp;'OD flujo mercancia multimodal'!D$45:D$1645,0))</f>
        <v>57403.840659340625</v>
      </c>
      <c r="F1486" s="11" cm="1">
        <f t="array" aca="1" ref="F1486" ca="1">INDEX('OD flujo mercancia carretera'!E$45:E$1646,MATCH(C1486&amp;D1486,'OD flujo mercancia carretera'!C$45:C$1646&amp;'OD flujo mercancia carretera'!D$45:D$1646,0))</f>
        <v>326487.30769230775</v>
      </c>
      <c r="G1486" s="11" cm="1">
        <f t="array" aca="1" ref="G1486" ca="1">INDEX('Coste Carretera'!E$46:E$1646,MATCH(C1486&amp;D1486,'Coste Carretera'!C$46:C$1646&amp;'Coste Carretera'!D$46:D$1646,0))</f>
        <v>5285031544.1342821</v>
      </c>
      <c r="H1486" s="11" cm="1">
        <f t="array" aca="1" ref="H1486" ca="1">INDEX('Coste multimodal'!E$46:E$1646,MATCH(C1486&amp;D1486,'Coste multimodal'!C$46:C$1646&amp;'Coste multimodal'!D$46:D$1646,0))</f>
        <v>784706269.96030819</v>
      </c>
      <c r="I1486" s="12" cm="1">
        <f t="array" aca="1" ref="I1486" ca="1">INDEX('Tiempos intermodal (horas)'!E$45:E$1645,MATCH(C1486&amp;D1486,'Tiempos intermodal (horas)'!C$45:C$1645&amp;'Tiempos intermodal (horas)'!D$45:D$1645,0))</f>
        <v>133.46256516281909</v>
      </c>
      <c r="J1486" s="2" cm="1">
        <f t="array" aca="1" ref="J1486" ca="1">INDEX('Tiempos carretera (horas)'!E$45:E$1645,MATCH(C1486&amp;D1486,'Tiempos carretera (horas)'!C$45:C$1645&amp;'Tiempos carretera (horas)'!D$45:D$1645,0))</f>
        <v>17.46</v>
      </c>
      <c r="K1486" s="12">
        <f t="shared" ca="1" si="138"/>
        <v>16.187555900687777</v>
      </c>
      <c r="L1486" s="12">
        <f t="shared" ca="1" si="139"/>
        <v>13.669926279272788</v>
      </c>
      <c r="M1486" s="12">
        <f t="shared" ca="1" si="140"/>
        <v>0.14953155576996555</v>
      </c>
      <c r="N1486" s="13">
        <f t="shared" ca="1" si="142"/>
        <v>2.5176296214149883</v>
      </c>
      <c r="O1486" s="13">
        <f t="shared" ca="1" si="143"/>
        <v>-116.00256516281908</v>
      </c>
      <c r="P1486" s="12">
        <f t="shared" ca="1" si="141"/>
        <v>1.7382798625955576</v>
      </c>
    </row>
    <row r="1487" spans="1:16" x14ac:dyDescent="0.25">
      <c r="A1487">
        <v>26</v>
      </c>
      <c r="B1487">
        <v>8</v>
      </c>
      <c r="C1487" s="2" t="s">
        <v>25</v>
      </c>
      <c r="D1487" s="2" t="s">
        <v>7</v>
      </c>
      <c r="E1487" s="11" cm="1">
        <f t="array" aca="1" ref="E1487" ca="1">INDEX('OD flujo mercancia multimodal'!E$45:E$1645,MATCH(C1487&amp;D1487,'OD flujo mercancia multimodal'!C$45:C$1645&amp;'OD flujo mercancia multimodal'!D$45:D$1645,0))</f>
        <v>35771.164835164796</v>
      </c>
      <c r="F1487" s="11" cm="1">
        <f t="array" aca="1" ref="F1487" ca="1">INDEX('OD flujo mercancia carretera'!E$45:E$1646,MATCH(C1487&amp;D1487,'OD flujo mercancia carretera'!C$45:C$1646&amp;'OD flujo mercancia carretera'!D$45:D$1646,0))</f>
        <v>167108.84615384601</v>
      </c>
      <c r="G1487" s="11" cm="1">
        <f t="array" aca="1" ref="G1487" ca="1">INDEX('Coste Carretera'!E$46:E$1646,MATCH(C1487&amp;D1487,'Coste Carretera'!C$46:C$1646&amp;'Coste Carretera'!D$46:D$1646,0))</f>
        <v>2641454417.4628539</v>
      </c>
      <c r="H1487" s="11" cm="1">
        <f t="array" aca="1" ref="H1487" ca="1">INDEX('Coste multimodal'!E$46:E$1646,MATCH(C1487&amp;D1487,'Coste multimodal'!C$46:C$1646&amp;'Coste multimodal'!D$46:D$1646,0))</f>
        <v>558382538.65173674</v>
      </c>
      <c r="I1487" s="12" cm="1">
        <f t="array" aca="1" ref="I1487" ca="1">INDEX('Tiempos intermodal (horas)'!E$45:E$1645,MATCH(C1487&amp;D1487,'Tiempos intermodal (horas)'!C$45:C$1645&amp;'Tiempos intermodal (horas)'!D$45:D$1645,0))</f>
        <v>136.31478738504131</v>
      </c>
      <c r="J1487" s="2" cm="1">
        <f t="array" aca="1" ref="J1487" ca="1">INDEX('Tiempos carretera (horas)'!E$45:E$1645,MATCH(C1487&amp;D1487,'Tiempos carretera (horas)'!C$45:C$1645&amp;'Tiempos carretera (horas)'!D$45:D$1645,0))</f>
        <v>14.85</v>
      </c>
      <c r="K1487" s="12">
        <f t="shared" ca="1" si="138"/>
        <v>15.806789875330969</v>
      </c>
      <c r="L1487" s="12">
        <f t="shared" ca="1" si="139"/>
        <v>15.609850594041029</v>
      </c>
      <c r="M1487" s="12">
        <f t="shared" ca="1" si="140"/>
        <v>0.17631685182185039</v>
      </c>
      <c r="N1487" s="13">
        <f t="shared" ca="1" si="142"/>
        <v>0.19693928128993932</v>
      </c>
      <c r="O1487" s="13">
        <f t="shared" ca="1" si="143"/>
        <v>-121.46478738504132</v>
      </c>
      <c r="P1487" s="12">
        <f t="shared" ca="1" si="141"/>
        <v>1.5415032561564841</v>
      </c>
    </row>
    <row r="1488" spans="1:16" x14ac:dyDescent="0.25">
      <c r="A1488">
        <v>8</v>
      </c>
      <c r="B1488">
        <v>26</v>
      </c>
      <c r="C1488" s="2" t="s">
        <v>7</v>
      </c>
      <c r="D1488" s="2" t="s">
        <v>25</v>
      </c>
      <c r="E1488" s="11" cm="1">
        <f t="array" aca="1" ref="E1488" ca="1">INDEX('OD flujo mercancia multimodal'!E$45:E$1645,MATCH(C1488&amp;D1488,'OD flujo mercancia multimodal'!C$45:C$1645&amp;'OD flujo mercancia multimodal'!D$45:D$1645,0))</f>
        <v>11228.412087912086</v>
      </c>
      <c r="F1488" s="11" cm="1">
        <f t="array" aca="1" ref="F1488" ca="1">INDEX('OD flujo mercancia carretera'!E$45:E$1646,MATCH(C1488&amp;D1488,'OD flujo mercancia carretera'!C$45:C$1646&amp;'OD flujo mercancia carretera'!D$45:D$1646,0))</f>
        <v>163752.92307692306</v>
      </c>
      <c r="G1488" s="11" cm="1">
        <f t="array" aca="1" ref="G1488" ca="1">INDEX('Coste Carretera'!E$46:E$1646,MATCH(C1488&amp;D1488,'Coste Carretera'!C$46:C$1646&amp;'Coste Carretera'!D$46:D$1646,0))</f>
        <v>829140981.2171427</v>
      </c>
      <c r="H1488" s="11" cm="1">
        <f t="array" aca="1" ref="H1488" ca="1">INDEX('Coste multimodal'!E$46:E$1646,MATCH(C1488&amp;D1488,'Coste multimodal'!C$46:C$1646&amp;'Coste multimodal'!D$46:D$1646,0))</f>
        <v>558382538.65173674</v>
      </c>
      <c r="I1488" s="12" cm="1">
        <f t="array" aca="1" ref="I1488" ca="1">INDEX('Tiempos intermodal (horas)'!E$45:E$1645,MATCH(C1488&amp;D1488,'Tiempos intermodal (horas)'!C$45:C$1645&amp;'Tiempos intermodal (horas)'!D$45:D$1645,0))</f>
        <v>136.31478738504131</v>
      </c>
      <c r="J1488" s="2" cm="1">
        <f t="array" aca="1" ref="J1488" ca="1">INDEX('Tiempos carretera (horas)'!E$45:E$1645,MATCH(C1488&amp;D1488,'Tiempos carretera (horas)'!C$45:C$1645&amp;'Tiempos carretera (horas)'!D$45:D$1645,0))</f>
        <v>14.85</v>
      </c>
      <c r="K1488" s="12">
        <f t="shared" ca="1" si="138"/>
        <v>5.0633659884511069</v>
      </c>
      <c r="L1488" s="12">
        <f t="shared" ca="1" si="139"/>
        <v>49.729430508955204</v>
      </c>
      <c r="M1488" s="12">
        <f t="shared" ca="1" si="140"/>
        <v>6.4169198831033863E-2</v>
      </c>
      <c r="N1488" s="13">
        <f t="shared" ca="1" si="142"/>
        <v>-44.666064520504094</v>
      </c>
      <c r="O1488" s="13">
        <f t="shared" ca="1" si="143"/>
        <v>-121.46478738504132</v>
      </c>
      <c r="P1488" s="12">
        <f t="shared" ca="1" si="141"/>
        <v>2.6799113655722779</v>
      </c>
    </row>
    <row r="1489" spans="1:16" x14ac:dyDescent="0.25">
      <c r="A1489">
        <v>4</v>
      </c>
      <c r="B1489">
        <v>26</v>
      </c>
      <c r="C1489" s="2" t="s">
        <v>3</v>
      </c>
      <c r="D1489" s="2" t="s">
        <v>25</v>
      </c>
      <c r="E1489" s="11" cm="1">
        <f t="array" aca="1" ref="E1489" ca="1">INDEX('OD flujo mercancia multimodal'!E$45:E$1645,MATCH(C1489&amp;D1489,'OD flujo mercancia multimodal'!C$45:C$1645&amp;'OD flujo mercancia multimodal'!D$45:D$1645,0))</f>
        <v>33885.912087912089</v>
      </c>
      <c r="F1489" s="11" cm="1">
        <f t="array" aca="1" ref="F1489" ca="1">INDEX('OD flujo mercancia carretera'!E$45:E$1646,MATCH(C1489&amp;D1489,'OD flujo mercancia carretera'!C$45:C$1646&amp;'OD flujo mercancia carretera'!D$45:D$1646,0))</f>
        <v>77805.153846153844</v>
      </c>
      <c r="G1489" s="11" cm="1">
        <f t="array" aca="1" ref="G1489" ca="1">INDEX('Coste Carretera'!E$46:E$1646,MATCH(C1489&amp;D1489,'Coste Carretera'!C$46:C$1646&amp;'Coste Carretera'!D$46:D$1646,0))</f>
        <v>2527157106.0571427</v>
      </c>
      <c r="H1489" s="11" cm="1">
        <f t="array" aca="1" ref="H1489" ca="1">INDEX('Coste multimodal'!E$46:E$1646,MATCH(C1489&amp;D1489,'Coste multimodal'!C$46:C$1646&amp;'Coste multimodal'!D$46:D$1646,0))</f>
        <v>641318726.1083082</v>
      </c>
      <c r="I1489" s="12" cm="1">
        <f t="array" aca="1" ref="I1489" ca="1">INDEX('Tiempos intermodal (horas)'!E$45:E$1645,MATCH(C1489&amp;D1489,'Tiempos intermodal (horas)'!C$45:C$1645&amp;'Tiempos intermodal (horas)'!D$45:D$1645,0))</f>
        <v>136.16145405170798</v>
      </c>
      <c r="J1489" s="2" cm="1">
        <f t="array" aca="1" ref="J1489" ca="1">INDEX('Tiempos carretera (horas)'!E$45:E$1645,MATCH(C1489&amp;D1489,'Tiempos carretera (horas)'!C$45:C$1645&amp;'Tiempos carretera (horas)'!D$45:D$1645,0))</f>
        <v>14.61</v>
      </c>
      <c r="K1489" s="12">
        <f t="shared" ca="1" si="138"/>
        <v>32.480587482085781</v>
      </c>
      <c r="L1489" s="12">
        <f t="shared" ca="1" si="139"/>
        <v>18.925821575777558</v>
      </c>
      <c r="M1489" s="12">
        <f t="shared" ca="1" si="140"/>
        <v>0.30338963823584425</v>
      </c>
      <c r="N1489" s="13">
        <f t="shared" ca="1" si="142"/>
        <v>13.554765906308223</v>
      </c>
      <c r="O1489" s="13">
        <f t="shared" ca="1" si="143"/>
        <v>-121.55145405170798</v>
      </c>
      <c r="P1489" s="12">
        <f t="shared" ca="1" si="141"/>
        <v>0.83120831841522347</v>
      </c>
    </row>
    <row r="1490" spans="1:16" x14ac:dyDescent="0.25">
      <c r="A1490">
        <v>26</v>
      </c>
      <c r="B1490">
        <v>33</v>
      </c>
      <c r="C1490" s="2" t="s">
        <v>25</v>
      </c>
      <c r="D1490" s="2" t="s">
        <v>32</v>
      </c>
      <c r="E1490" s="11" cm="1">
        <f t="array" aca="1" ref="E1490" ca="1">INDEX('OD flujo mercancia multimodal'!E$45:E$1645,MATCH(C1490&amp;D1490,'OD flujo mercancia multimodal'!C$45:C$1645&amp;'OD flujo mercancia multimodal'!D$45:D$1645,0))</f>
        <v>65336.076923076893</v>
      </c>
      <c r="F1490" s="11" cm="1">
        <f t="array" aca="1" ref="F1490" ca="1">INDEX('OD flujo mercancia carretera'!E$45:E$1646,MATCH(C1490&amp;D1490,'OD flujo mercancia carretera'!C$45:C$1646&amp;'OD flujo mercancia carretera'!D$45:D$1646,0))</f>
        <v>146816.72307692311</v>
      </c>
      <c r="G1490" s="11" cm="1">
        <f t="array" aca="1" ref="G1490" ca="1">INDEX('Coste Carretera'!E$46:E$1646,MATCH(C1490&amp;D1490,'Coste Carretera'!C$46:C$1646&amp;'Coste Carretera'!D$46:D$1646,0))</f>
        <v>108631806.43999998</v>
      </c>
      <c r="H1490" s="11" cm="1">
        <f t="array" aca="1" ref="H1490" ca="1">INDEX('Coste multimodal'!E$46:E$1646,MATCH(C1490&amp;D1490,'Coste multimodal'!C$46:C$1646&amp;'Coste multimodal'!D$46:D$1646,0))</f>
        <v>559126856.85636652</v>
      </c>
      <c r="I1490" s="12" cm="1">
        <f t="array" aca="1" ref="I1490" ca="1">INDEX('Tiempos intermodal (horas)'!E$45:E$1645,MATCH(C1490&amp;D1490,'Tiempos intermodal (horas)'!C$45:C$1645&amp;'Tiempos intermodal (horas)'!D$45:D$1645,0))</f>
        <v>134.48861316394516</v>
      </c>
      <c r="J1490" s="2" cm="1">
        <f t="array" aca="1" ref="J1490" ca="1">INDEX('Tiempos carretera (horas)'!E$45:E$1645,MATCH(C1490&amp;D1490,'Tiempos carretera (horas)'!C$45:C$1645&amp;'Tiempos carretera (horas)'!D$45:D$1645,0))</f>
        <v>12.53</v>
      </c>
      <c r="K1490" s="12">
        <f t="shared" ca="1" si="138"/>
        <v>0.73991439233447187</v>
      </c>
      <c r="L1490" s="12">
        <f t="shared" ca="1" si="139"/>
        <v>8.5577047656940248</v>
      </c>
      <c r="M1490" s="12">
        <f t="shared" ca="1" si="140"/>
        <v>0.30796707336917967</v>
      </c>
      <c r="N1490" s="13">
        <f t="shared" ca="1" si="142"/>
        <v>-7.8177903733595526</v>
      </c>
      <c r="O1490" s="13">
        <f t="shared" ca="1" si="143"/>
        <v>-121.95861316394516</v>
      </c>
      <c r="P1490" s="12">
        <f t="shared" ca="1" si="141"/>
        <v>0.8096406637087904</v>
      </c>
    </row>
    <row r="1491" spans="1:16" x14ac:dyDescent="0.25">
      <c r="A1491">
        <v>33</v>
      </c>
      <c r="B1491">
        <v>26</v>
      </c>
      <c r="C1491" s="2" t="s">
        <v>32</v>
      </c>
      <c r="D1491" s="2" t="s">
        <v>25</v>
      </c>
      <c r="E1491" s="11" cm="1">
        <f t="array" aca="1" ref="E1491" ca="1">INDEX('OD flujo mercancia multimodal'!E$45:E$1645,MATCH(C1491&amp;D1491,'OD flujo mercancia multimodal'!C$45:C$1645&amp;'OD flujo mercancia multimodal'!D$45:D$1645,0))</f>
        <v>34425.38461538461</v>
      </c>
      <c r="F1491" s="11" cm="1">
        <f t="array" aca="1" ref="F1491" ca="1">INDEX('OD flujo mercancia carretera'!E$45:E$1646,MATCH(C1491&amp;D1491,'OD flujo mercancia carretera'!C$45:C$1646&amp;'OD flujo mercancia carretera'!D$45:D$1646,0))</f>
        <v>139349.02051282051</v>
      </c>
      <c r="G1491" s="11" cm="1">
        <f t="array" aca="1" ref="G1491" ca="1">INDEX('Coste Carretera'!E$46:E$1646,MATCH(C1491&amp;D1491,'Coste Carretera'!C$46:C$1646&amp;'Coste Carretera'!D$46:D$1646,0))</f>
        <v>286584841.67999989</v>
      </c>
      <c r="H1491" s="11" cm="1">
        <f t="array" aca="1" ref="H1491" ca="1">INDEX('Coste multimodal'!E$46:E$1646,MATCH(C1491&amp;D1491,'Coste multimodal'!C$46:C$1646&amp;'Coste multimodal'!D$46:D$1646,0))</f>
        <v>559126856.85636652</v>
      </c>
      <c r="I1491" s="12" cm="1">
        <f t="array" aca="1" ref="I1491" ca="1">INDEX('Tiempos intermodal (horas)'!E$45:E$1645,MATCH(C1491&amp;D1491,'Tiempos intermodal (horas)'!C$45:C$1645&amp;'Tiempos intermodal (horas)'!D$45:D$1645,0))</f>
        <v>134.48861316394516</v>
      </c>
      <c r="J1491" s="2" cm="1">
        <f t="array" aca="1" ref="J1491" ca="1">INDEX('Tiempos carretera (horas)'!E$45:E$1645,MATCH(C1491&amp;D1491,'Tiempos carretera (horas)'!C$45:C$1645&amp;'Tiempos carretera (horas)'!D$45:D$1645,0))</f>
        <v>12.53</v>
      </c>
      <c r="K1491" s="12">
        <f t="shared" ca="1" si="138"/>
        <v>2.0565974602859391</v>
      </c>
      <c r="L1491" s="12">
        <f t="shared" ca="1" si="139"/>
        <v>16.241702543142953</v>
      </c>
      <c r="M1491" s="12">
        <f t="shared" ca="1" si="140"/>
        <v>0.19810388411335186</v>
      </c>
      <c r="N1491" s="13">
        <f t="shared" ca="1" si="142"/>
        <v>-14.185105082857014</v>
      </c>
      <c r="O1491" s="13">
        <f t="shared" ca="1" si="143"/>
        <v>-121.95861316394516</v>
      </c>
      <c r="P1491" s="12">
        <f t="shared" ca="1" si="141"/>
        <v>1.3981875078192492</v>
      </c>
    </row>
    <row r="1492" spans="1:16" x14ac:dyDescent="0.25">
      <c r="A1492">
        <v>32</v>
      </c>
      <c r="B1492">
        <v>26</v>
      </c>
      <c r="C1492" s="2" t="s">
        <v>31</v>
      </c>
      <c r="D1492" s="2" t="s">
        <v>25</v>
      </c>
      <c r="E1492" s="11" cm="1">
        <f t="array" aca="1" ref="E1492" ca="1">INDEX('OD flujo mercancia multimodal'!E$45:E$1645,MATCH(C1492&amp;D1492,'OD flujo mercancia multimodal'!C$45:C$1645&amp;'OD flujo mercancia multimodal'!D$45:D$1645,0))</f>
        <v>4375.8461538461524</v>
      </c>
      <c r="F1492" s="11" cm="1">
        <f t="array" aca="1" ref="F1492" ca="1">INDEX('OD flujo mercancia carretera'!E$45:E$1646,MATCH(C1492&amp;D1492,'OD flujo mercancia carretera'!C$45:C$1646&amp;'OD flujo mercancia carretera'!D$45:D$1646,0))</f>
        <v>93238.599999999991</v>
      </c>
      <c r="G1492" s="11" cm="1">
        <f t="array" aca="1" ref="G1492" ca="1">INDEX('Coste Carretera'!E$46:E$1646,MATCH(C1492&amp;D1492,'Coste Carretera'!C$46:C$1646&amp;'Coste Carretera'!D$46:D$1646,0))</f>
        <v>428944228.55999988</v>
      </c>
      <c r="H1492" s="11" cm="1">
        <f t="array" aca="1" ref="H1492" ca="1">INDEX('Coste multimodal'!E$46:E$1646,MATCH(C1492&amp;D1492,'Coste multimodal'!C$46:C$1646&amp;'Coste multimodal'!D$46:D$1646,0))</f>
        <v>480223236.49236643</v>
      </c>
      <c r="I1492" s="12" cm="1">
        <f t="array" aca="1" ref="I1492" ca="1">INDEX('Tiempos intermodal (horas)'!E$45:E$1645,MATCH(C1492&amp;D1492,'Tiempos intermodal (horas)'!C$45:C$1645&amp;'Tiempos intermodal (horas)'!D$45:D$1645,0))</f>
        <v>135.79639094172293</v>
      </c>
      <c r="J1492" s="2" cm="1">
        <f t="array" aca="1" ref="J1492" ca="1">INDEX('Tiempos carretera (horas)'!E$45:E$1645,MATCH(C1492&amp;D1492,'Tiempos carretera (horas)'!C$45:C$1645&amp;'Tiempos carretera (horas)'!D$45:D$1645,0))</f>
        <v>13.3</v>
      </c>
      <c r="K1492" s="12">
        <f t="shared" ca="1" si="138"/>
        <v>4.6005005283219607</v>
      </c>
      <c r="L1492" s="12">
        <f t="shared" ca="1" si="139"/>
        <v>109.74408596844155</v>
      </c>
      <c r="M1492" s="12">
        <f t="shared" ca="1" si="140"/>
        <v>4.4827854136974356E-2</v>
      </c>
      <c r="N1492" s="13">
        <f t="shared" ca="1" si="142"/>
        <v>-105.14358544011959</v>
      </c>
      <c r="O1492" s="13">
        <f t="shared" ca="1" si="143"/>
        <v>-122.49639094172294</v>
      </c>
      <c r="P1492" s="12">
        <f t="shared" ca="1" si="141"/>
        <v>3.0590618913374747</v>
      </c>
    </row>
    <row r="1493" spans="1:16" x14ac:dyDescent="0.25">
      <c r="A1493">
        <v>26</v>
      </c>
      <c r="B1493">
        <v>32</v>
      </c>
      <c r="C1493" s="2" t="s">
        <v>25</v>
      </c>
      <c r="D1493" s="2" t="s">
        <v>31</v>
      </c>
      <c r="E1493" s="11" cm="1">
        <f t="array" aca="1" ref="E1493" ca="1">INDEX('OD flujo mercancia multimodal'!E$45:E$1645,MATCH(C1493&amp;D1493,'OD flujo mercancia multimodal'!C$45:C$1645&amp;'OD flujo mercancia multimodal'!D$45:D$1645,0))</f>
        <v>1658.6923076923074</v>
      </c>
      <c r="F1493" s="11" cm="1">
        <f t="array" aca="1" ref="F1493" ca="1">INDEX('OD flujo mercancia carretera'!E$45:E$1646,MATCH(C1493&amp;D1493,'OD flujo mercancia carretera'!C$45:C$1646&amp;'OD flujo mercancia carretera'!D$45:D$1646,0))</f>
        <v>97106.5</v>
      </c>
      <c r="G1493" s="11" cm="1">
        <f t="array" aca="1" ref="G1493" ca="1">INDEX('Coste Carretera'!E$46:E$1646,MATCH(C1493&amp;D1493,'Coste Carretera'!C$46:C$1646&amp;'Coste Carretera'!D$46:D$1646,0))</f>
        <v>268000276.0800001</v>
      </c>
      <c r="H1493" s="11" cm="1">
        <f t="array" aca="1" ref="H1493" ca="1">INDEX('Coste multimodal'!E$46:E$1646,MATCH(C1493&amp;D1493,'Coste multimodal'!C$46:C$1646&amp;'Coste multimodal'!D$46:D$1646,0))</f>
        <v>480223236.49236643</v>
      </c>
      <c r="I1493" s="12" cm="1">
        <f t="array" aca="1" ref="I1493" ca="1">INDEX('Tiempos intermodal (horas)'!E$45:E$1645,MATCH(C1493&amp;D1493,'Tiempos intermodal (horas)'!C$45:C$1645&amp;'Tiempos intermodal (horas)'!D$45:D$1645,0))</f>
        <v>135.79639094172293</v>
      </c>
      <c r="J1493" s="2" cm="1">
        <f t="array" aca="1" ref="J1493" ca="1">INDEX('Tiempos carretera (horas)'!E$45:E$1645,MATCH(C1493&amp;D1493,'Tiempos carretera (horas)'!C$45:C$1645&amp;'Tiempos carretera (horas)'!D$45:D$1645,0))</f>
        <v>13.3</v>
      </c>
      <c r="K1493" s="12">
        <f t="shared" ca="1" si="138"/>
        <v>2.759859289336966</v>
      </c>
      <c r="L1493" s="12">
        <f t="shared" ca="1" si="139"/>
        <v>289.51917981731509</v>
      </c>
      <c r="M1493" s="12">
        <f t="shared" ca="1" si="140"/>
        <v>1.6794300390008156E-2</v>
      </c>
      <c r="N1493" s="13">
        <f t="shared" ca="1" si="142"/>
        <v>-286.7593205279781</v>
      </c>
      <c r="O1493" s="13">
        <f t="shared" ca="1" si="143"/>
        <v>-122.49639094172294</v>
      </c>
      <c r="P1493" s="12">
        <f t="shared" ca="1" si="141"/>
        <v>4.0697787888874499</v>
      </c>
    </row>
    <row r="1494" spans="1:16" x14ac:dyDescent="0.25">
      <c r="A1494">
        <v>26</v>
      </c>
      <c r="B1494">
        <v>6</v>
      </c>
      <c r="C1494" s="2" t="s">
        <v>25</v>
      </c>
      <c r="D1494" s="2" t="s">
        <v>5</v>
      </c>
      <c r="E1494" s="11" cm="1">
        <f t="array" aca="1" ref="E1494" ca="1">INDEX('OD flujo mercancia multimodal'!E$45:E$1645,MATCH(C1494&amp;D1494,'OD flujo mercancia multimodal'!C$45:C$1645&amp;'OD flujo mercancia multimodal'!D$45:D$1645,0))</f>
        <v>14374.093406593391</v>
      </c>
      <c r="F1494" s="11" cm="1">
        <f t="array" aca="1" ref="F1494" ca="1">INDEX('OD flujo mercancia carretera'!E$45:E$1646,MATCH(C1494&amp;D1494,'OD flujo mercancia carretera'!C$45:C$1646&amp;'OD flujo mercancia carretera'!D$45:D$1646,0))</f>
        <v>175964.77289377301</v>
      </c>
      <c r="G1494" s="11" cm="1">
        <f t="array" aca="1" ref="G1494" ca="1">INDEX('Coste Carretera'!E$46:E$1646,MATCH(C1494&amp;D1494,'Coste Carretera'!C$46:C$1646&amp;'Coste Carretera'!D$46:D$1646,0))</f>
        <v>1303004667.7428555</v>
      </c>
      <c r="H1494" s="11" cm="1">
        <f t="array" aca="1" ref="H1494" ca="1">INDEX('Coste multimodal'!E$46:E$1646,MATCH(C1494&amp;D1494,'Coste multimodal'!C$46:C$1646&amp;'Coste multimodal'!D$46:D$1646,0))</f>
        <v>590723994.01846957</v>
      </c>
      <c r="I1494" s="12" cm="1">
        <f t="array" aca="1" ref="I1494" ca="1">INDEX('Tiempos intermodal (horas)'!E$45:E$1645,MATCH(C1494&amp;D1494,'Tiempos intermodal (horas)'!C$45:C$1645&amp;'Tiempos intermodal (horas)'!D$45:D$1645,0))</f>
        <v>136.78743882554429</v>
      </c>
      <c r="J1494" s="2" cm="1">
        <f t="array" aca="1" ref="J1494" ca="1">INDEX('Tiempos carretera (horas)'!E$45:E$1645,MATCH(C1494&amp;D1494,'Tiempos carretera (horas)'!C$45:C$1645&amp;'Tiempos carretera (horas)'!D$45:D$1645,0))</f>
        <v>17.46</v>
      </c>
      <c r="K1494" s="12">
        <f t="shared" ca="1" si="138"/>
        <v>7.4049177361735783</v>
      </c>
      <c r="L1494" s="12">
        <f t="shared" ca="1" si="139"/>
        <v>41.096434906114133</v>
      </c>
      <c r="M1494" s="12">
        <f t="shared" ca="1" si="140"/>
        <v>7.5518435545949864E-2</v>
      </c>
      <c r="N1494" s="13">
        <f t="shared" ca="1" si="142"/>
        <v>-33.691517169940553</v>
      </c>
      <c r="O1494" s="13">
        <f t="shared" ca="1" si="143"/>
        <v>-119.32743882554428</v>
      </c>
      <c r="P1494" s="12">
        <f t="shared" ca="1" si="141"/>
        <v>2.5048563036648432</v>
      </c>
    </row>
    <row r="1495" spans="1:16" x14ac:dyDescent="0.25">
      <c r="A1495">
        <v>31</v>
      </c>
      <c r="B1495">
        <v>26</v>
      </c>
      <c r="C1495" s="2" t="s">
        <v>30</v>
      </c>
      <c r="D1495" s="2" t="s">
        <v>25</v>
      </c>
      <c r="E1495" s="11" cm="1">
        <f t="array" aca="1" ref="E1495" ca="1">INDEX('OD flujo mercancia multimodal'!E$45:E$1645,MATCH(C1495&amp;D1495,'OD flujo mercancia multimodal'!C$45:C$1645&amp;'OD flujo mercancia multimodal'!D$45:D$1645,0))</f>
        <v>6104.076923076922</v>
      </c>
      <c r="F1495" s="11" cm="1">
        <f t="array" aca="1" ref="F1495" ca="1">INDEX('OD flujo mercancia carretera'!E$45:E$1646,MATCH(C1495&amp;D1495,'OD flujo mercancia carretera'!C$45:C$1646&amp;'OD flujo mercancia carretera'!D$45:D$1646,0))</f>
        <v>66796.307692307688</v>
      </c>
      <c r="G1495" s="11" cm="1">
        <f t="array" aca="1" ref="G1495" ca="1">INDEX('Coste Carretera'!E$46:E$1646,MATCH(C1495&amp;D1495,'Coste Carretera'!C$46:C$1646&amp;'Coste Carretera'!D$46:D$1646,0))</f>
        <v>439202984.39999992</v>
      </c>
      <c r="H1495" s="11" cm="1">
        <f t="array" aca="1" ref="H1495" ca="1">INDEX('Coste multimodal'!E$46:E$1646,MATCH(C1495&amp;D1495,'Coste multimodal'!C$46:C$1646&amp;'Coste multimodal'!D$46:D$1646,0))</f>
        <v>500859337.37687963</v>
      </c>
      <c r="I1495" s="12" cm="1">
        <f t="array" aca="1" ref="I1495" ca="1">INDEX('Tiempos intermodal (horas)'!E$45:E$1645,MATCH(C1495&amp;D1495,'Tiempos intermodal (horas)'!C$45:C$1645&amp;'Tiempos intermodal (horas)'!D$45:D$1645,0))</f>
        <v>137.41700960726351</v>
      </c>
      <c r="J1495" s="2" cm="1">
        <f t="array" aca="1" ref="J1495" ca="1">INDEX('Tiempos carretera (horas)'!E$45:E$1645,MATCH(C1495&amp;D1495,'Tiempos carretera (horas)'!C$45:C$1645&amp;'Tiempos carretera (horas)'!D$45:D$1645,0))</f>
        <v>13.65</v>
      </c>
      <c r="K1495" s="12">
        <f t="shared" ca="1" si="138"/>
        <v>6.5752584173238491</v>
      </c>
      <c r="L1495" s="12">
        <f t="shared" ca="1" si="139"/>
        <v>82.053247966673425</v>
      </c>
      <c r="M1495" s="12">
        <f t="shared" ca="1" si="140"/>
        <v>8.3731751969230925E-2</v>
      </c>
      <c r="N1495" s="13">
        <f t="shared" ca="1" si="142"/>
        <v>-75.477989549349573</v>
      </c>
      <c r="O1495" s="13">
        <f t="shared" ca="1" si="143"/>
        <v>-123.7670096072635</v>
      </c>
      <c r="P1495" s="12">
        <f t="shared" ca="1" si="141"/>
        <v>2.3926909089681097</v>
      </c>
    </row>
    <row r="1496" spans="1:16" x14ac:dyDescent="0.25">
      <c r="A1496">
        <v>26</v>
      </c>
      <c r="B1496">
        <v>31</v>
      </c>
      <c r="C1496" s="2" t="s">
        <v>25</v>
      </c>
      <c r="D1496" s="2" t="s">
        <v>30</v>
      </c>
      <c r="E1496" s="11" cm="1">
        <f t="array" aca="1" ref="E1496" ca="1">INDEX('OD flujo mercancia multimodal'!E$45:E$1645,MATCH(C1496&amp;D1496,'OD flujo mercancia multimodal'!C$45:C$1645&amp;'OD flujo mercancia multimodal'!D$45:D$1645,0))</f>
        <v>3813.7692307692323</v>
      </c>
      <c r="F1496" s="11" cm="1">
        <f t="array" aca="1" ref="F1496" ca="1">INDEX('OD flujo mercancia carretera'!E$45:E$1646,MATCH(C1496&amp;D1496,'OD flujo mercancia carretera'!C$45:C$1646&amp;'OD flujo mercancia carretera'!D$45:D$1646,0))</f>
        <v>71559.692307692312</v>
      </c>
      <c r="G1496" s="11" cm="1">
        <f t="array" aca="1" ref="G1496" ca="1">INDEX('Coste Carretera'!E$46:E$1646,MATCH(C1496&amp;D1496,'Coste Carretera'!C$46:C$1646&amp;'Coste Carretera'!D$46:D$1646,0))</f>
        <v>642146942.51999998</v>
      </c>
      <c r="H1496" s="11" cm="1">
        <f t="array" aca="1" ref="H1496" ca="1">INDEX('Coste multimodal'!E$46:E$1646,MATCH(C1496&amp;D1496,'Coste multimodal'!C$46:C$1646&amp;'Coste multimodal'!D$46:D$1646,0))</f>
        <v>500859337.37687963</v>
      </c>
      <c r="I1496" s="12" cm="1">
        <f t="array" aca="1" ref="I1496" ca="1">INDEX('Tiempos intermodal (horas)'!E$45:E$1645,MATCH(C1496&amp;D1496,'Tiempos intermodal (horas)'!C$45:C$1645&amp;'Tiempos intermodal (horas)'!D$45:D$1645,0))</f>
        <v>137.41700960726351</v>
      </c>
      <c r="J1496" s="2" cm="1">
        <f t="array" aca="1" ref="J1496" ca="1">INDEX('Tiempos carretera (horas)'!E$45:E$1645,MATCH(C1496&amp;D1496,'Tiempos carretera (horas)'!C$45:C$1645&amp;'Tiempos carretera (horas)'!D$45:D$1645,0))</f>
        <v>13.65</v>
      </c>
      <c r="K1496" s="12">
        <f t="shared" ca="1" si="138"/>
        <v>8.9735844553229356</v>
      </c>
      <c r="L1496" s="12">
        <f t="shared" ca="1" si="139"/>
        <v>131.32921974826908</v>
      </c>
      <c r="M1496" s="12">
        <f t="shared" ca="1" si="140"/>
        <v>5.0598302810109672E-2</v>
      </c>
      <c r="N1496" s="13">
        <f t="shared" ca="1" si="142"/>
        <v>-122.35563529294615</v>
      </c>
      <c r="O1496" s="13">
        <f t="shared" ca="1" si="143"/>
        <v>-123.7670096072635</v>
      </c>
      <c r="P1496" s="12">
        <f t="shared" ca="1" si="141"/>
        <v>2.9319139593316152</v>
      </c>
    </row>
    <row r="1497" spans="1:16" x14ac:dyDescent="0.25">
      <c r="A1497">
        <v>26</v>
      </c>
      <c r="B1497">
        <v>4</v>
      </c>
      <c r="C1497" s="2" t="s">
        <v>25</v>
      </c>
      <c r="D1497" s="2" t="s">
        <v>3</v>
      </c>
      <c r="E1497" s="11" cm="1">
        <f t="array" aca="1" ref="E1497" ca="1">INDEX('OD flujo mercancia multimodal'!E$45:E$1645,MATCH(C1497&amp;D1497,'OD flujo mercancia multimodal'!C$45:C$1645&amp;'OD flujo mercancia multimodal'!D$45:D$1645,0))</f>
        <v>32309.37912087909</v>
      </c>
      <c r="F1497" s="11" cm="1">
        <f t="array" aca="1" ref="F1497" ca="1">INDEX('OD flujo mercancia carretera'!E$45:E$1646,MATCH(C1497&amp;D1497,'OD flujo mercancia carretera'!C$45:C$1646&amp;'OD flujo mercancia carretera'!D$45:D$1646,0))</f>
        <v>78375.38461538461</v>
      </c>
      <c r="G1497" s="11" cm="1">
        <f t="array" aca="1" ref="G1497" ca="1">INDEX('Coste Carretera'!E$46:E$1646,MATCH(C1497&amp;D1497,'Coste Carretera'!C$46:C$1646&amp;'Coste Carretera'!D$46:D$1646,0))</f>
        <v>2409581799.8285689</v>
      </c>
      <c r="H1497" s="11" cm="1">
        <f t="array" aca="1" ref="H1497" ca="1">INDEX('Coste multimodal'!E$46:E$1646,MATCH(C1497&amp;D1497,'Coste multimodal'!C$46:C$1646&amp;'Coste multimodal'!D$46:D$1646,0))</f>
        <v>641318726.1083082</v>
      </c>
      <c r="I1497" s="12" cm="1">
        <f t="array" aca="1" ref="I1497" ca="1">INDEX('Tiempos intermodal (horas)'!E$45:E$1645,MATCH(C1497&amp;D1497,'Tiempos intermodal (horas)'!C$45:C$1645&amp;'Tiempos intermodal (horas)'!D$45:D$1645,0))</f>
        <v>136.16145405170798</v>
      </c>
      <c r="J1497" s="2" cm="1">
        <f t="array" aca="1" ref="J1497" ca="1">INDEX('Tiempos carretera (horas)'!E$45:E$1645,MATCH(C1497&amp;D1497,'Tiempos carretera (horas)'!C$45:C$1645&amp;'Tiempos carretera (horas)'!D$45:D$1645,0))</f>
        <v>14.61</v>
      </c>
      <c r="K1497" s="12">
        <f t="shared" ca="1" si="138"/>
        <v>30.744114515714706</v>
      </c>
      <c r="L1497" s="12">
        <f t="shared" ca="1" si="139"/>
        <v>19.849305172623165</v>
      </c>
      <c r="M1497" s="12">
        <f t="shared" ca="1" si="140"/>
        <v>0.29190448649160872</v>
      </c>
      <c r="N1497" s="13">
        <f t="shared" ca="1" si="142"/>
        <v>10.894809343091541</v>
      </c>
      <c r="O1497" s="13">
        <f t="shared" ca="1" si="143"/>
        <v>-121.55145405170798</v>
      </c>
      <c r="P1497" s="12">
        <f t="shared" ca="1" si="141"/>
        <v>0.88615234297708267</v>
      </c>
    </row>
  </sheetData>
  <autoFilter ref="A2:P1505" xr:uid="{A23552BF-E62D-4707-AB67-4DD9F8D7CCC8}">
    <sortState xmlns:xlrd2="http://schemas.microsoft.com/office/spreadsheetml/2017/richdata2" ref="A3:P1505">
      <sortCondition descending="1" ref="O2:O1505"/>
    </sortState>
  </autoFilter>
  <conditionalFormatting sqref="N3:N1505">
    <cfRule type="dataBar" priority="1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{341B2934-F8DF-4690-9B85-B338AE048FCF}</x14:id>
        </ext>
      </extLst>
    </cfRule>
  </conditionalFormatting>
  <conditionalFormatting sqref="O3:O1505">
    <cfRule type="dataBar" priority="1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{5161EFF0-7761-4775-A4E1-F78C3257C0D4}</x14:id>
        </ext>
      </extLst>
    </cfRule>
  </conditionalFormatting>
  <pageMargins left="0.7" right="0.7" top="0.75" bottom="0.75" header="0.3" footer="0.3"/>
  <pageSetup paperSize="9" orientation="portrait" horizontalDpi="1200" verticalDpi="120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341B2934-F8DF-4690-9B85-B338AE048FC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N3:N1505</xm:sqref>
        </x14:conditionalFormatting>
        <x14:conditionalFormatting xmlns:xm="http://schemas.microsoft.com/office/excel/2006/main">
          <x14:cfRule type="dataBar" id="{5161EFF0-7761-4775-A4E1-F78C3257C0D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O3:O1505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B3F608-025E-4CEA-9288-C3745660A3A9}">
  <sheetPr filterMode="1"/>
  <dimension ref="A2:AP1644"/>
  <sheetViews>
    <sheetView zoomScale="70" zoomScaleNormal="70" workbookViewId="0">
      <selection activeCell="D1561" sqref="D1561"/>
    </sheetView>
  </sheetViews>
  <sheetFormatPr baseColWidth="10" defaultRowHeight="15" x14ac:dyDescent="0.25"/>
  <sheetData>
    <row r="2" spans="2:42" x14ac:dyDescent="0.25">
      <c r="C2" t="s">
        <v>0</v>
      </c>
      <c r="D2" t="s">
        <v>1</v>
      </c>
      <c r="E2" t="s">
        <v>2</v>
      </c>
      <c r="F2" t="s">
        <v>3</v>
      </c>
      <c r="G2" t="s">
        <v>4</v>
      </c>
      <c r="H2" t="s">
        <v>5</v>
      </c>
      <c r="I2" t="s">
        <v>6</v>
      </c>
      <c r="J2" t="s">
        <v>7</v>
      </c>
      <c r="K2" t="s">
        <v>148</v>
      </c>
      <c r="L2" t="s">
        <v>9</v>
      </c>
      <c r="M2" t="s">
        <v>10</v>
      </c>
      <c r="N2" t="s">
        <v>11</v>
      </c>
      <c r="O2" t="s">
        <v>12</v>
      </c>
      <c r="P2" t="s">
        <v>13</v>
      </c>
      <c r="Q2" t="s">
        <v>14</v>
      </c>
      <c r="R2" t="s">
        <v>15</v>
      </c>
      <c r="S2" t="s">
        <v>16</v>
      </c>
      <c r="T2" t="s">
        <v>17</v>
      </c>
      <c r="U2" t="s">
        <v>145</v>
      </c>
      <c r="V2" t="s">
        <v>146</v>
      </c>
      <c r="W2" t="s">
        <v>18</v>
      </c>
      <c r="X2" t="s">
        <v>19</v>
      </c>
      <c r="Y2" t="s">
        <v>20</v>
      </c>
      <c r="Z2" t="s">
        <v>21</v>
      </c>
      <c r="AA2" t="s">
        <v>22</v>
      </c>
      <c r="AB2" t="s">
        <v>23</v>
      </c>
      <c r="AC2" t="s">
        <v>24</v>
      </c>
      <c r="AD2" t="s">
        <v>25</v>
      </c>
      <c r="AE2" t="s">
        <v>147</v>
      </c>
      <c r="AF2" t="s">
        <v>30</v>
      </c>
      <c r="AG2" t="s">
        <v>31</v>
      </c>
      <c r="AH2" t="s">
        <v>32</v>
      </c>
      <c r="AI2" t="s">
        <v>33</v>
      </c>
      <c r="AJ2" t="s">
        <v>34</v>
      </c>
      <c r="AK2" t="s">
        <v>35</v>
      </c>
      <c r="AL2" t="s">
        <v>36</v>
      </c>
      <c r="AM2" t="s">
        <v>37</v>
      </c>
      <c r="AN2" t="s">
        <v>38</v>
      </c>
      <c r="AO2" t="s">
        <v>39</v>
      </c>
      <c r="AP2" t="s">
        <v>40</v>
      </c>
    </row>
    <row r="3" spans="2:42" x14ac:dyDescent="0.25">
      <c r="B3" t="s">
        <v>0</v>
      </c>
      <c r="C3">
        <v>0</v>
      </c>
      <c r="D3">
        <v>86946.23076923081</v>
      </c>
      <c r="E3">
        <v>89980.461538461503</v>
      </c>
      <c r="F3">
        <v>79087.384615384595</v>
      </c>
      <c r="G3">
        <v>110887.4615384615</v>
      </c>
      <c r="H3">
        <v>176676.77289377298</v>
      </c>
      <c r="I3">
        <v>110223.07692307691</v>
      </c>
      <c r="J3">
        <v>167820.84615384601</v>
      </c>
      <c r="K3">
        <v>618153.62179487199</v>
      </c>
      <c r="L3">
        <v>142529.92307692312</v>
      </c>
      <c r="M3">
        <v>145294</v>
      </c>
      <c r="N3">
        <v>90020.076923076907</v>
      </c>
      <c r="O3">
        <v>71708.538461538497</v>
      </c>
      <c r="P3">
        <v>48337</v>
      </c>
      <c r="Q3">
        <v>340348.46153846203</v>
      </c>
      <c r="R3">
        <v>223445.538461538</v>
      </c>
      <c r="S3">
        <v>223445.538461538</v>
      </c>
      <c r="T3">
        <v>100616.3846153846</v>
      </c>
      <c r="U3">
        <v>139335.3846153846</v>
      </c>
      <c r="V3">
        <v>111150.6666666667</v>
      </c>
      <c r="W3">
        <v>155302.33333333299</v>
      </c>
      <c r="X3">
        <v>174429.33333333299</v>
      </c>
      <c r="Y3">
        <v>158165.66666666701</v>
      </c>
      <c r="Z3">
        <v>115637.6666666667</v>
      </c>
      <c r="AA3">
        <v>108585.3333333333</v>
      </c>
      <c r="AB3">
        <v>94659</v>
      </c>
      <c r="AC3">
        <v>464592.1</v>
      </c>
      <c r="AD3">
        <v>409370.4</v>
      </c>
      <c r="AE3">
        <v>277520.09999999998</v>
      </c>
      <c r="AF3">
        <v>72271.692307692298</v>
      </c>
      <c r="AG3">
        <v>97818.5</v>
      </c>
      <c r="AH3">
        <v>147528.72307692311</v>
      </c>
      <c r="AI3">
        <v>315090.38888888899</v>
      </c>
      <c r="AJ3">
        <v>63500.538461538497</v>
      </c>
      <c r="AK3">
        <v>139346.92307692312</v>
      </c>
      <c r="AL3">
        <v>134162.42673992668</v>
      </c>
      <c r="AM3">
        <v>55139.384615384617</v>
      </c>
      <c r="AN3">
        <v>139309.84249084251</v>
      </c>
      <c r="AO3">
        <v>120629.1428571429</v>
      </c>
      <c r="AP3">
        <v>68807.492673992703</v>
      </c>
    </row>
    <row r="4" spans="2:42" x14ac:dyDescent="0.25">
      <c r="B4" t="s">
        <v>1</v>
      </c>
      <c r="C4">
        <v>87125.8461538462</v>
      </c>
      <c r="D4">
        <v>0</v>
      </c>
      <c r="E4">
        <v>80548.461538461503</v>
      </c>
      <c r="F4">
        <v>69655.384615384595</v>
      </c>
      <c r="G4">
        <v>101455.4615384615</v>
      </c>
      <c r="H4">
        <v>167244.77289377298</v>
      </c>
      <c r="I4">
        <v>100791.07692307691</v>
      </c>
      <c r="J4">
        <v>158388.84615384601</v>
      </c>
      <c r="K4">
        <v>608721.62179487199</v>
      </c>
      <c r="L4">
        <v>133097.92307692312</v>
      </c>
      <c r="M4">
        <v>135862</v>
      </c>
      <c r="N4">
        <v>80588.076923076907</v>
      </c>
      <c r="O4">
        <v>62276.538461538497</v>
      </c>
      <c r="P4">
        <v>208740.76923076899</v>
      </c>
      <c r="Q4">
        <v>330916.46153846203</v>
      </c>
      <c r="R4">
        <v>569129.69230769202</v>
      </c>
      <c r="S4">
        <v>214013.538461538</v>
      </c>
      <c r="T4">
        <v>91184.384615384595</v>
      </c>
      <c r="U4">
        <v>129903.3846153846</v>
      </c>
      <c r="V4">
        <v>101718.6666666667</v>
      </c>
      <c r="W4">
        <v>145870.33333333299</v>
      </c>
      <c r="X4">
        <v>164997.33333333299</v>
      </c>
      <c r="Y4">
        <v>148733.66666666701</v>
      </c>
      <c r="Z4">
        <v>106205.6666666667</v>
      </c>
      <c r="AA4">
        <v>99153.333333333299</v>
      </c>
      <c r="AB4">
        <v>85227</v>
      </c>
      <c r="AC4">
        <v>455160.1</v>
      </c>
      <c r="AD4">
        <v>399938.4</v>
      </c>
      <c r="AE4">
        <v>268088.09999999998</v>
      </c>
      <c r="AF4">
        <v>62839.692307692298</v>
      </c>
      <c r="AG4">
        <v>88386.5</v>
      </c>
      <c r="AH4">
        <v>138096.72307692311</v>
      </c>
      <c r="AI4">
        <v>305658.38888888899</v>
      </c>
      <c r="AJ4">
        <v>54068.538461538497</v>
      </c>
      <c r="AK4">
        <v>129914.92307692311</v>
      </c>
      <c r="AL4">
        <v>124730.4267399267</v>
      </c>
      <c r="AM4">
        <v>45707.384615384617</v>
      </c>
      <c r="AN4">
        <v>129877.84249084249</v>
      </c>
      <c r="AO4">
        <v>111197.1428571429</v>
      </c>
      <c r="AP4">
        <v>59375.492673992703</v>
      </c>
    </row>
    <row r="5" spans="2:42" x14ac:dyDescent="0.25">
      <c r="B5" t="s">
        <v>2</v>
      </c>
      <c r="C5">
        <v>86076.615384615434</v>
      </c>
      <c r="D5">
        <v>76465.000000000029</v>
      </c>
      <c r="E5">
        <v>0</v>
      </c>
      <c r="F5">
        <v>68606.153846153829</v>
      </c>
      <c r="G5">
        <v>100406.23076923074</v>
      </c>
      <c r="H5">
        <v>166195.54212454223</v>
      </c>
      <c r="I5">
        <v>99741.846153846127</v>
      </c>
      <c r="J5">
        <v>157339.61538461523</v>
      </c>
      <c r="K5">
        <v>607672.39102564123</v>
      </c>
      <c r="L5">
        <v>132048.69230769234</v>
      </c>
      <c r="M5">
        <v>134812.76923076925</v>
      </c>
      <c r="N5">
        <v>79538.846153846127</v>
      </c>
      <c r="O5">
        <v>61227.307692307731</v>
      </c>
      <c r="P5">
        <v>207691.53846153821</v>
      </c>
      <c r="Q5">
        <v>329867.23076923128</v>
      </c>
      <c r="R5">
        <v>568080.46153846127</v>
      </c>
      <c r="S5">
        <v>212964.30769230722</v>
      </c>
      <c r="T5">
        <v>90135.153846153844</v>
      </c>
      <c r="U5">
        <v>128854.15384615383</v>
      </c>
      <c r="V5">
        <v>100669.43589743593</v>
      </c>
      <c r="W5">
        <v>144821.10256410221</v>
      </c>
      <c r="X5">
        <v>163948.10256410221</v>
      </c>
      <c r="Y5">
        <v>147684.43589743623</v>
      </c>
      <c r="Z5">
        <v>105156.43589743593</v>
      </c>
      <c r="AA5">
        <v>98104.102564102534</v>
      </c>
      <c r="AB5">
        <v>84177.769230769234</v>
      </c>
      <c r="AC5">
        <v>454110.86923076923</v>
      </c>
      <c r="AD5">
        <v>398889.16923076927</v>
      </c>
      <c r="AE5">
        <v>267038.86923076923</v>
      </c>
      <c r="AF5">
        <v>61790.461538461532</v>
      </c>
      <c r="AG5">
        <v>87337.269230769234</v>
      </c>
      <c r="AH5">
        <v>137047.49230769233</v>
      </c>
      <c r="AI5">
        <v>304609.15811965824</v>
      </c>
      <c r="AJ5">
        <v>53019.307692307731</v>
      </c>
      <c r="AK5">
        <v>128865.69230769234</v>
      </c>
      <c r="AL5">
        <v>123681.19597069593</v>
      </c>
      <c r="AM5">
        <v>44658.153846153851</v>
      </c>
      <c r="AN5">
        <v>128828.61172161173</v>
      </c>
      <c r="AO5">
        <v>110147.91208791213</v>
      </c>
      <c r="AP5">
        <v>58326.261904761937</v>
      </c>
    </row>
    <row r="6" spans="2:42" x14ac:dyDescent="0.25">
      <c r="B6" t="s">
        <v>3</v>
      </c>
      <c r="C6">
        <v>79704.000000000044</v>
      </c>
      <c r="D6">
        <v>70092.384615384653</v>
      </c>
      <c r="E6">
        <v>73126.615384615347</v>
      </c>
      <c r="F6">
        <v>0</v>
      </c>
      <c r="G6">
        <v>94033.615384615347</v>
      </c>
      <c r="H6">
        <v>159822.92673992686</v>
      </c>
      <c r="I6">
        <v>93369.230769230751</v>
      </c>
      <c r="J6">
        <v>150966.99999999985</v>
      </c>
      <c r="K6">
        <v>601299.77564102586</v>
      </c>
      <c r="L6">
        <v>125676.07692307695</v>
      </c>
      <c r="M6">
        <v>128440.15384615384</v>
      </c>
      <c r="N6">
        <v>73166.230769230751</v>
      </c>
      <c r="O6">
        <v>54854.692307692349</v>
      </c>
      <c r="P6">
        <v>201318.92307692283</v>
      </c>
      <c r="Q6">
        <v>323494.6153846159</v>
      </c>
      <c r="R6">
        <v>561707.84615384589</v>
      </c>
      <c r="S6">
        <v>206591.69230769185</v>
      </c>
      <c r="T6">
        <v>83762.538461538454</v>
      </c>
      <c r="U6">
        <v>122481.53846153844</v>
      </c>
      <c r="V6">
        <v>94296.820512820545</v>
      </c>
      <c r="W6">
        <v>138448.48717948684</v>
      </c>
      <c r="X6">
        <v>157575.48717948684</v>
      </c>
      <c r="Y6">
        <v>141311.82051282085</v>
      </c>
      <c r="Z6">
        <v>98783.820512820545</v>
      </c>
      <c r="AA6">
        <v>91731.487179487143</v>
      </c>
      <c r="AB6">
        <v>77805.153846153844</v>
      </c>
      <c r="AC6">
        <v>447738.25384615385</v>
      </c>
      <c r="AD6">
        <v>392516.5538461539</v>
      </c>
      <c r="AE6">
        <v>260666.25384615385</v>
      </c>
      <c r="AF6">
        <v>55417.846153846149</v>
      </c>
      <c r="AG6">
        <v>80964.653846153844</v>
      </c>
      <c r="AH6">
        <v>130674.87692307694</v>
      </c>
      <c r="AI6">
        <v>298236.54273504287</v>
      </c>
      <c r="AJ6">
        <v>46646.692307692349</v>
      </c>
      <c r="AK6">
        <v>122493.07692307695</v>
      </c>
      <c r="AL6">
        <v>117308.58058608054</v>
      </c>
      <c r="AM6">
        <v>38285.538461538468</v>
      </c>
      <c r="AN6">
        <v>122455.99633699634</v>
      </c>
      <c r="AO6">
        <v>103775.29670329674</v>
      </c>
      <c r="AP6">
        <v>51953.646520146547</v>
      </c>
    </row>
    <row r="7" spans="2:42" x14ac:dyDescent="0.25">
      <c r="B7" t="s">
        <v>4</v>
      </c>
      <c r="C7">
        <v>113793.92307692312</v>
      </c>
      <c r="D7">
        <v>104182.30769230772</v>
      </c>
      <c r="E7">
        <v>107216.53846153842</v>
      </c>
      <c r="F7">
        <v>96323.461538461517</v>
      </c>
      <c r="G7">
        <v>0</v>
      </c>
      <c r="H7">
        <v>193912.84981684992</v>
      </c>
      <c r="I7">
        <v>127459.15384615381</v>
      </c>
      <c r="J7">
        <v>185056.92307692292</v>
      </c>
      <c r="K7">
        <v>635389.69871794886</v>
      </c>
      <c r="L7">
        <v>159766.00000000003</v>
      </c>
      <c r="M7">
        <v>162530.07692307694</v>
      </c>
      <c r="N7">
        <v>107256.15384615381</v>
      </c>
      <c r="O7">
        <v>88944.615384615419</v>
      </c>
      <c r="P7">
        <v>235408.84615384589</v>
      </c>
      <c r="Q7">
        <v>357584.53846153896</v>
      </c>
      <c r="R7">
        <v>595797.7692307689</v>
      </c>
      <c r="S7">
        <v>240681.61538461491</v>
      </c>
      <c r="T7">
        <v>117852.46153846153</v>
      </c>
      <c r="U7">
        <v>156571.4615384615</v>
      </c>
      <c r="V7">
        <v>128386.74358974362</v>
      </c>
      <c r="W7">
        <v>172538.4102564099</v>
      </c>
      <c r="X7">
        <v>191665.4102564099</v>
      </c>
      <c r="Y7">
        <v>175401.74358974391</v>
      </c>
      <c r="Z7">
        <v>132873.74358974362</v>
      </c>
      <c r="AA7">
        <v>125821.41025641022</v>
      </c>
      <c r="AB7">
        <v>111895.07692307692</v>
      </c>
      <c r="AC7">
        <v>481828.17692307691</v>
      </c>
      <c r="AD7">
        <v>426606.47692307696</v>
      </c>
      <c r="AE7">
        <v>294756.17692307691</v>
      </c>
      <c r="AF7">
        <v>89507.76923076922</v>
      </c>
      <c r="AG7">
        <v>115054.57692307692</v>
      </c>
      <c r="AH7">
        <v>164764.80000000002</v>
      </c>
      <c r="AI7">
        <v>332326.46581196593</v>
      </c>
      <c r="AJ7">
        <v>80736.615384615419</v>
      </c>
      <c r="AK7">
        <v>156583.00000000003</v>
      </c>
      <c r="AL7">
        <v>151398.50366300362</v>
      </c>
      <c r="AM7">
        <v>72375.461538461546</v>
      </c>
      <c r="AN7">
        <v>156545.91941391942</v>
      </c>
      <c r="AO7">
        <v>137865.21978021984</v>
      </c>
      <c r="AP7">
        <v>86043.569597069625</v>
      </c>
    </row>
    <row r="8" spans="2:42" x14ac:dyDescent="0.25">
      <c r="B8" t="s">
        <v>5</v>
      </c>
      <c r="C8">
        <v>176348.54578754582</v>
      </c>
      <c r="D8">
        <v>166736.93040293042</v>
      </c>
      <c r="E8">
        <v>169771.16117216111</v>
      </c>
      <c r="F8">
        <v>158878.08424908423</v>
      </c>
      <c r="G8">
        <v>190678.16117216111</v>
      </c>
      <c r="H8">
        <v>0</v>
      </c>
      <c r="I8">
        <v>190013.77655677652</v>
      </c>
      <c r="J8">
        <v>247611.54578754562</v>
      </c>
      <c r="K8">
        <v>697944.32142857159</v>
      </c>
      <c r="L8">
        <v>222320.62271062273</v>
      </c>
      <c r="M8">
        <v>225084.69963369961</v>
      </c>
      <c r="N8">
        <v>169810.77655677652</v>
      </c>
      <c r="O8">
        <v>151499.23809523814</v>
      </c>
      <c r="P8">
        <v>297963.46886446862</v>
      </c>
      <c r="Q8">
        <v>420139.16117216164</v>
      </c>
      <c r="R8">
        <v>658352.39194139163</v>
      </c>
      <c r="S8">
        <v>303236.23809523764</v>
      </c>
      <c r="T8">
        <v>180407.08424908423</v>
      </c>
      <c r="U8">
        <v>219126.08424908423</v>
      </c>
      <c r="V8">
        <v>190941.36630036632</v>
      </c>
      <c r="W8">
        <v>235093.03296703263</v>
      </c>
      <c r="X8">
        <v>254220.03296703263</v>
      </c>
      <c r="Y8">
        <v>237956.36630036664</v>
      </c>
      <c r="Z8">
        <v>195428.36630036632</v>
      </c>
      <c r="AA8">
        <v>188376.03296703292</v>
      </c>
      <c r="AB8">
        <v>174449.69963369961</v>
      </c>
      <c r="AC8">
        <v>544382.79963369959</v>
      </c>
      <c r="AD8">
        <v>489161.09963369963</v>
      </c>
      <c r="AE8">
        <v>357310.79963369964</v>
      </c>
      <c r="AF8">
        <v>152062.39194139192</v>
      </c>
      <c r="AG8">
        <v>177609.19963369961</v>
      </c>
      <c r="AH8">
        <v>227319.42271062272</v>
      </c>
      <c r="AI8">
        <v>394881.0885225886</v>
      </c>
      <c r="AJ8">
        <v>143291.23809523814</v>
      </c>
      <c r="AK8">
        <v>219137.62271062273</v>
      </c>
      <c r="AL8">
        <v>213953.12637362632</v>
      </c>
      <c r="AM8">
        <v>134930.08424908423</v>
      </c>
      <c r="AN8">
        <v>219100.54212454212</v>
      </c>
      <c r="AO8">
        <v>200419.84249084251</v>
      </c>
      <c r="AP8">
        <v>148598.19230769231</v>
      </c>
    </row>
    <row r="9" spans="2:42" x14ac:dyDescent="0.25">
      <c r="B9" t="s">
        <v>6</v>
      </c>
      <c r="C9">
        <v>104655.53846153851</v>
      </c>
      <c r="D9">
        <v>95043.923076923122</v>
      </c>
      <c r="E9">
        <v>98078.153846153815</v>
      </c>
      <c r="F9">
        <v>87185.076923076907</v>
      </c>
      <c r="G9">
        <v>118985.15384615381</v>
      </c>
      <c r="H9">
        <v>184774.4652014653</v>
      </c>
      <c r="I9">
        <v>0</v>
      </c>
      <c r="J9">
        <v>175918.53846153832</v>
      </c>
      <c r="K9">
        <v>626251.31410256424</v>
      </c>
      <c r="L9">
        <v>150627.61538461543</v>
      </c>
      <c r="M9">
        <v>153391.69230769231</v>
      </c>
      <c r="N9">
        <v>98117.76923076922</v>
      </c>
      <c r="O9">
        <v>79806.23076923081</v>
      </c>
      <c r="P9">
        <v>226270.4615384613</v>
      </c>
      <c r="Q9">
        <v>348446.15384615434</v>
      </c>
      <c r="R9">
        <v>586659.38461538428</v>
      </c>
      <c r="S9">
        <v>231543.23076923031</v>
      </c>
      <c r="T9">
        <v>108714.07692307691</v>
      </c>
      <c r="U9">
        <v>147433.07692307691</v>
      </c>
      <c r="V9">
        <v>119248.35897435901</v>
      </c>
      <c r="W9">
        <v>163400.02564102531</v>
      </c>
      <c r="X9">
        <v>182527.02564102531</v>
      </c>
      <c r="Y9">
        <v>166263.35897435932</v>
      </c>
      <c r="Z9">
        <v>123735.35897435901</v>
      </c>
      <c r="AA9">
        <v>116683.02564102561</v>
      </c>
      <c r="AB9">
        <v>102756.69230769231</v>
      </c>
      <c r="AC9">
        <v>472689.79230769229</v>
      </c>
      <c r="AD9">
        <v>417468.09230769234</v>
      </c>
      <c r="AE9">
        <v>285617.79230769235</v>
      </c>
      <c r="AF9">
        <v>80369.38461538461</v>
      </c>
      <c r="AG9">
        <v>105916.19230769231</v>
      </c>
      <c r="AH9">
        <v>155626.41538461542</v>
      </c>
      <c r="AI9">
        <v>323188.0811965813</v>
      </c>
      <c r="AJ9">
        <v>71598.23076923081</v>
      </c>
      <c r="AK9">
        <v>147444.61538461543</v>
      </c>
      <c r="AL9">
        <v>142260.11904761899</v>
      </c>
      <c r="AM9">
        <v>63237.076923076929</v>
      </c>
      <c r="AN9">
        <v>147407.53479853482</v>
      </c>
      <c r="AO9">
        <v>128726.83516483521</v>
      </c>
      <c r="AP9">
        <v>76905.184981685015</v>
      </c>
    </row>
    <row r="10" spans="2:42" x14ac:dyDescent="0.25">
      <c r="B10" t="s">
        <v>7</v>
      </c>
      <c r="C10">
        <v>165651.76923076928</v>
      </c>
      <c r="D10">
        <v>156040.15384615387</v>
      </c>
      <c r="E10">
        <v>159074.38461538457</v>
      </c>
      <c r="F10">
        <v>148181.30769230769</v>
      </c>
      <c r="G10">
        <v>179981.38461538457</v>
      </c>
      <c r="H10">
        <v>245770.69597069608</v>
      </c>
      <c r="I10">
        <v>179316.99999999997</v>
      </c>
      <c r="J10">
        <v>0</v>
      </c>
      <c r="K10">
        <v>687247.54487179511</v>
      </c>
      <c r="L10">
        <v>211623.84615384619</v>
      </c>
      <c r="M10">
        <v>214387.92307692306</v>
      </c>
      <c r="N10">
        <v>159113.99999999997</v>
      </c>
      <c r="O10">
        <v>140802.46153846159</v>
      </c>
      <c r="P10">
        <v>287266.69230769208</v>
      </c>
      <c r="Q10">
        <v>409442.38461538509</v>
      </c>
      <c r="R10">
        <v>647655.61538461514</v>
      </c>
      <c r="S10">
        <v>292539.4615384611</v>
      </c>
      <c r="T10">
        <v>169710.30769230769</v>
      </c>
      <c r="U10">
        <v>208429.30769230769</v>
      </c>
      <c r="V10">
        <v>180244.58974358978</v>
      </c>
      <c r="W10">
        <v>224396.25641025609</v>
      </c>
      <c r="X10">
        <v>243523.25641025609</v>
      </c>
      <c r="Y10">
        <v>227259.5897435901</v>
      </c>
      <c r="Z10">
        <v>184731.58974358978</v>
      </c>
      <c r="AA10">
        <v>177679.25641025638</v>
      </c>
      <c r="AB10">
        <v>163752.92307692306</v>
      </c>
      <c r="AC10">
        <v>533686.0230769231</v>
      </c>
      <c r="AD10">
        <v>478464.32307692309</v>
      </c>
      <c r="AE10">
        <v>346614.0230769231</v>
      </c>
      <c r="AF10">
        <v>141365.61538461538</v>
      </c>
      <c r="AG10">
        <v>166912.42307692306</v>
      </c>
      <c r="AH10">
        <v>216622.64615384617</v>
      </c>
      <c r="AI10">
        <v>384184.31196581206</v>
      </c>
      <c r="AJ10">
        <v>132594.46153846159</v>
      </c>
      <c r="AK10">
        <v>208440.84615384619</v>
      </c>
      <c r="AL10">
        <v>203256.34981684978</v>
      </c>
      <c r="AM10">
        <v>124233.3076923077</v>
      </c>
      <c r="AN10">
        <v>208403.76556776557</v>
      </c>
      <c r="AO10">
        <v>189723.06593406596</v>
      </c>
      <c r="AP10">
        <v>137901.41575091577</v>
      </c>
    </row>
    <row r="11" spans="2:42" x14ac:dyDescent="0.25">
      <c r="B11" t="s">
        <v>148</v>
      </c>
      <c r="C11">
        <v>623704.14316239336</v>
      </c>
      <c r="D11">
        <v>614092.52777777787</v>
      </c>
      <c r="E11">
        <v>617126.75854700862</v>
      </c>
      <c r="F11">
        <v>606233.68162393174</v>
      </c>
      <c r="G11">
        <v>638033.75854700862</v>
      </c>
      <c r="H11">
        <v>703823.06990232016</v>
      </c>
      <c r="I11">
        <v>637369.373931624</v>
      </c>
      <c r="J11">
        <v>694967.14316239313</v>
      </c>
      <c r="K11">
        <v>0</v>
      </c>
      <c r="L11">
        <v>669676.22008547024</v>
      </c>
      <c r="M11">
        <v>672440.29700854712</v>
      </c>
      <c r="N11">
        <v>617166.373931624</v>
      </c>
      <c r="O11">
        <v>598854.83547008561</v>
      </c>
      <c r="P11">
        <v>745319.06623931613</v>
      </c>
      <c r="Q11">
        <v>867494.7585470092</v>
      </c>
      <c r="R11">
        <v>1105707.989316239</v>
      </c>
      <c r="S11">
        <v>750591.83547008515</v>
      </c>
      <c r="T11">
        <v>627762.68162393174</v>
      </c>
      <c r="U11">
        <v>666481.68162393174</v>
      </c>
      <c r="V11">
        <v>638296.96367521386</v>
      </c>
      <c r="W11">
        <v>682448.63034188014</v>
      </c>
      <c r="X11">
        <v>701575.63034188014</v>
      </c>
      <c r="Y11">
        <v>685311.96367521409</v>
      </c>
      <c r="Z11">
        <v>642783.96367521386</v>
      </c>
      <c r="AA11">
        <v>635731.63034188037</v>
      </c>
      <c r="AB11">
        <v>621805.29700854712</v>
      </c>
      <c r="AC11">
        <v>991738.39700854709</v>
      </c>
      <c r="AD11">
        <v>936516.69700854714</v>
      </c>
      <c r="AE11">
        <v>804666.39700854709</v>
      </c>
      <c r="AF11">
        <v>599417.98931623937</v>
      </c>
      <c r="AG11">
        <v>624964.79700854712</v>
      </c>
      <c r="AH11">
        <v>674675.02008547017</v>
      </c>
      <c r="AI11">
        <v>842236.68589743611</v>
      </c>
      <c r="AJ11">
        <v>590646.83547008561</v>
      </c>
      <c r="AK11">
        <v>666493.22008547024</v>
      </c>
      <c r="AL11">
        <v>661308.7237484738</v>
      </c>
      <c r="AM11">
        <v>582285.68162393174</v>
      </c>
      <c r="AN11">
        <v>666456.13949938957</v>
      </c>
      <c r="AO11">
        <v>647775.43986568996</v>
      </c>
      <c r="AP11">
        <v>595953.78968253976</v>
      </c>
    </row>
    <row r="12" spans="2:42" x14ac:dyDescent="0.25">
      <c r="B12" t="s">
        <v>9</v>
      </c>
      <c r="C12">
        <v>139196.76923076928</v>
      </c>
      <c r="D12">
        <v>129585.15384615387</v>
      </c>
      <c r="E12">
        <v>132619.38461538457</v>
      </c>
      <c r="F12">
        <v>121726.30769230767</v>
      </c>
      <c r="G12">
        <v>153526.38461538457</v>
      </c>
      <c r="H12">
        <v>219315.69597069608</v>
      </c>
      <c r="I12">
        <v>152861.99999999997</v>
      </c>
      <c r="J12">
        <v>210459.76923076907</v>
      </c>
      <c r="K12">
        <v>660792.54487179511</v>
      </c>
      <c r="L12">
        <v>0</v>
      </c>
      <c r="M12">
        <v>187932.92307692306</v>
      </c>
      <c r="N12">
        <v>132658.99999999997</v>
      </c>
      <c r="O12">
        <v>114347.46153846158</v>
      </c>
      <c r="P12">
        <v>260811.69230769208</v>
      </c>
      <c r="Q12">
        <v>382987.38461538509</v>
      </c>
      <c r="R12">
        <v>621200.61538461514</v>
      </c>
      <c r="S12">
        <v>266084.4615384611</v>
      </c>
      <c r="T12">
        <v>143255.30769230769</v>
      </c>
      <c r="U12">
        <v>181974.30769230769</v>
      </c>
      <c r="V12">
        <v>153789.58974358978</v>
      </c>
      <c r="W12">
        <v>197941.25641025609</v>
      </c>
      <c r="X12">
        <v>217068.25641025609</v>
      </c>
      <c r="Y12">
        <v>200804.5897435901</v>
      </c>
      <c r="Z12">
        <v>158276.58974358978</v>
      </c>
      <c r="AA12">
        <v>151224.25641025638</v>
      </c>
      <c r="AB12">
        <v>137297.92307692306</v>
      </c>
      <c r="AC12">
        <v>507231.02307692304</v>
      </c>
      <c r="AD12">
        <v>452009.32307692309</v>
      </c>
      <c r="AE12">
        <v>320159.0230769231</v>
      </c>
      <c r="AF12">
        <v>114910.61538461538</v>
      </c>
      <c r="AG12">
        <v>140457.42307692306</v>
      </c>
      <c r="AH12">
        <v>190167.64615384617</v>
      </c>
      <c r="AI12">
        <v>357729.31196581206</v>
      </c>
      <c r="AJ12">
        <v>106139.46153846158</v>
      </c>
      <c r="AK12">
        <v>181985.84615384619</v>
      </c>
      <c r="AL12">
        <v>176801.34981684978</v>
      </c>
      <c r="AM12">
        <v>97778.307692307702</v>
      </c>
      <c r="AN12">
        <v>181948.76556776557</v>
      </c>
      <c r="AO12">
        <v>163268.06593406596</v>
      </c>
      <c r="AP12">
        <v>111446.41575091578</v>
      </c>
    </row>
    <row r="13" spans="2:42" x14ac:dyDescent="0.25">
      <c r="B13" t="s">
        <v>10</v>
      </c>
      <c r="C13">
        <v>146255.07692307699</v>
      </c>
      <c r="D13">
        <v>136643.46153846159</v>
      </c>
      <c r="E13">
        <v>139677.69230769228</v>
      </c>
      <c r="F13">
        <v>128784.61538461538</v>
      </c>
      <c r="G13">
        <v>160584.69230769228</v>
      </c>
      <c r="H13">
        <v>226374.00366300379</v>
      </c>
      <c r="I13">
        <v>159920.30769230769</v>
      </c>
      <c r="J13">
        <v>217518.07692307676</v>
      </c>
      <c r="K13">
        <v>667850.85256410274</v>
      </c>
      <c r="L13">
        <v>192227.15384615387</v>
      </c>
      <c r="M13">
        <v>0</v>
      </c>
      <c r="N13">
        <v>139717.30769230769</v>
      </c>
      <c r="O13">
        <v>121405.76923076928</v>
      </c>
      <c r="P13">
        <v>267869.99999999977</v>
      </c>
      <c r="Q13">
        <v>390045.69230769284</v>
      </c>
      <c r="R13">
        <v>628258.92307692277</v>
      </c>
      <c r="S13">
        <v>273142.76923076878</v>
      </c>
      <c r="T13">
        <v>150313.61538461538</v>
      </c>
      <c r="U13">
        <v>189032.61538461538</v>
      </c>
      <c r="V13">
        <v>160847.8974358975</v>
      </c>
      <c r="W13">
        <v>204999.56410256377</v>
      </c>
      <c r="X13">
        <v>224126.56410256377</v>
      </c>
      <c r="Y13">
        <v>207862.89743589779</v>
      </c>
      <c r="Z13">
        <v>165334.8974358975</v>
      </c>
      <c r="AA13">
        <v>158282.56410256407</v>
      </c>
      <c r="AB13">
        <v>144356.23076923078</v>
      </c>
      <c r="AC13">
        <v>514289.33076923073</v>
      </c>
      <c r="AD13">
        <v>459067.63076923077</v>
      </c>
      <c r="AE13">
        <v>327217.33076923079</v>
      </c>
      <c r="AF13">
        <v>121968.92307692308</v>
      </c>
      <c r="AG13">
        <v>147515.73076923078</v>
      </c>
      <c r="AH13">
        <v>197225.95384615386</v>
      </c>
      <c r="AI13">
        <v>364787.61965811974</v>
      </c>
      <c r="AJ13">
        <v>113197.76923076928</v>
      </c>
      <c r="AK13">
        <v>189044.15384615387</v>
      </c>
      <c r="AL13">
        <v>183859.65750915749</v>
      </c>
      <c r="AM13">
        <v>104836.6153846154</v>
      </c>
      <c r="AN13">
        <v>189007.07326007326</v>
      </c>
      <c r="AO13">
        <v>170326.37362637368</v>
      </c>
      <c r="AP13">
        <v>118504.72344322348</v>
      </c>
    </row>
    <row r="14" spans="2:42" x14ac:dyDescent="0.25">
      <c r="B14" t="s">
        <v>11</v>
      </c>
      <c r="C14">
        <v>90010.076923076966</v>
      </c>
      <c r="D14">
        <v>80398.461538461561</v>
      </c>
      <c r="E14">
        <v>83432.692307692269</v>
      </c>
      <c r="F14">
        <v>72539.615384615361</v>
      </c>
      <c r="G14">
        <v>104339.69230769227</v>
      </c>
      <c r="H14">
        <v>170129.00366300376</v>
      </c>
      <c r="I14">
        <v>103675.30769230766</v>
      </c>
      <c r="J14">
        <v>161273.07692307676</v>
      </c>
      <c r="K14">
        <v>611605.85256410274</v>
      </c>
      <c r="L14">
        <v>135982.15384615387</v>
      </c>
      <c r="M14">
        <v>138746.23076923075</v>
      </c>
      <c r="N14">
        <v>0</v>
      </c>
      <c r="O14">
        <v>65160.769230769263</v>
      </c>
      <c r="P14">
        <v>211624.99999999977</v>
      </c>
      <c r="Q14">
        <v>333800.69230769278</v>
      </c>
      <c r="R14">
        <v>572013.92307692277</v>
      </c>
      <c r="S14">
        <v>216897.76923076878</v>
      </c>
      <c r="T14">
        <v>94068.615384615376</v>
      </c>
      <c r="U14">
        <v>132787.61538461538</v>
      </c>
      <c r="V14">
        <v>104602.89743589747</v>
      </c>
      <c r="W14">
        <v>148754.56410256377</v>
      </c>
      <c r="X14">
        <v>167881.56410256377</v>
      </c>
      <c r="Y14">
        <v>151617.89743589779</v>
      </c>
      <c r="Z14">
        <v>109089.89743589747</v>
      </c>
      <c r="AA14">
        <v>102037.56410256407</v>
      </c>
      <c r="AB14">
        <v>88111.230769230766</v>
      </c>
      <c r="AC14">
        <v>458044.33076923073</v>
      </c>
      <c r="AD14">
        <v>402822.63076923077</v>
      </c>
      <c r="AE14">
        <v>270972.33076923079</v>
      </c>
      <c r="AF14">
        <v>65723.923076923063</v>
      </c>
      <c r="AG14">
        <v>91270.730769230766</v>
      </c>
      <c r="AH14">
        <v>140980.95384615386</v>
      </c>
      <c r="AI14">
        <v>308542.61965811974</v>
      </c>
      <c r="AJ14">
        <v>56952.769230769263</v>
      </c>
      <c r="AK14">
        <v>132799.15384615387</v>
      </c>
      <c r="AL14">
        <v>127614.65750915746</v>
      </c>
      <c r="AM14">
        <v>48591.615384615383</v>
      </c>
      <c r="AN14">
        <v>132762.07326007326</v>
      </c>
      <c r="AO14">
        <v>114081.37362637366</v>
      </c>
      <c r="AP14">
        <v>62259.723443223469</v>
      </c>
    </row>
    <row r="15" spans="2:42" x14ac:dyDescent="0.25">
      <c r="B15" t="s">
        <v>12</v>
      </c>
      <c r="C15">
        <v>71621.153846153888</v>
      </c>
      <c r="D15">
        <v>62009.538461538497</v>
      </c>
      <c r="E15">
        <v>65043.76923076919</v>
      </c>
      <c r="F15">
        <v>54150.69230769229</v>
      </c>
      <c r="G15">
        <v>85950.76923076919</v>
      </c>
      <c r="H15">
        <v>151740.0805860807</v>
      </c>
      <c r="I15">
        <v>85286.384615384595</v>
      </c>
      <c r="J15">
        <v>142884.1538461537</v>
      </c>
      <c r="K15">
        <v>593216.92948717973</v>
      </c>
      <c r="L15">
        <v>117593.23076923079</v>
      </c>
      <c r="M15">
        <v>120357.30769230769</v>
      </c>
      <c r="N15">
        <v>65083.384615384595</v>
      </c>
      <c r="O15">
        <v>0</v>
      </c>
      <c r="P15">
        <v>193236.07692307667</v>
      </c>
      <c r="Q15">
        <v>315411.76923076971</v>
      </c>
      <c r="R15">
        <v>553624.99999999977</v>
      </c>
      <c r="S15">
        <v>198508.84615384569</v>
      </c>
      <c r="T15">
        <v>75679.692307692298</v>
      </c>
      <c r="U15">
        <v>114398.69230769228</v>
      </c>
      <c r="V15">
        <v>86213.974358974388</v>
      </c>
      <c r="W15">
        <v>130365.64102564068</v>
      </c>
      <c r="X15">
        <v>149492.64102564068</v>
      </c>
      <c r="Y15">
        <v>133228.97435897469</v>
      </c>
      <c r="Z15">
        <v>90700.974358974388</v>
      </c>
      <c r="AA15">
        <v>83648.641025640987</v>
      </c>
      <c r="AB15">
        <v>69722.307692307688</v>
      </c>
      <c r="AC15">
        <v>439655.40769230766</v>
      </c>
      <c r="AD15">
        <v>384433.70769230771</v>
      </c>
      <c r="AE15">
        <v>252583.40769230769</v>
      </c>
      <c r="AF15">
        <v>47334.999999999993</v>
      </c>
      <c r="AG15">
        <v>72881.807692307688</v>
      </c>
      <c r="AH15">
        <v>122592.03076923078</v>
      </c>
      <c r="AI15">
        <v>290153.69658119668</v>
      </c>
      <c r="AJ15">
        <v>38563.846153846192</v>
      </c>
      <c r="AK15">
        <v>114410.23076923079</v>
      </c>
      <c r="AL15">
        <v>109225.73443223439</v>
      </c>
      <c r="AM15">
        <v>30202.692307692312</v>
      </c>
      <c r="AN15">
        <v>114373.15018315018</v>
      </c>
      <c r="AO15">
        <v>95692.450549450587</v>
      </c>
      <c r="AP15">
        <v>43870.800366300391</v>
      </c>
    </row>
    <row r="16" spans="2:42" x14ac:dyDescent="0.25">
      <c r="B16" t="s">
        <v>13</v>
      </c>
      <c r="C16">
        <v>152668.46153846156</v>
      </c>
      <c r="D16">
        <v>143056.84615384619</v>
      </c>
      <c r="E16">
        <v>146091.07692307688</v>
      </c>
      <c r="F16">
        <v>135197.99999999997</v>
      </c>
      <c r="G16">
        <v>166998.07692307688</v>
      </c>
      <c r="H16">
        <v>232787.38827838836</v>
      </c>
      <c r="I16">
        <v>166333.69230769228</v>
      </c>
      <c r="J16">
        <v>223931.46153846139</v>
      </c>
      <c r="K16">
        <v>674264.23717948736</v>
      </c>
      <c r="L16">
        <v>198640.5384615385</v>
      </c>
      <c r="M16">
        <v>201404.61538461538</v>
      </c>
      <c r="N16">
        <v>146130.69230769228</v>
      </c>
      <c r="O16">
        <v>127819.15384615387</v>
      </c>
      <c r="P16">
        <v>0</v>
      </c>
      <c r="Q16">
        <v>396459.0769230774</v>
      </c>
      <c r="R16">
        <v>634672.3076923074</v>
      </c>
      <c r="S16">
        <v>279556.15384615341</v>
      </c>
      <c r="T16">
        <v>156726.99999999997</v>
      </c>
      <c r="U16">
        <v>195445.99999999997</v>
      </c>
      <c r="V16">
        <v>167261.28205128206</v>
      </c>
      <c r="W16">
        <v>211412.94871794837</v>
      </c>
      <c r="X16">
        <v>230539.94871794837</v>
      </c>
      <c r="Y16">
        <v>214276.28205128238</v>
      </c>
      <c r="Z16">
        <v>171748.28205128206</v>
      </c>
      <c r="AA16">
        <v>164695.94871794869</v>
      </c>
      <c r="AB16">
        <v>150769.61538461538</v>
      </c>
      <c r="AC16">
        <v>520702.71538461535</v>
      </c>
      <c r="AD16">
        <v>465481.0153846154</v>
      </c>
      <c r="AE16">
        <v>333630.71538461535</v>
      </c>
      <c r="AF16">
        <v>128382.30769230767</v>
      </c>
      <c r="AG16">
        <v>153929.11538461538</v>
      </c>
      <c r="AH16">
        <v>203639.33846153849</v>
      </c>
      <c r="AI16">
        <v>371201.00427350437</v>
      </c>
      <c r="AJ16">
        <v>119611.15384615387</v>
      </c>
      <c r="AK16">
        <v>195457.5384615385</v>
      </c>
      <c r="AL16">
        <v>190273.04212454206</v>
      </c>
      <c r="AM16">
        <v>111250</v>
      </c>
      <c r="AN16">
        <v>195420.45787545788</v>
      </c>
      <c r="AO16">
        <v>176739.75824175827</v>
      </c>
      <c r="AP16">
        <v>124918.10805860808</v>
      </c>
    </row>
    <row r="17" spans="2:42" x14ac:dyDescent="0.25">
      <c r="B17" t="s">
        <v>14</v>
      </c>
      <c r="C17">
        <v>343957.76923076931</v>
      </c>
      <c r="D17">
        <v>334346.15384615393</v>
      </c>
      <c r="E17">
        <v>337380.38461538462</v>
      </c>
      <c r="F17">
        <v>326487.30769230775</v>
      </c>
      <c r="G17">
        <v>358287.38461538462</v>
      </c>
      <c r="H17">
        <v>424076.69597069611</v>
      </c>
      <c r="I17">
        <v>357623</v>
      </c>
      <c r="J17">
        <v>415220.76923076913</v>
      </c>
      <c r="K17">
        <v>865553.54487179511</v>
      </c>
      <c r="L17">
        <v>389929.84615384624</v>
      </c>
      <c r="M17">
        <v>392693.92307692312</v>
      </c>
      <c r="N17">
        <v>337420</v>
      </c>
      <c r="O17">
        <v>319108.46153846162</v>
      </c>
      <c r="P17">
        <v>465572.69230769214</v>
      </c>
      <c r="Q17">
        <v>0</v>
      </c>
      <c r="R17">
        <v>825961.61538461514</v>
      </c>
      <c r="S17">
        <v>470845.46153846115</v>
      </c>
      <c r="T17">
        <v>348016.30769230775</v>
      </c>
      <c r="U17">
        <v>386735.30769230775</v>
      </c>
      <c r="V17">
        <v>358550.58974358981</v>
      </c>
      <c r="W17">
        <v>402702.25641025614</v>
      </c>
      <c r="X17">
        <v>421829.25641025614</v>
      </c>
      <c r="Y17">
        <v>405565.5897435901</v>
      </c>
      <c r="Z17">
        <v>363037.58974358981</v>
      </c>
      <c r="AA17">
        <v>355985.25641025644</v>
      </c>
      <c r="AB17">
        <v>342058.92307692312</v>
      </c>
      <c r="AC17">
        <v>711992.0230769231</v>
      </c>
      <c r="AD17">
        <v>656770.32307692314</v>
      </c>
      <c r="AE17">
        <v>524920.0230769231</v>
      </c>
      <c r="AF17">
        <v>319671.61538461543</v>
      </c>
      <c r="AG17">
        <v>345218.42307692312</v>
      </c>
      <c r="AH17">
        <v>394928.64615384623</v>
      </c>
      <c r="AI17">
        <v>562490.31196581211</v>
      </c>
      <c r="AJ17">
        <v>310900.46153846162</v>
      </c>
      <c r="AK17">
        <v>386746.84615384624</v>
      </c>
      <c r="AL17">
        <v>381562.3498168498</v>
      </c>
      <c r="AM17">
        <v>302539.30769230775</v>
      </c>
      <c r="AN17">
        <v>386709.76556776563</v>
      </c>
      <c r="AO17">
        <v>368029.06593406602</v>
      </c>
      <c r="AP17">
        <v>316207.41575091582</v>
      </c>
    </row>
    <row r="18" spans="2:42" x14ac:dyDescent="0.25">
      <c r="B18" t="s">
        <v>15</v>
      </c>
      <c r="C18">
        <v>217992.38461538468</v>
      </c>
      <c r="D18">
        <v>208380.76923076928</v>
      </c>
      <c r="E18">
        <v>211414.99999999997</v>
      </c>
      <c r="F18">
        <v>200521.92307692306</v>
      </c>
      <c r="G18">
        <v>232321.99999999997</v>
      </c>
      <c r="H18">
        <v>298111.31135531148</v>
      </c>
      <c r="I18">
        <v>231657.61538461538</v>
      </c>
      <c r="J18">
        <v>289255.38461538445</v>
      </c>
      <c r="K18">
        <v>739588.16025641048</v>
      </c>
      <c r="L18">
        <v>263964.46153846156</v>
      </c>
      <c r="M18">
        <v>266728.5384615385</v>
      </c>
      <c r="N18">
        <v>211454.61538461538</v>
      </c>
      <c r="O18">
        <v>193143.07692307697</v>
      </c>
      <c r="P18">
        <v>339607.30769230745</v>
      </c>
      <c r="Q18">
        <v>461783.00000000047</v>
      </c>
      <c r="R18">
        <v>0</v>
      </c>
      <c r="S18">
        <v>344880.07692307647</v>
      </c>
      <c r="T18">
        <v>222050.92307692306</v>
      </c>
      <c r="U18">
        <v>260769.92307692306</v>
      </c>
      <c r="V18">
        <v>232585.20512820518</v>
      </c>
      <c r="W18">
        <v>276736.87179487146</v>
      </c>
      <c r="X18">
        <v>295863.87179487146</v>
      </c>
      <c r="Y18">
        <v>279600.20512820547</v>
      </c>
      <c r="Z18">
        <v>237072.20512820518</v>
      </c>
      <c r="AA18">
        <v>230019.87179487175</v>
      </c>
      <c r="AB18">
        <v>216093.53846153847</v>
      </c>
      <c r="AC18">
        <v>586026.63846153847</v>
      </c>
      <c r="AD18">
        <v>530804.93846153852</v>
      </c>
      <c r="AE18">
        <v>398954.63846153847</v>
      </c>
      <c r="AF18">
        <v>193706.23076923078</v>
      </c>
      <c r="AG18">
        <v>219253.03846153847</v>
      </c>
      <c r="AH18">
        <v>268963.26153846155</v>
      </c>
      <c r="AI18">
        <v>436524.92735042749</v>
      </c>
      <c r="AJ18">
        <v>184935.07692307697</v>
      </c>
      <c r="AK18">
        <v>260781.46153846156</v>
      </c>
      <c r="AL18">
        <v>255596.96520146518</v>
      </c>
      <c r="AM18">
        <v>176573.92307692309</v>
      </c>
      <c r="AN18">
        <v>260744.38095238095</v>
      </c>
      <c r="AO18">
        <v>242063.68131868137</v>
      </c>
      <c r="AP18">
        <v>190242.03113553117</v>
      </c>
    </row>
    <row r="19" spans="2:42" x14ac:dyDescent="0.25">
      <c r="B19" t="s">
        <v>16</v>
      </c>
      <c r="C19">
        <v>577484.61538461549</v>
      </c>
      <c r="D19">
        <v>567873</v>
      </c>
      <c r="E19">
        <v>570907.23076923075</v>
      </c>
      <c r="F19">
        <v>560014.15384615387</v>
      </c>
      <c r="G19">
        <v>591814.23076923075</v>
      </c>
      <c r="H19">
        <v>657603.54212454229</v>
      </c>
      <c r="I19">
        <v>591149.84615384613</v>
      </c>
      <c r="J19">
        <v>648747.61538461526</v>
      </c>
      <c r="K19">
        <v>1099080.3910256412</v>
      </c>
      <c r="L19">
        <v>623456.69230769237</v>
      </c>
      <c r="M19">
        <v>626220.76923076925</v>
      </c>
      <c r="N19">
        <v>570946.84615384613</v>
      </c>
      <c r="O19">
        <v>552635.30769230775</v>
      </c>
      <c r="P19">
        <v>699099.53846153826</v>
      </c>
      <c r="Q19">
        <v>821275.23076923122</v>
      </c>
      <c r="R19">
        <v>1059488.4615384613</v>
      </c>
      <c r="S19">
        <v>0</v>
      </c>
      <c r="T19">
        <v>581543.15384615387</v>
      </c>
      <c r="U19">
        <v>620262.15384615387</v>
      </c>
      <c r="V19">
        <v>592077.43589743599</v>
      </c>
      <c r="W19">
        <v>636229.10256410227</v>
      </c>
      <c r="X19">
        <v>655356.10256410227</v>
      </c>
      <c r="Y19">
        <v>639092.43589743623</v>
      </c>
      <c r="Z19">
        <v>596564.43589743599</v>
      </c>
      <c r="AA19">
        <v>589512.1025641025</v>
      </c>
      <c r="AB19">
        <v>575585.76923076925</v>
      </c>
      <c r="AC19">
        <v>945518.86923076923</v>
      </c>
      <c r="AD19">
        <v>890297.16923076927</v>
      </c>
      <c r="AE19">
        <v>758446.86923076923</v>
      </c>
      <c r="AF19">
        <v>553198.4615384615</v>
      </c>
      <c r="AG19">
        <v>578745.26923076925</v>
      </c>
      <c r="AH19">
        <v>628455.4923076923</v>
      </c>
      <c r="AI19">
        <v>796017.15811965824</v>
      </c>
      <c r="AJ19">
        <v>544427.30769230775</v>
      </c>
      <c r="AK19">
        <v>620273.69230769237</v>
      </c>
      <c r="AL19">
        <v>615089.19597069593</v>
      </c>
      <c r="AM19">
        <v>536066.15384615387</v>
      </c>
      <c r="AN19">
        <v>620236.6117216117</v>
      </c>
      <c r="AO19">
        <v>601555.91208791221</v>
      </c>
      <c r="AP19">
        <v>549734.26190476189</v>
      </c>
    </row>
    <row r="20" spans="2:42" x14ac:dyDescent="0.25">
      <c r="B20" t="s">
        <v>17</v>
      </c>
      <c r="C20">
        <v>104145.46153846159</v>
      </c>
      <c r="D20">
        <v>94533.846153846185</v>
      </c>
      <c r="E20">
        <v>97568.076923076878</v>
      </c>
      <c r="F20">
        <v>86674.999999999985</v>
      </c>
      <c r="G20">
        <v>118475.07692307688</v>
      </c>
      <c r="H20">
        <v>184264.38827838839</v>
      </c>
      <c r="I20">
        <v>117810.69230769228</v>
      </c>
      <c r="J20">
        <v>175408.46153846139</v>
      </c>
      <c r="K20">
        <v>625741.23717948736</v>
      </c>
      <c r="L20">
        <v>150117.5384615385</v>
      </c>
      <c r="M20">
        <v>152881.61538461538</v>
      </c>
      <c r="N20">
        <v>97607.692307692283</v>
      </c>
      <c r="O20">
        <v>79296.153846153888</v>
      </c>
      <c r="P20">
        <v>225760.38461538436</v>
      </c>
      <c r="Q20">
        <v>347936.0769230774</v>
      </c>
      <c r="R20">
        <v>586149.3076923074</v>
      </c>
      <c r="S20">
        <v>231033.15384615338</v>
      </c>
      <c r="T20">
        <v>0</v>
      </c>
      <c r="U20">
        <v>146922.99999999997</v>
      </c>
      <c r="V20">
        <v>118738.28205128209</v>
      </c>
      <c r="W20">
        <v>162889.94871794837</v>
      </c>
      <c r="X20">
        <v>182016.94871794837</v>
      </c>
      <c r="Y20">
        <v>165753.28205128238</v>
      </c>
      <c r="Z20">
        <v>123225.28205128209</v>
      </c>
      <c r="AA20">
        <v>116172.94871794869</v>
      </c>
      <c r="AB20">
        <v>102246.61538461538</v>
      </c>
      <c r="AC20">
        <v>472179.71538461535</v>
      </c>
      <c r="AD20">
        <v>416958.0153846154</v>
      </c>
      <c r="AE20">
        <v>285107.71538461541</v>
      </c>
      <c r="AF20">
        <v>79859.307692307688</v>
      </c>
      <c r="AG20">
        <v>105406.11538461538</v>
      </c>
      <c r="AH20">
        <v>155116.33846153849</v>
      </c>
      <c r="AI20">
        <v>322678.00427350437</v>
      </c>
      <c r="AJ20">
        <v>71088.153846153888</v>
      </c>
      <c r="AK20">
        <v>146934.5384615385</v>
      </c>
      <c r="AL20">
        <v>141750.04212454209</v>
      </c>
      <c r="AM20">
        <v>62727</v>
      </c>
      <c r="AN20">
        <v>146897.45787545788</v>
      </c>
      <c r="AO20">
        <v>128216.75824175827</v>
      </c>
      <c r="AP20">
        <v>76395.108058608079</v>
      </c>
    </row>
    <row r="21" spans="2:42" x14ac:dyDescent="0.25">
      <c r="B21" t="s">
        <v>145</v>
      </c>
      <c r="C21">
        <v>88561.8461538462</v>
      </c>
      <c r="D21">
        <v>78950.23076923081</v>
      </c>
      <c r="E21">
        <v>81984.461538461503</v>
      </c>
      <c r="F21">
        <v>71091.384615384595</v>
      </c>
      <c r="G21">
        <v>102891.4615384615</v>
      </c>
      <c r="H21">
        <v>168680.77289377298</v>
      </c>
      <c r="I21">
        <v>102227.07692307691</v>
      </c>
      <c r="J21">
        <v>159824.84615384601</v>
      </c>
      <c r="K21">
        <v>610157.62179487199</v>
      </c>
      <c r="L21">
        <v>134533.92307692312</v>
      </c>
      <c r="M21">
        <v>137298</v>
      </c>
      <c r="N21">
        <v>82024.076923076907</v>
      </c>
      <c r="O21">
        <v>63712.538461538497</v>
      </c>
      <c r="P21">
        <v>210176.76923076899</v>
      </c>
      <c r="Q21">
        <v>332352.46153846203</v>
      </c>
      <c r="R21">
        <v>570565.69230769202</v>
      </c>
      <c r="S21">
        <v>215449.538461538</v>
      </c>
      <c r="T21">
        <v>92620.384615384595</v>
      </c>
      <c r="U21">
        <v>0</v>
      </c>
      <c r="V21">
        <v>103154.6666666667</v>
      </c>
      <c r="W21">
        <v>147306.33333333299</v>
      </c>
      <c r="X21">
        <v>166433.33333333299</v>
      </c>
      <c r="Y21">
        <v>150169.66666666701</v>
      </c>
      <c r="Z21">
        <v>107641.6666666667</v>
      </c>
      <c r="AA21">
        <v>100589.3333333333</v>
      </c>
      <c r="AB21">
        <v>86663</v>
      </c>
      <c r="AC21">
        <v>456596.1</v>
      </c>
      <c r="AD21">
        <v>401374.4</v>
      </c>
      <c r="AE21">
        <v>269524.09999999998</v>
      </c>
      <c r="AF21">
        <v>64275.692307692298</v>
      </c>
      <c r="AG21">
        <v>89822.5</v>
      </c>
      <c r="AH21">
        <v>139532.72307692311</v>
      </c>
      <c r="AI21">
        <v>307094.38888888899</v>
      </c>
      <c r="AJ21">
        <v>55504.538461538497</v>
      </c>
      <c r="AK21">
        <v>131350.92307692312</v>
      </c>
      <c r="AL21">
        <v>126166.4267399267</v>
      </c>
      <c r="AM21">
        <v>47143.384615384617</v>
      </c>
      <c r="AN21">
        <v>131313.84249084251</v>
      </c>
      <c r="AO21">
        <v>112633.1428571429</v>
      </c>
      <c r="AP21">
        <v>60811.492673992703</v>
      </c>
    </row>
    <row r="22" spans="2:42" x14ac:dyDescent="0.25">
      <c r="B22" t="s">
        <v>146</v>
      </c>
      <c r="C22">
        <v>110128.17948717953</v>
      </c>
      <c r="D22">
        <v>100516.56410256414</v>
      </c>
      <c r="E22">
        <v>103550.79487179485</v>
      </c>
      <c r="F22">
        <v>92657.717948717938</v>
      </c>
      <c r="G22">
        <v>124457.79487179485</v>
      </c>
      <c r="H22">
        <v>190247.10622710633</v>
      </c>
      <c r="I22">
        <v>123793.41025641024</v>
      </c>
      <c r="J22">
        <v>181391.17948717932</v>
      </c>
      <c r="K22">
        <v>631723.95512820536</v>
      </c>
      <c r="L22">
        <v>156100.25641025644</v>
      </c>
      <c r="M22">
        <v>158864.33333333334</v>
      </c>
      <c r="N22">
        <v>103590.41025641024</v>
      </c>
      <c r="O22">
        <v>85278.87179487184</v>
      </c>
      <c r="P22">
        <v>231743.10256410233</v>
      </c>
      <c r="Q22">
        <v>353918.79487179534</v>
      </c>
      <c r="R22">
        <v>592132.02564102539</v>
      </c>
      <c r="S22">
        <v>237015.87179487135</v>
      </c>
      <c r="T22">
        <v>114186.71794871794</v>
      </c>
      <c r="U22">
        <v>152905.71794871794</v>
      </c>
      <c r="V22">
        <v>0</v>
      </c>
      <c r="W22">
        <v>168872.66666666634</v>
      </c>
      <c r="X22">
        <v>187999.66666666634</v>
      </c>
      <c r="Y22">
        <v>171736.00000000035</v>
      </c>
      <c r="Z22">
        <v>129208.00000000003</v>
      </c>
      <c r="AA22">
        <v>122155.66666666663</v>
      </c>
      <c r="AB22">
        <v>108229.33333333334</v>
      </c>
      <c r="AC22">
        <v>478162.43333333329</v>
      </c>
      <c r="AD22">
        <v>422940.73333333334</v>
      </c>
      <c r="AE22">
        <v>291090.43333333335</v>
      </c>
      <c r="AF22">
        <v>85842.025641025641</v>
      </c>
      <c r="AG22">
        <v>111388.83333333334</v>
      </c>
      <c r="AH22">
        <v>161099.05641025642</v>
      </c>
      <c r="AI22">
        <v>328660.72222222231</v>
      </c>
      <c r="AJ22">
        <v>77070.87179487184</v>
      </c>
      <c r="AK22">
        <v>152917.25641025644</v>
      </c>
      <c r="AL22">
        <v>147732.76007326003</v>
      </c>
      <c r="AM22">
        <v>68709.717948717953</v>
      </c>
      <c r="AN22">
        <v>152880.17582417582</v>
      </c>
      <c r="AO22">
        <v>134199.47619047624</v>
      </c>
      <c r="AP22">
        <v>82377.826007326032</v>
      </c>
    </row>
    <row r="23" spans="2:42" x14ac:dyDescent="0.25">
      <c r="B23" t="s">
        <v>18</v>
      </c>
      <c r="C23">
        <v>158540.84615384619</v>
      </c>
      <c r="D23">
        <v>148929.23076923081</v>
      </c>
      <c r="E23">
        <v>151963.4615384615</v>
      </c>
      <c r="F23">
        <v>141070.3846153846</v>
      </c>
      <c r="G23">
        <v>172870.4615384615</v>
      </c>
      <c r="H23">
        <v>238659.77289377298</v>
      </c>
      <c r="I23">
        <v>172206.07692307691</v>
      </c>
      <c r="J23">
        <v>229803.84615384601</v>
      </c>
      <c r="K23">
        <v>680136.62179487199</v>
      </c>
      <c r="L23">
        <v>204512.92307692312</v>
      </c>
      <c r="M23">
        <v>207277</v>
      </c>
      <c r="N23">
        <v>152003.07692307691</v>
      </c>
      <c r="O23">
        <v>133691.5384615385</v>
      </c>
      <c r="P23">
        <v>280155.76923076902</v>
      </c>
      <c r="Q23">
        <v>402331.46153846203</v>
      </c>
      <c r="R23">
        <v>640544.69230769202</v>
      </c>
      <c r="S23">
        <v>285428.53846153803</v>
      </c>
      <c r="T23">
        <v>162599.3846153846</v>
      </c>
      <c r="U23">
        <v>201318.3846153846</v>
      </c>
      <c r="V23">
        <v>173133.66666666669</v>
      </c>
      <c r="W23">
        <v>0</v>
      </c>
      <c r="X23">
        <v>236412.33333333299</v>
      </c>
      <c r="Y23">
        <v>220148.66666666701</v>
      </c>
      <c r="Z23">
        <v>177620.66666666669</v>
      </c>
      <c r="AA23">
        <v>170568.33333333331</v>
      </c>
      <c r="AB23">
        <v>156642</v>
      </c>
      <c r="AC23">
        <v>526575.1</v>
      </c>
      <c r="AD23">
        <v>471353.4</v>
      </c>
      <c r="AE23">
        <v>339503.1</v>
      </c>
      <c r="AF23">
        <v>134254.69230769231</v>
      </c>
      <c r="AG23">
        <v>159801.5</v>
      </c>
      <c r="AH23">
        <v>209511.72307692311</v>
      </c>
      <c r="AI23">
        <v>377073.38888888899</v>
      </c>
      <c r="AJ23">
        <v>125483.5384615385</v>
      </c>
      <c r="AK23">
        <v>201329.92307692312</v>
      </c>
      <c r="AL23">
        <v>196145.42673992668</v>
      </c>
      <c r="AM23">
        <v>117122.38461538462</v>
      </c>
      <c r="AN23">
        <v>201292.84249084251</v>
      </c>
      <c r="AO23">
        <v>182612.1428571429</v>
      </c>
      <c r="AP23">
        <v>130790.4926739927</v>
      </c>
    </row>
    <row r="24" spans="2:42" x14ac:dyDescent="0.25">
      <c r="B24" t="s">
        <v>19</v>
      </c>
      <c r="C24">
        <v>175688.51282051287</v>
      </c>
      <c r="D24">
        <v>166076.89743589747</v>
      </c>
      <c r="E24">
        <v>169111.12820512816</v>
      </c>
      <c r="F24">
        <v>158218.05128205125</v>
      </c>
      <c r="G24">
        <v>190018.12820512816</v>
      </c>
      <c r="H24">
        <v>255807.43956043967</v>
      </c>
      <c r="I24">
        <v>189353.74358974356</v>
      </c>
      <c r="J24">
        <v>246951.51282051264</v>
      </c>
      <c r="K24">
        <v>697284.28846153861</v>
      </c>
      <c r="L24">
        <v>221660.58974358975</v>
      </c>
      <c r="M24">
        <v>224424.66666666666</v>
      </c>
      <c r="N24">
        <v>169150.74358974356</v>
      </c>
      <c r="O24">
        <v>150839.20512820515</v>
      </c>
      <c r="P24">
        <v>297303.43589743564</v>
      </c>
      <c r="Q24">
        <v>419479.12820512871</v>
      </c>
      <c r="R24">
        <v>657692.35897435865</v>
      </c>
      <c r="S24">
        <v>302576.20512820466</v>
      </c>
      <c r="T24">
        <v>179747.05128205125</v>
      </c>
      <c r="U24">
        <v>218466.05128205125</v>
      </c>
      <c r="V24">
        <v>190281.33333333337</v>
      </c>
      <c r="W24">
        <v>234432.99999999965</v>
      </c>
      <c r="X24">
        <v>0</v>
      </c>
      <c r="Y24">
        <v>237296.33333333366</v>
      </c>
      <c r="Z24">
        <v>194768.33333333337</v>
      </c>
      <c r="AA24">
        <v>187715.99999999994</v>
      </c>
      <c r="AB24">
        <v>173789.66666666666</v>
      </c>
      <c r="AC24">
        <v>543722.7666666666</v>
      </c>
      <c r="AD24">
        <v>488501.06666666665</v>
      </c>
      <c r="AE24">
        <v>356650.76666666666</v>
      </c>
      <c r="AF24">
        <v>151402.35897435897</v>
      </c>
      <c r="AG24">
        <v>176949.16666666666</v>
      </c>
      <c r="AH24">
        <v>226659.38974358974</v>
      </c>
      <c r="AI24">
        <v>394221.05555555562</v>
      </c>
      <c r="AJ24">
        <v>142631.20512820515</v>
      </c>
      <c r="AK24">
        <v>218477.58974358975</v>
      </c>
      <c r="AL24">
        <v>213293.09340659337</v>
      </c>
      <c r="AM24">
        <v>134270.05128205128</v>
      </c>
      <c r="AN24">
        <v>218440.50915750914</v>
      </c>
      <c r="AO24">
        <v>199759.80952380956</v>
      </c>
      <c r="AP24">
        <v>147938.15934065936</v>
      </c>
    </row>
    <row r="25" spans="2:42" x14ac:dyDescent="0.25">
      <c r="B25" t="s">
        <v>20</v>
      </c>
      <c r="C25">
        <v>153589.51282051287</v>
      </c>
      <c r="D25">
        <v>143977.89743589747</v>
      </c>
      <c r="E25">
        <v>147012.12820512819</v>
      </c>
      <c r="F25">
        <v>136119.05128205128</v>
      </c>
      <c r="G25">
        <v>167919.12820512819</v>
      </c>
      <c r="H25">
        <v>233708.43956043967</v>
      </c>
      <c r="I25">
        <v>167254.74358974356</v>
      </c>
      <c r="J25">
        <v>224852.51282051267</v>
      </c>
      <c r="K25">
        <v>675185.28846153861</v>
      </c>
      <c r="L25">
        <v>199561.58974358978</v>
      </c>
      <c r="M25">
        <v>202325.66666666669</v>
      </c>
      <c r="N25">
        <v>147051.74358974356</v>
      </c>
      <c r="O25">
        <v>128740.20512820517</v>
      </c>
      <c r="P25">
        <v>275204.43589743564</v>
      </c>
      <c r="Q25">
        <v>397380.12820512871</v>
      </c>
      <c r="R25">
        <v>635593.35897435865</v>
      </c>
      <c r="S25">
        <v>280477.20512820466</v>
      </c>
      <c r="T25">
        <v>157648.05128205128</v>
      </c>
      <c r="U25">
        <v>196367.05128205125</v>
      </c>
      <c r="V25">
        <v>168182.33333333337</v>
      </c>
      <c r="W25">
        <v>212333.99999999965</v>
      </c>
      <c r="X25">
        <v>231460.99999999965</v>
      </c>
      <c r="Y25">
        <v>0</v>
      </c>
      <c r="Z25">
        <v>172669.33333333337</v>
      </c>
      <c r="AA25">
        <v>165616.99999999997</v>
      </c>
      <c r="AB25">
        <v>151690.66666666669</v>
      </c>
      <c r="AC25">
        <v>521623.76666666666</v>
      </c>
      <c r="AD25">
        <v>466402.06666666671</v>
      </c>
      <c r="AE25">
        <v>334551.76666666666</v>
      </c>
      <c r="AF25">
        <v>129303.35897435897</v>
      </c>
      <c r="AG25">
        <v>154850.16666666669</v>
      </c>
      <c r="AH25">
        <v>204560.38974358977</v>
      </c>
      <c r="AI25">
        <v>372122.05555555568</v>
      </c>
      <c r="AJ25">
        <v>120532.20512820517</v>
      </c>
      <c r="AK25">
        <v>196378.58974358978</v>
      </c>
      <c r="AL25">
        <v>191194.09340659337</v>
      </c>
      <c r="AM25">
        <v>112171.0512820513</v>
      </c>
      <c r="AN25">
        <v>196341.50915750916</v>
      </c>
      <c r="AO25">
        <v>177660.80952380958</v>
      </c>
      <c r="AP25">
        <v>125839.15934065937</v>
      </c>
    </row>
    <row r="26" spans="2:42" x14ac:dyDescent="0.25">
      <c r="B26" t="s">
        <v>21</v>
      </c>
      <c r="C26">
        <v>130609.8461538462</v>
      </c>
      <c r="D26">
        <v>120998.23076923081</v>
      </c>
      <c r="E26">
        <v>124032.4615384615</v>
      </c>
      <c r="F26">
        <v>113139.3846153846</v>
      </c>
      <c r="G26">
        <v>144939.4615384615</v>
      </c>
      <c r="H26">
        <v>210728.77289377298</v>
      </c>
      <c r="I26">
        <v>144275.07692307691</v>
      </c>
      <c r="J26">
        <v>201872.84615384601</v>
      </c>
      <c r="K26">
        <v>652205.62179487199</v>
      </c>
      <c r="L26">
        <v>176581.92307692312</v>
      </c>
      <c r="M26">
        <v>179346</v>
      </c>
      <c r="N26">
        <v>124072.07692307691</v>
      </c>
      <c r="O26">
        <v>105760.5384615385</v>
      </c>
      <c r="P26">
        <v>252224.76923076899</v>
      </c>
      <c r="Q26">
        <v>374400.46153846203</v>
      </c>
      <c r="R26">
        <v>612613.69230769202</v>
      </c>
      <c r="S26">
        <v>257497.538461538</v>
      </c>
      <c r="T26">
        <v>134668.3846153846</v>
      </c>
      <c r="U26">
        <v>173387.3846153846</v>
      </c>
      <c r="V26">
        <v>145202.66666666669</v>
      </c>
      <c r="W26">
        <v>189354.33333333299</v>
      </c>
      <c r="X26">
        <v>208481.33333333299</v>
      </c>
      <c r="Y26">
        <v>192217.66666666701</v>
      </c>
      <c r="Z26">
        <v>0</v>
      </c>
      <c r="AA26">
        <v>142637.33333333331</v>
      </c>
      <c r="AB26">
        <v>128711</v>
      </c>
      <c r="AC26">
        <v>498644.1</v>
      </c>
      <c r="AD26">
        <v>443422.4</v>
      </c>
      <c r="AE26">
        <v>311572.09999999998</v>
      </c>
      <c r="AF26">
        <v>106323.6923076923</v>
      </c>
      <c r="AG26">
        <v>131870.5</v>
      </c>
      <c r="AH26">
        <v>181580.72307692311</v>
      </c>
      <c r="AI26">
        <v>349142.38888888899</v>
      </c>
      <c r="AJ26">
        <v>97552.538461538497</v>
      </c>
      <c r="AK26">
        <v>173398.92307692312</v>
      </c>
      <c r="AL26">
        <v>168214.42673992668</v>
      </c>
      <c r="AM26">
        <v>89191.384615384624</v>
      </c>
      <c r="AN26">
        <v>173361.84249084251</v>
      </c>
      <c r="AO26">
        <v>154681.1428571429</v>
      </c>
      <c r="AP26">
        <v>102859.4926739927</v>
      </c>
    </row>
    <row r="27" spans="2:42" x14ac:dyDescent="0.25">
      <c r="B27" t="s">
        <v>22</v>
      </c>
      <c r="C27">
        <v>113564.17948717953</v>
      </c>
      <c r="D27">
        <v>103952.56410256412</v>
      </c>
      <c r="E27">
        <v>106986.79487179483</v>
      </c>
      <c r="F27">
        <v>96093.717948717924</v>
      </c>
      <c r="G27">
        <v>127893.79487179483</v>
      </c>
      <c r="H27">
        <v>193683.10622710633</v>
      </c>
      <c r="I27">
        <v>127229.41025641022</v>
      </c>
      <c r="J27">
        <v>184827.17948717932</v>
      </c>
      <c r="K27">
        <v>635159.95512820536</v>
      </c>
      <c r="L27">
        <v>159536.25641025644</v>
      </c>
      <c r="M27">
        <v>162300.33333333331</v>
      </c>
      <c r="N27">
        <v>107026.41025641022</v>
      </c>
      <c r="O27">
        <v>88714.871794871826</v>
      </c>
      <c r="P27">
        <v>235179.10256410233</v>
      </c>
      <c r="Q27">
        <v>357354.79487179534</v>
      </c>
      <c r="R27">
        <v>595568.02564102539</v>
      </c>
      <c r="S27">
        <v>240451.87179487135</v>
      </c>
      <c r="T27">
        <v>117622.71794871794</v>
      </c>
      <c r="U27">
        <v>156341.71794871794</v>
      </c>
      <c r="V27">
        <v>128157.00000000003</v>
      </c>
      <c r="W27">
        <v>172308.66666666634</v>
      </c>
      <c r="X27">
        <v>191435.66666666634</v>
      </c>
      <c r="Y27">
        <v>175172.00000000035</v>
      </c>
      <c r="Z27">
        <v>132644.00000000003</v>
      </c>
      <c r="AA27">
        <v>0</v>
      </c>
      <c r="AB27">
        <v>111665.33333333333</v>
      </c>
      <c r="AC27">
        <v>481598.43333333329</v>
      </c>
      <c r="AD27">
        <v>426376.73333333334</v>
      </c>
      <c r="AE27">
        <v>294526.43333333335</v>
      </c>
      <c r="AF27">
        <v>89278.025641025626</v>
      </c>
      <c r="AG27">
        <v>114824.83333333333</v>
      </c>
      <c r="AH27">
        <v>164535.05641025642</v>
      </c>
      <c r="AI27">
        <v>332096.72222222231</v>
      </c>
      <c r="AJ27">
        <v>80506.871794871826</v>
      </c>
      <c r="AK27">
        <v>156353.25641025644</v>
      </c>
      <c r="AL27">
        <v>151168.76007326003</v>
      </c>
      <c r="AM27">
        <v>72145.717948717953</v>
      </c>
      <c r="AN27">
        <v>156316.17582417582</v>
      </c>
      <c r="AO27">
        <v>137635.47619047621</v>
      </c>
      <c r="AP27">
        <v>85813.826007326032</v>
      </c>
    </row>
    <row r="28" spans="2:42" x14ac:dyDescent="0.25">
      <c r="B28" t="s">
        <v>23</v>
      </c>
      <c r="C28">
        <v>95845.846153846214</v>
      </c>
      <c r="D28">
        <v>86234.23076923081</v>
      </c>
      <c r="E28">
        <v>89268.461538461503</v>
      </c>
      <c r="F28">
        <v>78375.38461538461</v>
      </c>
      <c r="G28">
        <v>110175.4615384615</v>
      </c>
      <c r="H28">
        <v>175964.77289377301</v>
      </c>
      <c r="I28">
        <v>109511.07692307691</v>
      </c>
      <c r="J28">
        <v>167108.84615384601</v>
      </c>
      <c r="K28">
        <v>617441.62179487199</v>
      </c>
      <c r="L28">
        <v>141817.92307692312</v>
      </c>
      <c r="M28">
        <v>144582</v>
      </c>
      <c r="N28">
        <v>89308.076923076907</v>
      </c>
      <c r="O28">
        <v>70996.538461538512</v>
      </c>
      <c r="P28">
        <v>217460.76923076899</v>
      </c>
      <c r="Q28">
        <v>339636.46153846203</v>
      </c>
      <c r="R28">
        <v>577849.69230769202</v>
      </c>
      <c r="S28">
        <v>222733.538461538</v>
      </c>
      <c r="T28">
        <v>99904.38461538461</v>
      </c>
      <c r="U28">
        <v>138623.3846153846</v>
      </c>
      <c r="V28">
        <v>110438.66666666672</v>
      </c>
      <c r="W28">
        <v>154590.33333333299</v>
      </c>
      <c r="X28">
        <v>173717.33333333299</v>
      </c>
      <c r="Y28">
        <v>157453.66666666701</v>
      </c>
      <c r="Z28">
        <v>114925.66666666672</v>
      </c>
      <c r="AA28">
        <v>107873.33333333331</v>
      </c>
      <c r="AB28">
        <v>0</v>
      </c>
      <c r="AC28">
        <v>463880.1</v>
      </c>
      <c r="AD28">
        <v>408658.4</v>
      </c>
      <c r="AE28">
        <v>276808.10000000003</v>
      </c>
      <c r="AF28">
        <v>71559.692307692312</v>
      </c>
      <c r="AG28">
        <v>97106.5</v>
      </c>
      <c r="AH28">
        <v>146816.72307692311</v>
      </c>
      <c r="AI28">
        <v>314378.38888888899</v>
      </c>
      <c r="AJ28">
        <v>62788.538461538505</v>
      </c>
      <c r="AK28">
        <v>138634.92307692312</v>
      </c>
      <c r="AL28">
        <v>133450.42673992671</v>
      </c>
      <c r="AM28">
        <v>54427.384615384624</v>
      </c>
      <c r="AN28">
        <v>138597.84249084251</v>
      </c>
      <c r="AO28">
        <v>119917.1428571429</v>
      </c>
      <c r="AP28">
        <v>68095.492673992703</v>
      </c>
    </row>
    <row r="29" spans="2:42" x14ac:dyDescent="0.25">
      <c r="B29" t="s">
        <v>24</v>
      </c>
      <c r="C29">
        <v>468298.04615384614</v>
      </c>
      <c r="D29">
        <v>458686.43076923076</v>
      </c>
      <c r="E29">
        <v>461720.66153846146</v>
      </c>
      <c r="F29">
        <v>450827.58461538458</v>
      </c>
      <c r="G29">
        <v>482627.66153846146</v>
      </c>
      <c r="H29">
        <v>548416.972893773</v>
      </c>
      <c r="I29">
        <v>481963.27692307683</v>
      </c>
      <c r="J29">
        <v>539561.04615384596</v>
      </c>
      <c r="K29">
        <v>989893.82179487194</v>
      </c>
      <c r="L29">
        <v>514270.12307692308</v>
      </c>
      <c r="M29">
        <v>517034.19999999995</v>
      </c>
      <c r="N29">
        <v>461760.27692307683</v>
      </c>
      <c r="O29">
        <v>443448.73846153845</v>
      </c>
      <c r="P29">
        <v>589912.96923076897</v>
      </c>
      <c r="Q29">
        <v>712088.66153846192</v>
      </c>
      <c r="R29">
        <v>950301.89230769197</v>
      </c>
      <c r="S29">
        <v>595185.73846153799</v>
      </c>
      <c r="T29">
        <v>472356.58461538458</v>
      </c>
      <c r="U29">
        <v>511075.58461538458</v>
      </c>
      <c r="V29">
        <v>482890.86666666664</v>
      </c>
      <c r="W29">
        <v>527042.53333333298</v>
      </c>
      <c r="X29">
        <v>546169.53333333298</v>
      </c>
      <c r="Y29">
        <v>529905.86666666693</v>
      </c>
      <c r="Z29">
        <v>487377.86666666664</v>
      </c>
      <c r="AA29">
        <v>480325.53333333327</v>
      </c>
      <c r="AB29">
        <v>466399.19999999995</v>
      </c>
      <c r="AC29">
        <v>0</v>
      </c>
      <c r="AD29">
        <v>781110.6</v>
      </c>
      <c r="AE29">
        <v>649260.29999999993</v>
      </c>
      <c r="AF29">
        <v>444011.89230769227</v>
      </c>
      <c r="AG29">
        <v>469558.69999999995</v>
      </c>
      <c r="AH29">
        <v>519268.92307692306</v>
      </c>
      <c r="AI29">
        <v>686830.58888888895</v>
      </c>
      <c r="AJ29">
        <v>435240.73846153845</v>
      </c>
      <c r="AK29">
        <v>511087.12307692308</v>
      </c>
      <c r="AL29">
        <v>505902.62673992664</v>
      </c>
      <c r="AM29">
        <v>426879.58461538458</v>
      </c>
      <c r="AN29">
        <v>511050.04249084246</v>
      </c>
      <c r="AO29">
        <v>492369.34285714285</v>
      </c>
      <c r="AP29">
        <v>440547.69267399266</v>
      </c>
    </row>
    <row r="30" spans="2:42" x14ac:dyDescent="0.25">
      <c r="B30" t="s">
        <v>25</v>
      </c>
      <c r="C30">
        <v>411232.94615384616</v>
      </c>
      <c r="D30">
        <v>401621.33076923079</v>
      </c>
      <c r="E30">
        <v>404655.56153846148</v>
      </c>
      <c r="F30">
        <v>393762.4846153846</v>
      </c>
      <c r="G30">
        <v>425562.56153846148</v>
      </c>
      <c r="H30">
        <v>491351.87289377296</v>
      </c>
      <c r="I30">
        <v>424898.17692307686</v>
      </c>
      <c r="J30">
        <v>482495.94615384599</v>
      </c>
      <c r="K30">
        <v>932828.72179487196</v>
      </c>
      <c r="L30">
        <v>457205.0230769231</v>
      </c>
      <c r="M30">
        <v>459969.1</v>
      </c>
      <c r="N30">
        <v>404695.17692307686</v>
      </c>
      <c r="O30">
        <v>386383.63846153847</v>
      </c>
      <c r="P30">
        <v>532847.86923076899</v>
      </c>
      <c r="Q30">
        <v>655023.56153846206</v>
      </c>
      <c r="R30">
        <v>893236.792307692</v>
      </c>
      <c r="S30">
        <v>538120.63846153801</v>
      </c>
      <c r="T30">
        <v>415291.4846153846</v>
      </c>
      <c r="U30">
        <v>454010.4846153846</v>
      </c>
      <c r="V30">
        <v>425825.76666666666</v>
      </c>
      <c r="W30">
        <v>469977.433333333</v>
      </c>
      <c r="X30">
        <v>489104.433333333</v>
      </c>
      <c r="Y30">
        <v>472840.76666666695</v>
      </c>
      <c r="Z30">
        <v>430312.76666666666</v>
      </c>
      <c r="AA30">
        <v>423260.43333333329</v>
      </c>
      <c r="AB30">
        <v>409334.1</v>
      </c>
      <c r="AC30">
        <v>779267.2</v>
      </c>
      <c r="AD30">
        <v>0</v>
      </c>
      <c r="AE30">
        <v>592195.19999999995</v>
      </c>
      <c r="AF30">
        <v>386946.79230769229</v>
      </c>
      <c r="AG30">
        <v>412493.6</v>
      </c>
      <c r="AH30">
        <v>462203.82307692309</v>
      </c>
      <c r="AI30">
        <v>629765.48888888897</v>
      </c>
      <c r="AJ30">
        <v>378175.63846153847</v>
      </c>
      <c r="AK30">
        <v>454022.0230769231</v>
      </c>
      <c r="AL30">
        <v>448837.52673992666</v>
      </c>
      <c r="AM30">
        <v>369814.4846153846</v>
      </c>
      <c r="AN30">
        <v>453984.94249084248</v>
      </c>
      <c r="AO30">
        <v>435304.24285714288</v>
      </c>
      <c r="AP30">
        <v>383482.59267399268</v>
      </c>
    </row>
    <row r="31" spans="2:42" x14ac:dyDescent="0.25">
      <c r="B31" t="s">
        <v>147</v>
      </c>
      <c r="C31">
        <v>273326.64615384623</v>
      </c>
      <c r="D31">
        <v>263715.03076923086</v>
      </c>
      <c r="E31">
        <v>266749.26153846155</v>
      </c>
      <c r="F31">
        <v>255856.18461538464</v>
      </c>
      <c r="G31">
        <v>287656.26153846155</v>
      </c>
      <c r="H31">
        <v>353445.57289377303</v>
      </c>
      <c r="I31">
        <v>286991.87692307692</v>
      </c>
      <c r="J31">
        <v>344589.64615384606</v>
      </c>
      <c r="K31">
        <v>794922.42179487203</v>
      </c>
      <c r="L31">
        <v>319298.72307692317</v>
      </c>
      <c r="M31">
        <v>322062.80000000005</v>
      </c>
      <c r="N31">
        <v>266788.87692307692</v>
      </c>
      <c r="O31">
        <v>248477.33846153854</v>
      </c>
      <c r="P31">
        <v>394941.56923076906</v>
      </c>
      <c r="Q31">
        <v>517117.26153846207</v>
      </c>
      <c r="R31">
        <v>755330.49230769207</v>
      </c>
      <c r="S31">
        <v>400214.33846153808</v>
      </c>
      <c r="T31">
        <v>277385.18461538467</v>
      </c>
      <c r="U31">
        <v>316104.18461538467</v>
      </c>
      <c r="V31">
        <v>287919.46666666673</v>
      </c>
      <c r="W31">
        <v>332071.13333333307</v>
      </c>
      <c r="X31">
        <v>351198.13333333307</v>
      </c>
      <c r="Y31">
        <v>334934.46666666702</v>
      </c>
      <c r="Z31">
        <v>292406.46666666673</v>
      </c>
      <c r="AA31">
        <v>285354.13333333336</v>
      </c>
      <c r="AB31">
        <v>271427.80000000005</v>
      </c>
      <c r="AC31">
        <v>641360.9</v>
      </c>
      <c r="AD31">
        <v>586139.20000000007</v>
      </c>
      <c r="AE31">
        <v>0</v>
      </c>
      <c r="AF31">
        <v>249040.49230769236</v>
      </c>
      <c r="AG31">
        <v>274587.30000000005</v>
      </c>
      <c r="AH31">
        <v>324297.52307692316</v>
      </c>
      <c r="AI31">
        <v>491859.18888888904</v>
      </c>
      <c r="AJ31">
        <v>240269.33846153854</v>
      </c>
      <c r="AK31">
        <v>316115.72307692317</v>
      </c>
      <c r="AL31">
        <v>310931.22673992673</v>
      </c>
      <c r="AM31">
        <v>231908.18461538467</v>
      </c>
      <c r="AN31">
        <v>316078.64249084255</v>
      </c>
      <c r="AO31">
        <v>297397.94285714295</v>
      </c>
      <c r="AP31">
        <v>245576.29267399275</v>
      </c>
    </row>
    <row r="32" spans="2:42" x14ac:dyDescent="0.25">
      <c r="B32" t="s">
        <v>30</v>
      </c>
      <c r="C32">
        <v>68695.153846153888</v>
      </c>
      <c r="D32">
        <v>59083.538461538497</v>
      </c>
      <c r="E32">
        <v>62117.76923076919</v>
      </c>
      <c r="F32">
        <v>51224.69230769229</v>
      </c>
      <c r="G32">
        <v>83024.76923076919</v>
      </c>
      <c r="H32">
        <v>148814.0805860807</v>
      </c>
      <c r="I32">
        <v>82360.384615384595</v>
      </c>
      <c r="J32">
        <v>139958.1538461537</v>
      </c>
      <c r="K32">
        <v>590290.92948717973</v>
      </c>
      <c r="L32">
        <v>114667.23076923079</v>
      </c>
      <c r="M32">
        <v>117431.30769230769</v>
      </c>
      <c r="N32">
        <v>62157.384615384595</v>
      </c>
      <c r="O32">
        <v>43845.846153846192</v>
      </c>
      <c r="P32">
        <v>190310.07692307667</v>
      </c>
      <c r="Q32">
        <v>312485.76923076971</v>
      </c>
      <c r="R32">
        <v>550698.99999999977</v>
      </c>
      <c r="S32">
        <v>195582.84615384569</v>
      </c>
      <c r="T32">
        <v>72753.692307692298</v>
      </c>
      <c r="U32">
        <v>111472.69230769228</v>
      </c>
      <c r="V32">
        <v>83287.974358974388</v>
      </c>
      <c r="W32">
        <v>127439.64102564068</v>
      </c>
      <c r="X32">
        <v>146566.64102564068</v>
      </c>
      <c r="Y32">
        <v>130302.97435897469</v>
      </c>
      <c r="Z32">
        <v>87774.974358974388</v>
      </c>
      <c r="AA32">
        <v>80722.641025640987</v>
      </c>
      <c r="AB32">
        <v>66796.307692307688</v>
      </c>
      <c r="AC32">
        <v>436729.40769230766</v>
      </c>
      <c r="AD32">
        <v>381507.70769230771</v>
      </c>
      <c r="AE32">
        <v>249657.40769230769</v>
      </c>
      <c r="AF32">
        <v>0</v>
      </c>
      <c r="AG32">
        <v>69955.807692307688</v>
      </c>
      <c r="AH32">
        <v>119666.03076923078</v>
      </c>
      <c r="AI32">
        <v>287227.69658119668</v>
      </c>
      <c r="AJ32">
        <v>35637.846153846192</v>
      </c>
      <c r="AK32">
        <v>111484.23076923079</v>
      </c>
      <c r="AL32">
        <v>106299.73443223439</v>
      </c>
      <c r="AM32">
        <v>27276.692307692312</v>
      </c>
      <c r="AN32">
        <v>111447.15018315018</v>
      </c>
      <c r="AO32">
        <v>92766.450549450587</v>
      </c>
      <c r="AP32">
        <v>40944.800366300391</v>
      </c>
    </row>
    <row r="33" spans="1:42" x14ac:dyDescent="0.25">
      <c r="B33" t="s">
        <v>31</v>
      </c>
      <c r="C33">
        <v>95137.446153846191</v>
      </c>
      <c r="D33">
        <v>85525.830769230786</v>
      </c>
      <c r="E33">
        <v>88560.061538461494</v>
      </c>
      <c r="F33">
        <v>77666.984615384587</v>
      </c>
      <c r="G33">
        <v>109467.06153846149</v>
      </c>
      <c r="H33">
        <v>175256.37289377299</v>
      </c>
      <c r="I33">
        <v>108802.67692307688</v>
      </c>
      <c r="J33">
        <v>166400.44615384599</v>
      </c>
      <c r="K33">
        <v>616733.22179487196</v>
      </c>
      <c r="L33">
        <v>141109.5230769231</v>
      </c>
      <c r="M33">
        <v>143873.59999999998</v>
      </c>
      <c r="N33">
        <v>88599.676923076884</v>
      </c>
      <c r="O33">
        <v>70288.138461538489</v>
      </c>
      <c r="P33">
        <v>216752.36923076899</v>
      </c>
      <c r="Q33">
        <v>338928.061538462</v>
      </c>
      <c r="R33">
        <v>577141.292307692</v>
      </c>
      <c r="S33">
        <v>222025.13846153801</v>
      </c>
      <c r="T33">
        <v>99195.984615384601</v>
      </c>
      <c r="U33">
        <v>137914.9846153846</v>
      </c>
      <c r="V33">
        <v>109730.26666666669</v>
      </c>
      <c r="W33">
        <v>153881.933333333</v>
      </c>
      <c r="X33">
        <v>173008.933333333</v>
      </c>
      <c r="Y33">
        <v>156745.26666666701</v>
      </c>
      <c r="Z33">
        <v>114217.26666666669</v>
      </c>
      <c r="AA33">
        <v>107164.93333333329</v>
      </c>
      <c r="AB33">
        <v>93238.599999999991</v>
      </c>
      <c r="AC33">
        <v>463171.69999999995</v>
      </c>
      <c r="AD33">
        <v>407950</v>
      </c>
      <c r="AE33">
        <v>276099.7</v>
      </c>
      <c r="AF33">
        <v>70851.292307692289</v>
      </c>
      <c r="AG33">
        <v>0</v>
      </c>
      <c r="AH33">
        <v>146108.32307692309</v>
      </c>
      <c r="AI33">
        <v>313669.98888888897</v>
      </c>
      <c r="AJ33">
        <v>62080.138461538489</v>
      </c>
      <c r="AK33">
        <v>137926.5230769231</v>
      </c>
      <c r="AL33">
        <v>132742.02673992669</v>
      </c>
      <c r="AM33">
        <v>53718.984615384608</v>
      </c>
      <c r="AN33">
        <v>137889.44249084248</v>
      </c>
      <c r="AO33">
        <v>119208.74285714289</v>
      </c>
      <c r="AP33">
        <v>67387.092673992694</v>
      </c>
    </row>
    <row r="34" spans="1:42" x14ac:dyDescent="0.25">
      <c r="B34" t="s">
        <v>32</v>
      </c>
      <c r="C34">
        <v>141247.8666666667</v>
      </c>
      <c r="D34">
        <v>131636.25128205132</v>
      </c>
      <c r="E34">
        <v>134670.48205128202</v>
      </c>
      <c r="F34">
        <v>123777.40512820511</v>
      </c>
      <c r="G34">
        <v>155577.48205128202</v>
      </c>
      <c r="H34">
        <v>221366.7934065935</v>
      </c>
      <c r="I34">
        <v>154913.09743589742</v>
      </c>
      <c r="J34">
        <v>212510.86666666652</v>
      </c>
      <c r="K34">
        <v>662843.64230769244</v>
      </c>
      <c r="L34">
        <v>187219.94358974363</v>
      </c>
      <c r="M34">
        <v>189984.02051282051</v>
      </c>
      <c r="N34">
        <v>134710.09743589742</v>
      </c>
      <c r="O34">
        <v>116398.55897435901</v>
      </c>
      <c r="P34">
        <v>262862.78974358947</v>
      </c>
      <c r="Q34">
        <v>385038.48205128254</v>
      </c>
      <c r="R34">
        <v>623251.71282051248</v>
      </c>
      <c r="S34">
        <v>268135.55897435849</v>
      </c>
      <c r="T34">
        <v>145306.40512820511</v>
      </c>
      <c r="U34">
        <v>184025.40512820511</v>
      </c>
      <c r="V34">
        <v>155840.6871794872</v>
      </c>
      <c r="W34">
        <v>199992.35384615351</v>
      </c>
      <c r="X34">
        <v>219119.35384615351</v>
      </c>
      <c r="Y34">
        <v>202855.68717948752</v>
      </c>
      <c r="Z34">
        <v>160327.6871794872</v>
      </c>
      <c r="AA34">
        <v>153275.35384615383</v>
      </c>
      <c r="AB34">
        <v>139349.02051282051</v>
      </c>
      <c r="AC34">
        <v>509282.12051282049</v>
      </c>
      <c r="AD34">
        <v>454060.42051282054</v>
      </c>
      <c r="AE34">
        <v>322210.12051282055</v>
      </c>
      <c r="AF34">
        <v>116961.71282051281</v>
      </c>
      <c r="AG34">
        <v>142508.52051282051</v>
      </c>
      <c r="AH34">
        <v>0</v>
      </c>
      <c r="AI34">
        <v>359780.4094017095</v>
      </c>
      <c r="AJ34">
        <v>108190.55897435901</v>
      </c>
      <c r="AK34">
        <v>184036.94358974363</v>
      </c>
      <c r="AL34">
        <v>178852.4472527472</v>
      </c>
      <c r="AM34">
        <v>99829.405128205137</v>
      </c>
      <c r="AN34">
        <v>183999.86300366302</v>
      </c>
      <c r="AO34">
        <v>165319.16336996341</v>
      </c>
      <c r="AP34">
        <v>113497.51318681322</v>
      </c>
    </row>
    <row r="35" spans="1:42" x14ac:dyDescent="0.25">
      <c r="B35" t="s">
        <v>33</v>
      </c>
      <c r="C35">
        <v>323157.07264957268</v>
      </c>
      <c r="D35">
        <v>313545.45726495731</v>
      </c>
      <c r="E35">
        <v>316579.688034188</v>
      </c>
      <c r="F35">
        <v>305686.61111111112</v>
      </c>
      <c r="G35">
        <v>337486.688034188</v>
      </c>
      <c r="H35">
        <v>403275.99938949948</v>
      </c>
      <c r="I35">
        <v>336822.30341880338</v>
      </c>
      <c r="J35">
        <v>394420.07264957251</v>
      </c>
      <c r="K35">
        <v>844752.84829059849</v>
      </c>
      <c r="L35">
        <v>369129.14957264962</v>
      </c>
      <c r="M35">
        <v>371893.2264957265</v>
      </c>
      <c r="N35">
        <v>316619.30341880338</v>
      </c>
      <c r="O35">
        <v>298307.764957265</v>
      </c>
      <c r="P35">
        <v>444771.99572649552</v>
      </c>
      <c r="Q35">
        <v>566947.68803418847</v>
      </c>
      <c r="R35">
        <v>805160.91880341852</v>
      </c>
      <c r="S35">
        <v>450044.76495726453</v>
      </c>
      <c r="T35">
        <v>327215.61111111112</v>
      </c>
      <c r="U35">
        <v>365934.61111111112</v>
      </c>
      <c r="V35">
        <v>337749.89316239319</v>
      </c>
      <c r="W35">
        <v>381901.55982905952</v>
      </c>
      <c r="X35">
        <v>401028.55982905952</v>
      </c>
      <c r="Y35">
        <v>384764.89316239348</v>
      </c>
      <c r="Z35">
        <v>342236.89316239319</v>
      </c>
      <c r="AA35">
        <v>335184.55982905981</v>
      </c>
      <c r="AB35">
        <v>321258.2264957265</v>
      </c>
      <c r="AC35">
        <v>691191.32649572648</v>
      </c>
      <c r="AD35">
        <v>635969.62649572652</v>
      </c>
      <c r="AE35">
        <v>504119.32649572648</v>
      </c>
      <c r="AF35">
        <v>298870.91880341881</v>
      </c>
      <c r="AG35">
        <v>324417.7264957265</v>
      </c>
      <c r="AH35">
        <v>374127.94957264961</v>
      </c>
      <c r="AI35">
        <v>0</v>
      </c>
      <c r="AJ35">
        <v>290099.764957265</v>
      </c>
      <c r="AK35">
        <v>365946.14957264962</v>
      </c>
      <c r="AL35">
        <v>360761.65323565318</v>
      </c>
      <c r="AM35">
        <v>281738.61111111112</v>
      </c>
      <c r="AN35">
        <v>365909.06898656901</v>
      </c>
      <c r="AO35">
        <v>347228.3693528694</v>
      </c>
      <c r="AP35">
        <v>295406.7191697192</v>
      </c>
    </row>
    <row r="36" spans="1:42" x14ac:dyDescent="0.25">
      <c r="B36" t="s">
        <v>34</v>
      </c>
      <c r="C36">
        <v>62655.230769230817</v>
      </c>
      <c r="D36">
        <v>53043.615384615419</v>
      </c>
      <c r="E36">
        <v>56077.84615384612</v>
      </c>
      <c r="F36">
        <v>45184.769230769212</v>
      </c>
      <c r="G36">
        <v>76984.846153846112</v>
      </c>
      <c r="H36">
        <v>142774.15750915761</v>
      </c>
      <c r="I36">
        <v>76320.461538461517</v>
      </c>
      <c r="J36">
        <v>133918.23076923061</v>
      </c>
      <c r="K36">
        <v>584251.00641025661</v>
      </c>
      <c r="L36">
        <v>108627.30769230772</v>
      </c>
      <c r="M36">
        <v>111391.38461538461</v>
      </c>
      <c r="N36">
        <v>56117.461538461517</v>
      </c>
      <c r="O36">
        <v>37805.923076923114</v>
      </c>
      <c r="P36">
        <v>184270.15384615361</v>
      </c>
      <c r="Q36">
        <v>306445.84615384665</v>
      </c>
      <c r="R36">
        <v>544659.07692307665</v>
      </c>
      <c r="S36">
        <v>189542.92307692263</v>
      </c>
      <c r="T36">
        <v>66713.76923076922</v>
      </c>
      <c r="U36">
        <v>105432.76923076921</v>
      </c>
      <c r="V36">
        <v>77248.05128205131</v>
      </c>
      <c r="W36">
        <v>121399.7179487176</v>
      </c>
      <c r="X36">
        <v>140526.71794871762</v>
      </c>
      <c r="Y36">
        <v>124263.05128205162</v>
      </c>
      <c r="Z36">
        <v>81735.05128205131</v>
      </c>
      <c r="AA36">
        <v>74682.717948717909</v>
      </c>
      <c r="AB36">
        <v>60756.384615384617</v>
      </c>
      <c r="AC36">
        <v>430689.4846153846</v>
      </c>
      <c r="AD36">
        <v>375467.78461538465</v>
      </c>
      <c r="AE36">
        <v>243617.48461538463</v>
      </c>
      <c r="AF36">
        <v>38369.076923076915</v>
      </c>
      <c r="AG36">
        <v>63915.884615384617</v>
      </c>
      <c r="AH36">
        <v>113626.10769230771</v>
      </c>
      <c r="AI36">
        <v>281187.77350427362</v>
      </c>
      <c r="AJ36">
        <v>0</v>
      </c>
      <c r="AK36">
        <v>105444.30769230772</v>
      </c>
      <c r="AL36">
        <v>100259.81135531131</v>
      </c>
      <c r="AM36">
        <v>21236.769230769234</v>
      </c>
      <c r="AN36">
        <v>105407.2271062271</v>
      </c>
      <c r="AO36">
        <v>86726.527472527509</v>
      </c>
      <c r="AP36">
        <v>34904.877289377313</v>
      </c>
    </row>
    <row r="37" spans="1:42" x14ac:dyDescent="0.25">
      <c r="B37" t="s">
        <v>35</v>
      </c>
      <c r="C37">
        <v>141154.76923076928</v>
      </c>
      <c r="D37">
        <v>131543.15384615387</v>
      </c>
      <c r="E37">
        <v>134577.38461538457</v>
      </c>
      <c r="F37">
        <v>123684.30769230767</v>
      </c>
      <c r="G37">
        <v>155484.38461538457</v>
      </c>
      <c r="H37">
        <v>221273.69597069608</v>
      </c>
      <c r="I37">
        <v>154819.99999999997</v>
      </c>
      <c r="J37">
        <v>212417.76923076907</v>
      </c>
      <c r="K37">
        <v>662750.54487179511</v>
      </c>
      <c r="L37">
        <v>187126.84615384619</v>
      </c>
      <c r="M37">
        <v>189890.92307692306</v>
      </c>
      <c r="N37">
        <v>134616.99999999997</v>
      </c>
      <c r="O37">
        <v>116305.46153846158</v>
      </c>
      <c r="P37">
        <v>262769.69230769208</v>
      </c>
      <c r="Q37">
        <v>384945.38461538509</v>
      </c>
      <c r="R37">
        <v>623158.61538461514</v>
      </c>
      <c r="S37">
        <v>268042.4615384611</v>
      </c>
      <c r="T37">
        <v>145213.30769230769</v>
      </c>
      <c r="U37">
        <v>183932.30769230769</v>
      </c>
      <c r="V37">
        <v>155747.58974358978</v>
      </c>
      <c r="W37">
        <v>199899.25641025609</v>
      </c>
      <c r="X37">
        <v>219026.25641025609</v>
      </c>
      <c r="Y37">
        <v>202762.5897435901</v>
      </c>
      <c r="Z37">
        <v>160234.58974358978</v>
      </c>
      <c r="AA37">
        <v>153182.25641025638</v>
      </c>
      <c r="AB37">
        <v>139255.92307692306</v>
      </c>
      <c r="AC37">
        <v>509189.02307692304</v>
      </c>
      <c r="AD37">
        <v>453967.32307692309</v>
      </c>
      <c r="AE37">
        <v>322117.0230769231</v>
      </c>
      <c r="AF37">
        <v>116868.61538461538</v>
      </c>
      <c r="AG37">
        <v>142415.42307692306</v>
      </c>
      <c r="AH37">
        <v>192125.64615384617</v>
      </c>
      <c r="AI37">
        <v>359687.31196581206</v>
      </c>
      <c r="AJ37">
        <v>108097.46153846158</v>
      </c>
      <c r="AK37">
        <v>0</v>
      </c>
      <c r="AL37">
        <v>178759.34981684978</v>
      </c>
      <c r="AM37">
        <v>99736.307692307702</v>
      </c>
      <c r="AN37">
        <v>183906.76556776557</v>
      </c>
      <c r="AO37">
        <v>165226.06593406596</v>
      </c>
      <c r="AP37">
        <v>113404.41575091578</v>
      </c>
    </row>
    <row r="38" spans="1:42" x14ac:dyDescent="0.25">
      <c r="B38" t="s">
        <v>36</v>
      </c>
      <c r="C38">
        <v>130586.4212454213</v>
      </c>
      <c r="D38">
        <v>120974.80586080591</v>
      </c>
      <c r="E38">
        <v>124009.0366300366</v>
      </c>
      <c r="F38">
        <v>113115.95970695969</v>
      </c>
      <c r="G38">
        <v>144916.0366300366</v>
      </c>
      <c r="H38">
        <v>210705.34798534808</v>
      </c>
      <c r="I38">
        <v>144251.65201465201</v>
      </c>
      <c r="J38">
        <v>201849.42124542111</v>
      </c>
      <c r="K38">
        <v>652182.19688644703</v>
      </c>
      <c r="L38">
        <v>176558.49816849822</v>
      </c>
      <c r="M38">
        <v>179322.5750915751</v>
      </c>
      <c r="N38">
        <v>124048.65201465201</v>
      </c>
      <c r="O38">
        <v>105737.1135531136</v>
      </c>
      <c r="P38">
        <v>252201.34432234408</v>
      </c>
      <c r="Q38">
        <v>374377.03663003712</v>
      </c>
      <c r="R38">
        <v>612590.26739926706</v>
      </c>
      <c r="S38">
        <v>257474.1135531131</v>
      </c>
      <c r="T38">
        <v>134644.95970695969</v>
      </c>
      <c r="U38">
        <v>173363.95970695969</v>
      </c>
      <c r="V38">
        <v>145179.24175824178</v>
      </c>
      <c r="W38">
        <v>189330.90842490809</v>
      </c>
      <c r="X38">
        <v>208457.90842490809</v>
      </c>
      <c r="Y38">
        <v>192194.2417582421</v>
      </c>
      <c r="Z38">
        <v>149666.24175824178</v>
      </c>
      <c r="AA38">
        <v>142613.90842490841</v>
      </c>
      <c r="AB38">
        <v>128687.5750915751</v>
      </c>
      <c r="AC38">
        <v>498620.67509157507</v>
      </c>
      <c r="AD38">
        <v>443398.97509157512</v>
      </c>
      <c r="AE38">
        <v>311548.67509157513</v>
      </c>
      <c r="AF38">
        <v>106300.2673992674</v>
      </c>
      <c r="AG38">
        <v>131847.0750915751</v>
      </c>
      <c r="AH38">
        <v>181557.29816849821</v>
      </c>
      <c r="AI38">
        <v>349118.96398046409</v>
      </c>
      <c r="AJ38">
        <v>97529.113553113595</v>
      </c>
      <c r="AK38">
        <v>173375.49816849822</v>
      </c>
      <c r="AL38">
        <v>0</v>
      </c>
      <c r="AM38">
        <v>89167.959706959722</v>
      </c>
      <c r="AN38">
        <v>173338.41758241761</v>
      </c>
      <c r="AO38">
        <v>154657.717948718</v>
      </c>
      <c r="AP38">
        <v>102836.0677655678</v>
      </c>
    </row>
    <row r="39" spans="1:42" x14ac:dyDescent="0.25">
      <c r="B39" t="s">
        <v>37</v>
      </c>
      <c r="C39">
        <v>53919.538461538505</v>
      </c>
      <c r="D39">
        <v>44307.923076923107</v>
      </c>
      <c r="E39">
        <v>47342.153846153808</v>
      </c>
      <c r="F39">
        <v>36449.076923076907</v>
      </c>
      <c r="G39">
        <v>68249.153846153815</v>
      </c>
      <c r="H39">
        <v>134038.4652014653</v>
      </c>
      <c r="I39">
        <v>67584.769230769205</v>
      </c>
      <c r="J39">
        <v>125182.53846153831</v>
      </c>
      <c r="K39">
        <v>575515.31410256424</v>
      </c>
      <c r="L39">
        <v>99891.615384615419</v>
      </c>
      <c r="M39">
        <v>102655.69230769231</v>
      </c>
      <c r="N39">
        <v>47381.769230769205</v>
      </c>
      <c r="O39">
        <v>29070.23076923081</v>
      </c>
      <c r="P39">
        <v>175534.4615384613</v>
      </c>
      <c r="Q39">
        <v>297710.15384615434</v>
      </c>
      <c r="R39">
        <v>535923.38461538428</v>
      </c>
      <c r="S39">
        <v>180807.23076923031</v>
      </c>
      <c r="T39">
        <v>57978.076923076907</v>
      </c>
      <c r="U39">
        <v>96697.076923076907</v>
      </c>
      <c r="V39">
        <v>68512.358974359013</v>
      </c>
      <c r="W39">
        <v>112664.02564102531</v>
      </c>
      <c r="X39">
        <v>131791.02564102531</v>
      </c>
      <c r="Y39">
        <v>115527.35897435932</v>
      </c>
      <c r="Z39">
        <v>72999.358974359013</v>
      </c>
      <c r="AA39">
        <v>65947.025641025612</v>
      </c>
      <c r="AB39">
        <v>52020.692307692305</v>
      </c>
      <c r="AC39">
        <v>421953.79230769229</v>
      </c>
      <c r="AD39">
        <v>366732.09230769234</v>
      </c>
      <c r="AE39">
        <v>234881.79230769232</v>
      </c>
      <c r="AF39">
        <v>29633.38461538461</v>
      </c>
      <c r="AG39">
        <v>55180.192307692305</v>
      </c>
      <c r="AH39">
        <v>104890.41538461541</v>
      </c>
      <c r="AI39">
        <v>272452.0811965813</v>
      </c>
      <c r="AJ39">
        <v>20862.230769230806</v>
      </c>
      <c r="AK39">
        <v>96708.615384615419</v>
      </c>
      <c r="AL39">
        <v>91524.11904761901</v>
      </c>
      <c r="AM39">
        <v>0</v>
      </c>
      <c r="AN39">
        <v>96671.534798534805</v>
      </c>
      <c r="AO39">
        <v>77990.835164835211</v>
      </c>
      <c r="AP39">
        <v>26169.184981685008</v>
      </c>
    </row>
    <row r="40" spans="1:42" x14ac:dyDescent="0.25">
      <c r="B40" t="s">
        <v>38</v>
      </c>
      <c r="C40">
        <v>148202.35897435903</v>
      </c>
      <c r="D40">
        <v>138590.74358974362</v>
      </c>
      <c r="E40">
        <v>141624.97435897432</v>
      </c>
      <c r="F40">
        <v>130731.89743589742</v>
      </c>
      <c r="G40">
        <v>162531.97435897432</v>
      </c>
      <c r="H40">
        <v>228321.28571428583</v>
      </c>
      <c r="I40">
        <v>161867.58974358972</v>
      </c>
      <c r="J40">
        <v>219465.35897435882</v>
      </c>
      <c r="K40">
        <v>669798.13461538486</v>
      </c>
      <c r="L40">
        <v>194174.43589743593</v>
      </c>
      <c r="M40">
        <v>196938.51282051281</v>
      </c>
      <c r="N40">
        <v>141664.58974358972</v>
      </c>
      <c r="O40">
        <v>123353.05128205132</v>
      </c>
      <c r="P40">
        <v>269817.28205128183</v>
      </c>
      <c r="Q40">
        <v>391992.97435897484</v>
      </c>
      <c r="R40">
        <v>630206.20512820489</v>
      </c>
      <c r="S40">
        <v>275090.05128205084</v>
      </c>
      <c r="T40">
        <v>152260.89743589744</v>
      </c>
      <c r="U40">
        <v>190979.89743589744</v>
      </c>
      <c r="V40">
        <v>162795.17948717953</v>
      </c>
      <c r="W40">
        <v>206946.84615384584</v>
      </c>
      <c r="X40">
        <v>226073.84615384584</v>
      </c>
      <c r="Y40">
        <v>209810.17948717985</v>
      </c>
      <c r="Z40">
        <v>167282.17948717953</v>
      </c>
      <c r="AA40">
        <v>160229.84615384613</v>
      </c>
      <c r="AB40">
        <v>146303.51282051281</v>
      </c>
      <c r="AC40">
        <v>516236.61282051279</v>
      </c>
      <c r="AD40">
        <v>461014.91282051284</v>
      </c>
      <c r="AE40">
        <v>329164.61282051285</v>
      </c>
      <c r="AF40">
        <v>123916.20512820513</v>
      </c>
      <c r="AG40">
        <v>149463.01282051281</v>
      </c>
      <c r="AH40">
        <v>199173.23589743592</v>
      </c>
      <c r="AI40">
        <v>366734.90170940181</v>
      </c>
      <c r="AJ40">
        <v>115145.05128205132</v>
      </c>
      <c r="AK40">
        <v>190991.43589743593</v>
      </c>
      <c r="AL40">
        <v>185806.93956043952</v>
      </c>
      <c r="AM40">
        <v>106783.89743589745</v>
      </c>
      <c r="AN40">
        <v>0</v>
      </c>
      <c r="AO40">
        <v>172273.65567765571</v>
      </c>
      <c r="AP40">
        <v>120452.00549450553</v>
      </c>
    </row>
    <row r="41" spans="1:42" x14ac:dyDescent="0.25">
      <c r="B41" t="s">
        <v>39</v>
      </c>
      <c r="C41">
        <v>115199.3461538462</v>
      </c>
      <c r="D41">
        <v>105587.73076923081</v>
      </c>
      <c r="E41">
        <v>108621.9615384615</v>
      </c>
      <c r="F41">
        <v>97728.884615384595</v>
      </c>
      <c r="G41">
        <v>129528.9615384615</v>
      </c>
      <c r="H41">
        <v>195318.27289377298</v>
      </c>
      <c r="I41">
        <v>128864.57692307691</v>
      </c>
      <c r="J41">
        <v>186462.34615384601</v>
      </c>
      <c r="K41">
        <v>636795.12179487199</v>
      </c>
      <c r="L41">
        <v>161171.42307692312</v>
      </c>
      <c r="M41">
        <v>163935.5</v>
      </c>
      <c r="N41">
        <v>108661.57692307691</v>
      </c>
      <c r="O41">
        <v>90350.038461538497</v>
      </c>
      <c r="P41">
        <v>236814.26923076899</v>
      </c>
      <c r="Q41">
        <v>358989.96153846203</v>
      </c>
      <c r="R41">
        <v>597203.19230769202</v>
      </c>
      <c r="S41">
        <v>242087.038461538</v>
      </c>
      <c r="T41">
        <v>119257.8846153846</v>
      </c>
      <c r="U41">
        <v>157976.8846153846</v>
      </c>
      <c r="V41">
        <v>129792.1666666667</v>
      </c>
      <c r="W41">
        <v>173943.83333333299</v>
      </c>
      <c r="X41">
        <v>193070.83333333299</v>
      </c>
      <c r="Y41">
        <v>176807.16666666701</v>
      </c>
      <c r="Z41">
        <v>134279.16666666669</v>
      </c>
      <c r="AA41">
        <v>127226.8333333333</v>
      </c>
      <c r="AB41">
        <v>113300.5</v>
      </c>
      <c r="AC41">
        <v>483233.6</v>
      </c>
      <c r="AD41">
        <v>428011.9</v>
      </c>
      <c r="AE41">
        <v>296161.59999999998</v>
      </c>
      <c r="AF41">
        <v>90913.192307692298</v>
      </c>
      <c r="AG41">
        <v>116460</v>
      </c>
      <c r="AH41">
        <v>166170.22307692311</v>
      </c>
      <c r="AI41">
        <v>333731.88888888899</v>
      </c>
      <c r="AJ41">
        <v>82142.038461538497</v>
      </c>
      <c r="AK41">
        <v>157988.42307692312</v>
      </c>
      <c r="AL41">
        <v>152803.92673992668</v>
      </c>
      <c r="AM41">
        <v>73780.884615384624</v>
      </c>
      <c r="AN41">
        <v>157951.34249084251</v>
      </c>
      <c r="AO41">
        <v>0</v>
      </c>
      <c r="AP41">
        <v>87448.992673992703</v>
      </c>
    </row>
    <row r="42" spans="1:42" x14ac:dyDescent="0.25">
      <c r="B42" t="s">
        <v>40</v>
      </c>
      <c r="C42">
        <v>71233.190476190532</v>
      </c>
      <c r="D42">
        <v>61621.575091575127</v>
      </c>
      <c r="E42">
        <v>64655.805860805827</v>
      </c>
      <c r="F42">
        <v>53762.728937728927</v>
      </c>
      <c r="G42">
        <v>85562.80586080582</v>
      </c>
      <c r="H42">
        <v>151352.11721611733</v>
      </c>
      <c r="I42">
        <v>84898.421245421225</v>
      </c>
      <c r="J42">
        <v>142496.19047619033</v>
      </c>
      <c r="K42">
        <v>592828.96611721627</v>
      </c>
      <c r="L42">
        <v>117205.26739926744</v>
      </c>
      <c r="M42">
        <v>119969.34432234432</v>
      </c>
      <c r="N42">
        <v>64695.421245421225</v>
      </c>
      <c r="O42">
        <v>46383.882783882829</v>
      </c>
      <c r="P42">
        <v>192848.1135531133</v>
      </c>
      <c r="Q42">
        <v>315023.80586080637</v>
      </c>
      <c r="R42">
        <v>553237.03663003631</v>
      </c>
      <c r="S42">
        <v>198120.88278388232</v>
      </c>
      <c r="T42">
        <v>75291.728937728927</v>
      </c>
      <c r="U42">
        <v>114010.72893772891</v>
      </c>
      <c r="V42">
        <v>85826.010989011033</v>
      </c>
      <c r="W42">
        <v>129977.67765567731</v>
      </c>
      <c r="X42">
        <v>149104.67765567731</v>
      </c>
      <c r="Y42">
        <v>132841.01098901132</v>
      </c>
      <c r="Z42">
        <v>90313.010989011033</v>
      </c>
      <c r="AA42">
        <v>83260.677655677631</v>
      </c>
      <c r="AB42">
        <v>69334.344322344317</v>
      </c>
      <c r="AC42">
        <v>439267.44432234432</v>
      </c>
      <c r="AD42">
        <v>384045.74432234437</v>
      </c>
      <c r="AE42">
        <v>252195.44432234432</v>
      </c>
      <c r="AF42">
        <v>46947.03663003663</v>
      </c>
      <c r="AG42">
        <v>72493.844322344317</v>
      </c>
      <c r="AH42">
        <v>122204.06739926743</v>
      </c>
      <c r="AI42">
        <v>289765.73321123334</v>
      </c>
      <c r="AJ42">
        <v>38175.882783882822</v>
      </c>
      <c r="AK42">
        <v>114022.26739926744</v>
      </c>
      <c r="AL42">
        <v>108837.77106227103</v>
      </c>
      <c r="AM42">
        <v>29814.728937728945</v>
      </c>
      <c r="AN42">
        <v>113985.18681318683</v>
      </c>
      <c r="AO42">
        <v>95304.487179487216</v>
      </c>
      <c r="AP42">
        <v>0</v>
      </c>
    </row>
    <row r="44" spans="1:42" x14ac:dyDescent="0.25">
      <c r="A44" t="s">
        <v>117</v>
      </c>
      <c r="B44" t="s">
        <v>118</v>
      </c>
      <c r="C44" t="s">
        <v>119</v>
      </c>
      <c r="D44" t="s">
        <v>120</v>
      </c>
      <c r="E44" t="s">
        <v>121</v>
      </c>
    </row>
    <row r="45" spans="1:42" hidden="1" x14ac:dyDescent="0.25">
      <c r="A45">
        <v>1</v>
      </c>
      <c r="B45">
        <v>1</v>
      </c>
      <c r="C45" t="s">
        <v>0</v>
      </c>
      <c r="D45" t="s">
        <v>0</v>
      </c>
      <c r="E45" s="4">
        <f ca="1">OFFSET($B$2,A45,B45)</f>
        <v>0</v>
      </c>
    </row>
    <row r="46" spans="1:42" hidden="1" x14ac:dyDescent="0.25">
      <c r="A46">
        <v>1</v>
      </c>
      <c r="B46">
        <v>2</v>
      </c>
      <c r="C46" t="s">
        <v>0</v>
      </c>
      <c r="D46" t="s">
        <v>1</v>
      </c>
      <c r="E46" s="4">
        <f t="shared" ref="E46:E108" ca="1" si="0">OFFSET($B$2,A46,B46)</f>
        <v>86946.23076923081</v>
      </c>
    </row>
    <row r="47" spans="1:42" hidden="1" x14ac:dyDescent="0.25">
      <c r="A47">
        <v>1</v>
      </c>
      <c r="B47">
        <v>3</v>
      </c>
      <c r="C47" t="s">
        <v>0</v>
      </c>
      <c r="D47" t="s">
        <v>2</v>
      </c>
      <c r="E47" s="4">
        <f t="shared" ca="1" si="0"/>
        <v>89980.461538461503</v>
      </c>
    </row>
    <row r="48" spans="1:42" hidden="1" x14ac:dyDescent="0.25">
      <c r="A48">
        <v>1</v>
      </c>
      <c r="B48">
        <v>4</v>
      </c>
      <c r="C48" t="s">
        <v>0</v>
      </c>
      <c r="D48" t="s">
        <v>3</v>
      </c>
      <c r="E48" s="4">
        <f t="shared" ca="1" si="0"/>
        <v>79087.384615384595</v>
      </c>
    </row>
    <row r="49" spans="1:5" hidden="1" x14ac:dyDescent="0.25">
      <c r="A49">
        <v>1</v>
      </c>
      <c r="B49">
        <v>5</v>
      </c>
      <c r="C49" t="s">
        <v>0</v>
      </c>
      <c r="D49" t="s">
        <v>4</v>
      </c>
      <c r="E49" s="4">
        <f t="shared" ca="1" si="0"/>
        <v>110887.4615384615</v>
      </c>
    </row>
    <row r="50" spans="1:5" hidden="1" x14ac:dyDescent="0.25">
      <c r="A50">
        <v>1</v>
      </c>
      <c r="B50">
        <v>6</v>
      </c>
      <c r="C50" t="s">
        <v>0</v>
      </c>
      <c r="D50" t="s">
        <v>5</v>
      </c>
      <c r="E50" s="4">
        <f t="shared" ca="1" si="0"/>
        <v>176676.77289377298</v>
      </c>
    </row>
    <row r="51" spans="1:5" hidden="1" x14ac:dyDescent="0.25">
      <c r="A51">
        <v>1</v>
      </c>
      <c r="B51">
        <v>7</v>
      </c>
      <c r="C51" t="s">
        <v>0</v>
      </c>
      <c r="D51" t="s">
        <v>6</v>
      </c>
      <c r="E51" s="4">
        <f t="shared" ca="1" si="0"/>
        <v>110223.07692307691</v>
      </c>
    </row>
    <row r="52" spans="1:5" hidden="1" x14ac:dyDescent="0.25">
      <c r="A52">
        <v>1</v>
      </c>
      <c r="B52">
        <v>8</v>
      </c>
      <c r="C52" t="s">
        <v>0</v>
      </c>
      <c r="D52" t="s">
        <v>7</v>
      </c>
      <c r="E52" s="4">
        <f t="shared" ca="1" si="0"/>
        <v>167820.84615384601</v>
      </c>
    </row>
    <row r="53" spans="1:5" hidden="1" x14ac:dyDescent="0.25">
      <c r="A53">
        <v>1</v>
      </c>
      <c r="B53">
        <v>9</v>
      </c>
      <c r="C53" t="s">
        <v>0</v>
      </c>
      <c r="D53" t="s">
        <v>148</v>
      </c>
      <c r="E53" s="4">
        <f t="shared" ca="1" si="0"/>
        <v>618153.62179487199</v>
      </c>
    </row>
    <row r="54" spans="1:5" hidden="1" x14ac:dyDescent="0.25">
      <c r="A54">
        <v>1</v>
      </c>
      <c r="B54">
        <v>10</v>
      </c>
      <c r="C54" t="s">
        <v>0</v>
      </c>
      <c r="D54" t="s">
        <v>9</v>
      </c>
      <c r="E54" s="4">
        <f t="shared" ca="1" si="0"/>
        <v>142529.92307692312</v>
      </c>
    </row>
    <row r="55" spans="1:5" hidden="1" x14ac:dyDescent="0.25">
      <c r="A55">
        <v>1</v>
      </c>
      <c r="B55">
        <v>11</v>
      </c>
      <c r="C55" t="s">
        <v>0</v>
      </c>
      <c r="D55" t="s">
        <v>10</v>
      </c>
      <c r="E55" s="4">
        <f t="shared" ca="1" si="0"/>
        <v>145294</v>
      </c>
    </row>
    <row r="56" spans="1:5" hidden="1" x14ac:dyDescent="0.25">
      <c r="A56">
        <v>1</v>
      </c>
      <c r="B56">
        <v>12</v>
      </c>
      <c r="C56" t="s">
        <v>0</v>
      </c>
      <c r="D56" t="s">
        <v>11</v>
      </c>
      <c r="E56" s="4">
        <f t="shared" ca="1" si="0"/>
        <v>90020.076923076907</v>
      </c>
    </row>
    <row r="57" spans="1:5" hidden="1" x14ac:dyDescent="0.25">
      <c r="A57">
        <v>1</v>
      </c>
      <c r="B57">
        <v>13</v>
      </c>
      <c r="C57" t="s">
        <v>0</v>
      </c>
      <c r="D57" t="s">
        <v>12</v>
      </c>
      <c r="E57" s="4">
        <f t="shared" ca="1" si="0"/>
        <v>71708.538461538497</v>
      </c>
    </row>
    <row r="58" spans="1:5" hidden="1" x14ac:dyDescent="0.25">
      <c r="A58">
        <v>1</v>
      </c>
      <c r="B58">
        <v>14</v>
      </c>
      <c r="C58" t="s">
        <v>0</v>
      </c>
      <c r="D58" t="s">
        <v>13</v>
      </c>
      <c r="E58" s="4">
        <f t="shared" ca="1" si="0"/>
        <v>48337</v>
      </c>
    </row>
    <row r="59" spans="1:5" hidden="1" x14ac:dyDescent="0.25">
      <c r="A59">
        <v>1</v>
      </c>
      <c r="B59">
        <v>15</v>
      </c>
      <c r="C59" t="s">
        <v>0</v>
      </c>
      <c r="D59" t="s">
        <v>14</v>
      </c>
      <c r="E59" s="4">
        <f t="shared" ca="1" si="0"/>
        <v>340348.46153846203</v>
      </c>
    </row>
    <row r="60" spans="1:5" hidden="1" x14ac:dyDescent="0.25">
      <c r="A60">
        <v>1</v>
      </c>
      <c r="B60">
        <v>16</v>
      </c>
      <c r="C60" t="s">
        <v>0</v>
      </c>
      <c r="D60" t="s">
        <v>15</v>
      </c>
      <c r="E60" s="4">
        <f t="shared" ca="1" si="0"/>
        <v>223445.538461538</v>
      </c>
    </row>
    <row r="61" spans="1:5" hidden="1" x14ac:dyDescent="0.25">
      <c r="A61">
        <v>1</v>
      </c>
      <c r="B61">
        <v>17</v>
      </c>
      <c r="C61" t="s">
        <v>0</v>
      </c>
      <c r="D61" t="s">
        <v>16</v>
      </c>
      <c r="E61" s="4">
        <f t="shared" ca="1" si="0"/>
        <v>223445.538461538</v>
      </c>
    </row>
    <row r="62" spans="1:5" hidden="1" x14ac:dyDescent="0.25">
      <c r="A62">
        <v>1</v>
      </c>
      <c r="B62">
        <v>18</v>
      </c>
      <c r="C62" t="s">
        <v>0</v>
      </c>
      <c r="D62" t="s">
        <v>17</v>
      </c>
      <c r="E62" s="4">
        <f t="shared" ca="1" si="0"/>
        <v>100616.3846153846</v>
      </c>
    </row>
    <row r="63" spans="1:5" hidden="1" x14ac:dyDescent="0.25">
      <c r="A63">
        <v>1</v>
      </c>
      <c r="B63">
        <v>19</v>
      </c>
      <c r="C63" t="s">
        <v>0</v>
      </c>
      <c r="D63" t="s">
        <v>18</v>
      </c>
      <c r="E63" s="4">
        <f t="shared" ca="1" si="0"/>
        <v>139335.3846153846</v>
      </c>
    </row>
    <row r="64" spans="1:5" hidden="1" x14ac:dyDescent="0.25">
      <c r="A64">
        <v>1</v>
      </c>
      <c r="B64">
        <v>20</v>
      </c>
      <c r="C64" t="s">
        <v>0</v>
      </c>
      <c r="D64" t="s">
        <v>19</v>
      </c>
      <c r="E64" s="4">
        <f t="shared" ca="1" si="0"/>
        <v>111150.6666666667</v>
      </c>
    </row>
    <row r="65" spans="1:5" hidden="1" x14ac:dyDescent="0.25">
      <c r="A65">
        <v>1</v>
      </c>
      <c r="B65">
        <v>21</v>
      </c>
      <c r="C65" t="s">
        <v>0</v>
      </c>
      <c r="D65" t="s">
        <v>20</v>
      </c>
      <c r="E65" s="4">
        <f t="shared" ca="1" si="0"/>
        <v>155302.33333333299</v>
      </c>
    </row>
    <row r="66" spans="1:5" hidden="1" x14ac:dyDescent="0.25">
      <c r="A66">
        <v>1</v>
      </c>
      <c r="B66">
        <v>22</v>
      </c>
      <c r="C66" t="s">
        <v>0</v>
      </c>
      <c r="D66" t="s">
        <v>21</v>
      </c>
      <c r="E66" s="4">
        <f t="shared" ca="1" si="0"/>
        <v>174429.33333333299</v>
      </c>
    </row>
    <row r="67" spans="1:5" hidden="1" x14ac:dyDescent="0.25">
      <c r="A67">
        <v>1</v>
      </c>
      <c r="B67">
        <v>23</v>
      </c>
      <c r="C67" t="s">
        <v>0</v>
      </c>
      <c r="D67" t="s">
        <v>22</v>
      </c>
      <c r="E67" s="4">
        <f t="shared" ca="1" si="0"/>
        <v>158165.66666666701</v>
      </c>
    </row>
    <row r="68" spans="1:5" hidden="1" x14ac:dyDescent="0.25">
      <c r="A68">
        <v>1</v>
      </c>
      <c r="B68">
        <v>24</v>
      </c>
      <c r="C68" t="s">
        <v>0</v>
      </c>
      <c r="D68" t="s">
        <v>23</v>
      </c>
      <c r="E68" s="4">
        <f t="shared" ca="1" si="0"/>
        <v>115637.6666666667</v>
      </c>
    </row>
    <row r="69" spans="1:5" hidden="1" x14ac:dyDescent="0.25">
      <c r="A69">
        <v>1</v>
      </c>
      <c r="B69">
        <v>25</v>
      </c>
      <c r="C69" t="s">
        <v>0</v>
      </c>
      <c r="D69" t="s">
        <v>24</v>
      </c>
      <c r="E69" s="4">
        <f t="shared" ca="1" si="0"/>
        <v>108585.3333333333</v>
      </c>
    </row>
    <row r="70" spans="1:5" hidden="1" x14ac:dyDescent="0.25">
      <c r="A70">
        <v>1</v>
      </c>
      <c r="B70">
        <v>26</v>
      </c>
      <c r="C70" t="s">
        <v>0</v>
      </c>
      <c r="D70" t="s">
        <v>25</v>
      </c>
      <c r="E70" s="4">
        <f t="shared" ca="1" si="0"/>
        <v>94659</v>
      </c>
    </row>
    <row r="71" spans="1:5" hidden="1" x14ac:dyDescent="0.25">
      <c r="A71">
        <v>1</v>
      </c>
      <c r="B71">
        <v>27</v>
      </c>
      <c r="C71" t="s">
        <v>0</v>
      </c>
      <c r="D71" t="s">
        <v>145</v>
      </c>
      <c r="E71" s="4">
        <f t="shared" ca="1" si="0"/>
        <v>464592.1</v>
      </c>
    </row>
    <row r="72" spans="1:5" hidden="1" x14ac:dyDescent="0.25">
      <c r="A72">
        <v>1</v>
      </c>
      <c r="B72">
        <v>28</v>
      </c>
      <c r="C72" t="s">
        <v>0</v>
      </c>
      <c r="D72" t="s">
        <v>147</v>
      </c>
      <c r="E72" s="4">
        <f t="shared" ca="1" si="0"/>
        <v>409370.4</v>
      </c>
    </row>
    <row r="73" spans="1:5" hidden="1" x14ac:dyDescent="0.25">
      <c r="A73">
        <v>1</v>
      </c>
      <c r="B73">
        <v>29</v>
      </c>
      <c r="C73" t="s">
        <v>0</v>
      </c>
      <c r="D73" t="s">
        <v>146</v>
      </c>
      <c r="E73" s="4">
        <f t="shared" ca="1" si="0"/>
        <v>277520.09999999998</v>
      </c>
    </row>
    <row r="74" spans="1:5" hidden="1" x14ac:dyDescent="0.25">
      <c r="A74">
        <v>1</v>
      </c>
      <c r="B74">
        <v>30</v>
      </c>
      <c r="C74" t="s">
        <v>0</v>
      </c>
      <c r="D74" t="s">
        <v>30</v>
      </c>
      <c r="E74" s="4">
        <f t="shared" ca="1" si="0"/>
        <v>72271.692307692298</v>
      </c>
    </row>
    <row r="75" spans="1:5" hidden="1" x14ac:dyDescent="0.25">
      <c r="A75">
        <v>1</v>
      </c>
      <c r="B75">
        <v>31</v>
      </c>
      <c r="C75" t="s">
        <v>0</v>
      </c>
      <c r="D75" t="s">
        <v>31</v>
      </c>
      <c r="E75" s="4">
        <f t="shared" ca="1" si="0"/>
        <v>97818.5</v>
      </c>
    </row>
    <row r="76" spans="1:5" hidden="1" x14ac:dyDescent="0.25">
      <c r="A76">
        <v>1</v>
      </c>
      <c r="B76">
        <v>32</v>
      </c>
      <c r="C76" t="s">
        <v>0</v>
      </c>
      <c r="D76" t="s">
        <v>32</v>
      </c>
      <c r="E76" s="4">
        <f t="shared" ca="1" si="0"/>
        <v>147528.72307692311</v>
      </c>
    </row>
    <row r="77" spans="1:5" hidden="1" x14ac:dyDescent="0.25">
      <c r="A77">
        <v>1</v>
      </c>
      <c r="B77">
        <v>33</v>
      </c>
      <c r="C77" t="s">
        <v>0</v>
      </c>
      <c r="D77" t="s">
        <v>33</v>
      </c>
      <c r="E77" s="4">
        <f t="shared" ca="1" si="0"/>
        <v>315090.38888888899</v>
      </c>
    </row>
    <row r="78" spans="1:5" hidden="1" x14ac:dyDescent="0.25">
      <c r="A78">
        <v>1</v>
      </c>
      <c r="B78">
        <v>34</v>
      </c>
      <c r="C78" t="s">
        <v>0</v>
      </c>
      <c r="D78" t="s">
        <v>34</v>
      </c>
      <c r="E78" s="4">
        <f t="shared" ca="1" si="0"/>
        <v>63500.538461538497</v>
      </c>
    </row>
    <row r="79" spans="1:5" hidden="1" x14ac:dyDescent="0.25">
      <c r="A79">
        <v>1</v>
      </c>
      <c r="B79">
        <v>35</v>
      </c>
      <c r="C79" t="s">
        <v>0</v>
      </c>
      <c r="D79" t="s">
        <v>35</v>
      </c>
      <c r="E79" s="4">
        <f t="shared" ca="1" si="0"/>
        <v>139346.92307692312</v>
      </c>
    </row>
    <row r="80" spans="1:5" hidden="1" x14ac:dyDescent="0.25">
      <c r="A80">
        <v>1</v>
      </c>
      <c r="B80">
        <v>36</v>
      </c>
      <c r="C80" t="s">
        <v>0</v>
      </c>
      <c r="D80" t="s">
        <v>36</v>
      </c>
      <c r="E80" s="4">
        <f t="shared" ca="1" si="0"/>
        <v>134162.42673992668</v>
      </c>
    </row>
    <row r="81" spans="1:5" hidden="1" x14ac:dyDescent="0.25">
      <c r="A81">
        <v>1</v>
      </c>
      <c r="B81">
        <v>37</v>
      </c>
      <c r="C81" t="s">
        <v>0</v>
      </c>
      <c r="D81" t="s">
        <v>37</v>
      </c>
      <c r="E81" s="4">
        <f t="shared" ca="1" si="0"/>
        <v>55139.384615384617</v>
      </c>
    </row>
    <row r="82" spans="1:5" hidden="1" x14ac:dyDescent="0.25">
      <c r="A82">
        <v>1</v>
      </c>
      <c r="B82">
        <v>38</v>
      </c>
      <c r="C82" t="s">
        <v>0</v>
      </c>
      <c r="D82" t="s">
        <v>38</v>
      </c>
      <c r="E82" s="4">
        <f t="shared" ca="1" si="0"/>
        <v>139309.84249084251</v>
      </c>
    </row>
    <row r="83" spans="1:5" hidden="1" x14ac:dyDescent="0.25">
      <c r="A83">
        <v>1</v>
      </c>
      <c r="B83">
        <v>39</v>
      </c>
      <c r="C83" t="s">
        <v>0</v>
      </c>
      <c r="D83" t="s">
        <v>39</v>
      </c>
      <c r="E83" s="4">
        <f t="shared" ca="1" si="0"/>
        <v>120629.1428571429</v>
      </c>
    </row>
    <row r="84" spans="1:5" hidden="1" x14ac:dyDescent="0.25">
      <c r="A84">
        <v>1</v>
      </c>
      <c r="B84">
        <v>40</v>
      </c>
      <c r="C84" t="s">
        <v>0</v>
      </c>
      <c r="D84" t="s">
        <v>40</v>
      </c>
      <c r="E84" s="4">
        <f t="shared" ca="1" si="0"/>
        <v>68807.492673992703</v>
      </c>
    </row>
    <row r="85" spans="1:5" hidden="1" x14ac:dyDescent="0.25">
      <c r="A85">
        <v>2</v>
      </c>
      <c r="B85">
        <v>1</v>
      </c>
      <c r="C85" t="s">
        <v>1</v>
      </c>
      <c r="D85" t="s">
        <v>0</v>
      </c>
      <c r="E85" s="4">
        <f t="shared" ca="1" si="0"/>
        <v>87125.8461538462</v>
      </c>
    </row>
    <row r="86" spans="1:5" hidden="1" x14ac:dyDescent="0.25">
      <c r="A86">
        <v>2</v>
      </c>
      <c r="B86">
        <v>2</v>
      </c>
      <c r="C86" t="s">
        <v>1</v>
      </c>
      <c r="D86" t="s">
        <v>1</v>
      </c>
      <c r="E86" s="4">
        <f t="shared" ca="1" si="0"/>
        <v>0</v>
      </c>
    </row>
    <row r="87" spans="1:5" hidden="1" x14ac:dyDescent="0.25">
      <c r="A87">
        <v>2</v>
      </c>
      <c r="B87">
        <v>3</v>
      </c>
      <c r="C87" t="s">
        <v>1</v>
      </c>
      <c r="D87" t="s">
        <v>2</v>
      </c>
      <c r="E87" s="4">
        <f t="shared" ca="1" si="0"/>
        <v>80548.461538461503</v>
      </c>
    </row>
    <row r="88" spans="1:5" hidden="1" x14ac:dyDescent="0.25">
      <c r="A88">
        <v>2</v>
      </c>
      <c r="B88">
        <v>4</v>
      </c>
      <c r="C88" t="s">
        <v>1</v>
      </c>
      <c r="D88" t="s">
        <v>3</v>
      </c>
      <c r="E88" s="4">
        <f t="shared" ca="1" si="0"/>
        <v>69655.384615384595</v>
      </c>
    </row>
    <row r="89" spans="1:5" hidden="1" x14ac:dyDescent="0.25">
      <c r="A89">
        <v>2</v>
      </c>
      <c r="B89">
        <v>5</v>
      </c>
      <c r="C89" t="s">
        <v>1</v>
      </c>
      <c r="D89" t="s">
        <v>4</v>
      </c>
      <c r="E89" s="4">
        <f t="shared" ca="1" si="0"/>
        <v>101455.4615384615</v>
      </c>
    </row>
    <row r="90" spans="1:5" hidden="1" x14ac:dyDescent="0.25">
      <c r="A90">
        <v>2</v>
      </c>
      <c r="B90">
        <v>6</v>
      </c>
      <c r="C90" t="s">
        <v>1</v>
      </c>
      <c r="D90" t="s">
        <v>5</v>
      </c>
      <c r="E90" s="4">
        <f t="shared" ca="1" si="0"/>
        <v>167244.77289377298</v>
      </c>
    </row>
    <row r="91" spans="1:5" hidden="1" x14ac:dyDescent="0.25">
      <c r="A91">
        <v>2</v>
      </c>
      <c r="B91">
        <v>7</v>
      </c>
      <c r="C91" t="s">
        <v>1</v>
      </c>
      <c r="D91" t="s">
        <v>6</v>
      </c>
      <c r="E91" s="4">
        <f t="shared" ca="1" si="0"/>
        <v>100791.07692307691</v>
      </c>
    </row>
    <row r="92" spans="1:5" hidden="1" x14ac:dyDescent="0.25">
      <c r="A92">
        <v>2</v>
      </c>
      <c r="B92">
        <v>8</v>
      </c>
      <c r="C92" t="s">
        <v>1</v>
      </c>
      <c r="D92" t="s">
        <v>7</v>
      </c>
      <c r="E92" s="4">
        <f t="shared" ca="1" si="0"/>
        <v>158388.84615384601</v>
      </c>
    </row>
    <row r="93" spans="1:5" hidden="1" x14ac:dyDescent="0.25">
      <c r="A93">
        <v>2</v>
      </c>
      <c r="B93">
        <v>9</v>
      </c>
      <c r="C93" t="s">
        <v>1</v>
      </c>
      <c r="D93" t="s">
        <v>148</v>
      </c>
      <c r="E93" s="4">
        <f t="shared" ca="1" si="0"/>
        <v>608721.62179487199</v>
      </c>
    </row>
    <row r="94" spans="1:5" hidden="1" x14ac:dyDescent="0.25">
      <c r="A94">
        <v>2</v>
      </c>
      <c r="B94">
        <v>10</v>
      </c>
      <c r="C94" t="s">
        <v>1</v>
      </c>
      <c r="D94" t="s">
        <v>9</v>
      </c>
      <c r="E94" s="4">
        <f t="shared" ca="1" si="0"/>
        <v>133097.92307692312</v>
      </c>
    </row>
    <row r="95" spans="1:5" hidden="1" x14ac:dyDescent="0.25">
      <c r="A95">
        <v>2</v>
      </c>
      <c r="B95">
        <v>11</v>
      </c>
      <c r="C95" t="s">
        <v>1</v>
      </c>
      <c r="D95" t="s">
        <v>10</v>
      </c>
      <c r="E95" s="4">
        <f t="shared" ca="1" si="0"/>
        <v>135862</v>
      </c>
    </row>
    <row r="96" spans="1:5" hidden="1" x14ac:dyDescent="0.25">
      <c r="A96">
        <v>2</v>
      </c>
      <c r="B96">
        <v>12</v>
      </c>
      <c r="C96" t="s">
        <v>1</v>
      </c>
      <c r="D96" t="s">
        <v>11</v>
      </c>
      <c r="E96" s="4">
        <f t="shared" ca="1" si="0"/>
        <v>80588.076923076907</v>
      </c>
    </row>
    <row r="97" spans="1:5" hidden="1" x14ac:dyDescent="0.25">
      <c r="A97">
        <v>2</v>
      </c>
      <c r="B97">
        <v>13</v>
      </c>
      <c r="C97" t="s">
        <v>1</v>
      </c>
      <c r="D97" t="s">
        <v>12</v>
      </c>
      <c r="E97" s="4">
        <f t="shared" ca="1" si="0"/>
        <v>62276.538461538497</v>
      </c>
    </row>
    <row r="98" spans="1:5" hidden="1" x14ac:dyDescent="0.25">
      <c r="A98">
        <v>2</v>
      </c>
      <c r="B98">
        <v>14</v>
      </c>
      <c r="C98" t="s">
        <v>1</v>
      </c>
      <c r="D98" t="s">
        <v>13</v>
      </c>
      <c r="E98" s="4">
        <f t="shared" ca="1" si="0"/>
        <v>208740.76923076899</v>
      </c>
    </row>
    <row r="99" spans="1:5" hidden="1" x14ac:dyDescent="0.25">
      <c r="A99">
        <v>2</v>
      </c>
      <c r="B99">
        <v>15</v>
      </c>
      <c r="C99" t="s">
        <v>1</v>
      </c>
      <c r="D99" t="s">
        <v>14</v>
      </c>
      <c r="E99" s="4">
        <f t="shared" ca="1" si="0"/>
        <v>330916.46153846203</v>
      </c>
    </row>
    <row r="100" spans="1:5" hidden="1" x14ac:dyDescent="0.25">
      <c r="A100">
        <v>2</v>
      </c>
      <c r="B100">
        <v>16</v>
      </c>
      <c r="C100" t="s">
        <v>1</v>
      </c>
      <c r="D100" t="s">
        <v>15</v>
      </c>
      <c r="E100" s="4">
        <f t="shared" ca="1" si="0"/>
        <v>569129.69230769202</v>
      </c>
    </row>
    <row r="101" spans="1:5" hidden="1" x14ac:dyDescent="0.25">
      <c r="A101">
        <v>2</v>
      </c>
      <c r="B101">
        <v>17</v>
      </c>
      <c r="C101" t="s">
        <v>1</v>
      </c>
      <c r="D101" t="s">
        <v>16</v>
      </c>
      <c r="E101" s="4">
        <f t="shared" ca="1" si="0"/>
        <v>214013.538461538</v>
      </c>
    </row>
    <row r="102" spans="1:5" hidden="1" x14ac:dyDescent="0.25">
      <c r="A102">
        <v>2</v>
      </c>
      <c r="B102">
        <v>18</v>
      </c>
      <c r="C102" t="s">
        <v>1</v>
      </c>
      <c r="D102" t="s">
        <v>17</v>
      </c>
      <c r="E102" s="4">
        <f t="shared" ca="1" si="0"/>
        <v>91184.384615384595</v>
      </c>
    </row>
    <row r="103" spans="1:5" hidden="1" x14ac:dyDescent="0.25">
      <c r="A103">
        <v>2</v>
      </c>
      <c r="B103">
        <v>19</v>
      </c>
      <c r="C103" t="s">
        <v>1</v>
      </c>
      <c r="D103" t="s">
        <v>18</v>
      </c>
      <c r="E103" s="4">
        <f t="shared" ca="1" si="0"/>
        <v>129903.3846153846</v>
      </c>
    </row>
    <row r="104" spans="1:5" hidden="1" x14ac:dyDescent="0.25">
      <c r="A104">
        <v>2</v>
      </c>
      <c r="B104">
        <v>20</v>
      </c>
      <c r="C104" t="s">
        <v>1</v>
      </c>
      <c r="D104" t="s">
        <v>19</v>
      </c>
      <c r="E104" s="4">
        <f t="shared" ca="1" si="0"/>
        <v>101718.6666666667</v>
      </c>
    </row>
    <row r="105" spans="1:5" hidden="1" x14ac:dyDescent="0.25">
      <c r="A105">
        <v>2</v>
      </c>
      <c r="B105">
        <v>21</v>
      </c>
      <c r="C105" t="s">
        <v>1</v>
      </c>
      <c r="D105" t="s">
        <v>20</v>
      </c>
      <c r="E105" s="4">
        <f t="shared" ca="1" si="0"/>
        <v>145870.33333333299</v>
      </c>
    </row>
    <row r="106" spans="1:5" hidden="1" x14ac:dyDescent="0.25">
      <c r="A106">
        <v>2</v>
      </c>
      <c r="B106">
        <v>22</v>
      </c>
      <c r="C106" t="s">
        <v>1</v>
      </c>
      <c r="D106" t="s">
        <v>21</v>
      </c>
      <c r="E106" s="4">
        <f t="shared" ca="1" si="0"/>
        <v>164997.33333333299</v>
      </c>
    </row>
    <row r="107" spans="1:5" hidden="1" x14ac:dyDescent="0.25">
      <c r="A107">
        <v>2</v>
      </c>
      <c r="B107">
        <v>23</v>
      </c>
      <c r="C107" t="s">
        <v>1</v>
      </c>
      <c r="D107" t="s">
        <v>22</v>
      </c>
      <c r="E107" s="4">
        <f t="shared" ca="1" si="0"/>
        <v>148733.66666666701</v>
      </c>
    </row>
    <row r="108" spans="1:5" hidden="1" x14ac:dyDescent="0.25">
      <c r="A108">
        <v>2</v>
      </c>
      <c r="B108">
        <v>24</v>
      </c>
      <c r="C108" t="s">
        <v>1</v>
      </c>
      <c r="D108" t="s">
        <v>23</v>
      </c>
      <c r="E108" s="4">
        <f t="shared" ca="1" si="0"/>
        <v>106205.6666666667</v>
      </c>
    </row>
    <row r="109" spans="1:5" hidden="1" x14ac:dyDescent="0.25">
      <c r="A109">
        <v>2</v>
      </c>
      <c r="B109">
        <v>25</v>
      </c>
      <c r="C109" t="s">
        <v>1</v>
      </c>
      <c r="D109" t="s">
        <v>24</v>
      </c>
      <c r="E109" s="4">
        <f t="shared" ref="E109:E170" ca="1" si="1">OFFSET($B$2,A109,B109)</f>
        <v>99153.333333333299</v>
      </c>
    </row>
    <row r="110" spans="1:5" hidden="1" x14ac:dyDescent="0.25">
      <c r="A110">
        <v>2</v>
      </c>
      <c r="B110">
        <v>26</v>
      </c>
      <c r="C110" t="s">
        <v>1</v>
      </c>
      <c r="D110" t="s">
        <v>25</v>
      </c>
      <c r="E110" s="4">
        <f t="shared" ca="1" si="1"/>
        <v>85227</v>
      </c>
    </row>
    <row r="111" spans="1:5" hidden="1" x14ac:dyDescent="0.25">
      <c r="A111">
        <v>2</v>
      </c>
      <c r="B111">
        <v>27</v>
      </c>
      <c r="C111" t="s">
        <v>1</v>
      </c>
      <c r="D111" t="s">
        <v>145</v>
      </c>
      <c r="E111" s="4">
        <f t="shared" ca="1" si="1"/>
        <v>455160.1</v>
      </c>
    </row>
    <row r="112" spans="1:5" hidden="1" x14ac:dyDescent="0.25">
      <c r="A112">
        <v>2</v>
      </c>
      <c r="B112">
        <v>28</v>
      </c>
      <c r="C112" t="s">
        <v>1</v>
      </c>
      <c r="D112" t="s">
        <v>147</v>
      </c>
      <c r="E112" s="4">
        <f t="shared" ca="1" si="1"/>
        <v>399938.4</v>
      </c>
    </row>
    <row r="113" spans="1:5" hidden="1" x14ac:dyDescent="0.25">
      <c r="A113">
        <v>2</v>
      </c>
      <c r="B113">
        <v>29</v>
      </c>
      <c r="C113" t="s">
        <v>1</v>
      </c>
      <c r="D113" t="s">
        <v>146</v>
      </c>
      <c r="E113" s="4">
        <f t="shared" ca="1" si="1"/>
        <v>268088.09999999998</v>
      </c>
    </row>
    <row r="114" spans="1:5" hidden="1" x14ac:dyDescent="0.25">
      <c r="A114">
        <v>2</v>
      </c>
      <c r="B114">
        <v>30</v>
      </c>
      <c r="C114" t="s">
        <v>1</v>
      </c>
      <c r="D114" t="s">
        <v>30</v>
      </c>
      <c r="E114" s="4">
        <f t="shared" ca="1" si="1"/>
        <v>62839.692307692298</v>
      </c>
    </row>
    <row r="115" spans="1:5" hidden="1" x14ac:dyDescent="0.25">
      <c r="A115">
        <v>2</v>
      </c>
      <c r="B115">
        <v>31</v>
      </c>
      <c r="C115" t="s">
        <v>1</v>
      </c>
      <c r="D115" t="s">
        <v>31</v>
      </c>
      <c r="E115" s="4">
        <f t="shared" ca="1" si="1"/>
        <v>88386.5</v>
      </c>
    </row>
    <row r="116" spans="1:5" hidden="1" x14ac:dyDescent="0.25">
      <c r="A116">
        <v>2</v>
      </c>
      <c r="B116">
        <v>32</v>
      </c>
      <c r="C116" t="s">
        <v>1</v>
      </c>
      <c r="D116" t="s">
        <v>32</v>
      </c>
      <c r="E116" s="4">
        <f t="shared" ca="1" si="1"/>
        <v>138096.72307692311</v>
      </c>
    </row>
    <row r="117" spans="1:5" hidden="1" x14ac:dyDescent="0.25">
      <c r="A117">
        <v>2</v>
      </c>
      <c r="B117">
        <v>33</v>
      </c>
      <c r="C117" t="s">
        <v>1</v>
      </c>
      <c r="D117" t="s">
        <v>33</v>
      </c>
      <c r="E117" s="4">
        <f t="shared" ca="1" si="1"/>
        <v>305658.38888888899</v>
      </c>
    </row>
    <row r="118" spans="1:5" hidden="1" x14ac:dyDescent="0.25">
      <c r="A118">
        <v>2</v>
      </c>
      <c r="B118">
        <v>34</v>
      </c>
      <c r="C118" t="s">
        <v>1</v>
      </c>
      <c r="D118" t="s">
        <v>34</v>
      </c>
      <c r="E118" s="4">
        <f t="shared" ca="1" si="1"/>
        <v>54068.538461538497</v>
      </c>
    </row>
    <row r="119" spans="1:5" hidden="1" x14ac:dyDescent="0.25">
      <c r="A119">
        <v>2</v>
      </c>
      <c r="B119">
        <v>35</v>
      </c>
      <c r="C119" t="s">
        <v>1</v>
      </c>
      <c r="D119" t="s">
        <v>35</v>
      </c>
      <c r="E119" s="4">
        <f t="shared" ca="1" si="1"/>
        <v>129914.92307692311</v>
      </c>
    </row>
    <row r="120" spans="1:5" hidden="1" x14ac:dyDescent="0.25">
      <c r="A120">
        <v>2</v>
      </c>
      <c r="B120">
        <v>36</v>
      </c>
      <c r="C120" t="s">
        <v>1</v>
      </c>
      <c r="D120" t="s">
        <v>36</v>
      </c>
      <c r="E120" s="4">
        <f t="shared" ca="1" si="1"/>
        <v>124730.4267399267</v>
      </c>
    </row>
    <row r="121" spans="1:5" hidden="1" x14ac:dyDescent="0.25">
      <c r="A121">
        <v>2</v>
      </c>
      <c r="B121">
        <v>37</v>
      </c>
      <c r="C121" t="s">
        <v>1</v>
      </c>
      <c r="D121" t="s">
        <v>37</v>
      </c>
      <c r="E121" s="4">
        <f t="shared" ca="1" si="1"/>
        <v>45707.384615384617</v>
      </c>
    </row>
    <row r="122" spans="1:5" hidden="1" x14ac:dyDescent="0.25">
      <c r="A122">
        <v>2</v>
      </c>
      <c r="B122">
        <v>38</v>
      </c>
      <c r="C122" t="s">
        <v>1</v>
      </c>
      <c r="D122" t="s">
        <v>38</v>
      </c>
      <c r="E122" s="4">
        <f t="shared" ca="1" si="1"/>
        <v>129877.84249084249</v>
      </c>
    </row>
    <row r="123" spans="1:5" hidden="1" x14ac:dyDescent="0.25">
      <c r="A123">
        <v>2</v>
      </c>
      <c r="B123">
        <v>39</v>
      </c>
      <c r="C123" t="s">
        <v>1</v>
      </c>
      <c r="D123" t="s">
        <v>39</v>
      </c>
      <c r="E123" s="4">
        <f t="shared" ca="1" si="1"/>
        <v>111197.1428571429</v>
      </c>
    </row>
    <row r="124" spans="1:5" hidden="1" x14ac:dyDescent="0.25">
      <c r="A124">
        <v>2</v>
      </c>
      <c r="B124">
        <v>40</v>
      </c>
      <c r="C124" t="s">
        <v>1</v>
      </c>
      <c r="D124" t="s">
        <v>40</v>
      </c>
      <c r="E124" s="4">
        <f t="shared" ca="1" si="1"/>
        <v>59375.492673992703</v>
      </c>
    </row>
    <row r="125" spans="1:5" hidden="1" x14ac:dyDescent="0.25">
      <c r="A125">
        <v>3</v>
      </c>
      <c r="B125">
        <v>1</v>
      </c>
      <c r="C125" t="s">
        <v>2</v>
      </c>
      <c r="D125" t="s">
        <v>0</v>
      </c>
      <c r="E125" s="4">
        <f t="shared" ca="1" si="1"/>
        <v>86076.615384615434</v>
      </c>
    </row>
    <row r="126" spans="1:5" hidden="1" x14ac:dyDescent="0.25">
      <c r="A126">
        <v>3</v>
      </c>
      <c r="B126">
        <v>2</v>
      </c>
      <c r="C126" t="s">
        <v>2</v>
      </c>
      <c r="D126" t="s">
        <v>1</v>
      </c>
      <c r="E126" s="4">
        <f t="shared" ca="1" si="1"/>
        <v>76465.000000000029</v>
      </c>
    </row>
    <row r="127" spans="1:5" hidden="1" x14ac:dyDescent="0.25">
      <c r="A127">
        <v>3</v>
      </c>
      <c r="B127">
        <v>3</v>
      </c>
      <c r="C127" t="s">
        <v>2</v>
      </c>
      <c r="D127" t="s">
        <v>2</v>
      </c>
      <c r="E127" s="4">
        <f t="shared" ca="1" si="1"/>
        <v>0</v>
      </c>
    </row>
    <row r="128" spans="1:5" hidden="1" x14ac:dyDescent="0.25">
      <c r="A128">
        <v>3</v>
      </c>
      <c r="B128">
        <v>4</v>
      </c>
      <c r="C128" t="s">
        <v>2</v>
      </c>
      <c r="D128" t="s">
        <v>3</v>
      </c>
      <c r="E128" s="4">
        <f t="shared" ca="1" si="1"/>
        <v>68606.153846153829</v>
      </c>
    </row>
    <row r="129" spans="1:5" hidden="1" x14ac:dyDescent="0.25">
      <c r="A129">
        <v>3</v>
      </c>
      <c r="B129">
        <v>5</v>
      </c>
      <c r="C129" t="s">
        <v>2</v>
      </c>
      <c r="D129" t="s">
        <v>4</v>
      </c>
      <c r="E129" s="4">
        <f t="shared" ca="1" si="1"/>
        <v>100406.23076923074</v>
      </c>
    </row>
    <row r="130" spans="1:5" hidden="1" x14ac:dyDescent="0.25">
      <c r="A130">
        <v>3</v>
      </c>
      <c r="B130">
        <v>6</v>
      </c>
      <c r="C130" t="s">
        <v>2</v>
      </c>
      <c r="D130" t="s">
        <v>5</v>
      </c>
      <c r="E130" s="4">
        <f t="shared" ca="1" si="1"/>
        <v>166195.54212454223</v>
      </c>
    </row>
    <row r="131" spans="1:5" hidden="1" x14ac:dyDescent="0.25">
      <c r="A131">
        <v>3</v>
      </c>
      <c r="B131">
        <v>7</v>
      </c>
      <c r="C131" t="s">
        <v>2</v>
      </c>
      <c r="D131" t="s">
        <v>6</v>
      </c>
      <c r="E131" s="4">
        <f t="shared" ca="1" si="1"/>
        <v>99741.846153846127</v>
      </c>
    </row>
    <row r="132" spans="1:5" hidden="1" x14ac:dyDescent="0.25">
      <c r="A132">
        <v>3</v>
      </c>
      <c r="B132">
        <v>8</v>
      </c>
      <c r="C132" t="s">
        <v>2</v>
      </c>
      <c r="D132" t="s">
        <v>7</v>
      </c>
      <c r="E132" s="4">
        <f t="shared" ca="1" si="1"/>
        <v>157339.61538461523</v>
      </c>
    </row>
    <row r="133" spans="1:5" hidden="1" x14ac:dyDescent="0.25">
      <c r="A133">
        <v>3</v>
      </c>
      <c r="B133">
        <v>9</v>
      </c>
      <c r="C133" t="s">
        <v>2</v>
      </c>
      <c r="D133" t="s">
        <v>148</v>
      </c>
      <c r="E133" s="4">
        <f t="shared" ca="1" si="1"/>
        <v>607672.39102564123</v>
      </c>
    </row>
    <row r="134" spans="1:5" hidden="1" x14ac:dyDescent="0.25">
      <c r="A134">
        <v>3</v>
      </c>
      <c r="B134">
        <v>10</v>
      </c>
      <c r="C134" t="s">
        <v>2</v>
      </c>
      <c r="D134" t="s">
        <v>9</v>
      </c>
      <c r="E134" s="4">
        <f t="shared" ca="1" si="1"/>
        <v>132048.69230769234</v>
      </c>
    </row>
    <row r="135" spans="1:5" hidden="1" x14ac:dyDescent="0.25">
      <c r="A135">
        <v>3</v>
      </c>
      <c r="B135">
        <v>11</v>
      </c>
      <c r="C135" t="s">
        <v>2</v>
      </c>
      <c r="D135" t="s">
        <v>10</v>
      </c>
      <c r="E135" s="4">
        <f t="shared" ca="1" si="1"/>
        <v>134812.76923076925</v>
      </c>
    </row>
    <row r="136" spans="1:5" hidden="1" x14ac:dyDescent="0.25">
      <c r="A136">
        <v>3</v>
      </c>
      <c r="B136">
        <v>12</v>
      </c>
      <c r="C136" t="s">
        <v>2</v>
      </c>
      <c r="D136" t="s">
        <v>11</v>
      </c>
      <c r="E136" s="4">
        <f t="shared" ca="1" si="1"/>
        <v>79538.846153846127</v>
      </c>
    </row>
    <row r="137" spans="1:5" hidden="1" x14ac:dyDescent="0.25">
      <c r="A137">
        <v>3</v>
      </c>
      <c r="B137">
        <v>13</v>
      </c>
      <c r="C137" t="s">
        <v>2</v>
      </c>
      <c r="D137" t="s">
        <v>12</v>
      </c>
      <c r="E137" s="4">
        <f t="shared" ca="1" si="1"/>
        <v>61227.307692307731</v>
      </c>
    </row>
    <row r="138" spans="1:5" hidden="1" x14ac:dyDescent="0.25">
      <c r="A138">
        <v>3</v>
      </c>
      <c r="B138">
        <v>14</v>
      </c>
      <c r="C138" t="s">
        <v>2</v>
      </c>
      <c r="D138" t="s">
        <v>13</v>
      </c>
      <c r="E138" s="4">
        <f t="shared" ca="1" si="1"/>
        <v>207691.53846153821</v>
      </c>
    </row>
    <row r="139" spans="1:5" hidden="1" x14ac:dyDescent="0.25">
      <c r="A139">
        <v>3</v>
      </c>
      <c r="B139">
        <v>15</v>
      </c>
      <c r="C139" t="s">
        <v>2</v>
      </c>
      <c r="D139" t="s">
        <v>14</v>
      </c>
      <c r="E139" s="4">
        <f t="shared" ca="1" si="1"/>
        <v>329867.23076923128</v>
      </c>
    </row>
    <row r="140" spans="1:5" hidden="1" x14ac:dyDescent="0.25">
      <c r="A140">
        <v>3</v>
      </c>
      <c r="B140">
        <v>16</v>
      </c>
      <c r="C140" t="s">
        <v>2</v>
      </c>
      <c r="D140" t="s">
        <v>15</v>
      </c>
      <c r="E140" s="4">
        <f t="shared" ca="1" si="1"/>
        <v>568080.46153846127</v>
      </c>
    </row>
    <row r="141" spans="1:5" hidden="1" x14ac:dyDescent="0.25">
      <c r="A141">
        <v>3</v>
      </c>
      <c r="B141">
        <v>17</v>
      </c>
      <c r="C141" t="s">
        <v>2</v>
      </c>
      <c r="D141" t="s">
        <v>16</v>
      </c>
      <c r="E141" s="4">
        <f t="shared" ca="1" si="1"/>
        <v>212964.30769230722</v>
      </c>
    </row>
    <row r="142" spans="1:5" hidden="1" x14ac:dyDescent="0.25">
      <c r="A142">
        <v>3</v>
      </c>
      <c r="B142">
        <v>18</v>
      </c>
      <c r="C142" t="s">
        <v>2</v>
      </c>
      <c r="D142" t="s">
        <v>17</v>
      </c>
      <c r="E142" s="4">
        <f t="shared" ca="1" si="1"/>
        <v>90135.153846153844</v>
      </c>
    </row>
    <row r="143" spans="1:5" hidden="1" x14ac:dyDescent="0.25">
      <c r="A143">
        <v>3</v>
      </c>
      <c r="B143">
        <v>19</v>
      </c>
      <c r="C143" t="s">
        <v>2</v>
      </c>
      <c r="D143" t="s">
        <v>18</v>
      </c>
      <c r="E143" s="4">
        <f t="shared" ca="1" si="1"/>
        <v>128854.15384615383</v>
      </c>
    </row>
    <row r="144" spans="1:5" hidden="1" x14ac:dyDescent="0.25">
      <c r="A144">
        <v>3</v>
      </c>
      <c r="B144">
        <v>20</v>
      </c>
      <c r="C144" t="s">
        <v>2</v>
      </c>
      <c r="D144" t="s">
        <v>19</v>
      </c>
      <c r="E144" s="4">
        <f t="shared" ca="1" si="1"/>
        <v>100669.43589743593</v>
      </c>
    </row>
    <row r="145" spans="1:5" hidden="1" x14ac:dyDescent="0.25">
      <c r="A145">
        <v>3</v>
      </c>
      <c r="B145">
        <v>21</v>
      </c>
      <c r="C145" t="s">
        <v>2</v>
      </c>
      <c r="D145" t="s">
        <v>20</v>
      </c>
      <c r="E145" s="4">
        <f t="shared" ca="1" si="1"/>
        <v>144821.10256410221</v>
      </c>
    </row>
    <row r="146" spans="1:5" hidden="1" x14ac:dyDescent="0.25">
      <c r="A146">
        <v>3</v>
      </c>
      <c r="B146">
        <v>22</v>
      </c>
      <c r="C146" t="s">
        <v>2</v>
      </c>
      <c r="D146" t="s">
        <v>21</v>
      </c>
      <c r="E146" s="4">
        <f t="shared" ca="1" si="1"/>
        <v>163948.10256410221</v>
      </c>
    </row>
    <row r="147" spans="1:5" hidden="1" x14ac:dyDescent="0.25">
      <c r="A147">
        <v>3</v>
      </c>
      <c r="B147">
        <v>23</v>
      </c>
      <c r="C147" t="s">
        <v>2</v>
      </c>
      <c r="D147" t="s">
        <v>22</v>
      </c>
      <c r="E147" s="4">
        <f t="shared" ca="1" si="1"/>
        <v>147684.43589743623</v>
      </c>
    </row>
    <row r="148" spans="1:5" hidden="1" x14ac:dyDescent="0.25">
      <c r="A148">
        <v>3</v>
      </c>
      <c r="B148">
        <v>24</v>
      </c>
      <c r="C148" t="s">
        <v>2</v>
      </c>
      <c r="D148" t="s">
        <v>23</v>
      </c>
      <c r="E148" s="4">
        <f t="shared" ca="1" si="1"/>
        <v>105156.43589743593</v>
      </c>
    </row>
    <row r="149" spans="1:5" hidden="1" x14ac:dyDescent="0.25">
      <c r="A149">
        <v>3</v>
      </c>
      <c r="B149">
        <v>25</v>
      </c>
      <c r="C149" t="s">
        <v>2</v>
      </c>
      <c r="D149" t="s">
        <v>24</v>
      </c>
      <c r="E149" s="4">
        <f t="shared" ca="1" si="1"/>
        <v>98104.102564102534</v>
      </c>
    </row>
    <row r="150" spans="1:5" hidden="1" x14ac:dyDescent="0.25">
      <c r="A150">
        <v>3</v>
      </c>
      <c r="B150">
        <v>26</v>
      </c>
      <c r="C150" t="s">
        <v>2</v>
      </c>
      <c r="D150" t="s">
        <v>25</v>
      </c>
      <c r="E150" s="4">
        <f t="shared" ca="1" si="1"/>
        <v>84177.769230769234</v>
      </c>
    </row>
    <row r="151" spans="1:5" hidden="1" x14ac:dyDescent="0.25">
      <c r="A151">
        <v>3</v>
      </c>
      <c r="B151">
        <v>27</v>
      </c>
      <c r="C151" t="s">
        <v>2</v>
      </c>
      <c r="D151" t="s">
        <v>145</v>
      </c>
      <c r="E151" s="4">
        <f t="shared" ca="1" si="1"/>
        <v>454110.86923076923</v>
      </c>
    </row>
    <row r="152" spans="1:5" hidden="1" x14ac:dyDescent="0.25">
      <c r="A152">
        <v>3</v>
      </c>
      <c r="B152">
        <v>28</v>
      </c>
      <c r="C152" t="s">
        <v>2</v>
      </c>
      <c r="D152" t="s">
        <v>147</v>
      </c>
      <c r="E152" s="4">
        <f t="shared" ca="1" si="1"/>
        <v>398889.16923076927</v>
      </c>
    </row>
    <row r="153" spans="1:5" hidden="1" x14ac:dyDescent="0.25">
      <c r="A153">
        <v>3</v>
      </c>
      <c r="B153">
        <v>29</v>
      </c>
      <c r="C153" t="s">
        <v>2</v>
      </c>
      <c r="D153" t="s">
        <v>146</v>
      </c>
      <c r="E153" s="4">
        <f t="shared" ca="1" si="1"/>
        <v>267038.86923076923</v>
      </c>
    </row>
    <row r="154" spans="1:5" hidden="1" x14ac:dyDescent="0.25">
      <c r="A154">
        <v>3</v>
      </c>
      <c r="B154">
        <v>30</v>
      </c>
      <c r="C154" t="s">
        <v>2</v>
      </c>
      <c r="D154" t="s">
        <v>30</v>
      </c>
      <c r="E154" s="4">
        <f t="shared" ca="1" si="1"/>
        <v>61790.461538461532</v>
      </c>
    </row>
    <row r="155" spans="1:5" hidden="1" x14ac:dyDescent="0.25">
      <c r="A155">
        <v>3</v>
      </c>
      <c r="B155">
        <v>31</v>
      </c>
      <c r="C155" t="s">
        <v>2</v>
      </c>
      <c r="D155" t="s">
        <v>31</v>
      </c>
      <c r="E155" s="4">
        <f t="shared" ca="1" si="1"/>
        <v>87337.269230769234</v>
      </c>
    </row>
    <row r="156" spans="1:5" hidden="1" x14ac:dyDescent="0.25">
      <c r="A156">
        <v>3</v>
      </c>
      <c r="B156">
        <v>32</v>
      </c>
      <c r="C156" t="s">
        <v>2</v>
      </c>
      <c r="D156" t="s">
        <v>32</v>
      </c>
      <c r="E156" s="4">
        <f t="shared" ca="1" si="1"/>
        <v>137047.49230769233</v>
      </c>
    </row>
    <row r="157" spans="1:5" hidden="1" x14ac:dyDescent="0.25">
      <c r="A157">
        <v>3</v>
      </c>
      <c r="B157">
        <v>33</v>
      </c>
      <c r="C157" t="s">
        <v>2</v>
      </c>
      <c r="D157" t="s">
        <v>33</v>
      </c>
      <c r="E157" s="4">
        <f t="shared" ca="1" si="1"/>
        <v>304609.15811965824</v>
      </c>
    </row>
    <row r="158" spans="1:5" hidden="1" x14ac:dyDescent="0.25">
      <c r="A158">
        <v>3</v>
      </c>
      <c r="B158">
        <v>34</v>
      </c>
      <c r="C158" t="s">
        <v>2</v>
      </c>
      <c r="D158" t="s">
        <v>34</v>
      </c>
      <c r="E158" s="4">
        <f t="shared" ca="1" si="1"/>
        <v>53019.307692307731</v>
      </c>
    </row>
    <row r="159" spans="1:5" hidden="1" x14ac:dyDescent="0.25">
      <c r="A159">
        <v>3</v>
      </c>
      <c r="B159">
        <v>35</v>
      </c>
      <c r="C159" t="s">
        <v>2</v>
      </c>
      <c r="D159" t="s">
        <v>35</v>
      </c>
      <c r="E159" s="4">
        <f t="shared" ca="1" si="1"/>
        <v>128865.69230769234</v>
      </c>
    </row>
    <row r="160" spans="1:5" hidden="1" x14ac:dyDescent="0.25">
      <c r="A160">
        <v>3</v>
      </c>
      <c r="B160">
        <v>36</v>
      </c>
      <c r="C160" t="s">
        <v>2</v>
      </c>
      <c r="D160" t="s">
        <v>36</v>
      </c>
      <c r="E160" s="4">
        <f t="shared" ca="1" si="1"/>
        <v>123681.19597069593</v>
      </c>
    </row>
    <row r="161" spans="1:5" hidden="1" x14ac:dyDescent="0.25">
      <c r="A161">
        <v>3</v>
      </c>
      <c r="B161">
        <v>37</v>
      </c>
      <c r="C161" t="s">
        <v>2</v>
      </c>
      <c r="D161" t="s">
        <v>37</v>
      </c>
      <c r="E161" s="4">
        <f t="shared" ca="1" si="1"/>
        <v>44658.153846153851</v>
      </c>
    </row>
    <row r="162" spans="1:5" hidden="1" x14ac:dyDescent="0.25">
      <c r="A162">
        <v>3</v>
      </c>
      <c r="B162">
        <v>38</v>
      </c>
      <c r="C162" t="s">
        <v>2</v>
      </c>
      <c r="D162" t="s">
        <v>38</v>
      </c>
      <c r="E162" s="4">
        <f t="shared" ca="1" si="1"/>
        <v>128828.61172161173</v>
      </c>
    </row>
    <row r="163" spans="1:5" hidden="1" x14ac:dyDescent="0.25">
      <c r="A163">
        <v>3</v>
      </c>
      <c r="B163">
        <v>39</v>
      </c>
      <c r="C163" t="s">
        <v>2</v>
      </c>
      <c r="D163" t="s">
        <v>39</v>
      </c>
      <c r="E163" s="4">
        <f t="shared" ca="1" si="1"/>
        <v>110147.91208791213</v>
      </c>
    </row>
    <row r="164" spans="1:5" hidden="1" x14ac:dyDescent="0.25">
      <c r="A164">
        <v>3</v>
      </c>
      <c r="B164">
        <v>40</v>
      </c>
      <c r="C164" t="s">
        <v>2</v>
      </c>
      <c r="D164" t="s">
        <v>40</v>
      </c>
      <c r="E164" s="4">
        <f t="shared" ca="1" si="1"/>
        <v>58326.261904761937</v>
      </c>
    </row>
    <row r="165" spans="1:5" hidden="1" x14ac:dyDescent="0.25">
      <c r="A165">
        <v>4</v>
      </c>
      <c r="B165">
        <v>1</v>
      </c>
      <c r="C165" t="s">
        <v>3</v>
      </c>
      <c r="D165" t="s">
        <v>0</v>
      </c>
      <c r="E165" s="4">
        <f t="shared" ca="1" si="1"/>
        <v>79704.000000000044</v>
      </c>
    </row>
    <row r="166" spans="1:5" hidden="1" x14ac:dyDescent="0.25">
      <c r="A166">
        <v>4</v>
      </c>
      <c r="B166">
        <v>2</v>
      </c>
      <c r="C166" t="s">
        <v>3</v>
      </c>
      <c r="D166" t="s">
        <v>1</v>
      </c>
      <c r="E166" s="4">
        <f t="shared" ca="1" si="1"/>
        <v>70092.384615384653</v>
      </c>
    </row>
    <row r="167" spans="1:5" hidden="1" x14ac:dyDescent="0.25">
      <c r="A167">
        <v>4</v>
      </c>
      <c r="B167">
        <v>3</v>
      </c>
      <c r="C167" t="s">
        <v>3</v>
      </c>
      <c r="D167" t="s">
        <v>2</v>
      </c>
      <c r="E167" s="4">
        <f t="shared" ca="1" si="1"/>
        <v>73126.615384615347</v>
      </c>
    </row>
    <row r="168" spans="1:5" hidden="1" x14ac:dyDescent="0.25">
      <c r="A168">
        <v>4</v>
      </c>
      <c r="B168">
        <v>4</v>
      </c>
      <c r="C168" t="s">
        <v>3</v>
      </c>
      <c r="D168" t="s">
        <v>3</v>
      </c>
      <c r="E168" s="4">
        <f t="shared" ca="1" si="1"/>
        <v>0</v>
      </c>
    </row>
    <row r="169" spans="1:5" hidden="1" x14ac:dyDescent="0.25">
      <c r="A169">
        <v>4</v>
      </c>
      <c r="B169">
        <v>5</v>
      </c>
      <c r="C169" t="s">
        <v>3</v>
      </c>
      <c r="D169" t="s">
        <v>4</v>
      </c>
      <c r="E169" s="4">
        <f t="shared" ca="1" si="1"/>
        <v>94033.615384615347</v>
      </c>
    </row>
    <row r="170" spans="1:5" hidden="1" x14ac:dyDescent="0.25">
      <c r="A170">
        <v>4</v>
      </c>
      <c r="B170">
        <v>6</v>
      </c>
      <c r="C170" t="s">
        <v>3</v>
      </c>
      <c r="D170" t="s">
        <v>5</v>
      </c>
      <c r="E170" s="4">
        <f t="shared" ca="1" si="1"/>
        <v>159822.92673992686</v>
      </c>
    </row>
    <row r="171" spans="1:5" hidden="1" x14ac:dyDescent="0.25">
      <c r="A171">
        <v>4</v>
      </c>
      <c r="B171">
        <v>7</v>
      </c>
      <c r="C171" t="s">
        <v>3</v>
      </c>
      <c r="D171" t="s">
        <v>6</v>
      </c>
      <c r="E171" s="4">
        <f t="shared" ref="E171:E232" ca="1" si="2">OFFSET($B$2,A171,B171)</f>
        <v>93369.230769230751</v>
      </c>
    </row>
    <row r="172" spans="1:5" hidden="1" x14ac:dyDescent="0.25">
      <c r="A172">
        <v>4</v>
      </c>
      <c r="B172">
        <v>8</v>
      </c>
      <c r="C172" t="s">
        <v>3</v>
      </c>
      <c r="D172" t="s">
        <v>7</v>
      </c>
      <c r="E172" s="4">
        <f t="shared" ca="1" si="2"/>
        <v>150966.99999999985</v>
      </c>
    </row>
    <row r="173" spans="1:5" hidden="1" x14ac:dyDescent="0.25">
      <c r="A173">
        <v>4</v>
      </c>
      <c r="B173">
        <v>9</v>
      </c>
      <c r="C173" t="s">
        <v>3</v>
      </c>
      <c r="D173" t="s">
        <v>148</v>
      </c>
      <c r="E173" s="4">
        <f t="shared" ca="1" si="2"/>
        <v>601299.77564102586</v>
      </c>
    </row>
    <row r="174" spans="1:5" hidden="1" x14ac:dyDescent="0.25">
      <c r="A174">
        <v>4</v>
      </c>
      <c r="B174">
        <v>10</v>
      </c>
      <c r="C174" t="s">
        <v>3</v>
      </c>
      <c r="D174" t="s">
        <v>9</v>
      </c>
      <c r="E174" s="4">
        <f t="shared" ca="1" si="2"/>
        <v>125676.07692307695</v>
      </c>
    </row>
    <row r="175" spans="1:5" hidden="1" x14ac:dyDescent="0.25">
      <c r="A175">
        <v>4</v>
      </c>
      <c r="B175">
        <v>11</v>
      </c>
      <c r="C175" t="s">
        <v>3</v>
      </c>
      <c r="D175" t="s">
        <v>10</v>
      </c>
      <c r="E175" s="4">
        <f t="shared" ca="1" si="2"/>
        <v>128440.15384615384</v>
      </c>
    </row>
    <row r="176" spans="1:5" hidden="1" x14ac:dyDescent="0.25">
      <c r="A176">
        <v>4</v>
      </c>
      <c r="B176">
        <v>12</v>
      </c>
      <c r="C176" t="s">
        <v>3</v>
      </c>
      <c r="D176" t="s">
        <v>11</v>
      </c>
      <c r="E176" s="4">
        <f t="shared" ca="1" si="2"/>
        <v>73166.230769230751</v>
      </c>
    </row>
    <row r="177" spans="1:5" hidden="1" x14ac:dyDescent="0.25">
      <c r="A177">
        <v>4</v>
      </c>
      <c r="B177">
        <v>13</v>
      </c>
      <c r="C177" t="s">
        <v>3</v>
      </c>
      <c r="D177" t="s">
        <v>12</v>
      </c>
      <c r="E177" s="4">
        <f t="shared" ca="1" si="2"/>
        <v>54854.692307692349</v>
      </c>
    </row>
    <row r="178" spans="1:5" hidden="1" x14ac:dyDescent="0.25">
      <c r="A178">
        <v>4</v>
      </c>
      <c r="B178">
        <v>14</v>
      </c>
      <c r="C178" t="s">
        <v>3</v>
      </c>
      <c r="D178" t="s">
        <v>13</v>
      </c>
      <c r="E178" s="4">
        <f t="shared" ca="1" si="2"/>
        <v>201318.92307692283</v>
      </c>
    </row>
    <row r="179" spans="1:5" hidden="1" x14ac:dyDescent="0.25">
      <c r="A179">
        <v>4</v>
      </c>
      <c r="B179">
        <v>15</v>
      </c>
      <c r="C179" t="s">
        <v>3</v>
      </c>
      <c r="D179" t="s">
        <v>14</v>
      </c>
      <c r="E179" s="4">
        <f t="shared" ca="1" si="2"/>
        <v>323494.6153846159</v>
      </c>
    </row>
    <row r="180" spans="1:5" hidden="1" x14ac:dyDescent="0.25">
      <c r="A180">
        <v>4</v>
      </c>
      <c r="B180">
        <v>16</v>
      </c>
      <c r="C180" t="s">
        <v>3</v>
      </c>
      <c r="D180" t="s">
        <v>15</v>
      </c>
      <c r="E180" s="4">
        <f t="shared" ca="1" si="2"/>
        <v>561707.84615384589</v>
      </c>
    </row>
    <row r="181" spans="1:5" hidden="1" x14ac:dyDescent="0.25">
      <c r="A181">
        <v>4</v>
      </c>
      <c r="B181">
        <v>17</v>
      </c>
      <c r="C181" t="s">
        <v>3</v>
      </c>
      <c r="D181" t="s">
        <v>16</v>
      </c>
      <c r="E181" s="4">
        <f t="shared" ca="1" si="2"/>
        <v>206591.69230769185</v>
      </c>
    </row>
    <row r="182" spans="1:5" hidden="1" x14ac:dyDescent="0.25">
      <c r="A182">
        <v>4</v>
      </c>
      <c r="B182">
        <v>18</v>
      </c>
      <c r="C182" t="s">
        <v>3</v>
      </c>
      <c r="D182" t="s">
        <v>17</v>
      </c>
      <c r="E182" s="4">
        <f t="shared" ca="1" si="2"/>
        <v>83762.538461538454</v>
      </c>
    </row>
    <row r="183" spans="1:5" hidden="1" x14ac:dyDescent="0.25">
      <c r="A183">
        <v>4</v>
      </c>
      <c r="B183">
        <v>19</v>
      </c>
      <c r="C183" t="s">
        <v>3</v>
      </c>
      <c r="D183" t="s">
        <v>18</v>
      </c>
      <c r="E183" s="4">
        <f t="shared" ca="1" si="2"/>
        <v>122481.53846153844</v>
      </c>
    </row>
    <row r="184" spans="1:5" hidden="1" x14ac:dyDescent="0.25">
      <c r="A184">
        <v>4</v>
      </c>
      <c r="B184">
        <v>20</v>
      </c>
      <c r="C184" t="s">
        <v>3</v>
      </c>
      <c r="D184" t="s">
        <v>19</v>
      </c>
      <c r="E184" s="4">
        <f t="shared" ca="1" si="2"/>
        <v>94296.820512820545</v>
      </c>
    </row>
    <row r="185" spans="1:5" hidden="1" x14ac:dyDescent="0.25">
      <c r="A185">
        <v>4</v>
      </c>
      <c r="B185">
        <v>21</v>
      </c>
      <c r="C185" t="s">
        <v>3</v>
      </c>
      <c r="D185" t="s">
        <v>20</v>
      </c>
      <c r="E185" s="4">
        <f t="shared" ca="1" si="2"/>
        <v>138448.48717948684</v>
      </c>
    </row>
    <row r="186" spans="1:5" hidden="1" x14ac:dyDescent="0.25">
      <c r="A186">
        <v>4</v>
      </c>
      <c r="B186">
        <v>22</v>
      </c>
      <c r="C186" t="s">
        <v>3</v>
      </c>
      <c r="D186" t="s">
        <v>21</v>
      </c>
      <c r="E186" s="4">
        <f t="shared" ca="1" si="2"/>
        <v>157575.48717948684</v>
      </c>
    </row>
    <row r="187" spans="1:5" hidden="1" x14ac:dyDescent="0.25">
      <c r="A187">
        <v>4</v>
      </c>
      <c r="B187">
        <v>23</v>
      </c>
      <c r="C187" t="s">
        <v>3</v>
      </c>
      <c r="D187" t="s">
        <v>22</v>
      </c>
      <c r="E187" s="4">
        <f t="shared" ca="1" si="2"/>
        <v>141311.82051282085</v>
      </c>
    </row>
    <row r="188" spans="1:5" hidden="1" x14ac:dyDescent="0.25">
      <c r="A188">
        <v>4</v>
      </c>
      <c r="B188">
        <v>24</v>
      </c>
      <c r="C188" t="s">
        <v>3</v>
      </c>
      <c r="D188" t="s">
        <v>23</v>
      </c>
      <c r="E188" s="4">
        <f t="shared" ca="1" si="2"/>
        <v>98783.820512820545</v>
      </c>
    </row>
    <row r="189" spans="1:5" hidden="1" x14ac:dyDescent="0.25">
      <c r="A189">
        <v>4</v>
      </c>
      <c r="B189">
        <v>25</v>
      </c>
      <c r="C189" t="s">
        <v>3</v>
      </c>
      <c r="D189" t="s">
        <v>24</v>
      </c>
      <c r="E189" s="4">
        <f t="shared" ca="1" si="2"/>
        <v>91731.487179487143</v>
      </c>
    </row>
    <row r="190" spans="1:5" hidden="1" x14ac:dyDescent="0.25">
      <c r="A190">
        <v>4</v>
      </c>
      <c r="B190">
        <v>26</v>
      </c>
      <c r="C190" t="s">
        <v>3</v>
      </c>
      <c r="D190" t="s">
        <v>25</v>
      </c>
      <c r="E190" s="4">
        <f t="shared" ca="1" si="2"/>
        <v>77805.153846153844</v>
      </c>
    </row>
    <row r="191" spans="1:5" hidden="1" x14ac:dyDescent="0.25">
      <c r="A191">
        <v>4</v>
      </c>
      <c r="B191">
        <v>27</v>
      </c>
      <c r="C191" t="s">
        <v>3</v>
      </c>
      <c r="D191" t="s">
        <v>145</v>
      </c>
      <c r="E191" s="4">
        <f t="shared" ca="1" si="2"/>
        <v>447738.25384615385</v>
      </c>
    </row>
    <row r="192" spans="1:5" hidden="1" x14ac:dyDescent="0.25">
      <c r="A192">
        <v>4</v>
      </c>
      <c r="B192">
        <v>28</v>
      </c>
      <c r="C192" t="s">
        <v>3</v>
      </c>
      <c r="D192" t="s">
        <v>147</v>
      </c>
      <c r="E192" s="4">
        <f t="shared" ca="1" si="2"/>
        <v>392516.5538461539</v>
      </c>
    </row>
    <row r="193" spans="1:5" hidden="1" x14ac:dyDescent="0.25">
      <c r="A193">
        <v>4</v>
      </c>
      <c r="B193">
        <v>29</v>
      </c>
      <c r="C193" t="s">
        <v>3</v>
      </c>
      <c r="D193" t="s">
        <v>146</v>
      </c>
      <c r="E193" s="4">
        <f t="shared" ca="1" si="2"/>
        <v>260666.25384615385</v>
      </c>
    </row>
    <row r="194" spans="1:5" hidden="1" x14ac:dyDescent="0.25">
      <c r="A194">
        <v>4</v>
      </c>
      <c r="B194">
        <v>30</v>
      </c>
      <c r="C194" t="s">
        <v>3</v>
      </c>
      <c r="D194" t="s">
        <v>30</v>
      </c>
      <c r="E194" s="4">
        <f t="shared" ca="1" si="2"/>
        <v>55417.846153846149</v>
      </c>
    </row>
    <row r="195" spans="1:5" hidden="1" x14ac:dyDescent="0.25">
      <c r="A195">
        <v>4</v>
      </c>
      <c r="B195">
        <v>31</v>
      </c>
      <c r="C195" t="s">
        <v>3</v>
      </c>
      <c r="D195" t="s">
        <v>31</v>
      </c>
      <c r="E195" s="4">
        <f t="shared" ca="1" si="2"/>
        <v>80964.653846153844</v>
      </c>
    </row>
    <row r="196" spans="1:5" hidden="1" x14ac:dyDescent="0.25">
      <c r="A196">
        <v>4</v>
      </c>
      <c r="B196">
        <v>32</v>
      </c>
      <c r="C196" t="s">
        <v>3</v>
      </c>
      <c r="D196" t="s">
        <v>32</v>
      </c>
      <c r="E196" s="4">
        <f t="shared" ca="1" si="2"/>
        <v>130674.87692307694</v>
      </c>
    </row>
    <row r="197" spans="1:5" hidden="1" x14ac:dyDescent="0.25">
      <c r="A197">
        <v>4</v>
      </c>
      <c r="B197">
        <v>33</v>
      </c>
      <c r="C197" t="s">
        <v>3</v>
      </c>
      <c r="D197" t="s">
        <v>33</v>
      </c>
      <c r="E197" s="4">
        <f t="shared" ca="1" si="2"/>
        <v>298236.54273504287</v>
      </c>
    </row>
    <row r="198" spans="1:5" hidden="1" x14ac:dyDescent="0.25">
      <c r="A198">
        <v>4</v>
      </c>
      <c r="B198">
        <v>34</v>
      </c>
      <c r="C198" t="s">
        <v>3</v>
      </c>
      <c r="D198" t="s">
        <v>34</v>
      </c>
      <c r="E198" s="4">
        <f t="shared" ca="1" si="2"/>
        <v>46646.692307692349</v>
      </c>
    </row>
    <row r="199" spans="1:5" hidden="1" x14ac:dyDescent="0.25">
      <c r="A199">
        <v>4</v>
      </c>
      <c r="B199">
        <v>35</v>
      </c>
      <c r="C199" t="s">
        <v>3</v>
      </c>
      <c r="D199" t="s">
        <v>35</v>
      </c>
      <c r="E199" s="4">
        <f t="shared" ca="1" si="2"/>
        <v>122493.07692307695</v>
      </c>
    </row>
    <row r="200" spans="1:5" hidden="1" x14ac:dyDescent="0.25">
      <c r="A200">
        <v>4</v>
      </c>
      <c r="B200">
        <v>36</v>
      </c>
      <c r="C200" t="s">
        <v>3</v>
      </c>
      <c r="D200" t="s">
        <v>36</v>
      </c>
      <c r="E200" s="4">
        <f t="shared" ca="1" si="2"/>
        <v>117308.58058608054</v>
      </c>
    </row>
    <row r="201" spans="1:5" hidden="1" x14ac:dyDescent="0.25">
      <c r="A201">
        <v>4</v>
      </c>
      <c r="B201">
        <v>37</v>
      </c>
      <c r="C201" t="s">
        <v>3</v>
      </c>
      <c r="D201" t="s">
        <v>37</v>
      </c>
      <c r="E201" s="4">
        <f t="shared" ca="1" si="2"/>
        <v>38285.538461538468</v>
      </c>
    </row>
    <row r="202" spans="1:5" hidden="1" x14ac:dyDescent="0.25">
      <c r="A202">
        <v>4</v>
      </c>
      <c r="B202">
        <v>38</v>
      </c>
      <c r="C202" t="s">
        <v>3</v>
      </c>
      <c r="D202" t="s">
        <v>38</v>
      </c>
      <c r="E202" s="4">
        <f t="shared" ca="1" si="2"/>
        <v>122455.99633699634</v>
      </c>
    </row>
    <row r="203" spans="1:5" hidden="1" x14ac:dyDescent="0.25">
      <c r="A203">
        <v>4</v>
      </c>
      <c r="B203">
        <v>39</v>
      </c>
      <c r="C203" t="s">
        <v>3</v>
      </c>
      <c r="D203" t="s">
        <v>39</v>
      </c>
      <c r="E203" s="4">
        <f t="shared" ca="1" si="2"/>
        <v>103775.29670329674</v>
      </c>
    </row>
    <row r="204" spans="1:5" hidden="1" x14ac:dyDescent="0.25">
      <c r="A204">
        <v>4</v>
      </c>
      <c r="B204">
        <v>40</v>
      </c>
      <c r="C204" t="s">
        <v>3</v>
      </c>
      <c r="D204" t="s">
        <v>40</v>
      </c>
      <c r="E204" s="4">
        <f t="shared" ca="1" si="2"/>
        <v>51953.646520146547</v>
      </c>
    </row>
    <row r="205" spans="1:5" hidden="1" x14ac:dyDescent="0.25">
      <c r="A205">
        <v>5</v>
      </c>
      <c r="B205">
        <v>1</v>
      </c>
      <c r="C205" t="s">
        <v>4</v>
      </c>
      <c r="D205" t="s">
        <v>0</v>
      </c>
      <c r="E205" s="4">
        <f t="shared" ca="1" si="2"/>
        <v>113793.92307692312</v>
      </c>
    </row>
    <row r="206" spans="1:5" hidden="1" x14ac:dyDescent="0.25">
      <c r="A206">
        <v>5</v>
      </c>
      <c r="B206">
        <v>2</v>
      </c>
      <c r="C206" t="s">
        <v>4</v>
      </c>
      <c r="D206" t="s">
        <v>1</v>
      </c>
      <c r="E206" s="4">
        <f t="shared" ca="1" si="2"/>
        <v>104182.30769230772</v>
      </c>
    </row>
    <row r="207" spans="1:5" hidden="1" x14ac:dyDescent="0.25">
      <c r="A207">
        <v>5</v>
      </c>
      <c r="B207">
        <v>3</v>
      </c>
      <c r="C207" t="s">
        <v>4</v>
      </c>
      <c r="D207" t="s">
        <v>2</v>
      </c>
      <c r="E207" s="4">
        <f t="shared" ca="1" si="2"/>
        <v>107216.53846153842</v>
      </c>
    </row>
    <row r="208" spans="1:5" hidden="1" x14ac:dyDescent="0.25">
      <c r="A208">
        <v>5</v>
      </c>
      <c r="B208">
        <v>4</v>
      </c>
      <c r="C208" t="s">
        <v>4</v>
      </c>
      <c r="D208" t="s">
        <v>3</v>
      </c>
      <c r="E208" s="4">
        <f t="shared" ca="1" si="2"/>
        <v>96323.461538461517</v>
      </c>
    </row>
    <row r="209" spans="1:5" hidden="1" x14ac:dyDescent="0.25">
      <c r="A209">
        <v>5</v>
      </c>
      <c r="B209">
        <v>5</v>
      </c>
      <c r="C209" t="s">
        <v>4</v>
      </c>
      <c r="D209" t="s">
        <v>4</v>
      </c>
      <c r="E209" s="4">
        <f t="shared" ca="1" si="2"/>
        <v>0</v>
      </c>
    </row>
    <row r="210" spans="1:5" hidden="1" x14ac:dyDescent="0.25">
      <c r="A210">
        <v>5</v>
      </c>
      <c r="B210">
        <v>6</v>
      </c>
      <c r="C210" t="s">
        <v>4</v>
      </c>
      <c r="D210" t="s">
        <v>5</v>
      </c>
      <c r="E210" s="4">
        <f t="shared" ca="1" si="2"/>
        <v>193912.84981684992</v>
      </c>
    </row>
    <row r="211" spans="1:5" hidden="1" x14ac:dyDescent="0.25">
      <c r="A211">
        <v>5</v>
      </c>
      <c r="B211">
        <v>7</v>
      </c>
      <c r="C211" t="s">
        <v>4</v>
      </c>
      <c r="D211" t="s">
        <v>6</v>
      </c>
      <c r="E211" s="4">
        <f t="shared" ca="1" si="2"/>
        <v>127459.15384615381</v>
      </c>
    </row>
    <row r="212" spans="1:5" hidden="1" x14ac:dyDescent="0.25">
      <c r="A212">
        <v>5</v>
      </c>
      <c r="B212">
        <v>8</v>
      </c>
      <c r="C212" t="s">
        <v>4</v>
      </c>
      <c r="D212" t="s">
        <v>7</v>
      </c>
      <c r="E212" s="4">
        <f t="shared" ca="1" si="2"/>
        <v>185056.92307692292</v>
      </c>
    </row>
    <row r="213" spans="1:5" hidden="1" x14ac:dyDescent="0.25">
      <c r="A213">
        <v>5</v>
      </c>
      <c r="B213">
        <v>9</v>
      </c>
      <c r="C213" t="s">
        <v>4</v>
      </c>
      <c r="D213" t="s">
        <v>148</v>
      </c>
      <c r="E213" s="4">
        <f t="shared" ca="1" si="2"/>
        <v>635389.69871794886</v>
      </c>
    </row>
    <row r="214" spans="1:5" hidden="1" x14ac:dyDescent="0.25">
      <c r="A214">
        <v>5</v>
      </c>
      <c r="B214">
        <v>10</v>
      </c>
      <c r="C214" t="s">
        <v>4</v>
      </c>
      <c r="D214" t="s">
        <v>9</v>
      </c>
      <c r="E214" s="4">
        <f t="shared" ca="1" si="2"/>
        <v>159766.00000000003</v>
      </c>
    </row>
    <row r="215" spans="1:5" hidden="1" x14ac:dyDescent="0.25">
      <c r="A215">
        <v>5</v>
      </c>
      <c r="B215">
        <v>11</v>
      </c>
      <c r="C215" t="s">
        <v>4</v>
      </c>
      <c r="D215" t="s">
        <v>10</v>
      </c>
      <c r="E215" s="4">
        <f t="shared" ca="1" si="2"/>
        <v>162530.07692307694</v>
      </c>
    </row>
    <row r="216" spans="1:5" hidden="1" x14ac:dyDescent="0.25">
      <c r="A216">
        <v>5</v>
      </c>
      <c r="B216">
        <v>12</v>
      </c>
      <c r="C216" t="s">
        <v>4</v>
      </c>
      <c r="D216" t="s">
        <v>11</v>
      </c>
      <c r="E216" s="4">
        <f t="shared" ca="1" si="2"/>
        <v>107256.15384615381</v>
      </c>
    </row>
    <row r="217" spans="1:5" hidden="1" x14ac:dyDescent="0.25">
      <c r="A217">
        <v>5</v>
      </c>
      <c r="B217">
        <v>13</v>
      </c>
      <c r="C217" t="s">
        <v>4</v>
      </c>
      <c r="D217" t="s">
        <v>12</v>
      </c>
      <c r="E217" s="4">
        <f t="shared" ca="1" si="2"/>
        <v>88944.615384615419</v>
      </c>
    </row>
    <row r="218" spans="1:5" hidden="1" x14ac:dyDescent="0.25">
      <c r="A218">
        <v>5</v>
      </c>
      <c r="B218">
        <v>14</v>
      </c>
      <c r="C218" t="s">
        <v>4</v>
      </c>
      <c r="D218" t="s">
        <v>13</v>
      </c>
      <c r="E218" s="4">
        <f t="shared" ca="1" si="2"/>
        <v>235408.84615384589</v>
      </c>
    </row>
    <row r="219" spans="1:5" hidden="1" x14ac:dyDescent="0.25">
      <c r="A219">
        <v>5</v>
      </c>
      <c r="B219">
        <v>15</v>
      </c>
      <c r="C219" t="s">
        <v>4</v>
      </c>
      <c r="D219" t="s">
        <v>14</v>
      </c>
      <c r="E219" s="4">
        <f t="shared" ca="1" si="2"/>
        <v>357584.53846153896</v>
      </c>
    </row>
    <row r="220" spans="1:5" hidden="1" x14ac:dyDescent="0.25">
      <c r="A220">
        <v>5</v>
      </c>
      <c r="B220">
        <v>16</v>
      </c>
      <c r="C220" t="s">
        <v>4</v>
      </c>
      <c r="D220" t="s">
        <v>15</v>
      </c>
      <c r="E220" s="4">
        <f t="shared" ca="1" si="2"/>
        <v>595797.7692307689</v>
      </c>
    </row>
    <row r="221" spans="1:5" hidden="1" x14ac:dyDescent="0.25">
      <c r="A221">
        <v>5</v>
      </c>
      <c r="B221">
        <v>17</v>
      </c>
      <c r="C221" t="s">
        <v>4</v>
      </c>
      <c r="D221" t="s">
        <v>16</v>
      </c>
      <c r="E221" s="4">
        <f t="shared" ca="1" si="2"/>
        <v>240681.61538461491</v>
      </c>
    </row>
    <row r="222" spans="1:5" hidden="1" x14ac:dyDescent="0.25">
      <c r="A222">
        <v>5</v>
      </c>
      <c r="B222">
        <v>18</v>
      </c>
      <c r="C222" t="s">
        <v>4</v>
      </c>
      <c r="D222" t="s">
        <v>17</v>
      </c>
      <c r="E222" s="4">
        <f t="shared" ca="1" si="2"/>
        <v>117852.46153846153</v>
      </c>
    </row>
    <row r="223" spans="1:5" hidden="1" x14ac:dyDescent="0.25">
      <c r="A223">
        <v>5</v>
      </c>
      <c r="B223">
        <v>19</v>
      </c>
      <c r="C223" t="s">
        <v>4</v>
      </c>
      <c r="D223" t="s">
        <v>18</v>
      </c>
      <c r="E223" s="4">
        <f t="shared" ca="1" si="2"/>
        <v>156571.4615384615</v>
      </c>
    </row>
    <row r="224" spans="1:5" hidden="1" x14ac:dyDescent="0.25">
      <c r="A224">
        <v>5</v>
      </c>
      <c r="B224">
        <v>20</v>
      </c>
      <c r="C224" t="s">
        <v>4</v>
      </c>
      <c r="D224" t="s">
        <v>19</v>
      </c>
      <c r="E224" s="4">
        <f t="shared" ca="1" si="2"/>
        <v>128386.74358974362</v>
      </c>
    </row>
    <row r="225" spans="1:5" hidden="1" x14ac:dyDescent="0.25">
      <c r="A225">
        <v>5</v>
      </c>
      <c r="B225">
        <v>21</v>
      </c>
      <c r="C225" t="s">
        <v>4</v>
      </c>
      <c r="D225" t="s">
        <v>20</v>
      </c>
      <c r="E225" s="4">
        <f t="shared" ca="1" si="2"/>
        <v>172538.4102564099</v>
      </c>
    </row>
    <row r="226" spans="1:5" hidden="1" x14ac:dyDescent="0.25">
      <c r="A226">
        <v>5</v>
      </c>
      <c r="B226">
        <v>22</v>
      </c>
      <c r="C226" t="s">
        <v>4</v>
      </c>
      <c r="D226" t="s">
        <v>21</v>
      </c>
      <c r="E226" s="4">
        <f t="shared" ca="1" si="2"/>
        <v>191665.4102564099</v>
      </c>
    </row>
    <row r="227" spans="1:5" hidden="1" x14ac:dyDescent="0.25">
      <c r="A227">
        <v>5</v>
      </c>
      <c r="B227">
        <v>23</v>
      </c>
      <c r="C227" t="s">
        <v>4</v>
      </c>
      <c r="D227" t="s">
        <v>22</v>
      </c>
      <c r="E227" s="4">
        <f t="shared" ca="1" si="2"/>
        <v>175401.74358974391</v>
      </c>
    </row>
    <row r="228" spans="1:5" hidden="1" x14ac:dyDescent="0.25">
      <c r="A228">
        <v>5</v>
      </c>
      <c r="B228">
        <v>24</v>
      </c>
      <c r="C228" t="s">
        <v>4</v>
      </c>
      <c r="D228" t="s">
        <v>23</v>
      </c>
      <c r="E228" s="4">
        <f t="shared" ca="1" si="2"/>
        <v>132873.74358974362</v>
      </c>
    </row>
    <row r="229" spans="1:5" hidden="1" x14ac:dyDescent="0.25">
      <c r="A229">
        <v>5</v>
      </c>
      <c r="B229">
        <v>25</v>
      </c>
      <c r="C229" t="s">
        <v>4</v>
      </c>
      <c r="D229" t="s">
        <v>24</v>
      </c>
      <c r="E229" s="4">
        <f t="shared" ca="1" si="2"/>
        <v>125821.41025641022</v>
      </c>
    </row>
    <row r="230" spans="1:5" hidden="1" x14ac:dyDescent="0.25">
      <c r="A230">
        <v>5</v>
      </c>
      <c r="B230">
        <v>26</v>
      </c>
      <c r="C230" t="s">
        <v>4</v>
      </c>
      <c r="D230" t="s">
        <v>25</v>
      </c>
      <c r="E230" s="4">
        <f t="shared" ca="1" si="2"/>
        <v>111895.07692307692</v>
      </c>
    </row>
    <row r="231" spans="1:5" hidden="1" x14ac:dyDescent="0.25">
      <c r="A231">
        <v>5</v>
      </c>
      <c r="B231">
        <v>27</v>
      </c>
      <c r="C231" t="s">
        <v>4</v>
      </c>
      <c r="D231" t="s">
        <v>145</v>
      </c>
      <c r="E231" s="4">
        <f t="shared" ca="1" si="2"/>
        <v>481828.17692307691</v>
      </c>
    </row>
    <row r="232" spans="1:5" hidden="1" x14ac:dyDescent="0.25">
      <c r="A232">
        <v>5</v>
      </c>
      <c r="B232">
        <v>28</v>
      </c>
      <c r="C232" t="s">
        <v>4</v>
      </c>
      <c r="D232" t="s">
        <v>147</v>
      </c>
      <c r="E232" s="4">
        <f t="shared" ca="1" si="2"/>
        <v>426606.47692307696</v>
      </c>
    </row>
    <row r="233" spans="1:5" hidden="1" x14ac:dyDescent="0.25">
      <c r="A233">
        <v>5</v>
      </c>
      <c r="B233">
        <v>29</v>
      </c>
      <c r="C233" t="s">
        <v>4</v>
      </c>
      <c r="D233" t="s">
        <v>146</v>
      </c>
      <c r="E233" s="4">
        <f t="shared" ref="E233:E295" ca="1" si="3">OFFSET($B$2,A233,B233)</f>
        <v>294756.17692307691</v>
      </c>
    </row>
    <row r="234" spans="1:5" hidden="1" x14ac:dyDescent="0.25">
      <c r="A234">
        <v>5</v>
      </c>
      <c r="B234">
        <v>30</v>
      </c>
      <c r="C234" t="s">
        <v>4</v>
      </c>
      <c r="D234" t="s">
        <v>30</v>
      </c>
      <c r="E234" s="4">
        <f t="shared" ca="1" si="3"/>
        <v>89507.76923076922</v>
      </c>
    </row>
    <row r="235" spans="1:5" hidden="1" x14ac:dyDescent="0.25">
      <c r="A235">
        <v>5</v>
      </c>
      <c r="B235">
        <v>31</v>
      </c>
      <c r="C235" t="s">
        <v>4</v>
      </c>
      <c r="D235" t="s">
        <v>31</v>
      </c>
      <c r="E235" s="4">
        <f t="shared" ca="1" si="3"/>
        <v>115054.57692307692</v>
      </c>
    </row>
    <row r="236" spans="1:5" hidden="1" x14ac:dyDescent="0.25">
      <c r="A236">
        <v>5</v>
      </c>
      <c r="B236">
        <v>32</v>
      </c>
      <c r="C236" t="s">
        <v>4</v>
      </c>
      <c r="D236" t="s">
        <v>32</v>
      </c>
      <c r="E236" s="4">
        <f t="shared" ca="1" si="3"/>
        <v>164764.80000000002</v>
      </c>
    </row>
    <row r="237" spans="1:5" hidden="1" x14ac:dyDescent="0.25">
      <c r="A237">
        <v>5</v>
      </c>
      <c r="B237">
        <v>33</v>
      </c>
      <c r="C237" t="s">
        <v>4</v>
      </c>
      <c r="D237" t="s">
        <v>33</v>
      </c>
      <c r="E237" s="4">
        <f t="shared" ca="1" si="3"/>
        <v>332326.46581196593</v>
      </c>
    </row>
    <row r="238" spans="1:5" hidden="1" x14ac:dyDescent="0.25">
      <c r="A238">
        <v>5</v>
      </c>
      <c r="B238">
        <v>34</v>
      </c>
      <c r="C238" t="s">
        <v>4</v>
      </c>
      <c r="D238" t="s">
        <v>34</v>
      </c>
      <c r="E238" s="4">
        <f t="shared" ca="1" si="3"/>
        <v>80736.615384615419</v>
      </c>
    </row>
    <row r="239" spans="1:5" hidden="1" x14ac:dyDescent="0.25">
      <c r="A239">
        <v>5</v>
      </c>
      <c r="B239">
        <v>35</v>
      </c>
      <c r="C239" t="s">
        <v>4</v>
      </c>
      <c r="D239" t="s">
        <v>35</v>
      </c>
      <c r="E239" s="4">
        <f t="shared" ca="1" si="3"/>
        <v>156583.00000000003</v>
      </c>
    </row>
    <row r="240" spans="1:5" hidden="1" x14ac:dyDescent="0.25">
      <c r="A240">
        <v>5</v>
      </c>
      <c r="B240">
        <v>36</v>
      </c>
      <c r="C240" t="s">
        <v>4</v>
      </c>
      <c r="D240" t="s">
        <v>36</v>
      </c>
      <c r="E240" s="4">
        <f t="shared" ca="1" si="3"/>
        <v>151398.50366300362</v>
      </c>
    </row>
    <row r="241" spans="1:5" hidden="1" x14ac:dyDescent="0.25">
      <c r="A241">
        <v>5</v>
      </c>
      <c r="B241">
        <v>37</v>
      </c>
      <c r="C241" t="s">
        <v>4</v>
      </c>
      <c r="D241" t="s">
        <v>37</v>
      </c>
      <c r="E241" s="4">
        <f t="shared" ca="1" si="3"/>
        <v>72375.461538461546</v>
      </c>
    </row>
    <row r="242" spans="1:5" hidden="1" x14ac:dyDescent="0.25">
      <c r="A242">
        <v>5</v>
      </c>
      <c r="B242">
        <v>38</v>
      </c>
      <c r="C242" t="s">
        <v>4</v>
      </c>
      <c r="D242" t="s">
        <v>38</v>
      </c>
      <c r="E242" s="4">
        <f t="shared" ca="1" si="3"/>
        <v>156545.91941391942</v>
      </c>
    </row>
    <row r="243" spans="1:5" hidden="1" x14ac:dyDescent="0.25">
      <c r="A243">
        <v>5</v>
      </c>
      <c r="B243">
        <v>39</v>
      </c>
      <c r="C243" t="s">
        <v>4</v>
      </c>
      <c r="D243" t="s">
        <v>39</v>
      </c>
      <c r="E243" s="4">
        <f t="shared" ca="1" si="3"/>
        <v>137865.21978021984</v>
      </c>
    </row>
    <row r="244" spans="1:5" hidden="1" x14ac:dyDescent="0.25">
      <c r="A244">
        <v>5</v>
      </c>
      <c r="B244">
        <v>40</v>
      </c>
      <c r="C244" t="s">
        <v>4</v>
      </c>
      <c r="D244" t="s">
        <v>40</v>
      </c>
      <c r="E244" s="4">
        <f t="shared" ca="1" si="3"/>
        <v>86043.569597069625</v>
      </c>
    </row>
    <row r="245" spans="1:5" hidden="1" x14ac:dyDescent="0.25">
      <c r="A245">
        <v>6</v>
      </c>
      <c r="B245">
        <v>1</v>
      </c>
      <c r="C245" t="s">
        <v>5</v>
      </c>
      <c r="D245" t="s">
        <v>0</v>
      </c>
      <c r="E245" s="4">
        <f t="shared" ca="1" si="3"/>
        <v>176348.54578754582</v>
      </c>
    </row>
    <row r="246" spans="1:5" hidden="1" x14ac:dyDescent="0.25">
      <c r="A246">
        <v>6</v>
      </c>
      <c r="B246">
        <v>2</v>
      </c>
      <c r="C246" t="s">
        <v>5</v>
      </c>
      <c r="D246" t="s">
        <v>1</v>
      </c>
      <c r="E246" s="4">
        <f t="shared" ca="1" si="3"/>
        <v>166736.93040293042</v>
      </c>
    </row>
    <row r="247" spans="1:5" hidden="1" x14ac:dyDescent="0.25">
      <c r="A247">
        <v>6</v>
      </c>
      <c r="B247">
        <v>3</v>
      </c>
      <c r="C247" t="s">
        <v>5</v>
      </c>
      <c r="D247" t="s">
        <v>2</v>
      </c>
      <c r="E247" s="4">
        <f t="shared" ca="1" si="3"/>
        <v>169771.16117216111</v>
      </c>
    </row>
    <row r="248" spans="1:5" hidden="1" x14ac:dyDescent="0.25">
      <c r="A248">
        <v>6</v>
      </c>
      <c r="B248">
        <v>4</v>
      </c>
      <c r="C248" t="s">
        <v>5</v>
      </c>
      <c r="D248" t="s">
        <v>3</v>
      </c>
      <c r="E248" s="4">
        <f t="shared" ca="1" si="3"/>
        <v>158878.08424908423</v>
      </c>
    </row>
    <row r="249" spans="1:5" hidden="1" x14ac:dyDescent="0.25">
      <c r="A249">
        <v>6</v>
      </c>
      <c r="B249">
        <v>5</v>
      </c>
      <c r="C249" t="s">
        <v>5</v>
      </c>
      <c r="D249" t="s">
        <v>4</v>
      </c>
      <c r="E249" s="4">
        <f t="shared" ca="1" si="3"/>
        <v>190678.16117216111</v>
      </c>
    </row>
    <row r="250" spans="1:5" hidden="1" x14ac:dyDescent="0.25">
      <c r="A250">
        <v>6</v>
      </c>
      <c r="B250">
        <v>6</v>
      </c>
      <c r="C250" t="s">
        <v>5</v>
      </c>
      <c r="D250" t="s">
        <v>5</v>
      </c>
      <c r="E250" s="4">
        <f t="shared" ca="1" si="3"/>
        <v>0</v>
      </c>
    </row>
    <row r="251" spans="1:5" hidden="1" x14ac:dyDescent="0.25">
      <c r="A251">
        <v>6</v>
      </c>
      <c r="B251">
        <v>7</v>
      </c>
      <c r="C251" t="s">
        <v>5</v>
      </c>
      <c r="D251" t="s">
        <v>6</v>
      </c>
      <c r="E251" s="4">
        <f t="shared" ca="1" si="3"/>
        <v>190013.77655677652</v>
      </c>
    </row>
    <row r="252" spans="1:5" hidden="1" x14ac:dyDescent="0.25">
      <c r="A252">
        <v>6</v>
      </c>
      <c r="B252">
        <v>8</v>
      </c>
      <c r="C252" t="s">
        <v>5</v>
      </c>
      <c r="D252" t="s">
        <v>7</v>
      </c>
      <c r="E252" s="4">
        <f t="shared" ca="1" si="3"/>
        <v>247611.54578754562</v>
      </c>
    </row>
    <row r="253" spans="1:5" hidden="1" x14ac:dyDescent="0.25">
      <c r="A253">
        <v>6</v>
      </c>
      <c r="B253">
        <v>9</v>
      </c>
      <c r="C253" t="s">
        <v>5</v>
      </c>
      <c r="D253" t="s">
        <v>148</v>
      </c>
      <c r="E253" s="4">
        <f t="shared" ca="1" si="3"/>
        <v>697944.32142857159</v>
      </c>
    </row>
    <row r="254" spans="1:5" hidden="1" x14ac:dyDescent="0.25">
      <c r="A254">
        <v>6</v>
      </c>
      <c r="B254">
        <v>10</v>
      </c>
      <c r="C254" t="s">
        <v>5</v>
      </c>
      <c r="D254" t="s">
        <v>9</v>
      </c>
      <c r="E254" s="4">
        <f t="shared" ca="1" si="3"/>
        <v>222320.62271062273</v>
      </c>
    </row>
    <row r="255" spans="1:5" hidden="1" x14ac:dyDescent="0.25">
      <c r="A255">
        <v>6</v>
      </c>
      <c r="B255">
        <v>11</v>
      </c>
      <c r="C255" t="s">
        <v>5</v>
      </c>
      <c r="D255" t="s">
        <v>10</v>
      </c>
      <c r="E255" s="4">
        <f t="shared" ca="1" si="3"/>
        <v>225084.69963369961</v>
      </c>
    </row>
    <row r="256" spans="1:5" hidden="1" x14ac:dyDescent="0.25">
      <c r="A256">
        <v>6</v>
      </c>
      <c r="B256">
        <v>12</v>
      </c>
      <c r="C256" t="s">
        <v>5</v>
      </c>
      <c r="D256" t="s">
        <v>11</v>
      </c>
      <c r="E256" s="4">
        <f t="shared" ca="1" si="3"/>
        <v>169810.77655677652</v>
      </c>
    </row>
    <row r="257" spans="1:5" hidden="1" x14ac:dyDescent="0.25">
      <c r="A257">
        <v>6</v>
      </c>
      <c r="B257">
        <v>13</v>
      </c>
      <c r="C257" t="s">
        <v>5</v>
      </c>
      <c r="D257" t="s">
        <v>12</v>
      </c>
      <c r="E257" s="4">
        <f t="shared" ca="1" si="3"/>
        <v>151499.23809523814</v>
      </c>
    </row>
    <row r="258" spans="1:5" hidden="1" x14ac:dyDescent="0.25">
      <c r="A258">
        <v>6</v>
      </c>
      <c r="B258">
        <v>14</v>
      </c>
      <c r="C258" t="s">
        <v>5</v>
      </c>
      <c r="D258" t="s">
        <v>13</v>
      </c>
      <c r="E258" s="4">
        <f t="shared" ca="1" si="3"/>
        <v>297963.46886446862</v>
      </c>
    </row>
    <row r="259" spans="1:5" hidden="1" x14ac:dyDescent="0.25">
      <c r="A259">
        <v>6</v>
      </c>
      <c r="B259">
        <v>15</v>
      </c>
      <c r="C259" t="s">
        <v>5</v>
      </c>
      <c r="D259" t="s">
        <v>14</v>
      </c>
      <c r="E259" s="4">
        <f t="shared" ca="1" si="3"/>
        <v>420139.16117216164</v>
      </c>
    </row>
    <row r="260" spans="1:5" hidden="1" x14ac:dyDescent="0.25">
      <c r="A260">
        <v>6</v>
      </c>
      <c r="B260">
        <v>16</v>
      </c>
      <c r="C260" t="s">
        <v>5</v>
      </c>
      <c r="D260" t="s">
        <v>15</v>
      </c>
      <c r="E260" s="4">
        <f t="shared" ca="1" si="3"/>
        <v>658352.39194139163</v>
      </c>
    </row>
    <row r="261" spans="1:5" hidden="1" x14ac:dyDescent="0.25">
      <c r="A261">
        <v>6</v>
      </c>
      <c r="B261">
        <v>17</v>
      </c>
      <c r="C261" t="s">
        <v>5</v>
      </c>
      <c r="D261" t="s">
        <v>16</v>
      </c>
      <c r="E261" s="4">
        <f t="shared" ca="1" si="3"/>
        <v>303236.23809523764</v>
      </c>
    </row>
    <row r="262" spans="1:5" hidden="1" x14ac:dyDescent="0.25">
      <c r="A262">
        <v>6</v>
      </c>
      <c r="B262">
        <v>18</v>
      </c>
      <c r="C262" t="s">
        <v>5</v>
      </c>
      <c r="D262" t="s">
        <v>17</v>
      </c>
      <c r="E262" s="4">
        <f t="shared" ca="1" si="3"/>
        <v>180407.08424908423</v>
      </c>
    </row>
    <row r="263" spans="1:5" hidden="1" x14ac:dyDescent="0.25">
      <c r="A263">
        <v>6</v>
      </c>
      <c r="B263">
        <v>19</v>
      </c>
      <c r="C263" t="s">
        <v>5</v>
      </c>
      <c r="D263" t="s">
        <v>18</v>
      </c>
      <c r="E263" s="4">
        <f t="shared" ca="1" si="3"/>
        <v>219126.08424908423</v>
      </c>
    </row>
    <row r="264" spans="1:5" hidden="1" x14ac:dyDescent="0.25">
      <c r="A264">
        <v>6</v>
      </c>
      <c r="B264">
        <v>20</v>
      </c>
      <c r="C264" t="s">
        <v>5</v>
      </c>
      <c r="D264" t="s">
        <v>19</v>
      </c>
      <c r="E264" s="4">
        <f t="shared" ca="1" si="3"/>
        <v>190941.36630036632</v>
      </c>
    </row>
    <row r="265" spans="1:5" hidden="1" x14ac:dyDescent="0.25">
      <c r="A265">
        <v>6</v>
      </c>
      <c r="B265">
        <v>21</v>
      </c>
      <c r="C265" t="s">
        <v>5</v>
      </c>
      <c r="D265" t="s">
        <v>20</v>
      </c>
      <c r="E265" s="4">
        <f t="shared" ca="1" si="3"/>
        <v>235093.03296703263</v>
      </c>
    </row>
    <row r="266" spans="1:5" hidden="1" x14ac:dyDescent="0.25">
      <c r="A266">
        <v>6</v>
      </c>
      <c r="B266">
        <v>22</v>
      </c>
      <c r="C266" t="s">
        <v>5</v>
      </c>
      <c r="D266" t="s">
        <v>21</v>
      </c>
      <c r="E266" s="4">
        <f t="shared" ca="1" si="3"/>
        <v>254220.03296703263</v>
      </c>
    </row>
    <row r="267" spans="1:5" hidden="1" x14ac:dyDescent="0.25">
      <c r="A267">
        <v>6</v>
      </c>
      <c r="B267">
        <v>23</v>
      </c>
      <c r="C267" t="s">
        <v>5</v>
      </c>
      <c r="D267" t="s">
        <v>22</v>
      </c>
      <c r="E267" s="4">
        <f t="shared" ca="1" si="3"/>
        <v>237956.36630036664</v>
      </c>
    </row>
    <row r="268" spans="1:5" hidden="1" x14ac:dyDescent="0.25">
      <c r="A268">
        <v>6</v>
      </c>
      <c r="B268">
        <v>24</v>
      </c>
      <c r="C268" t="s">
        <v>5</v>
      </c>
      <c r="D268" t="s">
        <v>23</v>
      </c>
      <c r="E268" s="4">
        <f t="shared" ca="1" si="3"/>
        <v>195428.36630036632</v>
      </c>
    </row>
    <row r="269" spans="1:5" hidden="1" x14ac:dyDescent="0.25">
      <c r="A269">
        <v>6</v>
      </c>
      <c r="B269">
        <v>25</v>
      </c>
      <c r="C269" t="s">
        <v>5</v>
      </c>
      <c r="D269" t="s">
        <v>24</v>
      </c>
      <c r="E269" s="4">
        <f t="shared" ca="1" si="3"/>
        <v>188376.03296703292</v>
      </c>
    </row>
    <row r="270" spans="1:5" hidden="1" x14ac:dyDescent="0.25">
      <c r="A270">
        <v>6</v>
      </c>
      <c r="B270">
        <v>26</v>
      </c>
      <c r="C270" t="s">
        <v>5</v>
      </c>
      <c r="D270" t="s">
        <v>25</v>
      </c>
      <c r="E270" s="4">
        <f t="shared" ca="1" si="3"/>
        <v>174449.69963369961</v>
      </c>
    </row>
    <row r="271" spans="1:5" hidden="1" x14ac:dyDescent="0.25">
      <c r="A271">
        <v>6</v>
      </c>
      <c r="B271">
        <v>27</v>
      </c>
      <c r="C271" t="s">
        <v>5</v>
      </c>
      <c r="D271" t="s">
        <v>145</v>
      </c>
      <c r="E271" s="4">
        <f t="shared" ca="1" si="3"/>
        <v>544382.79963369959</v>
      </c>
    </row>
    <row r="272" spans="1:5" hidden="1" x14ac:dyDescent="0.25">
      <c r="A272">
        <v>6</v>
      </c>
      <c r="B272">
        <v>28</v>
      </c>
      <c r="C272" t="s">
        <v>5</v>
      </c>
      <c r="D272" t="s">
        <v>147</v>
      </c>
      <c r="E272" s="4">
        <f t="shared" ca="1" si="3"/>
        <v>489161.09963369963</v>
      </c>
    </row>
    <row r="273" spans="1:5" hidden="1" x14ac:dyDescent="0.25">
      <c r="A273">
        <v>6</v>
      </c>
      <c r="B273">
        <v>29</v>
      </c>
      <c r="C273" t="s">
        <v>5</v>
      </c>
      <c r="D273" t="s">
        <v>146</v>
      </c>
      <c r="E273" s="4">
        <f t="shared" ca="1" si="3"/>
        <v>357310.79963369964</v>
      </c>
    </row>
    <row r="274" spans="1:5" hidden="1" x14ac:dyDescent="0.25">
      <c r="A274">
        <v>6</v>
      </c>
      <c r="B274">
        <v>30</v>
      </c>
      <c r="C274" t="s">
        <v>5</v>
      </c>
      <c r="D274" t="s">
        <v>30</v>
      </c>
      <c r="E274" s="4">
        <f t="shared" ca="1" si="3"/>
        <v>152062.39194139192</v>
      </c>
    </row>
    <row r="275" spans="1:5" hidden="1" x14ac:dyDescent="0.25">
      <c r="A275">
        <v>6</v>
      </c>
      <c r="B275">
        <v>31</v>
      </c>
      <c r="C275" t="s">
        <v>5</v>
      </c>
      <c r="D275" t="s">
        <v>31</v>
      </c>
      <c r="E275" s="4">
        <f t="shared" ca="1" si="3"/>
        <v>177609.19963369961</v>
      </c>
    </row>
    <row r="276" spans="1:5" hidden="1" x14ac:dyDescent="0.25">
      <c r="A276">
        <v>6</v>
      </c>
      <c r="B276">
        <v>32</v>
      </c>
      <c r="C276" t="s">
        <v>5</v>
      </c>
      <c r="D276" t="s">
        <v>32</v>
      </c>
      <c r="E276" s="4">
        <f t="shared" ca="1" si="3"/>
        <v>227319.42271062272</v>
      </c>
    </row>
    <row r="277" spans="1:5" hidden="1" x14ac:dyDescent="0.25">
      <c r="A277">
        <v>6</v>
      </c>
      <c r="B277">
        <v>33</v>
      </c>
      <c r="C277" t="s">
        <v>5</v>
      </c>
      <c r="D277" t="s">
        <v>33</v>
      </c>
      <c r="E277" s="4">
        <f t="shared" ca="1" si="3"/>
        <v>394881.0885225886</v>
      </c>
    </row>
    <row r="278" spans="1:5" hidden="1" x14ac:dyDescent="0.25">
      <c r="A278">
        <v>6</v>
      </c>
      <c r="B278">
        <v>34</v>
      </c>
      <c r="C278" t="s">
        <v>5</v>
      </c>
      <c r="D278" t="s">
        <v>34</v>
      </c>
      <c r="E278" s="4">
        <f t="shared" ca="1" si="3"/>
        <v>143291.23809523814</v>
      </c>
    </row>
    <row r="279" spans="1:5" hidden="1" x14ac:dyDescent="0.25">
      <c r="A279">
        <v>6</v>
      </c>
      <c r="B279">
        <v>35</v>
      </c>
      <c r="C279" t="s">
        <v>5</v>
      </c>
      <c r="D279" t="s">
        <v>35</v>
      </c>
      <c r="E279" s="4">
        <f t="shared" ca="1" si="3"/>
        <v>219137.62271062273</v>
      </c>
    </row>
    <row r="280" spans="1:5" hidden="1" x14ac:dyDescent="0.25">
      <c r="A280">
        <v>6</v>
      </c>
      <c r="B280">
        <v>36</v>
      </c>
      <c r="C280" t="s">
        <v>5</v>
      </c>
      <c r="D280" t="s">
        <v>36</v>
      </c>
      <c r="E280" s="4">
        <f t="shared" ca="1" si="3"/>
        <v>213953.12637362632</v>
      </c>
    </row>
    <row r="281" spans="1:5" hidden="1" x14ac:dyDescent="0.25">
      <c r="A281">
        <v>6</v>
      </c>
      <c r="B281">
        <v>37</v>
      </c>
      <c r="C281" t="s">
        <v>5</v>
      </c>
      <c r="D281" t="s">
        <v>37</v>
      </c>
      <c r="E281" s="4">
        <f t="shared" ca="1" si="3"/>
        <v>134930.08424908423</v>
      </c>
    </row>
    <row r="282" spans="1:5" hidden="1" x14ac:dyDescent="0.25">
      <c r="A282">
        <v>6</v>
      </c>
      <c r="B282">
        <v>38</v>
      </c>
      <c r="C282" t="s">
        <v>5</v>
      </c>
      <c r="D282" t="s">
        <v>38</v>
      </c>
      <c r="E282" s="4">
        <f t="shared" ca="1" si="3"/>
        <v>219100.54212454212</v>
      </c>
    </row>
    <row r="283" spans="1:5" hidden="1" x14ac:dyDescent="0.25">
      <c r="A283">
        <v>6</v>
      </c>
      <c r="B283">
        <v>39</v>
      </c>
      <c r="C283" t="s">
        <v>5</v>
      </c>
      <c r="D283" t="s">
        <v>39</v>
      </c>
      <c r="E283" s="4">
        <f t="shared" ca="1" si="3"/>
        <v>200419.84249084251</v>
      </c>
    </row>
    <row r="284" spans="1:5" hidden="1" x14ac:dyDescent="0.25">
      <c r="A284">
        <v>6</v>
      </c>
      <c r="B284">
        <v>40</v>
      </c>
      <c r="C284" t="s">
        <v>5</v>
      </c>
      <c r="D284" t="s">
        <v>40</v>
      </c>
      <c r="E284" s="4">
        <f t="shared" ca="1" si="3"/>
        <v>148598.19230769231</v>
      </c>
    </row>
    <row r="285" spans="1:5" hidden="1" x14ac:dyDescent="0.25">
      <c r="A285">
        <v>7</v>
      </c>
      <c r="B285">
        <v>1</v>
      </c>
      <c r="C285" t="s">
        <v>6</v>
      </c>
      <c r="D285" t="s">
        <v>0</v>
      </c>
      <c r="E285" s="4">
        <f t="shared" ca="1" si="3"/>
        <v>104655.53846153851</v>
      </c>
    </row>
    <row r="286" spans="1:5" hidden="1" x14ac:dyDescent="0.25">
      <c r="A286">
        <v>7</v>
      </c>
      <c r="B286">
        <v>2</v>
      </c>
      <c r="C286" t="s">
        <v>6</v>
      </c>
      <c r="D286" t="s">
        <v>1</v>
      </c>
      <c r="E286" s="4">
        <f t="shared" ca="1" si="3"/>
        <v>95043.923076923122</v>
      </c>
    </row>
    <row r="287" spans="1:5" hidden="1" x14ac:dyDescent="0.25">
      <c r="A287">
        <v>7</v>
      </c>
      <c r="B287">
        <v>3</v>
      </c>
      <c r="C287" t="s">
        <v>6</v>
      </c>
      <c r="D287" t="s">
        <v>2</v>
      </c>
      <c r="E287" s="4">
        <f t="shared" ca="1" si="3"/>
        <v>98078.153846153815</v>
      </c>
    </row>
    <row r="288" spans="1:5" hidden="1" x14ac:dyDescent="0.25">
      <c r="A288">
        <v>7</v>
      </c>
      <c r="B288">
        <v>4</v>
      </c>
      <c r="C288" t="s">
        <v>6</v>
      </c>
      <c r="D288" t="s">
        <v>3</v>
      </c>
      <c r="E288" s="4">
        <f t="shared" ca="1" si="3"/>
        <v>87185.076923076907</v>
      </c>
    </row>
    <row r="289" spans="1:5" hidden="1" x14ac:dyDescent="0.25">
      <c r="A289">
        <v>7</v>
      </c>
      <c r="B289">
        <v>5</v>
      </c>
      <c r="C289" t="s">
        <v>6</v>
      </c>
      <c r="D289" t="s">
        <v>4</v>
      </c>
      <c r="E289" s="4">
        <f t="shared" ca="1" si="3"/>
        <v>118985.15384615381</v>
      </c>
    </row>
    <row r="290" spans="1:5" hidden="1" x14ac:dyDescent="0.25">
      <c r="A290">
        <v>7</v>
      </c>
      <c r="B290">
        <v>6</v>
      </c>
      <c r="C290" t="s">
        <v>6</v>
      </c>
      <c r="D290" t="s">
        <v>5</v>
      </c>
      <c r="E290" s="4">
        <f t="shared" ca="1" si="3"/>
        <v>184774.4652014653</v>
      </c>
    </row>
    <row r="291" spans="1:5" hidden="1" x14ac:dyDescent="0.25">
      <c r="A291">
        <v>7</v>
      </c>
      <c r="B291">
        <v>7</v>
      </c>
      <c r="C291" t="s">
        <v>6</v>
      </c>
      <c r="D291" t="s">
        <v>6</v>
      </c>
      <c r="E291" s="4">
        <f t="shared" ca="1" si="3"/>
        <v>0</v>
      </c>
    </row>
    <row r="292" spans="1:5" hidden="1" x14ac:dyDescent="0.25">
      <c r="A292">
        <v>7</v>
      </c>
      <c r="B292">
        <v>8</v>
      </c>
      <c r="C292" t="s">
        <v>6</v>
      </c>
      <c r="D292" t="s">
        <v>7</v>
      </c>
      <c r="E292" s="4">
        <f t="shared" ca="1" si="3"/>
        <v>175918.53846153832</v>
      </c>
    </row>
    <row r="293" spans="1:5" hidden="1" x14ac:dyDescent="0.25">
      <c r="A293">
        <v>7</v>
      </c>
      <c r="B293">
        <v>9</v>
      </c>
      <c r="C293" t="s">
        <v>6</v>
      </c>
      <c r="D293" t="s">
        <v>148</v>
      </c>
      <c r="E293" s="4">
        <f t="shared" ca="1" si="3"/>
        <v>626251.31410256424</v>
      </c>
    </row>
    <row r="294" spans="1:5" hidden="1" x14ac:dyDescent="0.25">
      <c r="A294">
        <v>7</v>
      </c>
      <c r="B294">
        <v>10</v>
      </c>
      <c r="C294" t="s">
        <v>6</v>
      </c>
      <c r="D294" t="s">
        <v>9</v>
      </c>
      <c r="E294" s="4">
        <f t="shared" ca="1" si="3"/>
        <v>150627.61538461543</v>
      </c>
    </row>
    <row r="295" spans="1:5" hidden="1" x14ac:dyDescent="0.25">
      <c r="A295">
        <v>7</v>
      </c>
      <c r="B295">
        <v>11</v>
      </c>
      <c r="C295" t="s">
        <v>6</v>
      </c>
      <c r="D295" t="s">
        <v>10</v>
      </c>
      <c r="E295" s="4">
        <f t="shared" ca="1" si="3"/>
        <v>153391.69230769231</v>
      </c>
    </row>
    <row r="296" spans="1:5" hidden="1" x14ac:dyDescent="0.25">
      <c r="A296">
        <v>7</v>
      </c>
      <c r="B296">
        <v>12</v>
      </c>
      <c r="C296" t="s">
        <v>6</v>
      </c>
      <c r="D296" t="s">
        <v>11</v>
      </c>
      <c r="E296" s="4">
        <f t="shared" ref="E296:E357" ca="1" si="4">OFFSET($B$2,A296,B296)</f>
        <v>98117.76923076922</v>
      </c>
    </row>
    <row r="297" spans="1:5" hidden="1" x14ac:dyDescent="0.25">
      <c r="A297">
        <v>7</v>
      </c>
      <c r="B297">
        <v>13</v>
      </c>
      <c r="C297" t="s">
        <v>6</v>
      </c>
      <c r="D297" t="s">
        <v>12</v>
      </c>
      <c r="E297" s="4">
        <f t="shared" ca="1" si="4"/>
        <v>79806.23076923081</v>
      </c>
    </row>
    <row r="298" spans="1:5" hidden="1" x14ac:dyDescent="0.25">
      <c r="A298">
        <v>7</v>
      </c>
      <c r="B298">
        <v>14</v>
      </c>
      <c r="C298" t="s">
        <v>6</v>
      </c>
      <c r="D298" t="s">
        <v>13</v>
      </c>
      <c r="E298" s="4">
        <f t="shared" ca="1" si="4"/>
        <v>226270.4615384613</v>
      </c>
    </row>
    <row r="299" spans="1:5" hidden="1" x14ac:dyDescent="0.25">
      <c r="A299">
        <v>7</v>
      </c>
      <c r="B299">
        <v>15</v>
      </c>
      <c r="C299" t="s">
        <v>6</v>
      </c>
      <c r="D299" t="s">
        <v>14</v>
      </c>
      <c r="E299" s="4">
        <f t="shared" ca="1" si="4"/>
        <v>348446.15384615434</v>
      </c>
    </row>
    <row r="300" spans="1:5" hidden="1" x14ac:dyDescent="0.25">
      <c r="A300">
        <v>7</v>
      </c>
      <c r="B300">
        <v>16</v>
      </c>
      <c r="C300" t="s">
        <v>6</v>
      </c>
      <c r="D300" t="s">
        <v>15</v>
      </c>
      <c r="E300" s="4">
        <f t="shared" ca="1" si="4"/>
        <v>586659.38461538428</v>
      </c>
    </row>
    <row r="301" spans="1:5" hidden="1" x14ac:dyDescent="0.25">
      <c r="A301">
        <v>7</v>
      </c>
      <c r="B301">
        <v>17</v>
      </c>
      <c r="C301" t="s">
        <v>6</v>
      </c>
      <c r="D301" t="s">
        <v>16</v>
      </c>
      <c r="E301" s="4">
        <f t="shared" ca="1" si="4"/>
        <v>231543.23076923031</v>
      </c>
    </row>
    <row r="302" spans="1:5" hidden="1" x14ac:dyDescent="0.25">
      <c r="A302">
        <v>7</v>
      </c>
      <c r="B302">
        <v>18</v>
      </c>
      <c r="C302" t="s">
        <v>6</v>
      </c>
      <c r="D302" t="s">
        <v>17</v>
      </c>
      <c r="E302" s="4">
        <f t="shared" ca="1" si="4"/>
        <v>108714.07692307691</v>
      </c>
    </row>
    <row r="303" spans="1:5" hidden="1" x14ac:dyDescent="0.25">
      <c r="A303">
        <v>7</v>
      </c>
      <c r="B303">
        <v>19</v>
      </c>
      <c r="C303" t="s">
        <v>6</v>
      </c>
      <c r="D303" t="s">
        <v>18</v>
      </c>
      <c r="E303" s="4">
        <f t="shared" ca="1" si="4"/>
        <v>147433.07692307691</v>
      </c>
    </row>
    <row r="304" spans="1:5" hidden="1" x14ac:dyDescent="0.25">
      <c r="A304">
        <v>7</v>
      </c>
      <c r="B304">
        <v>20</v>
      </c>
      <c r="C304" t="s">
        <v>6</v>
      </c>
      <c r="D304" t="s">
        <v>19</v>
      </c>
      <c r="E304" s="4">
        <f t="shared" ca="1" si="4"/>
        <v>119248.35897435901</v>
      </c>
    </row>
    <row r="305" spans="1:5" hidden="1" x14ac:dyDescent="0.25">
      <c r="A305">
        <v>7</v>
      </c>
      <c r="B305">
        <v>21</v>
      </c>
      <c r="C305" t="s">
        <v>6</v>
      </c>
      <c r="D305" t="s">
        <v>20</v>
      </c>
      <c r="E305" s="4">
        <f t="shared" ca="1" si="4"/>
        <v>163400.02564102531</v>
      </c>
    </row>
    <row r="306" spans="1:5" hidden="1" x14ac:dyDescent="0.25">
      <c r="A306">
        <v>7</v>
      </c>
      <c r="B306">
        <v>22</v>
      </c>
      <c r="C306" t="s">
        <v>6</v>
      </c>
      <c r="D306" t="s">
        <v>21</v>
      </c>
      <c r="E306" s="4">
        <f t="shared" ca="1" si="4"/>
        <v>182527.02564102531</v>
      </c>
    </row>
    <row r="307" spans="1:5" hidden="1" x14ac:dyDescent="0.25">
      <c r="A307">
        <v>7</v>
      </c>
      <c r="B307">
        <v>23</v>
      </c>
      <c r="C307" t="s">
        <v>6</v>
      </c>
      <c r="D307" t="s">
        <v>22</v>
      </c>
      <c r="E307" s="4">
        <f t="shared" ca="1" si="4"/>
        <v>166263.35897435932</v>
      </c>
    </row>
    <row r="308" spans="1:5" hidden="1" x14ac:dyDescent="0.25">
      <c r="A308">
        <v>7</v>
      </c>
      <c r="B308">
        <v>24</v>
      </c>
      <c r="C308" t="s">
        <v>6</v>
      </c>
      <c r="D308" t="s">
        <v>23</v>
      </c>
      <c r="E308" s="4">
        <f t="shared" ca="1" si="4"/>
        <v>123735.35897435901</v>
      </c>
    </row>
    <row r="309" spans="1:5" hidden="1" x14ac:dyDescent="0.25">
      <c r="A309">
        <v>7</v>
      </c>
      <c r="B309">
        <v>25</v>
      </c>
      <c r="C309" t="s">
        <v>6</v>
      </c>
      <c r="D309" t="s">
        <v>24</v>
      </c>
      <c r="E309" s="4">
        <f t="shared" ca="1" si="4"/>
        <v>116683.02564102561</v>
      </c>
    </row>
    <row r="310" spans="1:5" hidden="1" x14ac:dyDescent="0.25">
      <c r="A310">
        <v>7</v>
      </c>
      <c r="B310">
        <v>26</v>
      </c>
      <c r="C310" t="s">
        <v>6</v>
      </c>
      <c r="D310" t="s">
        <v>25</v>
      </c>
      <c r="E310" s="4">
        <f t="shared" ca="1" si="4"/>
        <v>102756.69230769231</v>
      </c>
    </row>
    <row r="311" spans="1:5" hidden="1" x14ac:dyDescent="0.25">
      <c r="A311">
        <v>7</v>
      </c>
      <c r="B311">
        <v>27</v>
      </c>
      <c r="C311" t="s">
        <v>6</v>
      </c>
      <c r="D311" t="s">
        <v>145</v>
      </c>
      <c r="E311" s="4">
        <f t="shared" ca="1" si="4"/>
        <v>472689.79230769229</v>
      </c>
    </row>
    <row r="312" spans="1:5" hidden="1" x14ac:dyDescent="0.25">
      <c r="A312">
        <v>7</v>
      </c>
      <c r="B312">
        <v>28</v>
      </c>
      <c r="C312" t="s">
        <v>6</v>
      </c>
      <c r="D312" t="s">
        <v>147</v>
      </c>
      <c r="E312" s="4">
        <f t="shared" ca="1" si="4"/>
        <v>417468.09230769234</v>
      </c>
    </row>
    <row r="313" spans="1:5" hidden="1" x14ac:dyDescent="0.25">
      <c r="A313">
        <v>7</v>
      </c>
      <c r="B313">
        <v>29</v>
      </c>
      <c r="C313" t="s">
        <v>6</v>
      </c>
      <c r="D313" t="s">
        <v>146</v>
      </c>
      <c r="E313" s="4">
        <f t="shared" ca="1" si="4"/>
        <v>285617.79230769235</v>
      </c>
    </row>
    <row r="314" spans="1:5" hidden="1" x14ac:dyDescent="0.25">
      <c r="A314">
        <v>7</v>
      </c>
      <c r="B314">
        <v>30</v>
      </c>
      <c r="C314" t="s">
        <v>6</v>
      </c>
      <c r="D314" t="s">
        <v>30</v>
      </c>
      <c r="E314" s="4">
        <f t="shared" ca="1" si="4"/>
        <v>80369.38461538461</v>
      </c>
    </row>
    <row r="315" spans="1:5" hidden="1" x14ac:dyDescent="0.25">
      <c r="A315">
        <v>7</v>
      </c>
      <c r="B315">
        <v>31</v>
      </c>
      <c r="C315" t="s">
        <v>6</v>
      </c>
      <c r="D315" t="s">
        <v>31</v>
      </c>
      <c r="E315" s="4">
        <f t="shared" ca="1" si="4"/>
        <v>105916.19230769231</v>
      </c>
    </row>
    <row r="316" spans="1:5" hidden="1" x14ac:dyDescent="0.25">
      <c r="A316">
        <v>7</v>
      </c>
      <c r="B316">
        <v>32</v>
      </c>
      <c r="C316" t="s">
        <v>6</v>
      </c>
      <c r="D316" t="s">
        <v>32</v>
      </c>
      <c r="E316" s="4">
        <f t="shared" ca="1" si="4"/>
        <v>155626.41538461542</v>
      </c>
    </row>
    <row r="317" spans="1:5" hidden="1" x14ac:dyDescent="0.25">
      <c r="A317">
        <v>7</v>
      </c>
      <c r="B317">
        <v>33</v>
      </c>
      <c r="C317" t="s">
        <v>6</v>
      </c>
      <c r="D317" t="s">
        <v>33</v>
      </c>
      <c r="E317" s="4">
        <f t="shared" ca="1" si="4"/>
        <v>323188.0811965813</v>
      </c>
    </row>
    <row r="318" spans="1:5" hidden="1" x14ac:dyDescent="0.25">
      <c r="A318">
        <v>7</v>
      </c>
      <c r="B318">
        <v>34</v>
      </c>
      <c r="C318" t="s">
        <v>6</v>
      </c>
      <c r="D318" t="s">
        <v>34</v>
      </c>
      <c r="E318" s="4">
        <f t="shared" ca="1" si="4"/>
        <v>71598.23076923081</v>
      </c>
    </row>
    <row r="319" spans="1:5" hidden="1" x14ac:dyDescent="0.25">
      <c r="A319">
        <v>7</v>
      </c>
      <c r="B319">
        <v>35</v>
      </c>
      <c r="C319" t="s">
        <v>6</v>
      </c>
      <c r="D319" t="s">
        <v>35</v>
      </c>
      <c r="E319" s="4">
        <f t="shared" ca="1" si="4"/>
        <v>147444.61538461543</v>
      </c>
    </row>
    <row r="320" spans="1:5" hidden="1" x14ac:dyDescent="0.25">
      <c r="A320">
        <v>7</v>
      </c>
      <c r="B320">
        <v>36</v>
      </c>
      <c r="C320" t="s">
        <v>6</v>
      </c>
      <c r="D320" t="s">
        <v>36</v>
      </c>
      <c r="E320" s="4">
        <f t="shared" ca="1" si="4"/>
        <v>142260.11904761899</v>
      </c>
    </row>
    <row r="321" spans="1:5" hidden="1" x14ac:dyDescent="0.25">
      <c r="A321">
        <v>7</v>
      </c>
      <c r="B321">
        <v>37</v>
      </c>
      <c r="C321" t="s">
        <v>6</v>
      </c>
      <c r="D321" t="s">
        <v>37</v>
      </c>
      <c r="E321" s="4">
        <f t="shared" ca="1" si="4"/>
        <v>63237.076923076929</v>
      </c>
    </row>
    <row r="322" spans="1:5" hidden="1" x14ac:dyDescent="0.25">
      <c r="A322">
        <v>7</v>
      </c>
      <c r="B322">
        <v>38</v>
      </c>
      <c r="C322" t="s">
        <v>6</v>
      </c>
      <c r="D322" t="s">
        <v>38</v>
      </c>
      <c r="E322" s="4">
        <f t="shared" ca="1" si="4"/>
        <v>147407.53479853482</v>
      </c>
    </row>
    <row r="323" spans="1:5" hidden="1" x14ac:dyDescent="0.25">
      <c r="A323">
        <v>7</v>
      </c>
      <c r="B323">
        <v>39</v>
      </c>
      <c r="C323" t="s">
        <v>6</v>
      </c>
      <c r="D323" t="s">
        <v>39</v>
      </c>
      <c r="E323" s="4">
        <f t="shared" ca="1" si="4"/>
        <v>128726.83516483521</v>
      </c>
    </row>
    <row r="324" spans="1:5" hidden="1" x14ac:dyDescent="0.25">
      <c r="A324">
        <v>7</v>
      </c>
      <c r="B324">
        <v>40</v>
      </c>
      <c r="C324" t="s">
        <v>6</v>
      </c>
      <c r="D324" t="s">
        <v>40</v>
      </c>
      <c r="E324" s="4">
        <f t="shared" ca="1" si="4"/>
        <v>76905.184981685015</v>
      </c>
    </row>
    <row r="325" spans="1:5" hidden="1" x14ac:dyDescent="0.25">
      <c r="A325">
        <v>8</v>
      </c>
      <c r="B325">
        <v>1</v>
      </c>
      <c r="C325" t="s">
        <v>7</v>
      </c>
      <c r="D325" t="s">
        <v>0</v>
      </c>
      <c r="E325" s="4">
        <f t="shared" ca="1" si="4"/>
        <v>165651.76923076928</v>
      </c>
    </row>
    <row r="326" spans="1:5" hidden="1" x14ac:dyDescent="0.25">
      <c r="A326">
        <v>8</v>
      </c>
      <c r="B326">
        <v>2</v>
      </c>
      <c r="C326" t="s">
        <v>7</v>
      </c>
      <c r="D326" t="s">
        <v>1</v>
      </c>
      <c r="E326" s="4">
        <f t="shared" ca="1" si="4"/>
        <v>156040.15384615387</v>
      </c>
    </row>
    <row r="327" spans="1:5" hidden="1" x14ac:dyDescent="0.25">
      <c r="A327">
        <v>8</v>
      </c>
      <c r="B327">
        <v>3</v>
      </c>
      <c r="C327" t="s">
        <v>7</v>
      </c>
      <c r="D327" t="s">
        <v>2</v>
      </c>
      <c r="E327" s="4">
        <f t="shared" ca="1" si="4"/>
        <v>159074.38461538457</v>
      </c>
    </row>
    <row r="328" spans="1:5" hidden="1" x14ac:dyDescent="0.25">
      <c r="A328">
        <v>8</v>
      </c>
      <c r="B328">
        <v>4</v>
      </c>
      <c r="C328" t="s">
        <v>7</v>
      </c>
      <c r="D328" t="s">
        <v>3</v>
      </c>
      <c r="E328" s="4">
        <f t="shared" ca="1" si="4"/>
        <v>148181.30769230769</v>
      </c>
    </row>
    <row r="329" spans="1:5" hidden="1" x14ac:dyDescent="0.25">
      <c r="A329">
        <v>8</v>
      </c>
      <c r="B329">
        <v>5</v>
      </c>
      <c r="C329" t="s">
        <v>7</v>
      </c>
      <c r="D329" t="s">
        <v>4</v>
      </c>
      <c r="E329" s="4">
        <f t="shared" ca="1" si="4"/>
        <v>179981.38461538457</v>
      </c>
    </row>
    <row r="330" spans="1:5" hidden="1" x14ac:dyDescent="0.25">
      <c r="A330">
        <v>8</v>
      </c>
      <c r="B330">
        <v>6</v>
      </c>
      <c r="C330" t="s">
        <v>7</v>
      </c>
      <c r="D330" t="s">
        <v>5</v>
      </c>
      <c r="E330" s="4">
        <f t="shared" ca="1" si="4"/>
        <v>245770.69597069608</v>
      </c>
    </row>
    <row r="331" spans="1:5" hidden="1" x14ac:dyDescent="0.25">
      <c r="A331">
        <v>8</v>
      </c>
      <c r="B331">
        <v>7</v>
      </c>
      <c r="C331" t="s">
        <v>7</v>
      </c>
      <c r="D331" t="s">
        <v>6</v>
      </c>
      <c r="E331" s="4">
        <f t="shared" ca="1" si="4"/>
        <v>179316.99999999997</v>
      </c>
    </row>
    <row r="332" spans="1:5" hidden="1" x14ac:dyDescent="0.25">
      <c r="A332">
        <v>8</v>
      </c>
      <c r="B332">
        <v>8</v>
      </c>
      <c r="C332" t="s">
        <v>7</v>
      </c>
      <c r="D332" t="s">
        <v>7</v>
      </c>
      <c r="E332" s="4">
        <f t="shared" ca="1" si="4"/>
        <v>0</v>
      </c>
    </row>
    <row r="333" spans="1:5" hidden="1" x14ac:dyDescent="0.25">
      <c r="A333">
        <v>8</v>
      </c>
      <c r="B333">
        <v>9</v>
      </c>
      <c r="C333" t="s">
        <v>7</v>
      </c>
      <c r="D333" t="s">
        <v>148</v>
      </c>
      <c r="E333" s="4">
        <f t="shared" ca="1" si="4"/>
        <v>687247.54487179511</v>
      </c>
    </row>
    <row r="334" spans="1:5" hidden="1" x14ac:dyDescent="0.25">
      <c r="A334">
        <v>8</v>
      </c>
      <c r="B334">
        <v>10</v>
      </c>
      <c r="C334" t="s">
        <v>7</v>
      </c>
      <c r="D334" t="s">
        <v>9</v>
      </c>
      <c r="E334" s="4">
        <f t="shared" ca="1" si="4"/>
        <v>211623.84615384619</v>
      </c>
    </row>
    <row r="335" spans="1:5" hidden="1" x14ac:dyDescent="0.25">
      <c r="A335">
        <v>8</v>
      </c>
      <c r="B335">
        <v>11</v>
      </c>
      <c r="C335" t="s">
        <v>7</v>
      </c>
      <c r="D335" t="s">
        <v>10</v>
      </c>
      <c r="E335" s="4">
        <f t="shared" ca="1" si="4"/>
        <v>214387.92307692306</v>
      </c>
    </row>
    <row r="336" spans="1:5" hidden="1" x14ac:dyDescent="0.25">
      <c r="A336">
        <v>8</v>
      </c>
      <c r="B336">
        <v>12</v>
      </c>
      <c r="C336" t="s">
        <v>7</v>
      </c>
      <c r="D336" t="s">
        <v>11</v>
      </c>
      <c r="E336" s="4">
        <f t="shared" ca="1" si="4"/>
        <v>159113.99999999997</v>
      </c>
    </row>
    <row r="337" spans="1:5" hidden="1" x14ac:dyDescent="0.25">
      <c r="A337">
        <v>8</v>
      </c>
      <c r="B337">
        <v>13</v>
      </c>
      <c r="C337" t="s">
        <v>7</v>
      </c>
      <c r="D337" t="s">
        <v>12</v>
      </c>
      <c r="E337" s="4">
        <f t="shared" ca="1" si="4"/>
        <v>140802.46153846159</v>
      </c>
    </row>
    <row r="338" spans="1:5" hidden="1" x14ac:dyDescent="0.25">
      <c r="A338">
        <v>8</v>
      </c>
      <c r="B338">
        <v>14</v>
      </c>
      <c r="C338" t="s">
        <v>7</v>
      </c>
      <c r="D338" t="s">
        <v>13</v>
      </c>
      <c r="E338" s="4">
        <f t="shared" ca="1" si="4"/>
        <v>287266.69230769208</v>
      </c>
    </row>
    <row r="339" spans="1:5" hidden="1" x14ac:dyDescent="0.25">
      <c r="A339">
        <v>8</v>
      </c>
      <c r="B339">
        <v>15</v>
      </c>
      <c r="C339" t="s">
        <v>7</v>
      </c>
      <c r="D339" t="s">
        <v>14</v>
      </c>
      <c r="E339" s="4">
        <f t="shared" ca="1" si="4"/>
        <v>409442.38461538509</v>
      </c>
    </row>
    <row r="340" spans="1:5" hidden="1" x14ac:dyDescent="0.25">
      <c r="A340">
        <v>8</v>
      </c>
      <c r="B340">
        <v>16</v>
      </c>
      <c r="C340" t="s">
        <v>7</v>
      </c>
      <c r="D340" t="s">
        <v>15</v>
      </c>
      <c r="E340" s="4">
        <f t="shared" ca="1" si="4"/>
        <v>647655.61538461514</v>
      </c>
    </row>
    <row r="341" spans="1:5" hidden="1" x14ac:dyDescent="0.25">
      <c r="A341">
        <v>8</v>
      </c>
      <c r="B341">
        <v>17</v>
      </c>
      <c r="C341" t="s">
        <v>7</v>
      </c>
      <c r="D341" t="s">
        <v>16</v>
      </c>
      <c r="E341" s="4">
        <f t="shared" ca="1" si="4"/>
        <v>292539.4615384611</v>
      </c>
    </row>
    <row r="342" spans="1:5" hidden="1" x14ac:dyDescent="0.25">
      <c r="A342">
        <v>8</v>
      </c>
      <c r="B342">
        <v>18</v>
      </c>
      <c r="C342" t="s">
        <v>7</v>
      </c>
      <c r="D342" t="s">
        <v>17</v>
      </c>
      <c r="E342" s="4">
        <f t="shared" ca="1" si="4"/>
        <v>169710.30769230769</v>
      </c>
    </row>
    <row r="343" spans="1:5" hidden="1" x14ac:dyDescent="0.25">
      <c r="A343">
        <v>8</v>
      </c>
      <c r="B343">
        <v>19</v>
      </c>
      <c r="C343" t="s">
        <v>7</v>
      </c>
      <c r="D343" t="s">
        <v>18</v>
      </c>
      <c r="E343" s="4">
        <f t="shared" ca="1" si="4"/>
        <v>208429.30769230769</v>
      </c>
    </row>
    <row r="344" spans="1:5" hidden="1" x14ac:dyDescent="0.25">
      <c r="A344">
        <v>8</v>
      </c>
      <c r="B344">
        <v>20</v>
      </c>
      <c r="C344" t="s">
        <v>7</v>
      </c>
      <c r="D344" t="s">
        <v>19</v>
      </c>
      <c r="E344" s="4">
        <f t="shared" ca="1" si="4"/>
        <v>180244.58974358978</v>
      </c>
    </row>
    <row r="345" spans="1:5" hidden="1" x14ac:dyDescent="0.25">
      <c r="A345">
        <v>8</v>
      </c>
      <c r="B345">
        <v>21</v>
      </c>
      <c r="C345" t="s">
        <v>7</v>
      </c>
      <c r="D345" t="s">
        <v>20</v>
      </c>
      <c r="E345" s="4">
        <f t="shared" ca="1" si="4"/>
        <v>224396.25641025609</v>
      </c>
    </row>
    <row r="346" spans="1:5" hidden="1" x14ac:dyDescent="0.25">
      <c r="A346">
        <v>8</v>
      </c>
      <c r="B346">
        <v>22</v>
      </c>
      <c r="C346" t="s">
        <v>7</v>
      </c>
      <c r="D346" t="s">
        <v>21</v>
      </c>
      <c r="E346" s="4">
        <f t="shared" ca="1" si="4"/>
        <v>243523.25641025609</v>
      </c>
    </row>
    <row r="347" spans="1:5" hidden="1" x14ac:dyDescent="0.25">
      <c r="A347">
        <v>8</v>
      </c>
      <c r="B347">
        <v>23</v>
      </c>
      <c r="C347" t="s">
        <v>7</v>
      </c>
      <c r="D347" t="s">
        <v>22</v>
      </c>
      <c r="E347" s="4">
        <f t="shared" ca="1" si="4"/>
        <v>227259.5897435901</v>
      </c>
    </row>
    <row r="348" spans="1:5" hidden="1" x14ac:dyDescent="0.25">
      <c r="A348">
        <v>8</v>
      </c>
      <c r="B348">
        <v>24</v>
      </c>
      <c r="C348" t="s">
        <v>7</v>
      </c>
      <c r="D348" t="s">
        <v>23</v>
      </c>
      <c r="E348" s="4">
        <f t="shared" ca="1" si="4"/>
        <v>184731.58974358978</v>
      </c>
    </row>
    <row r="349" spans="1:5" hidden="1" x14ac:dyDescent="0.25">
      <c r="A349">
        <v>8</v>
      </c>
      <c r="B349">
        <v>25</v>
      </c>
      <c r="C349" t="s">
        <v>7</v>
      </c>
      <c r="D349" t="s">
        <v>24</v>
      </c>
      <c r="E349" s="4">
        <f t="shared" ca="1" si="4"/>
        <v>177679.25641025638</v>
      </c>
    </row>
    <row r="350" spans="1:5" hidden="1" x14ac:dyDescent="0.25">
      <c r="A350">
        <v>8</v>
      </c>
      <c r="B350">
        <v>26</v>
      </c>
      <c r="C350" t="s">
        <v>7</v>
      </c>
      <c r="D350" t="s">
        <v>25</v>
      </c>
      <c r="E350" s="4">
        <f t="shared" ca="1" si="4"/>
        <v>163752.92307692306</v>
      </c>
    </row>
    <row r="351" spans="1:5" hidden="1" x14ac:dyDescent="0.25">
      <c r="A351">
        <v>8</v>
      </c>
      <c r="B351">
        <v>27</v>
      </c>
      <c r="C351" t="s">
        <v>7</v>
      </c>
      <c r="D351" t="s">
        <v>145</v>
      </c>
      <c r="E351" s="4">
        <f t="shared" ca="1" si="4"/>
        <v>533686.0230769231</v>
      </c>
    </row>
    <row r="352" spans="1:5" hidden="1" x14ac:dyDescent="0.25">
      <c r="A352">
        <v>8</v>
      </c>
      <c r="B352">
        <v>28</v>
      </c>
      <c r="C352" t="s">
        <v>7</v>
      </c>
      <c r="D352" t="s">
        <v>147</v>
      </c>
      <c r="E352" s="4">
        <f t="shared" ca="1" si="4"/>
        <v>478464.32307692309</v>
      </c>
    </row>
    <row r="353" spans="1:5" hidden="1" x14ac:dyDescent="0.25">
      <c r="A353">
        <v>8</v>
      </c>
      <c r="B353">
        <v>29</v>
      </c>
      <c r="C353" t="s">
        <v>7</v>
      </c>
      <c r="D353" t="s">
        <v>146</v>
      </c>
      <c r="E353" s="4">
        <f t="shared" ca="1" si="4"/>
        <v>346614.0230769231</v>
      </c>
    </row>
    <row r="354" spans="1:5" hidden="1" x14ac:dyDescent="0.25">
      <c r="A354">
        <v>8</v>
      </c>
      <c r="B354">
        <v>30</v>
      </c>
      <c r="C354" t="s">
        <v>7</v>
      </c>
      <c r="D354" t="s">
        <v>30</v>
      </c>
      <c r="E354" s="4">
        <f t="shared" ca="1" si="4"/>
        <v>141365.61538461538</v>
      </c>
    </row>
    <row r="355" spans="1:5" hidden="1" x14ac:dyDescent="0.25">
      <c r="A355">
        <v>8</v>
      </c>
      <c r="B355">
        <v>31</v>
      </c>
      <c r="C355" t="s">
        <v>7</v>
      </c>
      <c r="D355" t="s">
        <v>31</v>
      </c>
      <c r="E355" s="4">
        <f t="shared" ca="1" si="4"/>
        <v>166912.42307692306</v>
      </c>
    </row>
    <row r="356" spans="1:5" hidden="1" x14ac:dyDescent="0.25">
      <c r="A356">
        <v>8</v>
      </c>
      <c r="B356">
        <v>32</v>
      </c>
      <c r="C356" t="s">
        <v>7</v>
      </c>
      <c r="D356" t="s">
        <v>32</v>
      </c>
      <c r="E356" s="4">
        <f t="shared" ca="1" si="4"/>
        <v>216622.64615384617</v>
      </c>
    </row>
    <row r="357" spans="1:5" hidden="1" x14ac:dyDescent="0.25">
      <c r="A357">
        <v>8</v>
      </c>
      <c r="B357">
        <v>33</v>
      </c>
      <c r="C357" t="s">
        <v>7</v>
      </c>
      <c r="D357" t="s">
        <v>33</v>
      </c>
      <c r="E357" s="4">
        <f t="shared" ca="1" si="4"/>
        <v>384184.31196581206</v>
      </c>
    </row>
    <row r="358" spans="1:5" hidden="1" x14ac:dyDescent="0.25">
      <c r="A358">
        <v>8</v>
      </c>
      <c r="B358">
        <v>34</v>
      </c>
      <c r="C358" t="s">
        <v>7</v>
      </c>
      <c r="D358" t="s">
        <v>34</v>
      </c>
      <c r="E358" s="4">
        <f t="shared" ref="E358:E420" ca="1" si="5">OFFSET($B$2,A358,B358)</f>
        <v>132594.46153846159</v>
      </c>
    </row>
    <row r="359" spans="1:5" hidden="1" x14ac:dyDescent="0.25">
      <c r="A359">
        <v>8</v>
      </c>
      <c r="B359">
        <v>35</v>
      </c>
      <c r="C359" t="s">
        <v>7</v>
      </c>
      <c r="D359" t="s">
        <v>35</v>
      </c>
      <c r="E359" s="4">
        <f t="shared" ca="1" si="5"/>
        <v>208440.84615384619</v>
      </c>
    </row>
    <row r="360" spans="1:5" hidden="1" x14ac:dyDescent="0.25">
      <c r="A360">
        <v>8</v>
      </c>
      <c r="B360">
        <v>36</v>
      </c>
      <c r="C360" t="s">
        <v>7</v>
      </c>
      <c r="D360" t="s">
        <v>36</v>
      </c>
      <c r="E360" s="4">
        <f t="shared" ca="1" si="5"/>
        <v>203256.34981684978</v>
      </c>
    </row>
    <row r="361" spans="1:5" hidden="1" x14ac:dyDescent="0.25">
      <c r="A361">
        <v>8</v>
      </c>
      <c r="B361">
        <v>37</v>
      </c>
      <c r="C361" t="s">
        <v>7</v>
      </c>
      <c r="D361" t="s">
        <v>37</v>
      </c>
      <c r="E361" s="4">
        <f t="shared" ca="1" si="5"/>
        <v>124233.3076923077</v>
      </c>
    </row>
    <row r="362" spans="1:5" hidden="1" x14ac:dyDescent="0.25">
      <c r="A362">
        <v>8</v>
      </c>
      <c r="B362">
        <v>38</v>
      </c>
      <c r="C362" t="s">
        <v>7</v>
      </c>
      <c r="D362" t="s">
        <v>38</v>
      </c>
      <c r="E362" s="4">
        <f t="shared" ca="1" si="5"/>
        <v>208403.76556776557</v>
      </c>
    </row>
    <row r="363" spans="1:5" hidden="1" x14ac:dyDescent="0.25">
      <c r="A363">
        <v>8</v>
      </c>
      <c r="B363">
        <v>39</v>
      </c>
      <c r="C363" t="s">
        <v>7</v>
      </c>
      <c r="D363" t="s">
        <v>39</v>
      </c>
      <c r="E363" s="4">
        <f t="shared" ca="1" si="5"/>
        <v>189723.06593406596</v>
      </c>
    </row>
    <row r="364" spans="1:5" hidden="1" x14ac:dyDescent="0.25">
      <c r="A364">
        <v>8</v>
      </c>
      <c r="B364">
        <v>40</v>
      </c>
      <c r="C364" t="s">
        <v>7</v>
      </c>
      <c r="D364" t="s">
        <v>40</v>
      </c>
      <c r="E364" s="4">
        <f t="shared" ca="1" si="5"/>
        <v>137901.41575091577</v>
      </c>
    </row>
    <row r="365" spans="1:5" hidden="1" x14ac:dyDescent="0.25">
      <c r="A365">
        <v>9</v>
      </c>
      <c r="B365">
        <v>1</v>
      </c>
      <c r="C365" t="s">
        <v>148</v>
      </c>
      <c r="D365" t="s">
        <v>0</v>
      </c>
      <c r="E365" s="4">
        <f t="shared" ca="1" si="5"/>
        <v>623704.14316239336</v>
      </c>
    </row>
    <row r="366" spans="1:5" hidden="1" x14ac:dyDescent="0.25">
      <c r="A366">
        <v>9</v>
      </c>
      <c r="B366">
        <v>2</v>
      </c>
      <c r="C366" t="s">
        <v>148</v>
      </c>
      <c r="D366" t="s">
        <v>1</v>
      </c>
      <c r="E366" s="4">
        <f t="shared" ca="1" si="5"/>
        <v>614092.52777777787</v>
      </c>
    </row>
    <row r="367" spans="1:5" hidden="1" x14ac:dyDescent="0.25">
      <c r="A367">
        <v>9</v>
      </c>
      <c r="B367">
        <v>3</v>
      </c>
      <c r="C367" t="s">
        <v>148</v>
      </c>
      <c r="D367" t="s">
        <v>2</v>
      </c>
      <c r="E367" s="4">
        <f t="shared" ca="1" si="5"/>
        <v>617126.75854700862</v>
      </c>
    </row>
    <row r="368" spans="1:5" hidden="1" x14ac:dyDescent="0.25">
      <c r="A368">
        <v>9</v>
      </c>
      <c r="B368">
        <v>4</v>
      </c>
      <c r="C368" t="s">
        <v>148</v>
      </c>
      <c r="D368" t="s">
        <v>3</v>
      </c>
      <c r="E368" s="4">
        <f t="shared" ca="1" si="5"/>
        <v>606233.68162393174</v>
      </c>
    </row>
    <row r="369" spans="1:5" hidden="1" x14ac:dyDescent="0.25">
      <c r="A369">
        <v>9</v>
      </c>
      <c r="B369">
        <v>5</v>
      </c>
      <c r="C369" t="s">
        <v>148</v>
      </c>
      <c r="D369" t="s">
        <v>4</v>
      </c>
      <c r="E369" s="4">
        <f t="shared" ca="1" si="5"/>
        <v>638033.75854700862</v>
      </c>
    </row>
    <row r="370" spans="1:5" hidden="1" x14ac:dyDescent="0.25">
      <c r="A370">
        <v>9</v>
      </c>
      <c r="B370">
        <v>6</v>
      </c>
      <c r="C370" t="s">
        <v>148</v>
      </c>
      <c r="D370" t="s">
        <v>5</v>
      </c>
      <c r="E370" s="4">
        <f t="shared" ca="1" si="5"/>
        <v>703823.06990232016</v>
      </c>
    </row>
    <row r="371" spans="1:5" hidden="1" x14ac:dyDescent="0.25">
      <c r="A371">
        <v>9</v>
      </c>
      <c r="B371">
        <v>7</v>
      </c>
      <c r="C371" t="s">
        <v>148</v>
      </c>
      <c r="D371" t="s">
        <v>6</v>
      </c>
      <c r="E371" s="4">
        <f t="shared" ca="1" si="5"/>
        <v>637369.373931624</v>
      </c>
    </row>
    <row r="372" spans="1:5" hidden="1" x14ac:dyDescent="0.25">
      <c r="A372">
        <v>9</v>
      </c>
      <c r="B372">
        <v>8</v>
      </c>
      <c r="C372" t="s">
        <v>148</v>
      </c>
      <c r="D372" t="s">
        <v>7</v>
      </c>
      <c r="E372" s="4">
        <f t="shared" ca="1" si="5"/>
        <v>694967.14316239313</v>
      </c>
    </row>
    <row r="373" spans="1:5" hidden="1" x14ac:dyDescent="0.25">
      <c r="A373">
        <v>9</v>
      </c>
      <c r="B373">
        <v>9</v>
      </c>
      <c r="C373" t="s">
        <v>148</v>
      </c>
      <c r="D373" t="s">
        <v>148</v>
      </c>
      <c r="E373" s="4">
        <f t="shared" ca="1" si="5"/>
        <v>0</v>
      </c>
    </row>
    <row r="374" spans="1:5" hidden="1" x14ac:dyDescent="0.25">
      <c r="A374">
        <v>9</v>
      </c>
      <c r="B374">
        <v>10</v>
      </c>
      <c r="C374" t="s">
        <v>148</v>
      </c>
      <c r="D374" t="s">
        <v>9</v>
      </c>
      <c r="E374" s="4">
        <f t="shared" ca="1" si="5"/>
        <v>669676.22008547024</v>
      </c>
    </row>
    <row r="375" spans="1:5" hidden="1" x14ac:dyDescent="0.25">
      <c r="A375">
        <v>9</v>
      </c>
      <c r="B375">
        <v>11</v>
      </c>
      <c r="C375" t="s">
        <v>148</v>
      </c>
      <c r="D375" t="s">
        <v>10</v>
      </c>
      <c r="E375" s="4">
        <f t="shared" ca="1" si="5"/>
        <v>672440.29700854712</v>
      </c>
    </row>
    <row r="376" spans="1:5" hidden="1" x14ac:dyDescent="0.25">
      <c r="A376">
        <v>9</v>
      </c>
      <c r="B376">
        <v>12</v>
      </c>
      <c r="C376" t="s">
        <v>148</v>
      </c>
      <c r="D376" t="s">
        <v>11</v>
      </c>
      <c r="E376" s="4">
        <f t="shared" ca="1" si="5"/>
        <v>617166.373931624</v>
      </c>
    </row>
    <row r="377" spans="1:5" hidden="1" x14ac:dyDescent="0.25">
      <c r="A377">
        <v>9</v>
      </c>
      <c r="B377">
        <v>13</v>
      </c>
      <c r="C377" t="s">
        <v>148</v>
      </c>
      <c r="D377" t="s">
        <v>12</v>
      </c>
      <c r="E377" s="4">
        <f t="shared" ca="1" si="5"/>
        <v>598854.83547008561</v>
      </c>
    </row>
    <row r="378" spans="1:5" hidden="1" x14ac:dyDescent="0.25">
      <c r="A378">
        <v>9</v>
      </c>
      <c r="B378">
        <v>14</v>
      </c>
      <c r="C378" t="s">
        <v>148</v>
      </c>
      <c r="D378" t="s">
        <v>13</v>
      </c>
      <c r="E378" s="4">
        <f t="shared" ca="1" si="5"/>
        <v>745319.06623931613</v>
      </c>
    </row>
    <row r="379" spans="1:5" hidden="1" x14ac:dyDescent="0.25">
      <c r="A379">
        <v>9</v>
      </c>
      <c r="B379">
        <v>15</v>
      </c>
      <c r="C379" t="s">
        <v>148</v>
      </c>
      <c r="D379" t="s">
        <v>14</v>
      </c>
      <c r="E379" s="4">
        <f t="shared" ca="1" si="5"/>
        <v>867494.7585470092</v>
      </c>
    </row>
    <row r="380" spans="1:5" hidden="1" x14ac:dyDescent="0.25">
      <c r="A380">
        <v>9</v>
      </c>
      <c r="B380">
        <v>16</v>
      </c>
      <c r="C380" t="s">
        <v>148</v>
      </c>
      <c r="D380" t="s">
        <v>15</v>
      </c>
      <c r="E380" s="4">
        <f t="shared" ca="1" si="5"/>
        <v>1105707.989316239</v>
      </c>
    </row>
    <row r="381" spans="1:5" hidden="1" x14ac:dyDescent="0.25">
      <c r="A381">
        <v>9</v>
      </c>
      <c r="B381">
        <v>17</v>
      </c>
      <c r="C381" t="s">
        <v>148</v>
      </c>
      <c r="D381" t="s">
        <v>16</v>
      </c>
      <c r="E381" s="4">
        <f t="shared" ca="1" si="5"/>
        <v>750591.83547008515</v>
      </c>
    </row>
    <row r="382" spans="1:5" hidden="1" x14ac:dyDescent="0.25">
      <c r="A382">
        <v>9</v>
      </c>
      <c r="B382">
        <v>18</v>
      </c>
      <c r="C382" t="s">
        <v>148</v>
      </c>
      <c r="D382" t="s">
        <v>17</v>
      </c>
      <c r="E382" s="4">
        <f t="shared" ca="1" si="5"/>
        <v>627762.68162393174</v>
      </c>
    </row>
    <row r="383" spans="1:5" hidden="1" x14ac:dyDescent="0.25">
      <c r="A383">
        <v>9</v>
      </c>
      <c r="B383">
        <v>19</v>
      </c>
      <c r="C383" t="s">
        <v>148</v>
      </c>
      <c r="D383" t="s">
        <v>18</v>
      </c>
      <c r="E383" s="4">
        <f t="shared" ca="1" si="5"/>
        <v>666481.68162393174</v>
      </c>
    </row>
    <row r="384" spans="1:5" hidden="1" x14ac:dyDescent="0.25">
      <c r="A384">
        <v>9</v>
      </c>
      <c r="B384">
        <v>20</v>
      </c>
      <c r="C384" t="s">
        <v>148</v>
      </c>
      <c r="D384" t="s">
        <v>19</v>
      </c>
      <c r="E384" s="4">
        <f t="shared" ca="1" si="5"/>
        <v>638296.96367521386</v>
      </c>
    </row>
    <row r="385" spans="1:5" hidden="1" x14ac:dyDescent="0.25">
      <c r="A385">
        <v>9</v>
      </c>
      <c r="B385">
        <v>21</v>
      </c>
      <c r="C385" t="s">
        <v>148</v>
      </c>
      <c r="D385" t="s">
        <v>20</v>
      </c>
      <c r="E385" s="4">
        <f t="shared" ca="1" si="5"/>
        <v>682448.63034188014</v>
      </c>
    </row>
    <row r="386" spans="1:5" hidden="1" x14ac:dyDescent="0.25">
      <c r="A386">
        <v>9</v>
      </c>
      <c r="B386">
        <v>22</v>
      </c>
      <c r="C386" t="s">
        <v>148</v>
      </c>
      <c r="D386" t="s">
        <v>21</v>
      </c>
      <c r="E386" s="4">
        <f t="shared" ca="1" si="5"/>
        <v>701575.63034188014</v>
      </c>
    </row>
    <row r="387" spans="1:5" hidden="1" x14ac:dyDescent="0.25">
      <c r="A387">
        <v>9</v>
      </c>
      <c r="B387">
        <v>23</v>
      </c>
      <c r="C387" t="s">
        <v>148</v>
      </c>
      <c r="D387" t="s">
        <v>22</v>
      </c>
      <c r="E387" s="4">
        <f t="shared" ca="1" si="5"/>
        <v>685311.96367521409</v>
      </c>
    </row>
    <row r="388" spans="1:5" hidden="1" x14ac:dyDescent="0.25">
      <c r="A388">
        <v>9</v>
      </c>
      <c r="B388">
        <v>24</v>
      </c>
      <c r="C388" t="s">
        <v>148</v>
      </c>
      <c r="D388" t="s">
        <v>23</v>
      </c>
      <c r="E388" s="4">
        <f t="shared" ca="1" si="5"/>
        <v>642783.96367521386</v>
      </c>
    </row>
    <row r="389" spans="1:5" hidden="1" x14ac:dyDescent="0.25">
      <c r="A389">
        <v>9</v>
      </c>
      <c r="B389">
        <v>25</v>
      </c>
      <c r="C389" t="s">
        <v>148</v>
      </c>
      <c r="D389" t="s">
        <v>24</v>
      </c>
      <c r="E389" s="4">
        <f t="shared" ca="1" si="5"/>
        <v>635731.63034188037</v>
      </c>
    </row>
    <row r="390" spans="1:5" hidden="1" x14ac:dyDescent="0.25">
      <c r="A390">
        <v>9</v>
      </c>
      <c r="B390">
        <v>26</v>
      </c>
      <c r="C390" t="s">
        <v>148</v>
      </c>
      <c r="D390" t="s">
        <v>25</v>
      </c>
      <c r="E390" s="4">
        <f t="shared" ca="1" si="5"/>
        <v>621805.29700854712</v>
      </c>
    </row>
    <row r="391" spans="1:5" hidden="1" x14ac:dyDescent="0.25">
      <c r="A391">
        <v>9</v>
      </c>
      <c r="B391">
        <v>27</v>
      </c>
      <c r="C391" t="s">
        <v>148</v>
      </c>
      <c r="D391" t="s">
        <v>145</v>
      </c>
      <c r="E391" s="4">
        <f t="shared" ca="1" si="5"/>
        <v>991738.39700854709</v>
      </c>
    </row>
    <row r="392" spans="1:5" hidden="1" x14ac:dyDescent="0.25">
      <c r="A392">
        <v>9</v>
      </c>
      <c r="B392">
        <v>28</v>
      </c>
      <c r="C392" t="s">
        <v>148</v>
      </c>
      <c r="D392" t="s">
        <v>147</v>
      </c>
      <c r="E392" s="4">
        <f t="shared" ca="1" si="5"/>
        <v>936516.69700854714</v>
      </c>
    </row>
    <row r="393" spans="1:5" hidden="1" x14ac:dyDescent="0.25">
      <c r="A393">
        <v>9</v>
      </c>
      <c r="B393">
        <v>29</v>
      </c>
      <c r="C393" t="s">
        <v>148</v>
      </c>
      <c r="D393" t="s">
        <v>146</v>
      </c>
      <c r="E393" s="4">
        <f t="shared" ca="1" si="5"/>
        <v>804666.39700854709</v>
      </c>
    </row>
    <row r="394" spans="1:5" hidden="1" x14ac:dyDescent="0.25">
      <c r="A394">
        <v>9</v>
      </c>
      <c r="B394">
        <v>30</v>
      </c>
      <c r="C394" t="s">
        <v>148</v>
      </c>
      <c r="D394" t="s">
        <v>30</v>
      </c>
      <c r="E394" s="4">
        <f t="shared" ca="1" si="5"/>
        <v>599417.98931623937</v>
      </c>
    </row>
    <row r="395" spans="1:5" hidden="1" x14ac:dyDescent="0.25">
      <c r="A395">
        <v>9</v>
      </c>
      <c r="B395">
        <v>31</v>
      </c>
      <c r="C395" t="s">
        <v>148</v>
      </c>
      <c r="D395" t="s">
        <v>31</v>
      </c>
      <c r="E395" s="4">
        <f t="shared" ca="1" si="5"/>
        <v>624964.79700854712</v>
      </c>
    </row>
    <row r="396" spans="1:5" hidden="1" x14ac:dyDescent="0.25">
      <c r="A396">
        <v>9</v>
      </c>
      <c r="B396">
        <v>32</v>
      </c>
      <c r="C396" t="s">
        <v>148</v>
      </c>
      <c r="D396" t="s">
        <v>32</v>
      </c>
      <c r="E396" s="4">
        <f t="shared" ca="1" si="5"/>
        <v>674675.02008547017</v>
      </c>
    </row>
    <row r="397" spans="1:5" hidden="1" x14ac:dyDescent="0.25">
      <c r="A397">
        <v>9</v>
      </c>
      <c r="B397">
        <v>33</v>
      </c>
      <c r="C397" t="s">
        <v>148</v>
      </c>
      <c r="D397" t="s">
        <v>33</v>
      </c>
      <c r="E397" s="4">
        <f t="shared" ca="1" si="5"/>
        <v>842236.68589743611</v>
      </c>
    </row>
    <row r="398" spans="1:5" hidden="1" x14ac:dyDescent="0.25">
      <c r="A398">
        <v>9</v>
      </c>
      <c r="B398">
        <v>34</v>
      </c>
      <c r="C398" t="s">
        <v>148</v>
      </c>
      <c r="D398" t="s">
        <v>34</v>
      </c>
      <c r="E398" s="4">
        <f t="shared" ca="1" si="5"/>
        <v>590646.83547008561</v>
      </c>
    </row>
    <row r="399" spans="1:5" hidden="1" x14ac:dyDescent="0.25">
      <c r="A399">
        <v>9</v>
      </c>
      <c r="B399">
        <v>35</v>
      </c>
      <c r="C399" t="s">
        <v>148</v>
      </c>
      <c r="D399" t="s">
        <v>35</v>
      </c>
      <c r="E399" s="4">
        <f t="shared" ca="1" si="5"/>
        <v>666493.22008547024</v>
      </c>
    </row>
    <row r="400" spans="1:5" hidden="1" x14ac:dyDescent="0.25">
      <c r="A400">
        <v>9</v>
      </c>
      <c r="B400">
        <v>36</v>
      </c>
      <c r="C400" t="s">
        <v>148</v>
      </c>
      <c r="D400" t="s">
        <v>36</v>
      </c>
      <c r="E400" s="4">
        <f t="shared" ca="1" si="5"/>
        <v>661308.7237484738</v>
      </c>
    </row>
    <row r="401" spans="1:5" hidden="1" x14ac:dyDescent="0.25">
      <c r="A401">
        <v>9</v>
      </c>
      <c r="B401">
        <v>37</v>
      </c>
      <c r="C401" t="s">
        <v>148</v>
      </c>
      <c r="D401" t="s">
        <v>37</v>
      </c>
      <c r="E401" s="4">
        <f t="shared" ca="1" si="5"/>
        <v>582285.68162393174</v>
      </c>
    </row>
    <row r="402" spans="1:5" hidden="1" x14ac:dyDescent="0.25">
      <c r="A402">
        <v>9</v>
      </c>
      <c r="B402">
        <v>38</v>
      </c>
      <c r="C402" t="s">
        <v>148</v>
      </c>
      <c r="D402" t="s">
        <v>38</v>
      </c>
      <c r="E402" s="4">
        <f t="shared" ca="1" si="5"/>
        <v>666456.13949938957</v>
      </c>
    </row>
    <row r="403" spans="1:5" hidden="1" x14ac:dyDescent="0.25">
      <c r="A403">
        <v>9</v>
      </c>
      <c r="B403">
        <v>39</v>
      </c>
      <c r="C403" t="s">
        <v>148</v>
      </c>
      <c r="D403" t="s">
        <v>39</v>
      </c>
      <c r="E403" s="4">
        <f t="shared" ca="1" si="5"/>
        <v>647775.43986568996</v>
      </c>
    </row>
    <row r="404" spans="1:5" hidden="1" x14ac:dyDescent="0.25">
      <c r="A404">
        <v>9</v>
      </c>
      <c r="B404">
        <v>40</v>
      </c>
      <c r="C404" t="s">
        <v>148</v>
      </c>
      <c r="D404" t="s">
        <v>40</v>
      </c>
      <c r="E404" s="4">
        <f t="shared" ca="1" si="5"/>
        <v>595953.78968253976</v>
      </c>
    </row>
    <row r="405" spans="1:5" hidden="1" x14ac:dyDescent="0.25">
      <c r="A405">
        <v>10</v>
      </c>
      <c r="B405">
        <v>1</v>
      </c>
      <c r="C405" t="s">
        <v>9</v>
      </c>
      <c r="D405" t="s">
        <v>0</v>
      </c>
      <c r="E405" s="4">
        <f t="shared" ca="1" si="5"/>
        <v>139196.76923076928</v>
      </c>
    </row>
    <row r="406" spans="1:5" hidden="1" x14ac:dyDescent="0.25">
      <c r="A406">
        <v>10</v>
      </c>
      <c r="B406">
        <v>2</v>
      </c>
      <c r="C406" t="s">
        <v>9</v>
      </c>
      <c r="D406" t="s">
        <v>1</v>
      </c>
      <c r="E406" s="4">
        <f t="shared" ca="1" si="5"/>
        <v>129585.15384615387</v>
      </c>
    </row>
    <row r="407" spans="1:5" hidden="1" x14ac:dyDescent="0.25">
      <c r="A407">
        <v>10</v>
      </c>
      <c r="B407">
        <v>3</v>
      </c>
      <c r="C407" t="s">
        <v>9</v>
      </c>
      <c r="D407" t="s">
        <v>2</v>
      </c>
      <c r="E407" s="4">
        <f t="shared" ca="1" si="5"/>
        <v>132619.38461538457</v>
      </c>
    </row>
    <row r="408" spans="1:5" hidden="1" x14ac:dyDescent="0.25">
      <c r="A408">
        <v>10</v>
      </c>
      <c r="B408">
        <v>4</v>
      </c>
      <c r="C408" t="s">
        <v>9</v>
      </c>
      <c r="D408" t="s">
        <v>3</v>
      </c>
      <c r="E408" s="4">
        <f t="shared" ca="1" si="5"/>
        <v>121726.30769230767</v>
      </c>
    </row>
    <row r="409" spans="1:5" hidden="1" x14ac:dyDescent="0.25">
      <c r="A409">
        <v>10</v>
      </c>
      <c r="B409">
        <v>5</v>
      </c>
      <c r="C409" t="s">
        <v>9</v>
      </c>
      <c r="D409" t="s">
        <v>4</v>
      </c>
      <c r="E409" s="4">
        <f t="shared" ca="1" si="5"/>
        <v>153526.38461538457</v>
      </c>
    </row>
    <row r="410" spans="1:5" hidden="1" x14ac:dyDescent="0.25">
      <c r="A410">
        <v>10</v>
      </c>
      <c r="B410">
        <v>6</v>
      </c>
      <c r="C410" t="s">
        <v>9</v>
      </c>
      <c r="D410" t="s">
        <v>5</v>
      </c>
      <c r="E410" s="4">
        <f t="shared" ca="1" si="5"/>
        <v>219315.69597069608</v>
      </c>
    </row>
    <row r="411" spans="1:5" hidden="1" x14ac:dyDescent="0.25">
      <c r="A411">
        <v>10</v>
      </c>
      <c r="B411">
        <v>7</v>
      </c>
      <c r="C411" t="s">
        <v>9</v>
      </c>
      <c r="D411" t="s">
        <v>6</v>
      </c>
      <c r="E411" s="4">
        <f t="shared" ca="1" si="5"/>
        <v>152861.99999999997</v>
      </c>
    </row>
    <row r="412" spans="1:5" hidden="1" x14ac:dyDescent="0.25">
      <c r="A412">
        <v>10</v>
      </c>
      <c r="B412">
        <v>8</v>
      </c>
      <c r="C412" t="s">
        <v>9</v>
      </c>
      <c r="D412" t="s">
        <v>7</v>
      </c>
      <c r="E412" s="4">
        <f t="shared" ca="1" si="5"/>
        <v>210459.76923076907</v>
      </c>
    </row>
    <row r="413" spans="1:5" hidden="1" x14ac:dyDescent="0.25">
      <c r="A413">
        <v>10</v>
      </c>
      <c r="B413">
        <v>9</v>
      </c>
      <c r="C413" t="s">
        <v>9</v>
      </c>
      <c r="D413" t="s">
        <v>148</v>
      </c>
      <c r="E413" s="4">
        <f t="shared" ca="1" si="5"/>
        <v>660792.54487179511</v>
      </c>
    </row>
    <row r="414" spans="1:5" hidden="1" x14ac:dyDescent="0.25">
      <c r="A414">
        <v>10</v>
      </c>
      <c r="B414">
        <v>10</v>
      </c>
      <c r="C414" t="s">
        <v>9</v>
      </c>
      <c r="D414" t="s">
        <v>9</v>
      </c>
      <c r="E414" s="4">
        <f t="shared" ca="1" si="5"/>
        <v>0</v>
      </c>
    </row>
    <row r="415" spans="1:5" hidden="1" x14ac:dyDescent="0.25">
      <c r="A415">
        <v>10</v>
      </c>
      <c r="B415">
        <v>11</v>
      </c>
      <c r="C415" t="s">
        <v>9</v>
      </c>
      <c r="D415" t="s">
        <v>10</v>
      </c>
      <c r="E415" s="4">
        <f t="shared" ca="1" si="5"/>
        <v>187932.92307692306</v>
      </c>
    </row>
    <row r="416" spans="1:5" hidden="1" x14ac:dyDescent="0.25">
      <c r="A416">
        <v>10</v>
      </c>
      <c r="B416">
        <v>12</v>
      </c>
      <c r="C416" t="s">
        <v>9</v>
      </c>
      <c r="D416" t="s">
        <v>11</v>
      </c>
      <c r="E416" s="4">
        <f t="shared" ca="1" si="5"/>
        <v>132658.99999999997</v>
      </c>
    </row>
    <row r="417" spans="1:5" hidden="1" x14ac:dyDescent="0.25">
      <c r="A417">
        <v>10</v>
      </c>
      <c r="B417">
        <v>13</v>
      </c>
      <c r="C417" t="s">
        <v>9</v>
      </c>
      <c r="D417" t="s">
        <v>12</v>
      </c>
      <c r="E417" s="4">
        <f t="shared" ca="1" si="5"/>
        <v>114347.46153846158</v>
      </c>
    </row>
    <row r="418" spans="1:5" hidden="1" x14ac:dyDescent="0.25">
      <c r="A418">
        <v>10</v>
      </c>
      <c r="B418">
        <v>14</v>
      </c>
      <c r="C418" t="s">
        <v>9</v>
      </c>
      <c r="D418" t="s">
        <v>13</v>
      </c>
      <c r="E418" s="4">
        <f t="shared" ca="1" si="5"/>
        <v>260811.69230769208</v>
      </c>
    </row>
    <row r="419" spans="1:5" hidden="1" x14ac:dyDescent="0.25">
      <c r="A419">
        <v>10</v>
      </c>
      <c r="B419">
        <v>15</v>
      </c>
      <c r="C419" t="s">
        <v>9</v>
      </c>
      <c r="D419" t="s">
        <v>14</v>
      </c>
      <c r="E419" s="4">
        <f t="shared" ca="1" si="5"/>
        <v>382987.38461538509</v>
      </c>
    </row>
    <row r="420" spans="1:5" hidden="1" x14ac:dyDescent="0.25">
      <c r="A420">
        <v>10</v>
      </c>
      <c r="B420">
        <v>16</v>
      </c>
      <c r="C420" t="s">
        <v>9</v>
      </c>
      <c r="D420" t="s">
        <v>15</v>
      </c>
      <c r="E420" s="4">
        <f t="shared" ca="1" si="5"/>
        <v>621200.61538461514</v>
      </c>
    </row>
    <row r="421" spans="1:5" hidden="1" x14ac:dyDescent="0.25">
      <c r="A421">
        <v>10</v>
      </c>
      <c r="B421">
        <v>17</v>
      </c>
      <c r="C421" t="s">
        <v>9</v>
      </c>
      <c r="D421" t="s">
        <v>16</v>
      </c>
      <c r="E421" s="4">
        <f t="shared" ref="E421:E482" ca="1" si="6">OFFSET($B$2,A421,B421)</f>
        <v>266084.4615384611</v>
      </c>
    </row>
    <row r="422" spans="1:5" hidden="1" x14ac:dyDescent="0.25">
      <c r="A422">
        <v>10</v>
      </c>
      <c r="B422">
        <v>18</v>
      </c>
      <c r="C422" t="s">
        <v>9</v>
      </c>
      <c r="D422" t="s">
        <v>17</v>
      </c>
      <c r="E422" s="4">
        <f t="shared" ca="1" si="6"/>
        <v>143255.30769230769</v>
      </c>
    </row>
    <row r="423" spans="1:5" hidden="1" x14ac:dyDescent="0.25">
      <c r="A423">
        <v>10</v>
      </c>
      <c r="B423">
        <v>19</v>
      </c>
      <c r="C423" t="s">
        <v>9</v>
      </c>
      <c r="D423" t="s">
        <v>18</v>
      </c>
      <c r="E423" s="4">
        <f t="shared" ca="1" si="6"/>
        <v>181974.30769230769</v>
      </c>
    </row>
    <row r="424" spans="1:5" hidden="1" x14ac:dyDescent="0.25">
      <c r="A424">
        <v>10</v>
      </c>
      <c r="B424">
        <v>20</v>
      </c>
      <c r="C424" t="s">
        <v>9</v>
      </c>
      <c r="D424" t="s">
        <v>19</v>
      </c>
      <c r="E424" s="4">
        <f t="shared" ca="1" si="6"/>
        <v>153789.58974358978</v>
      </c>
    </row>
    <row r="425" spans="1:5" hidden="1" x14ac:dyDescent="0.25">
      <c r="A425">
        <v>10</v>
      </c>
      <c r="B425">
        <v>21</v>
      </c>
      <c r="C425" t="s">
        <v>9</v>
      </c>
      <c r="D425" t="s">
        <v>20</v>
      </c>
      <c r="E425" s="4">
        <f t="shared" ca="1" si="6"/>
        <v>197941.25641025609</v>
      </c>
    </row>
    <row r="426" spans="1:5" hidden="1" x14ac:dyDescent="0.25">
      <c r="A426">
        <v>10</v>
      </c>
      <c r="B426">
        <v>22</v>
      </c>
      <c r="C426" t="s">
        <v>9</v>
      </c>
      <c r="D426" t="s">
        <v>21</v>
      </c>
      <c r="E426" s="4">
        <f t="shared" ca="1" si="6"/>
        <v>217068.25641025609</v>
      </c>
    </row>
    <row r="427" spans="1:5" hidden="1" x14ac:dyDescent="0.25">
      <c r="A427">
        <v>10</v>
      </c>
      <c r="B427">
        <v>23</v>
      </c>
      <c r="C427" t="s">
        <v>9</v>
      </c>
      <c r="D427" t="s">
        <v>22</v>
      </c>
      <c r="E427" s="4">
        <f t="shared" ca="1" si="6"/>
        <v>200804.5897435901</v>
      </c>
    </row>
    <row r="428" spans="1:5" hidden="1" x14ac:dyDescent="0.25">
      <c r="A428">
        <v>10</v>
      </c>
      <c r="B428">
        <v>24</v>
      </c>
      <c r="C428" t="s">
        <v>9</v>
      </c>
      <c r="D428" t="s">
        <v>23</v>
      </c>
      <c r="E428" s="4">
        <f t="shared" ca="1" si="6"/>
        <v>158276.58974358978</v>
      </c>
    </row>
    <row r="429" spans="1:5" hidden="1" x14ac:dyDescent="0.25">
      <c r="A429">
        <v>10</v>
      </c>
      <c r="B429">
        <v>25</v>
      </c>
      <c r="C429" t="s">
        <v>9</v>
      </c>
      <c r="D429" t="s">
        <v>24</v>
      </c>
      <c r="E429" s="4">
        <f t="shared" ca="1" si="6"/>
        <v>151224.25641025638</v>
      </c>
    </row>
    <row r="430" spans="1:5" hidden="1" x14ac:dyDescent="0.25">
      <c r="A430">
        <v>10</v>
      </c>
      <c r="B430">
        <v>26</v>
      </c>
      <c r="C430" t="s">
        <v>9</v>
      </c>
      <c r="D430" t="s">
        <v>25</v>
      </c>
      <c r="E430" s="4">
        <f t="shared" ca="1" si="6"/>
        <v>137297.92307692306</v>
      </c>
    </row>
    <row r="431" spans="1:5" hidden="1" x14ac:dyDescent="0.25">
      <c r="A431">
        <v>10</v>
      </c>
      <c r="B431">
        <v>27</v>
      </c>
      <c r="C431" t="s">
        <v>9</v>
      </c>
      <c r="D431" t="s">
        <v>145</v>
      </c>
      <c r="E431" s="4">
        <f t="shared" ca="1" si="6"/>
        <v>507231.02307692304</v>
      </c>
    </row>
    <row r="432" spans="1:5" hidden="1" x14ac:dyDescent="0.25">
      <c r="A432">
        <v>10</v>
      </c>
      <c r="B432">
        <v>28</v>
      </c>
      <c r="C432" t="s">
        <v>9</v>
      </c>
      <c r="D432" t="s">
        <v>147</v>
      </c>
      <c r="E432" s="4">
        <f t="shared" ca="1" si="6"/>
        <v>452009.32307692309</v>
      </c>
    </row>
    <row r="433" spans="1:5" hidden="1" x14ac:dyDescent="0.25">
      <c r="A433">
        <v>10</v>
      </c>
      <c r="B433">
        <v>29</v>
      </c>
      <c r="C433" t="s">
        <v>9</v>
      </c>
      <c r="D433" t="s">
        <v>146</v>
      </c>
      <c r="E433" s="4">
        <f t="shared" ca="1" si="6"/>
        <v>320159.0230769231</v>
      </c>
    </row>
    <row r="434" spans="1:5" hidden="1" x14ac:dyDescent="0.25">
      <c r="A434">
        <v>10</v>
      </c>
      <c r="B434">
        <v>30</v>
      </c>
      <c r="C434" t="s">
        <v>9</v>
      </c>
      <c r="D434" t="s">
        <v>30</v>
      </c>
      <c r="E434" s="4">
        <f t="shared" ca="1" si="6"/>
        <v>114910.61538461538</v>
      </c>
    </row>
    <row r="435" spans="1:5" hidden="1" x14ac:dyDescent="0.25">
      <c r="A435">
        <v>10</v>
      </c>
      <c r="B435">
        <v>31</v>
      </c>
      <c r="C435" t="s">
        <v>9</v>
      </c>
      <c r="D435" t="s">
        <v>31</v>
      </c>
      <c r="E435" s="4">
        <f t="shared" ca="1" si="6"/>
        <v>140457.42307692306</v>
      </c>
    </row>
    <row r="436" spans="1:5" hidden="1" x14ac:dyDescent="0.25">
      <c r="A436">
        <v>10</v>
      </c>
      <c r="B436">
        <v>32</v>
      </c>
      <c r="C436" t="s">
        <v>9</v>
      </c>
      <c r="D436" t="s">
        <v>32</v>
      </c>
      <c r="E436" s="4">
        <f t="shared" ca="1" si="6"/>
        <v>190167.64615384617</v>
      </c>
    </row>
    <row r="437" spans="1:5" hidden="1" x14ac:dyDescent="0.25">
      <c r="A437">
        <v>10</v>
      </c>
      <c r="B437">
        <v>33</v>
      </c>
      <c r="C437" t="s">
        <v>9</v>
      </c>
      <c r="D437" t="s">
        <v>33</v>
      </c>
      <c r="E437" s="4">
        <f t="shared" ca="1" si="6"/>
        <v>357729.31196581206</v>
      </c>
    </row>
    <row r="438" spans="1:5" hidden="1" x14ac:dyDescent="0.25">
      <c r="A438">
        <v>10</v>
      </c>
      <c r="B438">
        <v>34</v>
      </c>
      <c r="C438" t="s">
        <v>9</v>
      </c>
      <c r="D438" t="s">
        <v>34</v>
      </c>
      <c r="E438" s="4">
        <f t="shared" ca="1" si="6"/>
        <v>106139.46153846158</v>
      </c>
    </row>
    <row r="439" spans="1:5" hidden="1" x14ac:dyDescent="0.25">
      <c r="A439">
        <v>10</v>
      </c>
      <c r="B439">
        <v>35</v>
      </c>
      <c r="C439" t="s">
        <v>9</v>
      </c>
      <c r="D439" t="s">
        <v>35</v>
      </c>
      <c r="E439" s="4">
        <f t="shared" ca="1" si="6"/>
        <v>181985.84615384619</v>
      </c>
    </row>
    <row r="440" spans="1:5" hidden="1" x14ac:dyDescent="0.25">
      <c r="A440">
        <v>10</v>
      </c>
      <c r="B440">
        <v>36</v>
      </c>
      <c r="C440" t="s">
        <v>9</v>
      </c>
      <c r="D440" t="s">
        <v>36</v>
      </c>
      <c r="E440" s="4">
        <f t="shared" ca="1" si="6"/>
        <v>176801.34981684978</v>
      </c>
    </row>
    <row r="441" spans="1:5" hidden="1" x14ac:dyDescent="0.25">
      <c r="A441">
        <v>10</v>
      </c>
      <c r="B441">
        <v>37</v>
      </c>
      <c r="C441" t="s">
        <v>9</v>
      </c>
      <c r="D441" t="s">
        <v>37</v>
      </c>
      <c r="E441" s="4">
        <f t="shared" ca="1" si="6"/>
        <v>97778.307692307702</v>
      </c>
    </row>
    <row r="442" spans="1:5" hidden="1" x14ac:dyDescent="0.25">
      <c r="A442">
        <v>10</v>
      </c>
      <c r="B442">
        <v>38</v>
      </c>
      <c r="C442" t="s">
        <v>9</v>
      </c>
      <c r="D442" t="s">
        <v>38</v>
      </c>
      <c r="E442" s="4">
        <f t="shared" ca="1" si="6"/>
        <v>181948.76556776557</v>
      </c>
    </row>
    <row r="443" spans="1:5" hidden="1" x14ac:dyDescent="0.25">
      <c r="A443">
        <v>10</v>
      </c>
      <c r="B443">
        <v>39</v>
      </c>
      <c r="C443" t="s">
        <v>9</v>
      </c>
      <c r="D443" t="s">
        <v>39</v>
      </c>
      <c r="E443" s="4">
        <f t="shared" ca="1" si="6"/>
        <v>163268.06593406596</v>
      </c>
    </row>
    <row r="444" spans="1:5" hidden="1" x14ac:dyDescent="0.25">
      <c r="A444">
        <v>10</v>
      </c>
      <c r="B444">
        <v>40</v>
      </c>
      <c r="C444" t="s">
        <v>9</v>
      </c>
      <c r="D444" t="s">
        <v>40</v>
      </c>
      <c r="E444" s="4">
        <f t="shared" ca="1" si="6"/>
        <v>111446.41575091578</v>
      </c>
    </row>
    <row r="445" spans="1:5" hidden="1" x14ac:dyDescent="0.25">
      <c r="A445">
        <v>11</v>
      </c>
      <c r="B445">
        <v>1</v>
      </c>
      <c r="C445" t="s">
        <v>10</v>
      </c>
      <c r="D445" t="s">
        <v>0</v>
      </c>
      <c r="E445" s="4">
        <f t="shared" ca="1" si="6"/>
        <v>146255.07692307699</v>
      </c>
    </row>
    <row r="446" spans="1:5" hidden="1" x14ac:dyDescent="0.25">
      <c r="A446">
        <v>11</v>
      </c>
      <c r="B446">
        <v>2</v>
      </c>
      <c r="C446" t="s">
        <v>10</v>
      </c>
      <c r="D446" t="s">
        <v>1</v>
      </c>
      <c r="E446" s="4">
        <f t="shared" ca="1" si="6"/>
        <v>136643.46153846159</v>
      </c>
    </row>
    <row r="447" spans="1:5" hidden="1" x14ac:dyDescent="0.25">
      <c r="A447">
        <v>11</v>
      </c>
      <c r="B447">
        <v>3</v>
      </c>
      <c r="C447" t="s">
        <v>10</v>
      </c>
      <c r="D447" t="s">
        <v>2</v>
      </c>
      <c r="E447" s="4">
        <f t="shared" ca="1" si="6"/>
        <v>139677.69230769228</v>
      </c>
    </row>
    <row r="448" spans="1:5" hidden="1" x14ac:dyDescent="0.25">
      <c r="A448">
        <v>11</v>
      </c>
      <c r="B448">
        <v>4</v>
      </c>
      <c r="C448" t="s">
        <v>10</v>
      </c>
      <c r="D448" t="s">
        <v>3</v>
      </c>
      <c r="E448" s="4">
        <f t="shared" ca="1" si="6"/>
        <v>128784.61538461538</v>
      </c>
    </row>
    <row r="449" spans="1:5" hidden="1" x14ac:dyDescent="0.25">
      <c r="A449">
        <v>11</v>
      </c>
      <c r="B449">
        <v>5</v>
      </c>
      <c r="C449" t="s">
        <v>10</v>
      </c>
      <c r="D449" t="s">
        <v>4</v>
      </c>
      <c r="E449" s="4">
        <f t="shared" ca="1" si="6"/>
        <v>160584.69230769228</v>
      </c>
    </row>
    <row r="450" spans="1:5" hidden="1" x14ac:dyDescent="0.25">
      <c r="A450">
        <v>11</v>
      </c>
      <c r="B450">
        <v>6</v>
      </c>
      <c r="C450" t="s">
        <v>10</v>
      </c>
      <c r="D450" t="s">
        <v>5</v>
      </c>
      <c r="E450" s="4">
        <f t="shared" ca="1" si="6"/>
        <v>226374.00366300379</v>
      </c>
    </row>
    <row r="451" spans="1:5" hidden="1" x14ac:dyDescent="0.25">
      <c r="A451">
        <v>11</v>
      </c>
      <c r="B451">
        <v>7</v>
      </c>
      <c r="C451" t="s">
        <v>10</v>
      </c>
      <c r="D451" t="s">
        <v>6</v>
      </c>
      <c r="E451" s="4">
        <f t="shared" ca="1" si="6"/>
        <v>159920.30769230769</v>
      </c>
    </row>
    <row r="452" spans="1:5" hidden="1" x14ac:dyDescent="0.25">
      <c r="A452">
        <v>11</v>
      </c>
      <c r="B452">
        <v>8</v>
      </c>
      <c r="C452" t="s">
        <v>10</v>
      </c>
      <c r="D452" t="s">
        <v>7</v>
      </c>
      <c r="E452" s="4">
        <f t="shared" ca="1" si="6"/>
        <v>217518.07692307676</v>
      </c>
    </row>
    <row r="453" spans="1:5" hidden="1" x14ac:dyDescent="0.25">
      <c r="A453">
        <v>11</v>
      </c>
      <c r="B453">
        <v>9</v>
      </c>
      <c r="C453" t="s">
        <v>10</v>
      </c>
      <c r="D453" t="s">
        <v>148</v>
      </c>
      <c r="E453" s="4">
        <f t="shared" ca="1" si="6"/>
        <v>667850.85256410274</v>
      </c>
    </row>
    <row r="454" spans="1:5" hidden="1" x14ac:dyDescent="0.25">
      <c r="A454">
        <v>11</v>
      </c>
      <c r="B454">
        <v>10</v>
      </c>
      <c r="C454" t="s">
        <v>10</v>
      </c>
      <c r="D454" t="s">
        <v>9</v>
      </c>
      <c r="E454" s="4">
        <f t="shared" ca="1" si="6"/>
        <v>192227.15384615387</v>
      </c>
    </row>
    <row r="455" spans="1:5" hidden="1" x14ac:dyDescent="0.25">
      <c r="A455">
        <v>11</v>
      </c>
      <c r="B455">
        <v>11</v>
      </c>
      <c r="C455" t="s">
        <v>10</v>
      </c>
      <c r="D455" t="s">
        <v>10</v>
      </c>
      <c r="E455" s="4">
        <f t="shared" ca="1" si="6"/>
        <v>0</v>
      </c>
    </row>
    <row r="456" spans="1:5" hidden="1" x14ac:dyDescent="0.25">
      <c r="A456">
        <v>11</v>
      </c>
      <c r="B456">
        <v>12</v>
      </c>
      <c r="C456" t="s">
        <v>10</v>
      </c>
      <c r="D456" t="s">
        <v>11</v>
      </c>
      <c r="E456" s="4">
        <f t="shared" ca="1" si="6"/>
        <v>139717.30769230769</v>
      </c>
    </row>
    <row r="457" spans="1:5" hidden="1" x14ac:dyDescent="0.25">
      <c r="A457">
        <v>11</v>
      </c>
      <c r="B457">
        <v>13</v>
      </c>
      <c r="C457" t="s">
        <v>10</v>
      </c>
      <c r="D457" t="s">
        <v>12</v>
      </c>
      <c r="E457" s="4">
        <f t="shared" ca="1" si="6"/>
        <v>121405.76923076928</v>
      </c>
    </row>
    <row r="458" spans="1:5" hidden="1" x14ac:dyDescent="0.25">
      <c r="A458">
        <v>11</v>
      </c>
      <c r="B458">
        <v>14</v>
      </c>
      <c r="C458" t="s">
        <v>10</v>
      </c>
      <c r="D458" t="s">
        <v>13</v>
      </c>
      <c r="E458" s="4">
        <f t="shared" ca="1" si="6"/>
        <v>267869.99999999977</v>
      </c>
    </row>
    <row r="459" spans="1:5" hidden="1" x14ac:dyDescent="0.25">
      <c r="A459">
        <v>11</v>
      </c>
      <c r="B459">
        <v>15</v>
      </c>
      <c r="C459" t="s">
        <v>10</v>
      </c>
      <c r="D459" t="s">
        <v>14</v>
      </c>
      <c r="E459" s="4">
        <f t="shared" ca="1" si="6"/>
        <v>390045.69230769284</v>
      </c>
    </row>
    <row r="460" spans="1:5" hidden="1" x14ac:dyDescent="0.25">
      <c r="A460">
        <v>11</v>
      </c>
      <c r="B460">
        <v>16</v>
      </c>
      <c r="C460" t="s">
        <v>10</v>
      </c>
      <c r="D460" t="s">
        <v>15</v>
      </c>
      <c r="E460" s="4">
        <f t="shared" ca="1" si="6"/>
        <v>628258.92307692277</v>
      </c>
    </row>
    <row r="461" spans="1:5" hidden="1" x14ac:dyDescent="0.25">
      <c r="A461">
        <v>11</v>
      </c>
      <c r="B461">
        <v>17</v>
      </c>
      <c r="C461" t="s">
        <v>10</v>
      </c>
      <c r="D461" t="s">
        <v>16</v>
      </c>
      <c r="E461" s="4">
        <f t="shared" ca="1" si="6"/>
        <v>273142.76923076878</v>
      </c>
    </row>
    <row r="462" spans="1:5" hidden="1" x14ac:dyDescent="0.25">
      <c r="A462">
        <v>11</v>
      </c>
      <c r="B462">
        <v>18</v>
      </c>
      <c r="C462" t="s">
        <v>10</v>
      </c>
      <c r="D462" t="s">
        <v>17</v>
      </c>
      <c r="E462" s="4">
        <f t="shared" ca="1" si="6"/>
        <v>150313.61538461538</v>
      </c>
    </row>
    <row r="463" spans="1:5" hidden="1" x14ac:dyDescent="0.25">
      <c r="A463">
        <v>11</v>
      </c>
      <c r="B463">
        <v>19</v>
      </c>
      <c r="C463" t="s">
        <v>10</v>
      </c>
      <c r="D463" t="s">
        <v>18</v>
      </c>
      <c r="E463" s="4">
        <f t="shared" ca="1" si="6"/>
        <v>189032.61538461538</v>
      </c>
    </row>
    <row r="464" spans="1:5" hidden="1" x14ac:dyDescent="0.25">
      <c r="A464">
        <v>11</v>
      </c>
      <c r="B464">
        <v>20</v>
      </c>
      <c r="C464" t="s">
        <v>10</v>
      </c>
      <c r="D464" t="s">
        <v>19</v>
      </c>
      <c r="E464" s="4">
        <f t="shared" ca="1" si="6"/>
        <v>160847.8974358975</v>
      </c>
    </row>
    <row r="465" spans="1:5" hidden="1" x14ac:dyDescent="0.25">
      <c r="A465">
        <v>11</v>
      </c>
      <c r="B465">
        <v>21</v>
      </c>
      <c r="C465" t="s">
        <v>10</v>
      </c>
      <c r="D465" t="s">
        <v>20</v>
      </c>
      <c r="E465" s="4">
        <f t="shared" ca="1" si="6"/>
        <v>204999.56410256377</v>
      </c>
    </row>
    <row r="466" spans="1:5" hidden="1" x14ac:dyDescent="0.25">
      <c r="A466">
        <v>11</v>
      </c>
      <c r="B466">
        <v>22</v>
      </c>
      <c r="C466" t="s">
        <v>10</v>
      </c>
      <c r="D466" t="s">
        <v>21</v>
      </c>
      <c r="E466" s="4">
        <f t="shared" ca="1" si="6"/>
        <v>224126.56410256377</v>
      </c>
    </row>
    <row r="467" spans="1:5" hidden="1" x14ac:dyDescent="0.25">
      <c r="A467">
        <v>11</v>
      </c>
      <c r="B467">
        <v>23</v>
      </c>
      <c r="C467" t="s">
        <v>10</v>
      </c>
      <c r="D467" t="s">
        <v>22</v>
      </c>
      <c r="E467" s="4">
        <f t="shared" ca="1" si="6"/>
        <v>207862.89743589779</v>
      </c>
    </row>
    <row r="468" spans="1:5" hidden="1" x14ac:dyDescent="0.25">
      <c r="A468">
        <v>11</v>
      </c>
      <c r="B468">
        <v>24</v>
      </c>
      <c r="C468" t="s">
        <v>10</v>
      </c>
      <c r="D468" t="s">
        <v>23</v>
      </c>
      <c r="E468" s="4">
        <f t="shared" ca="1" si="6"/>
        <v>165334.8974358975</v>
      </c>
    </row>
    <row r="469" spans="1:5" hidden="1" x14ac:dyDescent="0.25">
      <c r="A469">
        <v>11</v>
      </c>
      <c r="B469">
        <v>25</v>
      </c>
      <c r="C469" t="s">
        <v>10</v>
      </c>
      <c r="D469" t="s">
        <v>24</v>
      </c>
      <c r="E469" s="4">
        <f t="shared" ca="1" si="6"/>
        <v>158282.56410256407</v>
      </c>
    </row>
    <row r="470" spans="1:5" hidden="1" x14ac:dyDescent="0.25">
      <c r="A470">
        <v>11</v>
      </c>
      <c r="B470">
        <v>26</v>
      </c>
      <c r="C470" t="s">
        <v>10</v>
      </c>
      <c r="D470" t="s">
        <v>25</v>
      </c>
      <c r="E470" s="4">
        <f t="shared" ca="1" si="6"/>
        <v>144356.23076923078</v>
      </c>
    </row>
    <row r="471" spans="1:5" hidden="1" x14ac:dyDescent="0.25">
      <c r="A471">
        <v>11</v>
      </c>
      <c r="B471">
        <v>27</v>
      </c>
      <c r="C471" t="s">
        <v>10</v>
      </c>
      <c r="D471" t="s">
        <v>145</v>
      </c>
      <c r="E471" s="4">
        <f t="shared" ca="1" si="6"/>
        <v>514289.33076923073</v>
      </c>
    </row>
    <row r="472" spans="1:5" hidden="1" x14ac:dyDescent="0.25">
      <c r="A472">
        <v>11</v>
      </c>
      <c r="B472">
        <v>28</v>
      </c>
      <c r="C472" t="s">
        <v>10</v>
      </c>
      <c r="D472" t="s">
        <v>147</v>
      </c>
      <c r="E472" s="4">
        <f t="shared" ca="1" si="6"/>
        <v>459067.63076923077</v>
      </c>
    </row>
    <row r="473" spans="1:5" hidden="1" x14ac:dyDescent="0.25">
      <c r="A473">
        <v>11</v>
      </c>
      <c r="B473">
        <v>29</v>
      </c>
      <c r="C473" t="s">
        <v>10</v>
      </c>
      <c r="D473" t="s">
        <v>146</v>
      </c>
      <c r="E473" s="4">
        <f t="shared" ca="1" si="6"/>
        <v>327217.33076923079</v>
      </c>
    </row>
    <row r="474" spans="1:5" hidden="1" x14ac:dyDescent="0.25">
      <c r="A474">
        <v>11</v>
      </c>
      <c r="B474">
        <v>30</v>
      </c>
      <c r="C474" t="s">
        <v>10</v>
      </c>
      <c r="D474" t="s">
        <v>30</v>
      </c>
      <c r="E474" s="4">
        <f t="shared" ca="1" si="6"/>
        <v>121968.92307692308</v>
      </c>
    </row>
    <row r="475" spans="1:5" hidden="1" x14ac:dyDescent="0.25">
      <c r="A475">
        <v>11</v>
      </c>
      <c r="B475">
        <v>31</v>
      </c>
      <c r="C475" t="s">
        <v>10</v>
      </c>
      <c r="D475" t="s">
        <v>31</v>
      </c>
      <c r="E475" s="4">
        <f t="shared" ca="1" si="6"/>
        <v>147515.73076923078</v>
      </c>
    </row>
    <row r="476" spans="1:5" hidden="1" x14ac:dyDescent="0.25">
      <c r="A476">
        <v>11</v>
      </c>
      <c r="B476">
        <v>32</v>
      </c>
      <c r="C476" t="s">
        <v>10</v>
      </c>
      <c r="D476" t="s">
        <v>32</v>
      </c>
      <c r="E476" s="4">
        <f t="shared" ca="1" si="6"/>
        <v>197225.95384615386</v>
      </c>
    </row>
    <row r="477" spans="1:5" hidden="1" x14ac:dyDescent="0.25">
      <c r="A477">
        <v>11</v>
      </c>
      <c r="B477">
        <v>33</v>
      </c>
      <c r="C477" t="s">
        <v>10</v>
      </c>
      <c r="D477" t="s">
        <v>33</v>
      </c>
      <c r="E477" s="4">
        <f t="shared" ca="1" si="6"/>
        <v>364787.61965811974</v>
      </c>
    </row>
    <row r="478" spans="1:5" hidden="1" x14ac:dyDescent="0.25">
      <c r="A478">
        <v>11</v>
      </c>
      <c r="B478">
        <v>34</v>
      </c>
      <c r="C478" t="s">
        <v>10</v>
      </c>
      <c r="D478" t="s">
        <v>34</v>
      </c>
      <c r="E478" s="4">
        <f t="shared" ca="1" si="6"/>
        <v>113197.76923076928</v>
      </c>
    </row>
    <row r="479" spans="1:5" hidden="1" x14ac:dyDescent="0.25">
      <c r="A479">
        <v>11</v>
      </c>
      <c r="B479">
        <v>35</v>
      </c>
      <c r="C479" t="s">
        <v>10</v>
      </c>
      <c r="D479" t="s">
        <v>35</v>
      </c>
      <c r="E479" s="4">
        <f t="shared" ca="1" si="6"/>
        <v>189044.15384615387</v>
      </c>
    </row>
    <row r="480" spans="1:5" hidden="1" x14ac:dyDescent="0.25">
      <c r="A480">
        <v>11</v>
      </c>
      <c r="B480">
        <v>36</v>
      </c>
      <c r="C480" t="s">
        <v>10</v>
      </c>
      <c r="D480" t="s">
        <v>36</v>
      </c>
      <c r="E480" s="4">
        <f t="shared" ca="1" si="6"/>
        <v>183859.65750915749</v>
      </c>
    </row>
    <row r="481" spans="1:5" hidden="1" x14ac:dyDescent="0.25">
      <c r="A481">
        <v>11</v>
      </c>
      <c r="B481">
        <v>37</v>
      </c>
      <c r="C481" t="s">
        <v>10</v>
      </c>
      <c r="D481" t="s">
        <v>37</v>
      </c>
      <c r="E481" s="4">
        <f t="shared" ca="1" si="6"/>
        <v>104836.6153846154</v>
      </c>
    </row>
    <row r="482" spans="1:5" hidden="1" x14ac:dyDescent="0.25">
      <c r="A482">
        <v>11</v>
      </c>
      <c r="B482">
        <v>38</v>
      </c>
      <c r="C482" t="s">
        <v>10</v>
      </c>
      <c r="D482" t="s">
        <v>38</v>
      </c>
      <c r="E482" s="4">
        <f t="shared" ca="1" si="6"/>
        <v>189007.07326007326</v>
      </c>
    </row>
    <row r="483" spans="1:5" hidden="1" x14ac:dyDescent="0.25">
      <c r="A483">
        <v>11</v>
      </c>
      <c r="B483">
        <v>39</v>
      </c>
      <c r="C483" t="s">
        <v>10</v>
      </c>
      <c r="D483" t="s">
        <v>39</v>
      </c>
      <c r="E483" s="4">
        <f t="shared" ref="E483:E545" ca="1" si="7">OFFSET($B$2,A483,B483)</f>
        <v>170326.37362637368</v>
      </c>
    </row>
    <row r="484" spans="1:5" hidden="1" x14ac:dyDescent="0.25">
      <c r="A484">
        <v>11</v>
      </c>
      <c r="B484">
        <v>40</v>
      </c>
      <c r="C484" t="s">
        <v>10</v>
      </c>
      <c r="D484" t="s">
        <v>40</v>
      </c>
      <c r="E484" s="4">
        <f t="shared" ca="1" si="7"/>
        <v>118504.72344322348</v>
      </c>
    </row>
    <row r="485" spans="1:5" hidden="1" x14ac:dyDescent="0.25">
      <c r="A485">
        <v>12</v>
      </c>
      <c r="B485">
        <v>1</v>
      </c>
      <c r="C485" t="s">
        <v>11</v>
      </c>
      <c r="D485" t="s">
        <v>0</v>
      </c>
      <c r="E485" s="4">
        <f t="shared" ca="1" si="7"/>
        <v>90010.076923076966</v>
      </c>
    </row>
    <row r="486" spans="1:5" hidden="1" x14ac:dyDescent="0.25">
      <c r="A486">
        <v>12</v>
      </c>
      <c r="B486">
        <v>2</v>
      </c>
      <c r="C486" t="s">
        <v>11</v>
      </c>
      <c r="D486" t="s">
        <v>1</v>
      </c>
      <c r="E486" s="4">
        <f t="shared" ca="1" si="7"/>
        <v>80398.461538461561</v>
      </c>
    </row>
    <row r="487" spans="1:5" hidden="1" x14ac:dyDescent="0.25">
      <c r="A487">
        <v>12</v>
      </c>
      <c r="B487">
        <v>3</v>
      </c>
      <c r="C487" t="s">
        <v>11</v>
      </c>
      <c r="D487" t="s">
        <v>2</v>
      </c>
      <c r="E487" s="4">
        <f t="shared" ca="1" si="7"/>
        <v>83432.692307692269</v>
      </c>
    </row>
    <row r="488" spans="1:5" hidden="1" x14ac:dyDescent="0.25">
      <c r="A488">
        <v>12</v>
      </c>
      <c r="B488">
        <v>4</v>
      </c>
      <c r="C488" t="s">
        <v>11</v>
      </c>
      <c r="D488" t="s">
        <v>3</v>
      </c>
      <c r="E488" s="4">
        <f t="shared" ca="1" si="7"/>
        <v>72539.615384615361</v>
      </c>
    </row>
    <row r="489" spans="1:5" hidden="1" x14ac:dyDescent="0.25">
      <c r="A489">
        <v>12</v>
      </c>
      <c r="B489">
        <v>5</v>
      </c>
      <c r="C489" t="s">
        <v>11</v>
      </c>
      <c r="D489" t="s">
        <v>4</v>
      </c>
      <c r="E489" s="4">
        <f t="shared" ca="1" si="7"/>
        <v>104339.69230769227</v>
      </c>
    </row>
    <row r="490" spans="1:5" hidden="1" x14ac:dyDescent="0.25">
      <c r="A490">
        <v>12</v>
      </c>
      <c r="B490">
        <v>6</v>
      </c>
      <c r="C490" t="s">
        <v>11</v>
      </c>
      <c r="D490" t="s">
        <v>5</v>
      </c>
      <c r="E490" s="4">
        <f t="shared" ca="1" si="7"/>
        <v>170129.00366300376</v>
      </c>
    </row>
    <row r="491" spans="1:5" hidden="1" x14ac:dyDescent="0.25">
      <c r="A491">
        <v>12</v>
      </c>
      <c r="B491">
        <v>7</v>
      </c>
      <c r="C491" t="s">
        <v>11</v>
      </c>
      <c r="D491" t="s">
        <v>6</v>
      </c>
      <c r="E491" s="4">
        <f t="shared" ca="1" si="7"/>
        <v>103675.30769230766</v>
      </c>
    </row>
    <row r="492" spans="1:5" hidden="1" x14ac:dyDescent="0.25">
      <c r="A492">
        <v>12</v>
      </c>
      <c r="B492">
        <v>8</v>
      </c>
      <c r="C492" t="s">
        <v>11</v>
      </c>
      <c r="D492" t="s">
        <v>7</v>
      </c>
      <c r="E492" s="4">
        <f t="shared" ca="1" si="7"/>
        <v>161273.07692307676</v>
      </c>
    </row>
    <row r="493" spans="1:5" hidden="1" x14ac:dyDescent="0.25">
      <c r="A493">
        <v>12</v>
      </c>
      <c r="B493">
        <v>9</v>
      </c>
      <c r="C493" t="s">
        <v>11</v>
      </c>
      <c r="D493" t="s">
        <v>148</v>
      </c>
      <c r="E493" s="4">
        <f t="shared" ca="1" si="7"/>
        <v>611605.85256410274</v>
      </c>
    </row>
    <row r="494" spans="1:5" hidden="1" x14ac:dyDescent="0.25">
      <c r="A494">
        <v>12</v>
      </c>
      <c r="B494">
        <v>10</v>
      </c>
      <c r="C494" t="s">
        <v>11</v>
      </c>
      <c r="D494" t="s">
        <v>9</v>
      </c>
      <c r="E494" s="4">
        <f t="shared" ca="1" si="7"/>
        <v>135982.15384615387</v>
      </c>
    </row>
    <row r="495" spans="1:5" hidden="1" x14ac:dyDescent="0.25">
      <c r="A495">
        <v>12</v>
      </c>
      <c r="B495">
        <v>11</v>
      </c>
      <c r="C495" t="s">
        <v>11</v>
      </c>
      <c r="D495" t="s">
        <v>10</v>
      </c>
      <c r="E495" s="4">
        <f t="shared" ca="1" si="7"/>
        <v>138746.23076923075</v>
      </c>
    </row>
    <row r="496" spans="1:5" hidden="1" x14ac:dyDescent="0.25">
      <c r="A496">
        <v>12</v>
      </c>
      <c r="B496">
        <v>12</v>
      </c>
      <c r="C496" t="s">
        <v>11</v>
      </c>
      <c r="D496" t="s">
        <v>11</v>
      </c>
      <c r="E496" s="4">
        <f t="shared" ca="1" si="7"/>
        <v>0</v>
      </c>
    </row>
    <row r="497" spans="1:5" hidden="1" x14ac:dyDescent="0.25">
      <c r="A497">
        <v>12</v>
      </c>
      <c r="B497">
        <v>13</v>
      </c>
      <c r="C497" t="s">
        <v>11</v>
      </c>
      <c r="D497" t="s">
        <v>12</v>
      </c>
      <c r="E497" s="4">
        <f t="shared" ca="1" si="7"/>
        <v>65160.769230769263</v>
      </c>
    </row>
    <row r="498" spans="1:5" hidden="1" x14ac:dyDescent="0.25">
      <c r="A498">
        <v>12</v>
      </c>
      <c r="B498">
        <v>14</v>
      </c>
      <c r="C498" t="s">
        <v>11</v>
      </c>
      <c r="D498" t="s">
        <v>13</v>
      </c>
      <c r="E498" s="4">
        <f t="shared" ca="1" si="7"/>
        <v>211624.99999999977</v>
      </c>
    </row>
    <row r="499" spans="1:5" hidden="1" x14ac:dyDescent="0.25">
      <c r="A499">
        <v>12</v>
      </c>
      <c r="B499">
        <v>15</v>
      </c>
      <c r="C499" t="s">
        <v>11</v>
      </c>
      <c r="D499" t="s">
        <v>14</v>
      </c>
      <c r="E499" s="4">
        <f t="shared" ca="1" si="7"/>
        <v>333800.69230769278</v>
      </c>
    </row>
    <row r="500" spans="1:5" hidden="1" x14ac:dyDescent="0.25">
      <c r="A500">
        <v>12</v>
      </c>
      <c r="B500">
        <v>16</v>
      </c>
      <c r="C500" t="s">
        <v>11</v>
      </c>
      <c r="D500" t="s">
        <v>15</v>
      </c>
      <c r="E500" s="4">
        <f t="shared" ca="1" si="7"/>
        <v>572013.92307692277</v>
      </c>
    </row>
    <row r="501" spans="1:5" hidden="1" x14ac:dyDescent="0.25">
      <c r="A501">
        <v>12</v>
      </c>
      <c r="B501">
        <v>17</v>
      </c>
      <c r="C501" t="s">
        <v>11</v>
      </c>
      <c r="D501" t="s">
        <v>16</v>
      </c>
      <c r="E501" s="4">
        <f t="shared" ca="1" si="7"/>
        <v>216897.76923076878</v>
      </c>
    </row>
    <row r="502" spans="1:5" hidden="1" x14ac:dyDescent="0.25">
      <c r="A502">
        <v>12</v>
      </c>
      <c r="B502">
        <v>18</v>
      </c>
      <c r="C502" t="s">
        <v>11</v>
      </c>
      <c r="D502" t="s">
        <v>17</v>
      </c>
      <c r="E502" s="4">
        <f t="shared" ca="1" si="7"/>
        <v>94068.615384615376</v>
      </c>
    </row>
    <row r="503" spans="1:5" hidden="1" x14ac:dyDescent="0.25">
      <c r="A503">
        <v>12</v>
      </c>
      <c r="B503">
        <v>19</v>
      </c>
      <c r="C503" t="s">
        <v>11</v>
      </c>
      <c r="D503" t="s">
        <v>18</v>
      </c>
      <c r="E503" s="4">
        <f t="shared" ca="1" si="7"/>
        <v>132787.61538461538</v>
      </c>
    </row>
    <row r="504" spans="1:5" hidden="1" x14ac:dyDescent="0.25">
      <c r="A504">
        <v>12</v>
      </c>
      <c r="B504">
        <v>20</v>
      </c>
      <c r="C504" t="s">
        <v>11</v>
      </c>
      <c r="D504" t="s">
        <v>19</v>
      </c>
      <c r="E504" s="4">
        <f t="shared" ca="1" si="7"/>
        <v>104602.89743589747</v>
      </c>
    </row>
    <row r="505" spans="1:5" hidden="1" x14ac:dyDescent="0.25">
      <c r="A505">
        <v>12</v>
      </c>
      <c r="B505">
        <v>21</v>
      </c>
      <c r="C505" t="s">
        <v>11</v>
      </c>
      <c r="D505" t="s">
        <v>20</v>
      </c>
      <c r="E505" s="4">
        <f t="shared" ca="1" si="7"/>
        <v>148754.56410256377</v>
      </c>
    </row>
    <row r="506" spans="1:5" hidden="1" x14ac:dyDescent="0.25">
      <c r="A506">
        <v>12</v>
      </c>
      <c r="B506">
        <v>22</v>
      </c>
      <c r="C506" t="s">
        <v>11</v>
      </c>
      <c r="D506" t="s">
        <v>21</v>
      </c>
      <c r="E506" s="4">
        <f t="shared" ca="1" si="7"/>
        <v>167881.56410256377</v>
      </c>
    </row>
    <row r="507" spans="1:5" hidden="1" x14ac:dyDescent="0.25">
      <c r="A507">
        <v>12</v>
      </c>
      <c r="B507">
        <v>23</v>
      </c>
      <c r="C507" t="s">
        <v>11</v>
      </c>
      <c r="D507" t="s">
        <v>22</v>
      </c>
      <c r="E507" s="4">
        <f t="shared" ca="1" si="7"/>
        <v>151617.89743589779</v>
      </c>
    </row>
    <row r="508" spans="1:5" hidden="1" x14ac:dyDescent="0.25">
      <c r="A508">
        <v>12</v>
      </c>
      <c r="B508">
        <v>24</v>
      </c>
      <c r="C508" t="s">
        <v>11</v>
      </c>
      <c r="D508" t="s">
        <v>23</v>
      </c>
      <c r="E508" s="4">
        <f t="shared" ca="1" si="7"/>
        <v>109089.89743589747</v>
      </c>
    </row>
    <row r="509" spans="1:5" hidden="1" x14ac:dyDescent="0.25">
      <c r="A509">
        <v>12</v>
      </c>
      <c r="B509">
        <v>25</v>
      </c>
      <c r="C509" t="s">
        <v>11</v>
      </c>
      <c r="D509" t="s">
        <v>24</v>
      </c>
      <c r="E509" s="4">
        <f t="shared" ca="1" si="7"/>
        <v>102037.56410256407</v>
      </c>
    </row>
    <row r="510" spans="1:5" hidden="1" x14ac:dyDescent="0.25">
      <c r="A510">
        <v>12</v>
      </c>
      <c r="B510">
        <v>26</v>
      </c>
      <c r="C510" t="s">
        <v>11</v>
      </c>
      <c r="D510" t="s">
        <v>25</v>
      </c>
      <c r="E510" s="4">
        <f t="shared" ca="1" si="7"/>
        <v>88111.230769230766</v>
      </c>
    </row>
    <row r="511" spans="1:5" hidden="1" x14ac:dyDescent="0.25">
      <c r="A511">
        <v>12</v>
      </c>
      <c r="B511">
        <v>27</v>
      </c>
      <c r="C511" t="s">
        <v>11</v>
      </c>
      <c r="D511" t="s">
        <v>145</v>
      </c>
      <c r="E511" s="4">
        <f t="shared" ca="1" si="7"/>
        <v>458044.33076923073</v>
      </c>
    </row>
    <row r="512" spans="1:5" hidden="1" x14ac:dyDescent="0.25">
      <c r="A512">
        <v>12</v>
      </c>
      <c r="B512">
        <v>28</v>
      </c>
      <c r="C512" t="s">
        <v>11</v>
      </c>
      <c r="D512" t="s">
        <v>147</v>
      </c>
      <c r="E512" s="4">
        <f t="shared" ca="1" si="7"/>
        <v>402822.63076923077</v>
      </c>
    </row>
    <row r="513" spans="1:5" hidden="1" x14ac:dyDescent="0.25">
      <c r="A513">
        <v>12</v>
      </c>
      <c r="B513">
        <v>29</v>
      </c>
      <c r="C513" t="s">
        <v>11</v>
      </c>
      <c r="D513" t="s">
        <v>146</v>
      </c>
      <c r="E513" s="4">
        <f t="shared" ca="1" si="7"/>
        <v>270972.33076923079</v>
      </c>
    </row>
    <row r="514" spans="1:5" hidden="1" x14ac:dyDescent="0.25">
      <c r="A514">
        <v>12</v>
      </c>
      <c r="B514">
        <v>30</v>
      </c>
      <c r="C514" t="s">
        <v>11</v>
      </c>
      <c r="D514" t="s">
        <v>30</v>
      </c>
      <c r="E514" s="4">
        <f t="shared" ca="1" si="7"/>
        <v>65723.923076923063</v>
      </c>
    </row>
    <row r="515" spans="1:5" hidden="1" x14ac:dyDescent="0.25">
      <c r="A515">
        <v>12</v>
      </c>
      <c r="B515">
        <v>31</v>
      </c>
      <c r="C515" t="s">
        <v>11</v>
      </c>
      <c r="D515" t="s">
        <v>31</v>
      </c>
      <c r="E515" s="4">
        <f t="shared" ca="1" si="7"/>
        <v>91270.730769230766</v>
      </c>
    </row>
    <row r="516" spans="1:5" hidden="1" x14ac:dyDescent="0.25">
      <c r="A516">
        <v>12</v>
      </c>
      <c r="B516">
        <v>32</v>
      </c>
      <c r="C516" t="s">
        <v>11</v>
      </c>
      <c r="D516" t="s">
        <v>32</v>
      </c>
      <c r="E516" s="4">
        <f t="shared" ca="1" si="7"/>
        <v>140980.95384615386</v>
      </c>
    </row>
    <row r="517" spans="1:5" hidden="1" x14ac:dyDescent="0.25">
      <c r="A517">
        <v>12</v>
      </c>
      <c r="B517">
        <v>33</v>
      </c>
      <c r="C517" t="s">
        <v>11</v>
      </c>
      <c r="D517" t="s">
        <v>33</v>
      </c>
      <c r="E517" s="4">
        <f t="shared" ca="1" si="7"/>
        <v>308542.61965811974</v>
      </c>
    </row>
    <row r="518" spans="1:5" hidden="1" x14ac:dyDescent="0.25">
      <c r="A518">
        <v>12</v>
      </c>
      <c r="B518">
        <v>34</v>
      </c>
      <c r="C518" t="s">
        <v>11</v>
      </c>
      <c r="D518" t="s">
        <v>34</v>
      </c>
      <c r="E518" s="4">
        <f t="shared" ca="1" si="7"/>
        <v>56952.769230769263</v>
      </c>
    </row>
    <row r="519" spans="1:5" hidden="1" x14ac:dyDescent="0.25">
      <c r="A519">
        <v>12</v>
      </c>
      <c r="B519">
        <v>35</v>
      </c>
      <c r="C519" t="s">
        <v>11</v>
      </c>
      <c r="D519" t="s">
        <v>35</v>
      </c>
      <c r="E519" s="4">
        <f t="shared" ca="1" si="7"/>
        <v>132799.15384615387</v>
      </c>
    </row>
    <row r="520" spans="1:5" hidden="1" x14ac:dyDescent="0.25">
      <c r="A520">
        <v>12</v>
      </c>
      <c r="B520">
        <v>36</v>
      </c>
      <c r="C520" t="s">
        <v>11</v>
      </c>
      <c r="D520" t="s">
        <v>36</v>
      </c>
      <c r="E520" s="4">
        <f t="shared" ca="1" si="7"/>
        <v>127614.65750915746</v>
      </c>
    </row>
    <row r="521" spans="1:5" hidden="1" x14ac:dyDescent="0.25">
      <c r="A521">
        <v>12</v>
      </c>
      <c r="B521">
        <v>37</v>
      </c>
      <c r="C521" t="s">
        <v>11</v>
      </c>
      <c r="D521" t="s">
        <v>37</v>
      </c>
      <c r="E521" s="4">
        <f t="shared" ca="1" si="7"/>
        <v>48591.615384615383</v>
      </c>
    </row>
    <row r="522" spans="1:5" hidden="1" x14ac:dyDescent="0.25">
      <c r="A522">
        <v>12</v>
      </c>
      <c r="B522">
        <v>38</v>
      </c>
      <c r="C522" t="s">
        <v>11</v>
      </c>
      <c r="D522" t="s">
        <v>38</v>
      </c>
      <c r="E522" s="4">
        <f t="shared" ca="1" si="7"/>
        <v>132762.07326007326</v>
      </c>
    </row>
    <row r="523" spans="1:5" hidden="1" x14ac:dyDescent="0.25">
      <c r="A523">
        <v>12</v>
      </c>
      <c r="B523">
        <v>39</v>
      </c>
      <c r="C523" t="s">
        <v>11</v>
      </c>
      <c r="D523" t="s">
        <v>39</v>
      </c>
      <c r="E523" s="4">
        <f t="shared" ca="1" si="7"/>
        <v>114081.37362637366</v>
      </c>
    </row>
    <row r="524" spans="1:5" hidden="1" x14ac:dyDescent="0.25">
      <c r="A524">
        <v>12</v>
      </c>
      <c r="B524">
        <v>40</v>
      </c>
      <c r="C524" t="s">
        <v>11</v>
      </c>
      <c r="D524" t="s">
        <v>40</v>
      </c>
      <c r="E524" s="4">
        <f t="shared" ca="1" si="7"/>
        <v>62259.723443223469</v>
      </c>
    </row>
    <row r="525" spans="1:5" hidden="1" x14ac:dyDescent="0.25">
      <c r="A525">
        <v>13</v>
      </c>
      <c r="B525">
        <v>1</v>
      </c>
      <c r="C525" t="s">
        <v>12</v>
      </c>
      <c r="D525" t="s">
        <v>0</v>
      </c>
      <c r="E525" s="4">
        <f t="shared" ca="1" si="7"/>
        <v>71621.153846153888</v>
      </c>
    </row>
    <row r="526" spans="1:5" hidden="1" x14ac:dyDescent="0.25">
      <c r="A526">
        <v>13</v>
      </c>
      <c r="B526">
        <v>2</v>
      </c>
      <c r="C526" t="s">
        <v>12</v>
      </c>
      <c r="D526" t="s">
        <v>1</v>
      </c>
      <c r="E526" s="4">
        <f t="shared" ca="1" si="7"/>
        <v>62009.538461538497</v>
      </c>
    </row>
    <row r="527" spans="1:5" hidden="1" x14ac:dyDescent="0.25">
      <c r="A527">
        <v>13</v>
      </c>
      <c r="B527">
        <v>3</v>
      </c>
      <c r="C527" t="s">
        <v>12</v>
      </c>
      <c r="D527" t="s">
        <v>2</v>
      </c>
      <c r="E527" s="4">
        <f t="shared" ca="1" si="7"/>
        <v>65043.76923076919</v>
      </c>
    </row>
    <row r="528" spans="1:5" hidden="1" x14ac:dyDescent="0.25">
      <c r="A528">
        <v>13</v>
      </c>
      <c r="B528">
        <v>4</v>
      </c>
      <c r="C528" t="s">
        <v>12</v>
      </c>
      <c r="D528" t="s">
        <v>3</v>
      </c>
      <c r="E528" s="4">
        <f t="shared" ca="1" si="7"/>
        <v>54150.69230769229</v>
      </c>
    </row>
    <row r="529" spans="1:5" hidden="1" x14ac:dyDescent="0.25">
      <c r="A529">
        <v>13</v>
      </c>
      <c r="B529">
        <v>5</v>
      </c>
      <c r="C529" t="s">
        <v>12</v>
      </c>
      <c r="D529" t="s">
        <v>4</v>
      </c>
      <c r="E529" s="4">
        <f t="shared" ca="1" si="7"/>
        <v>85950.76923076919</v>
      </c>
    </row>
    <row r="530" spans="1:5" hidden="1" x14ac:dyDescent="0.25">
      <c r="A530">
        <v>13</v>
      </c>
      <c r="B530">
        <v>6</v>
      </c>
      <c r="C530" t="s">
        <v>12</v>
      </c>
      <c r="D530" t="s">
        <v>5</v>
      </c>
      <c r="E530" s="4">
        <f t="shared" ca="1" si="7"/>
        <v>151740.0805860807</v>
      </c>
    </row>
    <row r="531" spans="1:5" hidden="1" x14ac:dyDescent="0.25">
      <c r="A531">
        <v>13</v>
      </c>
      <c r="B531">
        <v>7</v>
      </c>
      <c r="C531" t="s">
        <v>12</v>
      </c>
      <c r="D531" t="s">
        <v>6</v>
      </c>
      <c r="E531" s="4">
        <f t="shared" ca="1" si="7"/>
        <v>85286.384615384595</v>
      </c>
    </row>
    <row r="532" spans="1:5" hidden="1" x14ac:dyDescent="0.25">
      <c r="A532">
        <v>13</v>
      </c>
      <c r="B532">
        <v>8</v>
      </c>
      <c r="C532" t="s">
        <v>12</v>
      </c>
      <c r="D532" t="s">
        <v>7</v>
      </c>
      <c r="E532" s="4">
        <f t="shared" ca="1" si="7"/>
        <v>142884.1538461537</v>
      </c>
    </row>
    <row r="533" spans="1:5" hidden="1" x14ac:dyDescent="0.25">
      <c r="A533">
        <v>13</v>
      </c>
      <c r="B533">
        <v>9</v>
      </c>
      <c r="C533" t="s">
        <v>12</v>
      </c>
      <c r="D533" t="s">
        <v>148</v>
      </c>
      <c r="E533" s="4">
        <f t="shared" ca="1" si="7"/>
        <v>593216.92948717973</v>
      </c>
    </row>
    <row r="534" spans="1:5" hidden="1" x14ac:dyDescent="0.25">
      <c r="A534">
        <v>13</v>
      </c>
      <c r="B534">
        <v>10</v>
      </c>
      <c r="C534" t="s">
        <v>12</v>
      </c>
      <c r="D534" t="s">
        <v>9</v>
      </c>
      <c r="E534" s="4">
        <f t="shared" ca="1" si="7"/>
        <v>117593.23076923079</v>
      </c>
    </row>
    <row r="535" spans="1:5" hidden="1" x14ac:dyDescent="0.25">
      <c r="A535">
        <v>13</v>
      </c>
      <c r="B535">
        <v>11</v>
      </c>
      <c r="C535" t="s">
        <v>12</v>
      </c>
      <c r="D535" t="s">
        <v>10</v>
      </c>
      <c r="E535" s="4">
        <f t="shared" ca="1" si="7"/>
        <v>120357.30769230769</v>
      </c>
    </row>
    <row r="536" spans="1:5" hidden="1" x14ac:dyDescent="0.25">
      <c r="A536">
        <v>13</v>
      </c>
      <c r="B536">
        <v>12</v>
      </c>
      <c r="C536" t="s">
        <v>12</v>
      </c>
      <c r="D536" t="s">
        <v>11</v>
      </c>
      <c r="E536" s="4">
        <f t="shared" ca="1" si="7"/>
        <v>65083.384615384595</v>
      </c>
    </row>
    <row r="537" spans="1:5" hidden="1" x14ac:dyDescent="0.25">
      <c r="A537">
        <v>13</v>
      </c>
      <c r="B537">
        <v>13</v>
      </c>
      <c r="C537" t="s">
        <v>12</v>
      </c>
      <c r="D537" t="s">
        <v>12</v>
      </c>
      <c r="E537" s="4">
        <f t="shared" ca="1" si="7"/>
        <v>0</v>
      </c>
    </row>
    <row r="538" spans="1:5" hidden="1" x14ac:dyDescent="0.25">
      <c r="A538">
        <v>13</v>
      </c>
      <c r="B538">
        <v>14</v>
      </c>
      <c r="C538" t="s">
        <v>12</v>
      </c>
      <c r="D538" t="s">
        <v>13</v>
      </c>
      <c r="E538" s="4">
        <f t="shared" ca="1" si="7"/>
        <v>193236.07692307667</v>
      </c>
    </row>
    <row r="539" spans="1:5" hidden="1" x14ac:dyDescent="0.25">
      <c r="A539">
        <v>13</v>
      </c>
      <c r="B539">
        <v>15</v>
      </c>
      <c r="C539" t="s">
        <v>12</v>
      </c>
      <c r="D539" t="s">
        <v>14</v>
      </c>
      <c r="E539" s="4">
        <f t="shared" ca="1" si="7"/>
        <v>315411.76923076971</v>
      </c>
    </row>
    <row r="540" spans="1:5" hidden="1" x14ac:dyDescent="0.25">
      <c r="A540">
        <v>13</v>
      </c>
      <c r="B540">
        <v>16</v>
      </c>
      <c r="C540" t="s">
        <v>12</v>
      </c>
      <c r="D540" t="s">
        <v>15</v>
      </c>
      <c r="E540" s="4">
        <f t="shared" ca="1" si="7"/>
        <v>553624.99999999977</v>
      </c>
    </row>
    <row r="541" spans="1:5" hidden="1" x14ac:dyDescent="0.25">
      <c r="A541">
        <v>13</v>
      </c>
      <c r="B541">
        <v>17</v>
      </c>
      <c r="C541" t="s">
        <v>12</v>
      </c>
      <c r="D541" t="s">
        <v>16</v>
      </c>
      <c r="E541" s="4">
        <f t="shared" ca="1" si="7"/>
        <v>198508.84615384569</v>
      </c>
    </row>
    <row r="542" spans="1:5" hidden="1" x14ac:dyDescent="0.25">
      <c r="A542">
        <v>13</v>
      </c>
      <c r="B542">
        <v>18</v>
      </c>
      <c r="C542" t="s">
        <v>12</v>
      </c>
      <c r="D542" t="s">
        <v>17</v>
      </c>
      <c r="E542" s="4">
        <f t="shared" ca="1" si="7"/>
        <v>75679.692307692298</v>
      </c>
    </row>
    <row r="543" spans="1:5" hidden="1" x14ac:dyDescent="0.25">
      <c r="A543">
        <v>13</v>
      </c>
      <c r="B543">
        <v>19</v>
      </c>
      <c r="C543" t="s">
        <v>12</v>
      </c>
      <c r="D543" t="s">
        <v>18</v>
      </c>
      <c r="E543" s="4">
        <f t="shared" ca="1" si="7"/>
        <v>114398.69230769228</v>
      </c>
    </row>
    <row r="544" spans="1:5" hidden="1" x14ac:dyDescent="0.25">
      <c r="A544">
        <v>13</v>
      </c>
      <c r="B544">
        <v>20</v>
      </c>
      <c r="C544" t="s">
        <v>12</v>
      </c>
      <c r="D544" t="s">
        <v>19</v>
      </c>
      <c r="E544" s="4">
        <f t="shared" ca="1" si="7"/>
        <v>86213.974358974388</v>
      </c>
    </row>
    <row r="545" spans="1:5" hidden="1" x14ac:dyDescent="0.25">
      <c r="A545">
        <v>13</v>
      </c>
      <c r="B545">
        <v>21</v>
      </c>
      <c r="C545" t="s">
        <v>12</v>
      </c>
      <c r="D545" t="s">
        <v>20</v>
      </c>
      <c r="E545" s="4">
        <f t="shared" ca="1" si="7"/>
        <v>130365.64102564068</v>
      </c>
    </row>
    <row r="546" spans="1:5" hidden="1" x14ac:dyDescent="0.25">
      <c r="A546">
        <v>13</v>
      </c>
      <c r="B546">
        <v>22</v>
      </c>
      <c r="C546" t="s">
        <v>12</v>
      </c>
      <c r="D546" t="s">
        <v>21</v>
      </c>
      <c r="E546" s="4">
        <f t="shared" ref="E546:E607" ca="1" si="8">OFFSET($B$2,A546,B546)</f>
        <v>149492.64102564068</v>
      </c>
    </row>
    <row r="547" spans="1:5" hidden="1" x14ac:dyDescent="0.25">
      <c r="A547">
        <v>13</v>
      </c>
      <c r="B547">
        <v>23</v>
      </c>
      <c r="C547" t="s">
        <v>12</v>
      </c>
      <c r="D547" t="s">
        <v>22</v>
      </c>
      <c r="E547" s="4">
        <f t="shared" ca="1" si="8"/>
        <v>133228.97435897469</v>
      </c>
    </row>
    <row r="548" spans="1:5" hidden="1" x14ac:dyDescent="0.25">
      <c r="A548">
        <v>13</v>
      </c>
      <c r="B548">
        <v>24</v>
      </c>
      <c r="C548" t="s">
        <v>12</v>
      </c>
      <c r="D548" t="s">
        <v>23</v>
      </c>
      <c r="E548" s="4">
        <f t="shared" ca="1" si="8"/>
        <v>90700.974358974388</v>
      </c>
    </row>
    <row r="549" spans="1:5" hidden="1" x14ac:dyDescent="0.25">
      <c r="A549">
        <v>13</v>
      </c>
      <c r="B549">
        <v>25</v>
      </c>
      <c r="C549" t="s">
        <v>12</v>
      </c>
      <c r="D549" t="s">
        <v>24</v>
      </c>
      <c r="E549" s="4">
        <f t="shared" ca="1" si="8"/>
        <v>83648.641025640987</v>
      </c>
    </row>
    <row r="550" spans="1:5" hidden="1" x14ac:dyDescent="0.25">
      <c r="A550">
        <v>13</v>
      </c>
      <c r="B550">
        <v>26</v>
      </c>
      <c r="C550" t="s">
        <v>12</v>
      </c>
      <c r="D550" t="s">
        <v>25</v>
      </c>
      <c r="E550" s="4">
        <f t="shared" ca="1" si="8"/>
        <v>69722.307692307688</v>
      </c>
    </row>
    <row r="551" spans="1:5" hidden="1" x14ac:dyDescent="0.25">
      <c r="A551">
        <v>13</v>
      </c>
      <c r="B551">
        <v>27</v>
      </c>
      <c r="C551" t="s">
        <v>12</v>
      </c>
      <c r="D551" t="s">
        <v>145</v>
      </c>
      <c r="E551" s="4">
        <f t="shared" ca="1" si="8"/>
        <v>439655.40769230766</v>
      </c>
    </row>
    <row r="552" spans="1:5" hidden="1" x14ac:dyDescent="0.25">
      <c r="A552">
        <v>13</v>
      </c>
      <c r="B552">
        <v>28</v>
      </c>
      <c r="C552" t="s">
        <v>12</v>
      </c>
      <c r="D552" t="s">
        <v>147</v>
      </c>
      <c r="E552" s="4">
        <f t="shared" ca="1" si="8"/>
        <v>384433.70769230771</v>
      </c>
    </row>
    <row r="553" spans="1:5" hidden="1" x14ac:dyDescent="0.25">
      <c r="A553">
        <v>13</v>
      </c>
      <c r="B553">
        <v>29</v>
      </c>
      <c r="C553" t="s">
        <v>12</v>
      </c>
      <c r="D553" t="s">
        <v>146</v>
      </c>
      <c r="E553" s="4">
        <f t="shared" ca="1" si="8"/>
        <v>252583.40769230769</v>
      </c>
    </row>
    <row r="554" spans="1:5" hidden="1" x14ac:dyDescent="0.25">
      <c r="A554">
        <v>13</v>
      </c>
      <c r="B554">
        <v>30</v>
      </c>
      <c r="C554" t="s">
        <v>12</v>
      </c>
      <c r="D554" t="s">
        <v>30</v>
      </c>
      <c r="E554" s="4">
        <f t="shared" ca="1" si="8"/>
        <v>47334.999999999993</v>
      </c>
    </row>
    <row r="555" spans="1:5" hidden="1" x14ac:dyDescent="0.25">
      <c r="A555">
        <v>13</v>
      </c>
      <c r="B555">
        <v>31</v>
      </c>
      <c r="C555" t="s">
        <v>12</v>
      </c>
      <c r="D555" t="s">
        <v>31</v>
      </c>
      <c r="E555" s="4">
        <f t="shared" ca="1" si="8"/>
        <v>72881.807692307688</v>
      </c>
    </row>
    <row r="556" spans="1:5" hidden="1" x14ac:dyDescent="0.25">
      <c r="A556">
        <v>13</v>
      </c>
      <c r="B556">
        <v>32</v>
      </c>
      <c r="C556" t="s">
        <v>12</v>
      </c>
      <c r="D556" t="s">
        <v>32</v>
      </c>
      <c r="E556" s="4">
        <f t="shared" ca="1" si="8"/>
        <v>122592.03076923078</v>
      </c>
    </row>
    <row r="557" spans="1:5" hidden="1" x14ac:dyDescent="0.25">
      <c r="A557">
        <v>13</v>
      </c>
      <c r="B557">
        <v>33</v>
      </c>
      <c r="C557" t="s">
        <v>12</v>
      </c>
      <c r="D557" t="s">
        <v>33</v>
      </c>
      <c r="E557" s="4">
        <f t="shared" ca="1" si="8"/>
        <v>290153.69658119668</v>
      </c>
    </row>
    <row r="558" spans="1:5" hidden="1" x14ac:dyDescent="0.25">
      <c r="A558">
        <v>13</v>
      </c>
      <c r="B558">
        <v>34</v>
      </c>
      <c r="C558" t="s">
        <v>12</v>
      </c>
      <c r="D558" t="s">
        <v>34</v>
      </c>
      <c r="E558" s="4">
        <f t="shared" ca="1" si="8"/>
        <v>38563.846153846192</v>
      </c>
    </row>
    <row r="559" spans="1:5" hidden="1" x14ac:dyDescent="0.25">
      <c r="A559">
        <v>13</v>
      </c>
      <c r="B559">
        <v>35</v>
      </c>
      <c r="C559" t="s">
        <v>12</v>
      </c>
      <c r="D559" t="s">
        <v>35</v>
      </c>
      <c r="E559" s="4">
        <f t="shared" ca="1" si="8"/>
        <v>114410.23076923079</v>
      </c>
    </row>
    <row r="560" spans="1:5" hidden="1" x14ac:dyDescent="0.25">
      <c r="A560">
        <v>13</v>
      </c>
      <c r="B560">
        <v>36</v>
      </c>
      <c r="C560" t="s">
        <v>12</v>
      </c>
      <c r="D560" t="s">
        <v>36</v>
      </c>
      <c r="E560" s="4">
        <f t="shared" ca="1" si="8"/>
        <v>109225.73443223439</v>
      </c>
    </row>
    <row r="561" spans="1:5" hidden="1" x14ac:dyDescent="0.25">
      <c r="A561">
        <v>13</v>
      </c>
      <c r="B561">
        <v>37</v>
      </c>
      <c r="C561" t="s">
        <v>12</v>
      </c>
      <c r="D561" t="s">
        <v>37</v>
      </c>
      <c r="E561" s="4">
        <f t="shared" ca="1" si="8"/>
        <v>30202.692307692312</v>
      </c>
    </row>
    <row r="562" spans="1:5" hidden="1" x14ac:dyDescent="0.25">
      <c r="A562">
        <v>13</v>
      </c>
      <c r="B562">
        <v>38</v>
      </c>
      <c r="C562" t="s">
        <v>12</v>
      </c>
      <c r="D562" t="s">
        <v>38</v>
      </c>
      <c r="E562" s="4">
        <f t="shared" ca="1" si="8"/>
        <v>114373.15018315018</v>
      </c>
    </row>
    <row r="563" spans="1:5" hidden="1" x14ac:dyDescent="0.25">
      <c r="A563">
        <v>13</v>
      </c>
      <c r="B563">
        <v>39</v>
      </c>
      <c r="C563" t="s">
        <v>12</v>
      </c>
      <c r="D563" t="s">
        <v>39</v>
      </c>
      <c r="E563" s="4">
        <f t="shared" ca="1" si="8"/>
        <v>95692.450549450587</v>
      </c>
    </row>
    <row r="564" spans="1:5" hidden="1" x14ac:dyDescent="0.25">
      <c r="A564">
        <v>13</v>
      </c>
      <c r="B564">
        <v>40</v>
      </c>
      <c r="C564" t="s">
        <v>12</v>
      </c>
      <c r="D564" t="s">
        <v>40</v>
      </c>
      <c r="E564" s="4">
        <f t="shared" ca="1" si="8"/>
        <v>43870.800366300391</v>
      </c>
    </row>
    <row r="565" spans="1:5" hidden="1" x14ac:dyDescent="0.25">
      <c r="A565">
        <v>14</v>
      </c>
      <c r="B565">
        <v>1</v>
      </c>
      <c r="C565" t="s">
        <v>13</v>
      </c>
      <c r="D565" t="s">
        <v>0</v>
      </c>
      <c r="E565" s="4">
        <f t="shared" ca="1" si="8"/>
        <v>152668.46153846156</v>
      </c>
    </row>
    <row r="566" spans="1:5" hidden="1" x14ac:dyDescent="0.25">
      <c r="A566">
        <v>14</v>
      </c>
      <c r="B566">
        <v>2</v>
      </c>
      <c r="C566" t="s">
        <v>13</v>
      </c>
      <c r="D566" t="s">
        <v>1</v>
      </c>
      <c r="E566" s="4">
        <f t="shared" ca="1" si="8"/>
        <v>143056.84615384619</v>
      </c>
    </row>
    <row r="567" spans="1:5" hidden="1" x14ac:dyDescent="0.25">
      <c r="A567">
        <v>14</v>
      </c>
      <c r="B567">
        <v>3</v>
      </c>
      <c r="C567" t="s">
        <v>13</v>
      </c>
      <c r="D567" t="s">
        <v>2</v>
      </c>
      <c r="E567" s="4">
        <f t="shared" ca="1" si="8"/>
        <v>146091.07692307688</v>
      </c>
    </row>
    <row r="568" spans="1:5" hidden="1" x14ac:dyDescent="0.25">
      <c r="A568">
        <v>14</v>
      </c>
      <c r="B568">
        <v>4</v>
      </c>
      <c r="C568" t="s">
        <v>13</v>
      </c>
      <c r="D568" t="s">
        <v>3</v>
      </c>
      <c r="E568" s="4">
        <f t="shared" ca="1" si="8"/>
        <v>135197.99999999997</v>
      </c>
    </row>
    <row r="569" spans="1:5" hidden="1" x14ac:dyDescent="0.25">
      <c r="A569">
        <v>14</v>
      </c>
      <c r="B569">
        <v>5</v>
      </c>
      <c r="C569" t="s">
        <v>13</v>
      </c>
      <c r="D569" t="s">
        <v>4</v>
      </c>
      <c r="E569" s="4">
        <f t="shared" ca="1" si="8"/>
        <v>166998.07692307688</v>
      </c>
    </row>
    <row r="570" spans="1:5" hidden="1" x14ac:dyDescent="0.25">
      <c r="A570">
        <v>14</v>
      </c>
      <c r="B570">
        <v>6</v>
      </c>
      <c r="C570" t="s">
        <v>13</v>
      </c>
      <c r="D570" t="s">
        <v>5</v>
      </c>
      <c r="E570" s="4">
        <f t="shared" ca="1" si="8"/>
        <v>232787.38827838836</v>
      </c>
    </row>
    <row r="571" spans="1:5" hidden="1" x14ac:dyDescent="0.25">
      <c r="A571">
        <v>14</v>
      </c>
      <c r="B571">
        <v>7</v>
      </c>
      <c r="C571" t="s">
        <v>13</v>
      </c>
      <c r="D571" t="s">
        <v>6</v>
      </c>
      <c r="E571" s="4">
        <f t="shared" ca="1" si="8"/>
        <v>166333.69230769228</v>
      </c>
    </row>
    <row r="572" spans="1:5" hidden="1" x14ac:dyDescent="0.25">
      <c r="A572">
        <v>14</v>
      </c>
      <c r="B572">
        <v>8</v>
      </c>
      <c r="C572" t="s">
        <v>13</v>
      </c>
      <c r="D572" t="s">
        <v>7</v>
      </c>
      <c r="E572" s="4">
        <f t="shared" ca="1" si="8"/>
        <v>223931.46153846139</v>
      </c>
    </row>
    <row r="573" spans="1:5" hidden="1" x14ac:dyDescent="0.25">
      <c r="A573">
        <v>14</v>
      </c>
      <c r="B573">
        <v>9</v>
      </c>
      <c r="C573" t="s">
        <v>13</v>
      </c>
      <c r="D573" t="s">
        <v>148</v>
      </c>
      <c r="E573" s="4">
        <f t="shared" ca="1" si="8"/>
        <v>674264.23717948736</v>
      </c>
    </row>
    <row r="574" spans="1:5" hidden="1" x14ac:dyDescent="0.25">
      <c r="A574">
        <v>14</v>
      </c>
      <c r="B574">
        <v>10</v>
      </c>
      <c r="C574" t="s">
        <v>13</v>
      </c>
      <c r="D574" t="s">
        <v>9</v>
      </c>
      <c r="E574" s="4">
        <f t="shared" ca="1" si="8"/>
        <v>198640.5384615385</v>
      </c>
    </row>
    <row r="575" spans="1:5" hidden="1" x14ac:dyDescent="0.25">
      <c r="A575">
        <v>14</v>
      </c>
      <c r="B575">
        <v>11</v>
      </c>
      <c r="C575" t="s">
        <v>13</v>
      </c>
      <c r="D575" t="s">
        <v>10</v>
      </c>
      <c r="E575" s="4">
        <f t="shared" ca="1" si="8"/>
        <v>201404.61538461538</v>
      </c>
    </row>
    <row r="576" spans="1:5" hidden="1" x14ac:dyDescent="0.25">
      <c r="A576">
        <v>14</v>
      </c>
      <c r="B576">
        <v>12</v>
      </c>
      <c r="C576" t="s">
        <v>13</v>
      </c>
      <c r="D576" t="s">
        <v>11</v>
      </c>
      <c r="E576" s="4">
        <f t="shared" ca="1" si="8"/>
        <v>146130.69230769228</v>
      </c>
    </row>
    <row r="577" spans="1:5" hidden="1" x14ac:dyDescent="0.25">
      <c r="A577">
        <v>14</v>
      </c>
      <c r="B577">
        <v>13</v>
      </c>
      <c r="C577" t="s">
        <v>13</v>
      </c>
      <c r="D577" t="s">
        <v>12</v>
      </c>
      <c r="E577" s="4">
        <f t="shared" ca="1" si="8"/>
        <v>127819.15384615387</v>
      </c>
    </row>
    <row r="578" spans="1:5" hidden="1" x14ac:dyDescent="0.25">
      <c r="A578">
        <v>14</v>
      </c>
      <c r="B578">
        <v>14</v>
      </c>
      <c r="C578" t="s">
        <v>13</v>
      </c>
      <c r="D578" t="s">
        <v>13</v>
      </c>
      <c r="E578" s="4">
        <f t="shared" ca="1" si="8"/>
        <v>0</v>
      </c>
    </row>
    <row r="579" spans="1:5" hidden="1" x14ac:dyDescent="0.25">
      <c r="A579">
        <v>14</v>
      </c>
      <c r="B579">
        <v>15</v>
      </c>
      <c r="C579" t="s">
        <v>13</v>
      </c>
      <c r="D579" t="s">
        <v>14</v>
      </c>
      <c r="E579" s="4">
        <f t="shared" ca="1" si="8"/>
        <v>396459.0769230774</v>
      </c>
    </row>
    <row r="580" spans="1:5" hidden="1" x14ac:dyDescent="0.25">
      <c r="A580">
        <v>14</v>
      </c>
      <c r="B580">
        <v>16</v>
      </c>
      <c r="C580" t="s">
        <v>13</v>
      </c>
      <c r="D580" t="s">
        <v>15</v>
      </c>
      <c r="E580" s="4">
        <f t="shared" ca="1" si="8"/>
        <v>634672.3076923074</v>
      </c>
    </row>
    <row r="581" spans="1:5" hidden="1" x14ac:dyDescent="0.25">
      <c r="A581">
        <v>14</v>
      </c>
      <c r="B581">
        <v>17</v>
      </c>
      <c r="C581" t="s">
        <v>13</v>
      </c>
      <c r="D581" t="s">
        <v>16</v>
      </c>
      <c r="E581" s="4">
        <f t="shared" ca="1" si="8"/>
        <v>279556.15384615341</v>
      </c>
    </row>
    <row r="582" spans="1:5" hidden="1" x14ac:dyDescent="0.25">
      <c r="A582">
        <v>14</v>
      </c>
      <c r="B582">
        <v>18</v>
      </c>
      <c r="C582" t="s">
        <v>13</v>
      </c>
      <c r="D582" t="s">
        <v>17</v>
      </c>
      <c r="E582" s="4">
        <f t="shared" ca="1" si="8"/>
        <v>156726.99999999997</v>
      </c>
    </row>
    <row r="583" spans="1:5" hidden="1" x14ac:dyDescent="0.25">
      <c r="A583">
        <v>14</v>
      </c>
      <c r="B583">
        <v>19</v>
      </c>
      <c r="C583" t="s">
        <v>13</v>
      </c>
      <c r="D583" t="s">
        <v>18</v>
      </c>
      <c r="E583" s="4">
        <f t="shared" ca="1" si="8"/>
        <v>195445.99999999997</v>
      </c>
    </row>
    <row r="584" spans="1:5" hidden="1" x14ac:dyDescent="0.25">
      <c r="A584">
        <v>14</v>
      </c>
      <c r="B584">
        <v>20</v>
      </c>
      <c r="C584" t="s">
        <v>13</v>
      </c>
      <c r="D584" t="s">
        <v>19</v>
      </c>
      <c r="E584" s="4">
        <f t="shared" ca="1" si="8"/>
        <v>167261.28205128206</v>
      </c>
    </row>
    <row r="585" spans="1:5" hidden="1" x14ac:dyDescent="0.25">
      <c r="A585">
        <v>14</v>
      </c>
      <c r="B585">
        <v>21</v>
      </c>
      <c r="C585" t="s">
        <v>13</v>
      </c>
      <c r="D585" t="s">
        <v>20</v>
      </c>
      <c r="E585" s="4">
        <f t="shared" ca="1" si="8"/>
        <v>211412.94871794837</v>
      </c>
    </row>
    <row r="586" spans="1:5" hidden="1" x14ac:dyDescent="0.25">
      <c r="A586">
        <v>14</v>
      </c>
      <c r="B586">
        <v>22</v>
      </c>
      <c r="C586" t="s">
        <v>13</v>
      </c>
      <c r="D586" t="s">
        <v>21</v>
      </c>
      <c r="E586" s="4">
        <f t="shared" ca="1" si="8"/>
        <v>230539.94871794837</v>
      </c>
    </row>
    <row r="587" spans="1:5" hidden="1" x14ac:dyDescent="0.25">
      <c r="A587">
        <v>14</v>
      </c>
      <c r="B587">
        <v>23</v>
      </c>
      <c r="C587" t="s">
        <v>13</v>
      </c>
      <c r="D587" t="s">
        <v>22</v>
      </c>
      <c r="E587" s="4">
        <f t="shared" ca="1" si="8"/>
        <v>214276.28205128238</v>
      </c>
    </row>
    <row r="588" spans="1:5" hidden="1" x14ac:dyDescent="0.25">
      <c r="A588">
        <v>14</v>
      </c>
      <c r="B588">
        <v>24</v>
      </c>
      <c r="C588" t="s">
        <v>13</v>
      </c>
      <c r="D588" t="s">
        <v>23</v>
      </c>
      <c r="E588" s="4">
        <f t="shared" ca="1" si="8"/>
        <v>171748.28205128206</v>
      </c>
    </row>
    <row r="589" spans="1:5" hidden="1" x14ac:dyDescent="0.25">
      <c r="A589">
        <v>14</v>
      </c>
      <c r="B589">
        <v>25</v>
      </c>
      <c r="C589" t="s">
        <v>13</v>
      </c>
      <c r="D589" t="s">
        <v>24</v>
      </c>
      <c r="E589" s="4">
        <f t="shared" ca="1" si="8"/>
        <v>164695.94871794869</v>
      </c>
    </row>
    <row r="590" spans="1:5" hidden="1" x14ac:dyDescent="0.25">
      <c r="A590">
        <v>14</v>
      </c>
      <c r="B590">
        <v>26</v>
      </c>
      <c r="C590" t="s">
        <v>13</v>
      </c>
      <c r="D590" t="s">
        <v>25</v>
      </c>
      <c r="E590" s="4">
        <f t="shared" ca="1" si="8"/>
        <v>150769.61538461538</v>
      </c>
    </row>
    <row r="591" spans="1:5" hidden="1" x14ac:dyDescent="0.25">
      <c r="A591">
        <v>14</v>
      </c>
      <c r="B591">
        <v>27</v>
      </c>
      <c r="C591" t="s">
        <v>13</v>
      </c>
      <c r="D591" t="s">
        <v>145</v>
      </c>
      <c r="E591" s="4">
        <f t="shared" ca="1" si="8"/>
        <v>520702.71538461535</v>
      </c>
    </row>
    <row r="592" spans="1:5" hidden="1" x14ac:dyDescent="0.25">
      <c r="A592">
        <v>14</v>
      </c>
      <c r="B592">
        <v>28</v>
      </c>
      <c r="C592" t="s">
        <v>13</v>
      </c>
      <c r="D592" t="s">
        <v>147</v>
      </c>
      <c r="E592" s="4">
        <f t="shared" ca="1" si="8"/>
        <v>465481.0153846154</v>
      </c>
    </row>
    <row r="593" spans="1:5" hidden="1" x14ac:dyDescent="0.25">
      <c r="A593">
        <v>14</v>
      </c>
      <c r="B593">
        <v>29</v>
      </c>
      <c r="C593" t="s">
        <v>13</v>
      </c>
      <c r="D593" t="s">
        <v>146</v>
      </c>
      <c r="E593" s="4">
        <f t="shared" ca="1" si="8"/>
        <v>333630.71538461535</v>
      </c>
    </row>
    <row r="594" spans="1:5" hidden="1" x14ac:dyDescent="0.25">
      <c r="A594">
        <v>14</v>
      </c>
      <c r="B594">
        <v>30</v>
      </c>
      <c r="C594" t="s">
        <v>13</v>
      </c>
      <c r="D594" t="s">
        <v>30</v>
      </c>
      <c r="E594" s="4">
        <f t="shared" ca="1" si="8"/>
        <v>128382.30769230767</v>
      </c>
    </row>
    <row r="595" spans="1:5" hidden="1" x14ac:dyDescent="0.25">
      <c r="A595">
        <v>14</v>
      </c>
      <c r="B595">
        <v>31</v>
      </c>
      <c r="C595" t="s">
        <v>13</v>
      </c>
      <c r="D595" t="s">
        <v>31</v>
      </c>
      <c r="E595" s="4">
        <f t="shared" ca="1" si="8"/>
        <v>153929.11538461538</v>
      </c>
    </row>
    <row r="596" spans="1:5" hidden="1" x14ac:dyDescent="0.25">
      <c r="A596">
        <v>14</v>
      </c>
      <c r="B596">
        <v>32</v>
      </c>
      <c r="C596" t="s">
        <v>13</v>
      </c>
      <c r="D596" t="s">
        <v>32</v>
      </c>
      <c r="E596" s="4">
        <f t="shared" ca="1" si="8"/>
        <v>203639.33846153849</v>
      </c>
    </row>
    <row r="597" spans="1:5" hidden="1" x14ac:dyDescent="0.25">
      <c r="A597">
        <v>14</v>
      </c>
      <c r="B597">
        <v>33</v>
      </c>
      <c r="C597" t="s">
        <v>13</v>
      </c>
      <c r="D597" t="s">
        <v>33</v>
      </c>
      <c r="E597" s="4">
        <f t="shared" ca="1" si="8"/>
        <v>371201.00427350437</v>
      </c>
    </row>
    <row r="598" spans="1:5" hidden="1" x14ac:dyDescent="0.25">
      <c r="A598">
        <v>14</v>
      </c>
      <c r="B598">
        <v>34</v>
      </c>
      <c r="C598" t="s">
        <v>13</v>
      </c>
      <c r="D598" t="s">
        <v>34</v>
      </c>
      <c r="E598" s="4">
        <f t="shared" ca="1" si="8"/>
        <v>119611.15384615387</v>
      </c>
    </row>
    <row r="599" spans="1:5" hidden="1" x14ac:dyDescent="0.25">
      <c r="A599">
        <v>14</v>
      </c>
      <c r="B599">
        <v>35</v>
      </c>
      <c r="C599" t="s">
        <v>13</v>
      </c>
      <c r="D599" t="s">
        <v>35</v>
      </c>
      <c r="E599" s="4">
        <f t="shared" ca="1" si="8"/>
        <v>195457.5384615385</v>
      </c>
    </row>
    <row r="600" spans="1:5" hidden="1" x14ac:dyDescent="0.25">
      <c r="A600">
        <v>14</v>
      </c>
      <c r="B600">
        <v>36</v>
      </c>
      <c r="C600" t="s">
        <v>13</v>
      </c>
      <c r="D600" t="s">
        <v>36</v>
      </c>
      <c r="E600" s="4">
        <f t="shared" ca="1" si="8"/>
        <v>190273.04212454206</v>
      </c>
    </row>
    <row r="601" spans="1:5" hidden="1" x14ac:dyDescent="0.25">
      <c r="A601">
        <v>14</v>
      </c>
      <c r="B601">
        <v>37</v>
      </c>
      <c r="C601" t="s">
        <v>13</v>
      </c>
      <c r="D601" t="s">
        <v>37</v>
      </c>
      <c r="E601" s="4">
        <f t="shared" ca="1" si="8"/>
        <v>111250</v>
      </c>
    </row>
    <row r="602" spans="1:5" hidden="1" x14ac:dyDescent="0.25">
      <c r="A602">
        <v>14</v>
      </c>
      <c r="B602">
        <v>38</v>
      </c>
      <c r="C602" t="s">
        <v>13</v>
      </c>
      <c r="D602" t="s">
        <v>38</v>
      </c>
      <c r="E602" s="4">
        <f t="shared" ca="1" si="8"/>
        <v>195420.45787545788</v>
      </c>
    </row>
    <row r="603" spans="1:5" hidden="1" x14ac:dyDescent="0.25">
      <c r="A603">
        <v>14</v>
      </c>
      <c r="B603">
        <v>39</v>
      </c>
      <c r="C603" t="s">
        <v>13</v>
      </c>
      <c r="D603" t="s">
        <v>39</v>
      </c>
      <c r="E603" s="4">
        <f t="shared" ca="1" si="8"/>
        <v>176739.75824175827</v>
      </c>
    </row>
    <row r="604" spans="1:5" hidden="1" x14ac:dyDescent="0.25">
      <c r="A604">
        <v>14</v>
      </c>
      <c r="B604">
        <v>40</v>
      </c>
      <c r="C604" t="s">
        <v>13</v>
      </c>
      <c r="D604" t="s">
        <v>40</v>
      </c>
      <c r="E604" s="4">
        <f t="shared" ca="1" si="8"/>
        <v>124918.10805860808</v>
      </c>
    </row>
    <row r="605" spans="1:5" hidden="1" x14ac:dyDescent="0.25">
      <c r="A605">
        <v>15</v>
      </c>
      <c r="B605">
        <v>1</v>
      </c>
      <c r="C605" t="s">
        <v>14</v>
      </c>
      <c r="D605" t="s">
        <v>0</v>
      </c>
      <c r="E605" s="4">
        <f t="shared" ca="1" si="8"/>
        <v>343957.76923076931</v>
      </c>
    </row>
    <row r="606" spans="1:5" hidden="1" x14ac:dyDescent="0.25">
      <c r="A606">
        <v>15</v>
      </c>
      <c r="B606">
        <v>2</v>
      </c>
      <c r="C606" t="s">
        <v>14</v>
      </c>
      <c r="D606" t="s">
        <v>1</v>
      </c>
      <c r="E606" s="4">
        <f t="shared" ca="1" si="8"/>
        <v>334346.15384615393</v>
      </c>
    </row>
    <row r="607" spans="1:5" hidden="1" x14ac:dyDescent="0.25">
      <c r="A607">
        <v>15</v>
      </c>
      <c r="B607">
        <v>3</v>
      </c>
      <c r="C607" t="s">
        <v>14</v>
      </c>
      <c r="D607" t="s">
        <v>2</v>
      </c>
      <c r="E607" s="4">
        <f t="shared" ca="1" si="8"/>
        <v>337380.38461538462</v>
      </c>
    </row>
    <row r="608" spans="1:5" hidden="1" x14ac:dyDescent="0.25">
      <c r="A608">
        <v>15</v>
      </c>
      <c r="B608">
        <v>4</v>
      </c>
      <c r="C608" t="s">
        <v>14</v>
      </c>
      <c r="D608" t="s">
        <v>3</v>
      </c>
      <c r="E608" s="4">
        <f t="shared" ref="E608:E670" ca="1" si="9">OFFSET($B$2,A608,B608)</f>
        <v>326487.30769230775</v>
      </c>
    </row>
    <row r="609" spans="1:5" hidden="1" x14ac:dyDescent="0.25">
      <c r="A609">
        <v>15</v>
      </c>
      <c r="B609">
        <v>5</v>
      </c>
      <c r="C609" t="s">
        <v>14</v>
      </c>
      <c r="D609" t="s">
        <v>4</v>
      </c>
      <c r="E609" s="4">
        <f t="shared" ca="1" si="9"/>
        <v>358287.38461538462</v>
      </c>
    </row>
    <row r="610" spans="1:5" hidden="1" x14ac:dyDescent="0.25">
      <c r="A610">
        <v>15</v>
      </c>
      <c r="B610">
        <v>6</v>
      </c>
      <c r="C610" t="s">
        <v>14</v>
      </c>
      <c r="D610" t="s">
        <v>5</v>
      </c>
      <c r="E610" s="4">
        <f t="shared" ca="1" si="9"/>
        <v>424076.69597069611</v>
      </c>
    </row>
    <row r="611" spans="1:5" hidden="1" x14ac:dyDescent="0.25">
      <c r="A611">
        <v>15</v>
      </c>
      <c r="B611">
        <v>7</v>
      </c>
      <c r="C611" t="s">
        <v>14</v>
      </c>
      <c r="D611" t="s">
        <v>6</v>
      </c>
      <c r="E611" s="4">
        <f t="shared" ca="1" si="9"/>
        <v>357623</v>
      </c>
    </row>
    <row r="612" spans="1:5" hidden="1" x14ac:dyDescent="0.25">
      <c r="A612">
        <v>15</v>
      </c>
      <c r="B612">
        <v>8</v>
      </c>
      <c r="C612" t="s">
        <v>14</v>
      </c>
      <c r="D612" t="s">
        <v>7</v>
      </c>
      <c r="E612" s="4">
        <f t="shared" ca="1" si="9"/>
        <v>415220.76923076913</v>
      </c>
    </row>
    <row r="613" spans="1:5" hidden="1" x14ac:dyDescent="0.25">
      <c r="A613">
        <v>15</v>
      </c>
      <c r="B613">
        <v>9</v>
      </c>
      <c r="C613" t="s">
        <v>14</v>
      </c>
      <c r="D613" t="s">
        <v>148</v>
      </c>
      <c r="E613" s="4">
        <f t="shared" ca="1" si="9"/>
        <v>865553.54487179511</v>
      </c>
    </row>
    <row r="614" spans="1:5" hidden="1" x14ac:dyDescent="0.25">
      <c r="A614">
        <v>15</v>
      </c>
      <c r="B614">
        <v>10</v>
      </c>
      <c r="C614" t="s">
        <v>14</v>
      </c>
      <c r="D614" t="s">
        <v>9</v>
      </c>
      <c r="E614" s="4">
        <f t="shared" ca="1" si="9"/>
        <v>389929.84615384624</v>
      </c>
    </row>
    <row r="615" spans="1:5" hidden="1" x14ac:dyDescent="0.25">
      <c r="A615">
        <v>15</v>
      </c>
      <c r="B615">
        <v>11</v>
      </c>
      <c r="C615" t="s">
        <v>14</v>
      </c>
      <c r="D615" t="s">
        <v>10</v>
      </c>
      <c r="E615" s="4">
        <f t="shared" ca="1" si="9"/>
        <v>392693.92307692312</v>
      </c>
    </row>
    <row r="616" spans="1:5" hidden="1" x14ac:dyDescent="0.25">
      <c r="A616">
        <v>15</v>
      </c>
      <c r="B616">
        <v>12</v>
      </c>
      <c r="C616" t="s">
        <v>14</v>
      </c>
      <c r="D616" t="s">
        <v>11</v>
      </c>
      <c r="E616" s="4">
        <f t="shared" ca="1" si="9"/>
        <v>337420</v>
      </c>
    </row>
    <row r="617" spans="1:5" hidden="1" x14ac:dyDescent="0.25">
      <c r="A617">
        <v>15</v>
      </c>
      <c r="B617">
        <v>13</v>
      </c>
      <c r="C617" t="s">
        <v>14</v>
      </c>
      <c r="D617" t="s">
        <v>12</v>
      </c>
      <c r="E617" s="4">
        <f t="shared" ca="1" si="9"/>
        <v>319108.46153846162</v>
      </c>
    </row>
    <row r="618" spans="1:5" hidden="1" x14ac:dyDescent="0.25">
      <c r="A618">
        <v>15</v>
      </c>
      <c r="B618">
        <v>14</v>
      </c>
      <c r="C618" t="s">
        <v>14</v>
      </c>
      <c r="D618" t="s">
        <v>13</v>
      </c>
      <c r="E618" s="4">
        <f t="shared" ca="1" si="9"/>
        <v>465572.69230769214</v>
      </c>
    </row>
    <row r="619" spans="1:5" hidden="1" x14ac:dyDescent="0.25">
      <c r="A619">
        <v>15</v>
      </c>
      <c r="B619">
        <v>15</v>
      </c>
      <c r="C619" t="s">
        <v>14</v>
      </c>
      <c r="D619" t="s">
        <v>14</v>
      </c>
      <c r="E619" s="4">
        <f t="shared" ca="1" si="9"/>
        <v>0</v>
      </c>
    </row>
    <row r="620" spans="1:5" hidden="1" x14ac:dyDescent="0.25">
      <c r="A620">
        <v>15</v>
      </c>
      <c r="B620">
        <v>16</v>
      </c>
      <c r="C620" t="s">
        <v>14</v>
      </c>
      <c r="D620" t="s">
        <v>15</v>
      </c>
      <c r="E620" s="4">
        <f t="shared" ca="1" si="9"/>
        <v>825961.61538461514</v>
      </c>
    </row>
    <row r="621" spans="1:5" hidden="1" x14ac:dyDescent="0.25">
      <c r="A621">
        <v>15</v>
      </c>
      <c r="B621">
        <v>17</v>
      </c>
      <c r="C621" t="s">
        <v>14</v>
      </c>
      <c r="D621" t="s">
        <v>16</v>
      </c>
      <c r="E621" s="4">
        <f t="shared" ca="1" si="9"/>
        <v>470845.46153846115</v>
      </c>
    </row>
    <row r="622" spans="1:5" hidden="1" x14ac:dyDescent="0.25">
      <c r="A622">
        <v>15</v>
      </c>
      <c r="B622">
        <v>18</v>
      </c>
      <c r="C622" t="s">
        <v>14</v>
      </c>
      <c r="D622" t="s">
        <v>17</v>
      </c>
      <c r="E622" s="4">
        <f t="shared" ca="1" si="9"/>
        <v>348016.30769230775</v>
      </c>
    </row>
    <row r="623" spans="1:5" hidden="1" x14ac:dyDescent="0.25">
      <c r="A623">
        <v>15</v>
      </c>
      <c r="B623">
        <v>19</v>
      </c>
      <c r="C623" t="s">
        <v>14</v>
      </c>
      <c r="D623" t="s">
        <v>18</v>
      </c>
      <c r="E623" s="4">
        <f t="shared" ca="1" si="9"/>
        <v>386735.30769230775</v>
      </c>
    </row>
    <row r="624" spans="1:5" hidden="1" x14ac:dyDescent="0.25">
      <c r="A624">
        <v>15</v>
      </c>
      <c r="B624">
        <v>20</v>
      </c>
      <c r="C624" t="s">
        <v>14</v>
      </c>
      <c r="D624" t="s">
        <v>19</v>
      </c>
      <c r="E624" s="4">
        <f t="shared" ca="1" si="9"/>
        <v>358550.58974358981</v>
      </c>
    </row>
    <row r="625" spans="1:5" hidden="1" x14ac:dyDescent="0.25">
      <c r="A625">
        <v>15</v>
      </c>
      <c r="B625">
        <v>21</v>
      </c>
      <c r="C625" t="s">
        <v>14</v>
      </c>
      <c r="D625" t="s">
        <v>20</v>
      </c>
      <c r="E625" s="4">
        <f t="shared" ca="1" si="9"/>
        <v>402702.25641025614</v>
      </c>
    </row>
    <row r="626" spans="1:5" hidden="1" x14ac:dyDescent="0.25">
      <c r="A626">
        <v>15</v>
      </c>
      <c r="B626">
        <v>22</v>
      </c>
      <c r="C626" t="s">
        <v>14</v>
      </c>
      <c r="D626" t="s">
        <v>21</v>
      </c>
      <c r="E626" s="4">
        <f t="shared" ca="1" si="9"/>
        <v>421829.25641025614</v>
      </c>
    </row>
    <row r="627" spans="1:5" hidden="1" x14ac:dyDescent="0.25">
      <c r="A627">
        <v>15</v>
      </c>
      <c r="B627">
        <v>23</v>
      </c>
      <c r="C627" t="s">
        <v>14</v>
      </c>
      <c r="D627" t="s">
        <v>22</v>
      </c>
      <c r="E627" s="4">
        <f t="shared" ca="1" si="9"/>
        <v>405565.5897435901</v>
      </c>
    </row>
    <row r="628" spans="1:5" hidden="1" x14ac:dyDescent="0.25">
      <c r="A628">
        <v>15</v>
      </c>
      <c r="B628">
        <v>24</v>
      </c>
      <c r="C628" t="s">
        <v>14</v>
      </c>
      <c r="D628" t="s">
        <v>23</v>
      </c>
      <c r="E628" s="4">
        <f t="shared" ca="1" si="9"/>
        <v>363037.58974358981</v>
      </c>
    </row>
    <row r="629" spans="1:5" hidden="1" x14ac:dyDescent="0.25">
      <c r="A629">
        <v>15</v>
      </c>
      <c r="B629">
        <v>25</v>
      </c>
      <c r="C629" t="s">
        <v>14</v>
      </c>
      <c r="D629" t="s">
        <v>24</v>
      </c>
      <c r="E629" s="4">
        <f t="shared" ca="1" si="9"/>
        <v>355985.25641025644</v>
      </c>
    </row>
    <row r="630" spans="1:5" hidden="1" x14ac:dyDescent="0.25">
      <c r="A630">
        <v>15</v>
      </c>
      <c r="B630">
        <v>26</v>
      </c>
      <c r="C630" t="s">
        <v>14</v>
      </c>
      <c r="D630" t="s">
        <v>25</v>
      </c>
      <c r="E630" s="4">
        <f t="shared" ca="1" si="9"/>
        <v>342058.92307692312</v>
      </c>
    </row>
    <row r="631" spans="1:5" hidden="1" x14ac:dyDescent="0.25">
      <c r="A631">
        <v>15</v>
      </c>
      <c r="B631">
        <v>27</v>
      </c>
      <c r="C631" t="s">
        <v>14</v>
      </c>
      <c r="D631" t="s">
        <v>145</v>
      </c>
      <c r="E631" s="4">
        <f t="shared" ca="1" si="9"/>
        <v>711992.0230769231</v>
      </c>
    </row>
    <row r="632" spans="1:5" hidden="1" x14ac:dyDescent="0.25">
      <c r="A632">
        <v>15</v>
      </c>
      <c r="B632">
        <v>28</v>
      </c>
      <c r="C632" t="s">
        <v>14</v>
      </c>
      <c r="D632" t="s">
        <v>147</v>
      </c>
      <c r="E632" s="4">
        <f t="shared" ca="1" si="9"/>
        <v>656770.32307692314</v>
      </c>
    </row>
    <row r="633" spans="1:5" hidden="1" x14ac:dyDescent="0.25">
      <c r="A633">
        <v>15</v>
      </c>
      <c r="B633">
        <v>29</v>
      </c>
      <c r="C633" t="s">
        <v>14</v>
      </c>
      <c r="D633" t="s">
        <v>146</v>
      </c>
      <c r="E633" s="4">
        <f t="shared" ca="1" si="9"/>
        <v>524920.0230769231</v>
      </c>
    </row>
    <row r="634" spans="1:5" hidden="1" x14ac:dyDescent="0.25">
      <c r="A634">
        <v>15</v>
      </c>
      <c r="B634">
        <v>30</v>
      </c>
      <c r="C634" t="s">
        <v>14</v>
      </c>
      <c r="D634" t="s">
        <v>30</v>
      </c>
      <c r="E634" s="4">
        <f t="shared" ca="1" si="9"/>
        <v>319671.61538461543</v>
      </c>
    </row>
    <row r="635" spans="1:5" hidden="1" x14ac:dyDescent="0.25">
      <c r="A635">
        <v>15</v>
      </c>
      <c r="B635">
        <v>31</v>
      </c>
      <c r="C635" t="s">
        <v>14</v>
      </c>
      <c r="D635" t="s">
        <v>31</v>
      </c>
      <c r="E635" s="4">
        <f t="shared" ca="1" si="9"/>
        <v>345218.42307692312</v>
      </c>
    </row>
    <row r="636" spans="1:5" hidden="1" x14ac:dyDescent="0.25">
      <c r="A636">
        <v>15</v>
      </c>
      <c r="B636">
        <v>32</v>
      </c>
      <c r="C636" t="s">
        <v>14</v>
      </c>
      <c r="D636" t="s">
        <v>32</v>
      </c>
      <c r="E636" s="4">
        <f t="shared" ca="1" si="9"/>
        <v>394928.64615384623</v>
      </c>
    </row>
    <row r="637" spans="1:5" hidden="1" x14ac:dyDescent="0.25">
      <c r="A637">
        <v>15</v>
      </c>
      <c r="B637">
        <v>33</v>
      </c>
      <c r="C637" t="s">
        <v>14</v>
      </c>
      <c r="D637" t="s">
        <v>33</v>
      </c>
      <c r="E637" s="4">
        <f t="shared" ca="1" si="9"/>
        <v>562490.31196581211</v>
      </c>
    </row>
    <row r="638" spans="1:5" hidden="1" x14ac:dyDescent="0.25">
      <c r="A638">
        <v>15</v>
      </c>
      <c r="B638">
        <v>34</v>
      </c>
      <c r="C638" t="s">
        <v>14</v>
      </c>
      <c r="D638" t="s">
        <v>34</v>
      </c>
      <c r="E638" s="4">
        <f t="shared" ca="1" si="9"/>
        <v>310900.46153846162</v>
      </c>
    </row>
    <row r="639" spans="1:5" hidden="1" x14ac:dyDescent="0.25">
      <c r="A639">
        <v>15</v>
      </c>
      <c r="B639">
        <v>35</v>
      </c>
      <c r="C639" t="s">
        <v>14</v>
      </c>
      <c r="D639" t="s">
        <v>35</v>
      </c>
      <c r="E639" s="4">
        <f t="shared" ca="1" si="9"/>
        <v>386746.84615384624</v>
      </c>
    </row>
    <row r="640" spans="1:5" hidden="1" x14ac:dyDescent="0.25">
      <c r="A640">
        <v>15</v>
      </c>
      <c r="B640">
        <v>36</v>
      </c>
      <c r="C640" t="s">
        <v>14</v>
      </c>
      <c r="D640" t="s">
        <v>36</v>
      </c>
      <c r="E640" s="4">
        <f t="shared" ca="1" si="9"/>
        <v>381562.3498168498</v>
      </c>
    </row>
    <row r="641" spans="1:5" hidden="1" x14ac:dyDescent="0.25">
      <c r="A641">
        <v>15</v>
      </c>
      <c r="B641">
        <v>37</v>
      </c>
      <c r="C641" t="s">
        <v>14</v>
      </c>
      <c r="D641" t="s">
        <v>37</v>
      </c>
      <c r="E641" s="4">
        <f t="shared" ca="1" si="9"/>
        <v>302539.30769230775</v>
      </c>
    </row>
    <row r="642" spans="1:5" hidden="1" x14ac:dyDescent="0.25">
      <c r="A642">
        <v>15</v>
      </c>
      <c r="B642">
        <v>38</v>
      </c>
      <c r="C642" t="s">
        <v>14</v>
      </c>
      <c r="D642" t="s">
        <v>38</v>
      </c>
      <c r="E642" s="4">
        <f t="shared" ca="1" si="9"/>
        <v>386709.76556776563</v>
      </c>
    </row>
    <row r="643" spans="1:5" hidden="1" x14ac:dyDescent="0.25">
      <c r="A643">
        <v>15</v>
      </c>
      <c r="B643">
        <v>39</v>
      </c>
      <c r="C643" t="s">
        <v>14</v>
      </c>
      <c r="D643" t="s">
        <v>39</v>
      </c>
      <c r="E643" s="4">
        <f t="shared" ca="1" si="9"/>
        <v>368029.06593406602</v>
      </c>
    </row>
    <row r="644" spans="1:5" hidden="1" x14ac:dyDescent="0.25">
      <c r="A644">
        <v>15</v>
      </c>
      <c r="B644">
        <v>40</v>
      </c>
      <c r="C644" t="s">
        <v>14</v>
      </c>
      <c r="D644" t="s">
        <v>40</v>
      </c>
      <c r="E644" s="4">
        <f t="shared" ca="1" si="9"/>
        <v>316207.41575091582</v>
      </c>
    </row>
    <row r="645" spans="1:5" hidden="1" x14ac:dyDescent="0.25">
      <c r="A645">
        <v>16</v>
      </c>
      <c r="B645">
        <v>1</v>
      </c>
      <c r="C645" t="s">
        <v>15</v>
      </c>
      <c r="D645" t="s">
        <v>0</v>
      </c>
      <c r="E645" s="4">
        <f t="shared" ca="1" si="9"/>
        <v>217992.38461538468</v>
      </c>
    </row>
    <row r="646" spans="1:5" hidden="1" x14ac:dyDescent="0.25">
      <c r="A646">
        <v>16</v>
      </c>
      <c r="B646">
        <v>2</v>
      </c>
      <c r="C646" t="s">
        <v>15</v>
      </c>
      <c r="D646" t="s">
        <v>1</v>
      </c>
      <c r="E646" s="4">
        <f t="shared" ca="1" si="9"/>
        <v>208380.76923076928</v>
      </c>
    </row>
    <row r="647" spans="1:5" hidden="1" x14ac:dyDescent="0.25">
      <c r="A647">
        <v>16</v>
      </c>
      <c r="B647">
        <v>3</v>
      </c>
      <c r="C647" t="s">
        <v>15</v>
      </c>
      <c r="D647" t="s">
        <v>2</v>
      </c>
      <c r="E647" s="4">
        <f t="shared" ca="1" si="9"/>
        <v>211414.99999999997</v>
      </c>
    </row>
    <row r="648" spans="1:5" hidden="1" x14ac:dyDescent="0.25">
      <c r="A648">
        <v>16</v>
      </c>
      <c r="B648">
        <v>4</v>
      </c>
      <c r="C648" t="s">
        <v>15</v>
      </c>
      <c r="D648" t="s">
        <v>3</v>
      </c>
      <c r="E648" s="4">
        <f t="shared" ca="1" si="9"/>
        <v>200521.92307692306</v>
      </c>
    </row>
    <row r="649" spans="1:5" hidden="1" x14ac:dyDescent="0.25">
      <c r="A649">
        <v>16</v>
      </c>
      <c r="B649">
        <v>5</v>
      </c>
      <c r="C649" t="s">
        <v>15</v>
      </c>
      <c r="D649" t="s">
        <v>4</v>
      </c>
      <c r="E649" s="4">
        <f t="shared" ca="1" si="9"/>
        <v>232321.99999999997</v>
      </c>
    </row>
    <row r="650" spans="1:5" hidden="1" x14ac:dyDescent="0.25">
      <c r="A650">
        <v>16</v>
      </c>
      <c r="B650">
        <v>6</v>
      </c>
      <c r="C650" t="s">
        <v>15</v>
      </c>
      <c r="D650" t="s">
        <v>5</v>
      </c>
      <c r="E650" s="4">
        <f t="shared" ca="1" si="9"/>
        <v>298111.31135531148</v>
      </c>
    </row>
    <row r="651" spans="1:5" hidden="1" x14ac:dyDescent="0.25">
      <c r="A651">
        <v>16</v>
      </c>
      <c r="B651">
        <v>7</v>
      </c>
      <c r="C651" t="s">
        <v>15</v>
      </c>
      <c r="D651" t="s">
        <v>6</v>
      </c>
      <c r="E651" s="4">
        <f t="shared" ca="1" si="9"/>
        <v>231657.61538461538</v>
      </c>
    </row>
    <row r="652" spans="1:5" hidden="1" x14ac:dyDescent="0.25">
      <c r="A652">
        <v>16</v>
      </c>
      <c r="B652">
        <v>8</v>
      </c>
      <c r="C652" t="s">
        <v>15</v>
      </c>
      <c r="D652" t="s">
        <v>7</v>
      </c>
      <c r="E652" s="4">
        <f t="shared" ca="1" si="9"/>
        <v>289255.38461538445</v>
      </c>
    </row>
    <row r="653" spans="1:5" hidden="1" x14ac:dyDescent="0.25">
      <c r="A653">
        <v>16</v>
      </c>
      <c r="B653">
        <v>9</v>
      </c>
      <c r="C653" t="s">
        <v>15</v>
      </c>
      <c r="D653" t="s">
        <v>148</v>
      </c>
      <c r="E653" s="4">
        <f t="shared" ca="1" si="9"/>
        <v>739588.16025641048</v>
      </c>
    </row>
    <row r="654" spans="1:5" hidden="1" x14ac:dyDescent="0.25">
      <c r="A654">
        <v>16</v>
      </c>
      <c r="B654">
        <v>10</v>
      </c>
      <c r="C654" t="s">
        <v>15</v>
      </c>
      <c r="D654" t="s">
        <v>9</v>
      </c>
      <c r="E654" s="4">
        <f t="shared" ca="1" si="9"/>
        <v>263964.46153846156</v>
      </c>
    </row>
    <row r="655" spans="1:5" hidden="1" x14ac:dyDescent="0.25">
      <c r="A655">
        <v>16</v>
      </c>
      <c r="B655">
        <v>11</v>
      </c>
      <c r="C655" t="s">
        <v>15</v>
      </c>
      <c r="D655" t="s">
        <v>10</v>
      </c>
      <c r="E655" s="4">
        <f t="shared" ca="1" si="9"/>
        <v>266728.5384615385</v>
      </c>
    </row>
    <row r="656" spans="1:5" hidden="1" x14ac:dyDescent="0.25">
      <c r="A656">
        <v>16</v>
      </c>
      <c r="B656">
        <v>12</v>
      </c>
      <c r="C656" t="s">
        <v>15</v>
      </c>
      <c r="D656" t="s">
        <v>11</v>
      </c>
      <c r="E656" s="4">
        <f t="shared" ca="1" si="9"/>
        <v>211454.61538461538</v>
      </c>
    </row>
    <row r="657" spans="1:5" hidden="1" x14ac:dyDescent="0.25">
      <c r="A657">
        <v>16</v>
      </c>
      <c r="B657">
        <v>13</v>
      </c>
      <c r="C657" t="s">
        <v>15</v>
      </c>
      <c r="D657" t="s">
        <v>12</v>
      </c>
      <c r="E657" s="4">
        <f t="shared" ca="1" si="9"/>
        <v>193143.07692307697</v>
      </c>
    </row>
    <row r="658" spans="1:5" hidden="1" x14ac:dyDescent="0.25">
      <c r="A658">
        <v>16</v>
      </c>
      <c r="B658">
        <v>14</v>
      </c>
      <c r="C658" t="s">
        <v>15</v>
      </c>
      <c r="D658" t="s">
        <v>13</v>
      </c>
      <c r="E658" s="4">
        <f t="shared" ca="1" si="9"/>
        <v>339607.30769230745</v>
      </c>
    </row>
    <row r="659" spans="1:5" hidden="1" x14ac:dyDescent="0.25">
      <c r="A659">
        <v>16</v>
      </c>
      <c r="B659">
        <v>15</v>
      </c>
      <c r="C659" t="s">
        <v>15</v>
      </c>
      <c r="D659" t="s">
        <v>14</v>
      </c>
      <c r="E659" s="4">
        <f t="shared" ca="1" si="9"/>
        <v>461783.00000000047</v>
      </c>
    </row>
    <row r="660" spans="1:5" hidden="1" x14ac:dyDescent="0.25">
      <c r="A660">
        <v>16</v>
      </c>
      <c r="B660">
        <v>16</v>
      </c>
      <c r="C660" t="s">
        <v>15</v>
      </c>
      <c r="D660" t="s">
        <v>15</v>
      </c>
      <c r="E660" s="4">
        <f t="shared" ca="1" si="9"/>
        <v>0</v>
      </c>
    </row>
    <row r="661" spans="1:5" hidden="1" x14ac:dyDescent="0.25">
      <c r="A661">
        <v>16</v>
      </c>
      <c r="B661">
        <v>17</v>
      </c>
      <c r="C661" t="s">
        <v>15</v>
      </c>
      <c r="D661" t="s">
        <v>16</v>
      </c>
      <c r="E661" s="4">
        <f t="shared" ca="1" si="9"/>
        <v>344880.07692307647</v>
      </c>
    </row>
    <row r="662" spans="1:5" hidden="1" x14ac:dyDescent="0.25">
      <c r="A662">
        <v>16</v>
      </c>
      <c r="B662">
        <v>18</v>
      </c>
      <c r="C662" t="s">
        <v>15</v>
      </c>
      <c r="D662" t="s">
        <v>17</v>
      </c>
      <c r="E662" s="4">
        <f t="shared" ca="1" si="9"/>
        <v>222050.92307692306</v>
      </c>
    </row>
    <row r="663" spans="1:5" hidden="1" x14ac:dyDescent="0.25">
      <c r="A663">
        <v>16</v>
      </c>
      <c r="B663">
        <v>19</v>
      </c>
      <c r="C663" t="s">
        <v>15</v>
      </c>
      <c r="D663" t="s">
        <v>18</v>
      </c>
      <c r="E663" s="4">
        <f t="shared" ca="1" si="9"/>
        <v>260769.92307692306</v>
      </c>
    </row>
    <row r="664" spans="1:5" hidden="1" x14ac:dyDescent="0.25">
      <c r="A664">
        <v>16</v>
      </c>
      <c r="B664">
        <v>20</v>
      </c>
      <c r="C664" t="s">
        <v>15</v>
      </c>
      <c r="D664" t="s">
        <v>19</v>
      </c>
      <c r="E664" s="4">
        <f t="shared" ca="1" si="9"/>
        <v>232585.20512820518</v>
      </c>
    </row>
    <row r="665" spans="1:5" hidden="1" x14ac:dyDescent="0.25">
      <c r="A665">
        <v>16</v>
      </c>
      <c r="B665">
        <v>21</v>
      </c>
      <c r="C665" t="s">
        <v>15</v>
      </c>
      <c r="D665" t="s">
        <v>20</v>
      </c>
      <c r="E665" s="4">
        <f t="shared" ca="1" si="9"/>
        <v>276736.87179487146</v>
      </c>
    </row>
    <row r="666" spans="1:5" hidden="1" x14ac:dyDescent="0.25">
      <c r="A666">
        <v>16</v>
      </c>
      <c r="B666">
        <v>22</v>
      </c>
      <c r="C666" t="s">
        <v>15</v>
      </c>
      <c r="D666" t="s">
        <v>21</v>
      </c>
      <c r="E666" s="4">
        <f t="shared" ca="1" si="9"/>
        <v>295863.87179487146</v>
      </c>
    </row>
    <row r="667" spans="1:5" hidden="1" x14ac:dyDescent="0.25">
      <c r="A667">
        <v>16</v>
      </c>
      <c r="B667">
        <v>23</v>
      </c>
      <c r="C667" t="s">
        <v>15</v>
      </c>
      <c r="D667" t="s">
        <v>22</v>
      </c>
      <c r="E667" s="4">
        <f t="shared" ca="1" si="9"/>
        <v>279600.20512820547</v>
      </c>
    </row>
    <row r="668" spans="1:5" hidden="1" x14ac:dyDescent="0.25">
      <c r="A668">
        <v>16</v>
      </c>
      <c r="B668">
        <v>24</v>
      </c>
      <c r="C668" t="s">
        <v>15</v>
      </c>
      <c r="D668" t="s">
        <v>23</v>
      </c>
      <c r="E668" s="4">
        <f t="shared" ca="1" si="9"/>
        <v>237072.20512820518</v>
      </c>
    </row>
    <row r="669" spans="1:5" hidden="1" x14ac:dyDescent="0.25">
      <c r="A669">
        <v>16</v>
      </c>
      <c r="B669">
        <v>25</v>
      </c>
      <c r="C669" t="s">
        <v>15</v>
      </c>
      <c r="D669" t="s">
        <v>24</v>
      </c>
      <c r="E669" s="4">
        <f t="shared" ca="1" si="9"/>
        <v>230019.87179487175</v>
      </c>
    </row>
    <row r="670" spans="1:5" hidden="1" x14ac:dyDescent="0.25">
      <c r="A670">
        <v>16</v>
      </c>
      <c r="B670">
        <v>26</v>
      </c>
      <c r="C670" t="s">
        <v>15</v>
      </c>
      <c r="D670" t="s">
        <v>25</v>
      </c>
      <c r="E670" s="4">
        <f t="shared" ca="1" si="9"/>
        <v>216093.53846153847</v>
      </c>
    </row>
    <row r="671" spans="1:5" hidden="1" x14ac:dyDescent="0.25">
      <c r="A671">
        <v>16</v>
      </c>
      <c r="B671">
        <v>27</v>
      </c>
      <c r="C671" t="s">
        <v>15</v>
      </c>
      <c r="D671" t="s">
        <v>145</v>
      </c>
      <c r="E671" s="4">
        <f t="shared" ref="E671:E732" ca="1" si="10">OFFSET($B$2,A671,B671)</f>
        <v>586026.63846153847</v>
      </c>
    </row>
    <row r="672" spans="1:5" hidden="1" x14ac:dyDescent="0.25">
      <c r="A672">
        <v>16</v>
      </c>
      <c r="B672">
        <v>28</v>
      </c>
      <c r="C672" t="s">
        <v>15</v>
      </c>
      <c r="D672" t="s">
        <v>147</v>
      </c>
      <c r="E672" s="4">
        <f t="shared" ca="1" si="10"/>
        <v>530804.93846153852</v>
      </c>
    </row>
    <row r="673" spans="1:5" hidden="1" x14ac:dyDescent="0.25">
      <c r="A673">
        <v>16</v>
      </c>
      <c r="B673">
        <v>29</v>
      </c>
      <c r="C673" t="s">
        <v>15</v>
      </c>
      <c r="D673" t="s">
        <v>146</v>
      </c>
      <c r="E673" s="4">
        <f t="shared" ca="1" si="10"/>
        <v>398954.63846153847</v>
      </c>
    </row>
    <row r="674" spans="1:5" hidden="1" x14ac:dyDescent="0.25">
      <c r="A674">
        <v>16</v>
      </c>
      <c r="B674">
        <v>30</v>
      </c>
      <c r="C674" t="s">
        <v>15</v>
      </c>
      <c r="D674" t="s">
        <v>30</v>
      </c>
      <c r="E674" s="4">
        <f t="shared" ca="1" si="10"/>
        <v>193706.23076923078</v>
      </c>
    </row>
    <row r="675" spans="1:5" hidden="1" x14ac:dyDescent="0.25">
      <c r="A675">
        <v>16</v>
      </c>
      <c r="B675">
        <v>31</v>
      </c>
      <c r="C675" t="s">
        <v>15</v>
      </c>
      <c r="D675" t="s">
        <v>31</v>
      </c>
      <c r="E675" s="4">
        <f t="shared" ca="1" si="10"/>
        <v>219253.03846153847</v>
      </c>
    </row>
    <row r="676" spans="1:5" hidden="1" x14ac:dyDescent="0.25">
      <c r="A676">
        <v>16</v>
      </c>
      <c r="B676">
        <v>32</v>
      </c>
      <c r="C676" t="s">
        <v>15</v>
      </c>
      <c r="D676" t="s">
        <v>32</v>
      </c>
      <c r="E676" s="4">
        <f t="shared" ca="1" si="10"/>
        <v>268963.26153846155</v>
      </c>
    </row>
    <row r="677" spans="1:5" hidden="1" x14ac:dyDescent="0.25">
      <c r="A677">
        <v>16</v>
      </c>
      <c r="B677">
        <v>33</v>
      </c>
      <c r="C677" t="s">
        <v>15</v>
      </c>
      <c r="D677" t="s">
        <v>33</v>
      </c>
      <c r="E677" s="4">
        <f t="shared" ca="1" si="10"/>
        <v>436524.92735042749</v>
      </c>
    </row>
    <row r="678" spans="1:5" hidden="1" x14ac:dyDescent="0.25">
      <c r="A678">
        <v>16</v>
      </c>
      <c r="B678">
        <v>34</v>
      </c>
      <c r="C678" t="s">
        <v>15</v>
      </c>
      <c r="D678" t="s">
        <v>34</v>
      </c>
      <c r="E678" s="4">
        <f t="shared" ca="1" si="10"/>
        <v>184935.07692307697</v>
      </c>
    </row>
    <row r="679" spans="1:5" hidden="1" x14ac:dyDescent="0.25">
      <c r="A679">
        <v>16</v>
      </c>
      <c r="B679">
        <v>35</v>
      </c>
      <c r="C679" t="s">
        <v>15</v>
      </c>
      <c r="D679" t="s">
        <v>35</v>
      </c>
      <c r="E679" s="4">
        <f t="shared" ca="1" si="10"/>
        <v>260781.46153846156</v>
      </c>
    </row>
    <row r="680" spans="1:5" hidden="1" x14ac:dyDescent="0.25">
      <c r="A680">
        <v>16</v>
      </c>
      <c r="B680">
        <v>36</v>
      </c>
      <c r="C680" t="s">
        <v>15</v>
      </c>
      <c r="D680" t="s">
        <v>36</v>
      </c>
      <c r="E680" s="4">
        <f t="shared" ca="1" si="10"/>
        <v>255596.96520146518</v>
      </c>
    </row>
    <row r="681" spans="1:5" hidden="1" x14ac:dyDescent="0.25">
      <c r="A681">
        <v>16</v>
      </c>
      <c r="B681">
        <v>37</v>
      </c>
      <c r="C681" t="s">
        <v>15</v>
      </c>
      <c r="D681" t="s">
        <v>37</v>
      </c>
      <c r="E681" s="4">
        <f t="shared" ca="1" si="10"/>
        <v>176573.92307692309</v>
      </c>
    </row>
    <row r="682" spans="1:5" hidden="1" x14ac:dyDescent="0.25">
      <c r="A682">
        <v>16</v>
      </c>
      <c r="B682">
        <v>38</v>
      </c>
      <c r="C682" t="s">
        <v>15</v>
      </c>
      <c r="D682" t="s">
        <v>38</v>
      </c>
      <c r="E682" s="4">
        <f t="shared" ca="1" si="10"/>
        <v>260744.38095238095</v>
      </c>
    </row>
    <row r="683" spans="1:5" hidden="1" x14ac:dyDescent="0.25">
      <c r="A683">
        <v>16</v>
      </c>
      <c r="B683">
        <v>39</v>
      </c>
      <c r="C683" t="s">
        <v>15</v>
      </c>
      <c r="D683" t="s">
        <v>39</v>
      </c>
      <c r="E683" s="4">
        <f t="shared" ca="1" si="10"/>
        <v>242063.68131868137</v>
      </c>
    </row>
    <row r="684" spans="1:5" hidden="1" x14ac:dyDescent="0.25">
      <c r="A684">
        <v>16</v>
      </c>
      <c r="B684">
        <v>40</v>
      </c>
      <c r="C684" t="s">
        <v>15</v>
      </c>
      <c r="D684" t="s">
        <v>40</v>
      </c>
      <c r="E684" s="4">
        <f t="shared" ca="1" si="10"/>
        <v>190242.03113553117</v>
      </c>
    </row>
    <row r="685" spans="1:5" hidden="1" x14ac:dyDescent="0.25">
      <c r="A685">
        <v>17</v>
      </c>
      <c r="B685">
        <v>1</v>
      </c>
      <c r="C685" t="s">
        <v>16</v>
      </c>
      <c r="D685" t="s">
        <v>0</v>
      </c>
      <c r="E685" s="4">
        <f t="shared" ca="1" si="10"/>
        <v>577484.61538461549</v>
      </c>
    </row>
    <row r="686" spans="1:5" hidden="1" x14ac:dyDescent="0.25">
      <c r="A686">
        <v>17</v>
      </c>
      <c r="B686">
        <v>2</v>
      </c>
      <c r="C686" t="s">
        <v>16</v>
      </c>
      <c r="D686" t="s">
        <v>1</v>
      </c>
      <c r="E686" s="4">
        <f t="shared" ca="1" si="10"/>
        <v>567873</v>
      </c>
    </row>
    <row r="687" spans="1:5" hidden="1" x14ac:dyDescent="0.25">
      <c r="A687">
        <v>17</v>
      </c>
      <c r="B687">
        <v>3</v>
      </c>
      <c r="C687" t="s">
        <v>16</v>
      </c>
      <c r="D687" t="s">
        <v>2</v>
      </c>
      <c r="E687" s="4">
        <f t="shared" ca="1" si="10"/>
        <v>570907.23076923075</v>
      </c>
    </row>
    <row r="688" spans="1:5" hidden="1" x14ac:dyDescent="0.25">
      <c r="A688">
        <v>17</v>
      </c>
      <c r="B688">
        <v>4</v>
      </c>
      <c r="C688" t="s">
        <v>16</v>
      </c>
      <c r="D688" t="s">
        <v>3</v>
      </c>
      <c r="E688" s="4">
        <f t="shared" ca="1" si="10"/>
        <v>560014.15384615387</v>
      </c>
    </row>
    <row r="689" spans="1:5" hidden="1" x14ac:dyDescent="0.25">
      <c r="A689">
        <v>17</v>
      </c>
      <c r="B689">
        <v>5</v>
      </c>
      <c r="C689" t="s">
        <v>16</v>
      </c>
      <c r="D689" t="s">
        <v>4</v>
      </c>
      <c r="E689" s="4">
        <f t="shared" ca="1" si="10"/>
        <v>591814.23076923075</v>
      </c>
    </row>
    <row r="690" spans="1:5" hidden="1" x14ac:dyDescent="0.25">
      <c r="A690">
        <v>17</v>
      </c>
      <c r="B690">
        <v>6</v>
      </c>
      <c r="C690" t="s">
        <v>16</v>
      </c>
      <c r="D690" t="s">
        <v>5</v>
      </c>
      <c r="E690" s="4">
        <f t="shared" ca="1" si="10"/>
        <v>657603.54212454229</v>
      </c>
    </row>
    <row r="691" spans="1:5" hidden="1" x14ac:dyDescent="0.25">
      <c r="A691">
        <v>17</v>
      </c>
      <c r="B691">
        <v>7</v>
      </c>
      <c r="C691" t="s">
        <v>16</v>
      </c>
      <c r="D691" t="s">
        <v>6</v>
      </c>
      <c r="E691" s="4">
        <f t="shared" ca="1" si="10"/>
        <v>591149.84615384613</v>
      </c>
    </row>
    <row r="692" spans="1:5" hidden="1" x14ac:dyDescent="0.25">
      <c r="A692">
        <v>17</v>
      </c>
      <c r="B692">
        <v>8</v>
      </c>
      <c r="C692" t="s">
        <v>16</v>
      </c>
      <c r="D692" t="s">
        <v>7</v>
      </c>
      <c r="E692" s="4">
        <f t="shared" ca="1" si="10"/>
        <v>648747.61538461526</v>
      </c>
    </row>
    <row r="693" spans="1:5" hidden="1" x14ac:dyDescent="0.25">
      <c r="A693">
        <v>17</v>
      </c>
      <c r="B693">
        <v>9</v>
      </c>
      <c r="C693" t="s">
        <v>16</v>
      </c>
      <c r="D693" t="s">
        <v>148</v>
      </c>
      <c r="E693" s="4">
        <f t="shared" ca="1" si="10"/>
        <v>1099080.3910256412</v>
      </c>
    </row>
    <row r="694" spans="1:5" hidden="1" x14ac:dyDescent="0.25">
      <c r="A694">
        <v>17</v>
      </c>
      <c r="B694">
        <v>10</v>
      </c>
      <c r="C694" t="s">
        <v>16</v>
      </c>
      <c r="D694" t="s">
        <v>9</v>
      </c>
      <c r="E694" s="4">
        <f t="shared" ca="1" si="10"/>
        <v>623456.69230769237</v>
      </c>
    </row>
    <row r="695" spans="1:5" hidden="1" x14ac:dyDescent="0.25">
      <c r="A695">
        <v>17</v>
      </c>
      <c r="B695">
        <v>11</v>
      </c>
      <c r="C695" t="s">
        <v>16</v>
      </c>
      <c r="D695" t="s">
        <v>10</v>
      </c>
      <c r="E695" s="4">
        <f t="shared" ca="1" si="10"/>
        <v>626220.76923076925</v>
      </c>
    </row>
    <row r="696" spans="1:5" hidden="1" x14ac:dyDescent="0.25">
      <c r="A696">
        <v>17</v>
      </c>
      <c r="B696">
        <v>12</v>
      </c>
      <c r="C696" t="s">
        <v>16</v>
      </c>
      <c r="D696" t="s">
        <v>11</v>
      </c>
      <c r="E696" s="4">
        <f t="shared" ca="1" si="10"/>
        <v>570946.84615384613</v>
      </c>
    </row>
    <row r="697" spans="1:5" hidden="1" x14ac:dyDescent="0.25">
      <c r="A697">
        <v>17</v>
      </c>
      <c r="B697">
        <v>13</v>
      </c>
      <c r="C697" t="s">
        <v>16</v>
      </c>
      <c r="D697" t="s">
        <v>12</v>
      </c>
      <c r="E697" s="4">
        <f t="shared" ca="1" si="10"/>
        <v>552635.30769230775</v>
      </c>
    </row>
    <row r="698" spans="1:5" hidden="1" x14ac:dyDescent="0.25">
      <c r="A698">
        <v>17</v>
      </c>
      <c r="B698">
        <v>14</v>
      </c>
      <c r="C698" t="s">
        <v>16</v>
      </c>
      <c r="D698" t="s">
        <v>13</v>
      </c>
      <c r="E698" s="4">
        <f t="shared" ca="1" si="10"/>
        <v>699099.53846153826</v>
      </c>
    </row>
    <row r="699" spans="1:5" hidden="1" x14ac:dyDescent="0.25">
      <c r="A699">
        <v>17</v>
      </c>
      <c r="B699">
        <v>15</v>
      </c>
      <c r="C699" t="s">
        <v>16</v>
      </c>
      <c r="D699" t="s">
        <v>14</v>
      </c>
      <c r="E699" s="4">
        <f t="shared" ca="1" si="10"/>
        <v>821275.23076923122</v>
      </c>
    </row>
    <row r="700" spans="1:5" hidden="1" x14ac:dyDescent="0.25">
      <c r="A700">
        <v>17</v>
      </c>
      <c r="B700">
        <v>16</v>
      </c>
      <c r="C700" t="s">
        <v>16</v>
      </c>
      <c r="D700" t="s">
        <v>15</v>
      </c>
      <c r="E700" s="4">
        <f t="shared" ca="1" si="10"/>
        <v>1059488.4615384613</v>
      </c>
    </row>
    <row r="701" spans="1:5" hidden="1" x14ac:dyDescent="0.25">
      <c r="A701">
        <v>17</v>
      </c>
      <c r="B701">
        <v>17</v>
      </c>
      <c r="C701" t="s">
        <v>16</v>
      </c>
      <c r="D701" t="s">
        <v>16</v>
      </c>
      <c r="E701" s="4">
        <f t="shared" ca="1" si="10"/>
        <v>0</v>
      </c>
    </row>
    <row r="702" spans="1:5" hidden="1" x14ac:dyDescent="0.25">
      <c r="A702">
        <v>17</v>
      </c>
      <c r="B702">
        <v>18</v>
      </c>
      <c r="C702" t="s">
        <v>16</v>
      </c>
      <c r="D702" t="s">
        <v>17</v>
      </c>
      <c r="E702" s="4">
        <f t="shared" ca="1" si="10"/>
        <v>581543.15384615387</v>
      </c>
    </row>
    <row r="703" spans="1:5" hidden="1" x14ac:dyDescent="0.25">
      <c r="A703">
        <v>17</v>
      </c>
      <c r="B703">
        <v>19</v>
      </c>
      <c r="C703" t="s">
        <v>16</v>
      </c>
      <c r="D703" t="s">
        <v>18</v>
      </c>
      <c r="E703" s="4">
        <f t="shared" ca="1" si="10"/>
        <v>620262.15384615387</v>
      </c>
    </row>
    <row r="704" spans="1:5" hidden="1" x14ac:dyDescent="0.25">
      <c r="A704">
        <v>17</v>
      </c>
      <c r="B704">
        <v>20</v>
      </c>
      <c r="C704" t="s">
        <v>16</v>
      </c>
      <c r="D704" t="s">
        <v>19</v>
      </c>
      <c r="E704" s="4">
        <f t="shared" ca="1" si="10"/>
        <v>592077.43589743599</v>
      </c>
    </row>
    <row r="705" spans="1:5" hidden="1" x14ac:dyDescent="0.25">
      <c r="A705">
        <v>17</v>
      </c>
      <c r="B705">
        <v>21</v>
      </c>
      <c r="C705" t="s">
        <v>16</v>
      </c>
      <c r="D705" t="s">
        <v>20</v>
      </c>
      <c r="E705" s="4">
        <f t="shared" ca="1" si="10"/>
        <v>636229.10256410227</v>
      </c>
    </row>
    <row r="706" spans="1:5" hidden="1" x14ac:dyDescent="0.25">
      <c r="A706">
        <v>17</v>
      </c>
      <c r="B706">
        <v>22</v>
      </c>
      <c r="C706" t="s">
        <v>16</v>
      </c>
      <c r="D706" t="s">
        <v>21</v>
      </c>
      <c r="E706" s="4">
        <f t="shared" ca="1" si="10"/>
        <v>655356.10256410227</v>
      </c>
    </row>
    <row r="707" spans="1:5" hidden="1" x14ac:dyDescent="0.25">
      <c r="A707">
        <v>17</v>
      </c>
      <c r="B707">
        <v>23</v>
      </c>
      <c r="C707" t="s">
        <v>16</v>
      </c>
      <c r="D707" t="s">
        <v>22</v>
      </c>
      <c r="E707" s="4">
        <f t="shared" ca="1" si="10"/>
        <v>639092.43589743623</v>
      </c>
    </row>
    <row r="708" spans="1:5" hidden="1" x14ac:dyDescent="0.25">
      <c r="A708">
        <v>17</v>
      </c>
      <c r="B708">
        <v>24</v>
      </c>
      <c r="C708" t="s">
        <v>16</v>
      </c>
      <c r="D708" t="s">
        <v>23</v>
      </c>
      <c r="E708" s="4">
        <f t="shared" ca="1" si="10"/>
        <v>596564.43589743599</v>
      </c>
    </row>
    <row r="709" spans="1:5" hidden="1" x14ac:dyDescent="0.25">
      <c r="A709">
        <v>17</v>
      </c>
      <c r="B709">
        <v>25</v>
      </c>
      <c r="C709" t="s">
        <v>16</v>
      </c>
      <c r="D709" t="s">
        <v>24</v>
      </c>
      <c r="E709" s="4">
        <f t="shared" ca="1" si="10"/>
        <v>589512.1025641025</v>
      </c>
    </row>
    <row r="710" spans="1:5" hidden="1" x14ac:dyDescent="0.25">
      <c r="A710">
        <v>17</v>
      </c>
      <c r="B710">
        <v>26</v>
      </c>
      <c r="C710" t="s">
        <v>16</v>
      </c>
      <c r="D710" t="s">
        <v>25</v>
      </c>
      <c r="E710" s="4">
        <f t="shared" ca="1" si="10"/>
        <v>575585.76923076925</v>
      </c>
    </row>
    <row r="711" spans="1:5" hidden="1" x14ac:dyDescent="0.25">
      <c r="A711">
        <v>17</v>
      </c>
      <c r="B711">
        <v>27</v>
      </c>
      <c r="C711" t="s">
        <v>16</v>
      </c>
      <c r="D711" t="s">
        <v>145</v>
      </c>
      <c r="E711" s="4">
        <f t="shared" ca="1" si="10"/>
        <v>945518.86923076923</v>
      </c>
    </row>
    <row r="712" spans="1:5" hidden="1" x14ac:dyDescent="0.25">
      <c r="A712">
        <v>17</v>
      </c>
      <c r="B712">
        <v>28</v>
      </c>
      <c r="C712" t="s">
        <v>16</v>
      </c>
      <c r="D712" t="s">
        <v>147</v>
      </c>
      <c r="E712" s="4">
        <f t="shared" ca="1" si="10"/>
        <v>890297.16923076927</v>
      </c>
    </row>
    <row r="713" spans="1:5" hidden="1" x14ac:dyDescent="0.25">
      <c r="A713">
        <v>17</v>
      </c>
      <c r="B713">
        <v>29</v>
      </c>
      <c r="C713" t="s">
        <v>16</v>
      </c>
      <c r="D713" t="s">
        <v>146</v>
      </c>
      <c r="E713" s="4">
        <f t="shared" ca="1" si="10"/>
        <v>758446.86923076923</v>
      </c>
    </row>
    <row r="714" spans="1:5" hidden="1" x14ac:dyDescent="0.25">
      <c r="A714">
        <v>17</v>
      </c>
      <c r="B714">
        <v>30</v>
      </c>
      <c r="C714" t="s">
        <v>16</v>
      </c>
      <c r="D714" t="s">
        <v>30</v>
      </c>
      <c r="E714" s="4">
        <f t="shared" ca="1" si="10"/>
        <v>553198.4615384615</v>
      </c>
    </row>
    <row r="715" spans="1:5" hidden="1" x14ac:dyDescent="0.25">
      <c r="A715">
        <v>17</v>
      </c>
      <c r="B715">
        <v>31</v>
      </c>
      <c r="C715" t="s">
        <v>16</v>
      </c>
      <c r="D715" t="s">
        <v>31</v>
      </c>
      <c r="E715" s="4">
        <f t="shared" ca="1" si="10"/>
        <v>578745.26923076925</v>
      </c>
    </row>
    <row r="716" spans="1:5" hidden="1" x14ac:dyDescent="0.25">
      <c r="A716">
        <v>17</v>
      </c>
      <c r="B716">
        <v>32</v>
      </c>
      <c r="C716" t="s">
        <v>16</v>
      </c>
      <c r="D716" t="s">
        <v>32</v>
      </c>
      <c r="E716" s="4">
        <f t="shared" ca="1" si="10"/>
        <v>628455.4923076923</v>
      </c>
    </row>
    <row r="717" spans="1:5" hidden="1" x14ac:dyDescent="0.25">
      <c r="A717">
        <v>17</v>
      </c>
      <c r="B717">
        <v>33</v>
      </c>
      <c r="C717" t="s">
        <v>16</v>
      </c>
      <c r="D717" t="s">
        <v>33</v>
      </c>
      <c r="E717" s="4">
        <f t="shared" ca="1" si="10"/>
        <v>796017.15811965824</v>
      </c>
    </row>
    <row r="718" spans="1:5" hidden="1" x14ac:dyDescent="0.25">
      <c r="A718">
        <v>17</v>
      </c>
      <c r="B718">
        <v>34</v>
      </c>
      <c r="C718" t="s">
        <v>16</v>
      </c>
      <c r="D718" t="s">
        <v>34</v>
      </c>
      <c r="E718" s="4">
        <f t="shared" ca="1" si="10"/>
        <v>544427.30769230775</v>
      </c>
    </row>
    <row r="719" spans="1:5" hidden="1" x14ac:dyDescent="0.25">
      <c r="A719">
        <v>17</v>
      </c>
      <c r="B719">
        <v>35</v>
      </c>
      <c r="C719" t="s">
        <v>16</v>
      </c>
      <c r="D719" t="s">
        <v>35</v>
      </c>
      <c r="E719" s="4">
        <f t="shared" ca="1" si="10"/>
        <v>620273.69230769237</v>
      </c>
    </row>
    <row r="720" spans="1:5" hidden="1" x14ac:dyDescent="0.25">
      <c r="A720">
        <v>17</v>
      </c>
      <c r="B720">
        <v>36</v>
      </c>
      <c r="C720" t="s">
        <v>16</v>
      </c>
      <c r="D720" t="s">
        <v>36</v>
      </c>
      <c r="E720" s="4">
        <f t="shared" ca="1" si="10"/>
        <v>615089.19597069593</v>
      </c>
    </row>
    <row r="721" spans="1:5" hidden="1" x14ac:dyDescent="0.25">
      <c r="A721">
        <v>17</v>
      </c>
      <c r="B721">
        <v>37</v>
      </c>
      <c r="C721" t="s">
        <v>16</v>
      </c>
      <c r="D721" t="s">
        <v>37</v>
      </c>
      <c r="E721" s="4">
        <f t="shared" ca="1" si="10"/>
        <v>536066.15384615387</v>
      </c>
    </row>
    <row r="722" spans="1:5" hidden="1" x14ac:dyDescent="0.25">
      <c r="A722">
        <v>17</v>
      </c>
      <c r="B722">
        <v>38</v>
      </c>
      <c r="C722" t="s">
        <v>16</v>
      </c>
      <c r="D722" t="s">
        <v>38</v>
      </c>
      <c r="E722" s="4">
        <f t="shared" ca="1" si="10"/>
        <v>620236.6117216117</v>
      </c>
    </row>
    <row r="723" spans="1:5" hidden="1" x14ac:dyDescent="0.25">
      <c r="A723">
        <v>17</v>
      </c>
      <c r="B723">
        <v>39</v>
      </c>
      <c r="C723" t="s">
        <v>16</v>
      </c>
      <c r="D723" t="s">
        <v>39</v>
      </c>
      <c r="E723" s="4">
        <f t="shared" ca="1" si="10"/>
        <v>601555.91208791221</v>
      </c>
    </row>
    <row r="724" spans="1:5" hidden="1" x14ac:dyDescent="0.25">
      <c r="A724">
        <v>17</v>
      </c>
      <c r="B724">
        <v>40</v>
      </c>
      <c r="C724" t="s">
        <v>16</v>
      </c>
      <c r="D724" t="s">
        <v>40</v>
      </c>
      <c r="E724" s="4">
        <f t="shared" ca="1" si="10"/>
        <v>549734.26190476189</v>
      </c>
    </row>
    <row r="725" spans="1:5" hidden="1" x14ac:dyDescent="0.25">
      <c r="A725">
        <v>18</v>
      </c>
      <c r="B725">
        <v>1</v>
      </c>
      <c r="C725" t="s">
        <v>17</v>
      </c>
      <c r="D725" t="s">
        <v>0</v>
      </c>
      <c r="E725" s="4">
        <f t="shared" ca="1" si="10"/>
        <v>104145.46153846159</v>
      </c>
    </row>
    <row r="726" spans="1:5" hidden="1" x14ac:dyDescent="0.25">
      <c r="A726">
        <v>18</v>
      </c>
      <c r="B726">
        <v>2</v>
      </c>
      <c r="C726" t="s">
        <v>17</v>
      </c>
      <c r="D726" t="s">
        <v>1</v>
      </c>
      <c r="E726" s="4">
        <f t="shared" ca="1" si="10"/>
        <v>94533.846153846185</v>
      </c>
    </row>
    <row r="727" spans="1:5" hidden="1" x14ac:dyDescent="0.25">
      <c r="A727">
        <v>18</v>
      </c>
      <c r="B727">
        <v>3</v>
      </c>
      <c r="C727" t="s">
        <v>17</v>
      </c>
      <c r="D727" t="s">
        <v>2</v>
      </c>
      <c r="E727" s="4">
        <f t="shared" ca="1" si="10"/>
        <v>97568.076923076878</v>
      </c>
    </row>
    <row r="728" spans="1:5" hidden="1" x14ac:dyDescent="0.25">
      <c r="A728">
        <v>18</v>
      </c>
      <c r="B728">
        <v>4</v>
      </c>
      <c r="C728" t="s">
        <v>17</v>
      </c>
      <c r="D728" t="s">
        <v>3</v>
      </c>
      <c r="E728" s="4">
        <f t="shared" ca="1" si="10"/>
        <v>86674.999999999985</v>
      </c>
    </row>
    <row r="729" spans="1:5" hidden="1" x14ac:dyDescent="0.25">
      <c r="A729">
        <v>18</v>
      </c>
      <c r="B729">
        <v>5</v>
      </c>
      <c r="C729" t="s">
        <v>17</v>
      </c>
      <c r="D729" t="s">
        <v>4</v>
      </c>
      <c r="E729" s="4">
        <f t="shared" ca="1" si="10"/>
        <v>118475.07692307688</v>
      </c>
    </row>
    <row r="730" spans="1:5" hidden="1" x14ac:dyDescent="0.25">
      <c r="A730">
        <v>18</v>
      </c>
      <c r="B730">
        <v>6</v>
      </c>
      <c r="C730" t="s">
        <v>17</v>
      </c>
      <c r="D730" t="s">
        <v>5</v>
      </c>
      <c r="E730" s="4">
        <f t="shared" ca="1" si="10"/>
        <v>184264.38827838839</v>
      </c>
    </row>
    <row r="731" spans="1:5" hidden="1" x14ac:dyDescent="0.25">
      <c r="A731">
        <v>18</v>
      </c>
      <c r="B731">
        <v>7</v>
      </c>
      <c r="C731" t="s">
        <v>17</v>
      </c>
      <c r="D731" t="s">
        <v>6</v>
      </c>
      <c r="E731" s="4">
        <f t="shared" ca="1" si="10"/>
        <v>117810.69230769228</v>
      </c>
    </row>
    <row r="732" spans="1:5" hidden="1" x14ac:dyDescent="0.25">
      <c r="A732">
        <v>18</v>
      </c>
      <c r="B732">
        <v>8</v>
      </c>
      <c r="C732" t="s">
        <v>17</v>
      </c>
      <c r="D732" t="s">
        <v>7</v>
      </c>
      <c r="E732" s="4">
        <f t="shared" ca="1" si="10"/>
        <v>175408.46153846139</v>
      </c>
    </row>
    <row r="733" spans="1:5" hidden="1" x14ac:dyDescent="0.25">
      <c r="A733">
        <v>18</v>
      </c>
      <c r="B733">
        <v>9</v>
      </c>
      <c r="C733" t="s">
        <v>17</v>
      </c>
      <c r="D733" t="s">
        <v>148</v>
      </c>
      <c r="E733" s="4">
        <f t="shared" ref="E733:E794" ca="1" si="11">OFFSET($B$2,A733,B733)</f>
        <v>625741.23717948736</v>
      </c>
    </row>
    <row r="734" spans="1:5" hidden="1" x14ac:dyDescent="0.25">
      <c r="A734">
        <v>18</v>
      </c>
      <c r="B734">
        <v>10</v>
      </c>
      <c r="C734" t="s">
        <v>17</v>
      </c>
      <c r="D734" t="s">
        <v>9</v>
      </c>
      <c r="E734" s="4">
        <f t="shared" ca="1" si="11"/>
        <v>150117.5384615385</v>
      </c>
    </row>
    <row r="735" spans="1:5" hidden="1" x14ac:dyDescent="0.25">
      <c r="A735">
        <v>18</v>
      </c>
      <c r="B735">
        <v>11</v>
      </c>
      <c r="C735" t="s">
        <v>17</v>
      </c>
      <c r="D735" t="s">
        <v>10</v>
      </c>
      <c r="E735" s="4">
        <f t="shared" ca="1" si="11"/>
        <v>152881.61538461538</v>
      </c>
    </row>
    <row r="736" spans="1:5" hidden="1" x14ac:dyDescent="0.25">
      <c r="A736">
        <v>18</v>
      </c>
      <c r="B736">
        <v>12</v>
      </c>
      <c r="C736" t="s">
        <v>17</v>
      </c>
      <c r="D736" t="s">
        <v>11</v>
      </c>
      <c r="E736" s="4">
        <f t="shared" ca="1" si="11"/>
        <v>97607.692307692283</v>
      </c>
    </row>
    <row r="737" spans="1:5" hidden="1" x14ac:dyDescent="0.25">
      <c r="A737">
        <v>18</v>
      </c>
      <c r="B737">
        <v>13</v>
      </c>
      <c r="C737" t="s">
        <v>17</v>
      </c>
      <c r="D737" t="s">
        <v>12</v>
      </c>
      <c r="E737" s="4">
        <f t="shared" ca="1" si="11"/>
        <v>79296.153846153888</v>
      </c>
    </row>
    <row r="738" spans="1:5" hidden="1" x14ac:dyDescent="0.25">
      <c r="A738">
        <v>18</v>
      </c>
      <c r="B738">
        <v>14</v>
      </c>
      <c r="C738" t="s">
        <v>17</v>
      </c>
      <c r="D738" t="s">
        <v>13</v>
      </c>
      <c r="E738" s="4">
        <f t="shared" ca="1" si="11"/>
        <v>225760.38461538436</v>
      </c>
    </row>
    <row r="739" spans="1:5" hidden="1" x14ac:dyDescent="0.25">
      <c r="A739">
        <v>18</v>
      </c>
      <c r="B739">
        <v>15</v>
      </c>
      <c r="C739" t="s">
        <v>17</v>
      </c>
      <c r="D739" t="s">
        <v>14</v>
      </c>
      <c r="E739" s="4">
        <f t="shared" ca="1" si="11"/>
        <v>347936.0769230774</v>
      </c>
    </row>
    <row r="740" spans="1:5" hidden="1" x14ac:dyDescent="0.25">
      <c r="A740">
        <v>18</v>
      </c>
      <c r="B740">
        <v>16</v>
      </c>
      <c r="C740" t="s">
        <v>17</v>
      </c>
      <c r="D740" t="s">
        <v>15</v>
      </c>
      <c r="E740" s="4">
        <f t="shared" ca="1" si="11"/>
        <v>586149.3076923074</v>
      </c>
    </row>
    <row r="741" spans="1:5" hidden="1" x14ac:dyDescent="0.25">
      <c r="A741">
        <v>18</v>
      </c>
      <c r="B741">
        <v>17</v>
      </c>
      <c r="C741" t="s">
        <v>17</v>
      </c>
      <c r="D741" t="s">
        <v>16</v>
      </c>
      <c r="E741" s="4">
        <f t="shared" ca="1" si="11"/>
        <v>231033.15384615338</v>
      </c>
    </row>
    <row r="742" spans="1:5" hidden="1" x14ac:dyDescent="0.25">
      <c r="A742">
        <v>18</v>
      </c>
      <c r="B742">
        <v>18</v>
      </c>
      <c r="C742" t="s">
        <v>17</v>
      </c>
      <c r="D742" t="s">
        <v>17</v>
      </c>
      <c r="E742" s="4">
        <f t="shared" ca="1" si="11"/>
        <v>0</v>
      </c>
    </row>
    <row r="743" spans="1:5" hidden="1" x14ac:dyDescent="0.25">
      <c r="A743">
        <v>18</v>
      </c>
      <c r="B743">
        <v>19</v>
      </c>
      <c r="C743" t="s">
        <v>17</v>
      </c>
      <c r="D743" t="s">
        <v>18</v>
      </c>
      <c r="E743" s="4">
        <f t="shared" ca="1" si="11"/>
        <v>146922.99999999997</v>
      </c>
    </row>
    <row r="744" spans="1:5" hidden="1" x14ac:dyDescent="0.25">
      <c r="A744">
        <v>18</v>
      </c>
      <c r="B744">
        <v>20</v>
      </c>
      <c r="C744" t="s">
        <v>17</v>
      </c>
      <c r="D744" t="s">
        <v>19</v>
      </c>
      <c r="E744" s="4">
        <f t="shared" ca="1" si="11"/>
        <v>118738.28205128209</v>
      </c>
    </row>
    <row r="745" spans="1:5" hidden="1" x14ac:dyDescent="0.25">
      <c r="A745">
        <v>18</v>
      </c>
      <c r="B745">
        <v>21</v>
      </c>
      <c r="C745" t="s">
        <v>17</v>
      </c>
      <c r="D745" t="s">
        <v>20</v>
      </c>
      <c r="E745" s="4">
        <f t="shared" ca="1" si="11"/>
        <v>162889.94871794837</v>
      </c>
    </row>
    <row r="746" spans="1:5" hidden="1" x14ac:dyDescent="0.25">
      <c r="A746">
        <v>18</v>
      </c>
      <c r="B746">
        <v>22</v>
      </c>
      <c r="C746" t="s">
        <v>17</v>
      </c>
      <c r="D746" t="s">
        <v>21</v>
      </c>
      <c r="E746" s="4">
        <f t="shared" ca="1" si="11"/>
        <v>182016.94871794837</v>
      </c>
    </row>
    <row r="747" spans="1:5" hidden="1" x14ac:dyDescent="0.25">
      <c r="A747">
        <v>18</v>
      </c>
      <c r="B747">
        <v>23</v>
      </c>
      <c r="C747" t="s">
        <v>17</v>
      </c>
      <c r="D747" t="s">
        <v>22</v>
      </c>
      <c r="E747" s="4">
        <f t="shared" ca="1" si="11"/>
        <v>165753.28205128238</v>
      </c>
    </row>
    <row r="748" spans="1:5" hidden="1" x14ac:dyDescent="0.25">
      <c r="A748">
        <v>18</v>
      </c>
      <c r="B748">
        <v>24</v>
      </c>
      <c r="C748" t="s">
        <v>17</v>
      </c>
      <c r="D748" t="s">
        <v>23</v>
      </c>
      <c r="E748" s="4">
        <f t="shared" ca="1" si="11"/>
        <v>123225.28205128209</v>
      </c>
    </row>
    <row r="749" spans="1:5" hidden="1" x14ac:dyDescent="0.25">
      <c r="A749">
        <v>18</v>
      </c>
      <c r="B749">
        <v>25</v>
      </c>
      <c r="C749" t="s">
        <v>17</v>
      </c>
      <c r="D749" t="s">
        <v>24</v>
      </c>
      <c r="E749" s="4">
        <f t="shared" ca="1" si="11"/>
        <v>116172.94871794869</v>
      </c>
    </row>
    <row r="750" spans="1:5" hidden="1" x14ac:dyDescent="0.25">
      <c r="A750">
        <v>18</v>
      </c>
      <c r="B750">
        <v>26</v>
      </c>
      <c r="C750" t="s">
        <v>17</v>
      </c>
      <c r="D750" t="s">
        <v>25</v>
      </c>
      <c r="E750" s="4">
        <f t="shared" ca="1" si="11"/>
        <v>102246.61538461538</v>
      </c>
    </row>
    <row r="751" spans="1:5" hidden="1" x14ac:dyDescent="0.25">
      <c r="A751">
        <v>18</v>
      </c>
      <c r="B751">
        <v>27</v>
      </c>
      <c r="C751" t="s">
        <v>17</v>
      </c>
      <c r="D751" t="s">
        <v>145</v>
      </c>
      <c r="E751" s="4">
        <f t="shared" ca="1" si="11"/>
        <v>472179.71538461535</v>
      </c>
    </row>
    <row r="752" spans="1:5" hidden="1" x14ac:dyDescent="0.25">
      <c r="A752">
        <v>18</v>
      </c>
      <c r="B752">
        <v>28</v>
      </c>
      <c r="C752" t="s">
        <v>17</v>
      </c>
      <c r="D752" t="s">
        <v>147</v>
      </c>
      <c r="E752" s="4">
        <f t="shared" ca="1" si="11"/>
        <v>416958.0153846154</v>
      </c>
    </row>
    <row r="753" spans="1:5" hidden="1" x14ac:dyDescent="0.25">
      <c r="A753">
        <v>18</v>
      </c>
      <c r="B753">
        <v>29</v>
      </c>
      <c r="C753" t="s">
        <v>17</v>
      </c>
      <c r="D753" t="s">
        <v>146</v>
      </c>
      <c r="E753" s="4">
        <f t="shared" ca="1" si="11"/>
        <v>285107.71538461541</v>
      </c>
    </row>
    <row r="754" spans="1:5" hidden="1" x14ac:dyDescent="0.25">
      <c r="A754">
        <v>18</v>
      </c>
      <c r="B754">
        <v>30</v>
      </c>
      <c r="C754" t="s">
        <v>17</v>
      </c>
      <c r="D754" t="s">
        <v>30</v>
      </c>
      <c r="E754" s="4">
        <f t="shared" ca="1" si="11"/>
        <v>79859.307692307688</v>
      </c>
    </row>
    <row r="755" spans="1:5" hidden="1" x14ac:dyDescent="0.25">
      <c r="A755">
        <v>18</v>
      </c>
      <c r="B755">
        <v>31</v>
      </c>
      <c r="C755" t="s">
        <v>17</v>
      </c>
      <c r="D755" t="s">
        <v>31</v>
      </c>
      <c r="E755" s="4">
        <f t="shared" ca="1" si="11"/>
        <v>105406.11538461538</v>
      </c>
    </row>
    <row r="756" spans="1:5" hidden="1" x14ac:dyDescent="0.25">
      <c r="A756">
        <v>18</v>
      </c>
      <c r="B756">
        <v>32</v>
      </c>
      <c r="C756" t="s">
        <v>17</v>
      </c>
      <c r="D756" t="s">
        <v>32</v>
      </c>
      <c r="E756" s="4">
        <f t="shared" ca="1" si="11"/>
        <v>155116.33846153849</v>
      </c>
    </row>
    <row r="757" spans="1:5" hidden="1" x14ac:dyDescent="0.25">
      <c r="A757">
        <v>18</v>
      </c>
      <c r="B757">
        <v>33</v>
      </c>
      <c r="C757" t="s">
        <v>17</v>
      </c>
      <c r="D757" t="s">
        <v>33</v>
      </c>
      <c r="E757" s="4">
        <f t="shared" ca="1" si="11"/>
        <v>322678.00427350437</v>
      </c>
    </row>
    <row r="758" spans="1:5" hidden="1" x14ac:dyDescent="0.25">
      <c r="A758">
        <v>18</v>
      </c>
      <c r="B758">
        <v>34</v>
      </c>
      <c r="C758" t="s">
        <v>17</v>
      </c>
      <c r="D758" t="s">
        <v>34</v>
      </c>
      <c r="E758" s="4">
        <f t="shared" ca="1" si="11"/>
        <v>71088.153846153888</v>
      </c>
    </row>
    <row r="759" spans="1:5" hidden="1" x14ac:dyDescent="0.25">
      <c r="A759">
        <v>18</v>
      </c>
      <c r="B759">
        <v>35</v>
      </c>
      <c r="C759" t="s">
        <v>17</v>
      </c>
      <c r="D759" t="s">
        <v>35</v>
      </c>
      <c r="E759" s="4">
        <f t="shared" ca="1" si="11"/>
        <v>146934.5384615385</v>
      </c>
    </row>
    <row r="760" spans="1:5" hidden="1" x14ac:dyDescent="0.25">
      <c r="A760">
        <v>18</v>
      </c>
      <c r="B760">
        <v>36</v>
      </c>
      <c r="C760" t="s">
        <v>17</v>
      </c>
      <c r="D760" t="s">
        <v>36</v>
      </c>
      <c r="E760" s="4">
        <f t="shared" ca="1" si="11"/>
        <v>141750.04212454209</v>
      </c>
    </row>
    <row r="761" spans="1:5" hidden="1" x14ac:dyDescent="0.25">
      <c r="A761">
        <v>18</v>
      </c>
      <c r="B761">
        <v>37</v>
      </c>
      <c r="C761" t="s">
        <v>17</v>
      </c>
      <c r="D761" t="s">
        <v>37</v>
      </c>
      <c r="E761" s="4">
        <f t="shared" ca="1" si="11"/>
        <v>62727</v>
      </c>
    </row>
    <row r="762" spans="1:5" hidden="1" x14ac:dyDescent="0.25">
      <c r="A762">
        <v>18</v>
      </c>
      <c r="B762">
        <v>38</v>
      </c>
      <c r="C762" t="s">
        <v>17</v>
      </c>
      <c r="D762" t="s">
        <v>38</v>
      </c>
      <c r="E762" s="4">
        <f t="shared" ca="1" si="11"/>
        <v>146897.45787545788</v>
      </c>
    </row>
    <row r="763" spans="1:5" hidden="1" x14ac:dyDescent="0.25">
      <c r="A763">
        <v>18</v>
      </c>
      <c r="B763">
        <v>39</v>
      </c>
      <c r="C763" t="s">
        <v>17</v>
      </c>
      <c r="D763" t="s">
        <v>39</v>
      </c>
      <c r="E763" s="4">
        <f t="shared" ca="1" si="11"/>
        <v>128216.75824175827</v>
      </c>
    </row>
    <row r="764" spans="1:5" hidden="1" x14ac:dyDescent="0.25">
      <c r="A764">
        <v>18</v>
      </c>
      <c r="B764">
        <v>40</v>
      </c>
      <c r="C764" t="s">
        <v>17</v>
      </c>
      <c r="D764" t="s">
        <v>40</v>
      </c>
      <c r="E764" s="4">
        <f t="shared" ca="1" si="11"/>
        <v>76395.108058608079</v>
      </c>
    </row>
    <row r="765" spans="1:5" hidden="1" x14ac:dyDescent="0.25">
      <c r="A765">
        <v>19</v>
      </c>
      <c r="B765">
        <v>1</v>
      </c>
      <c r="C765" t="s">
        <v>18</v>
      </c>
      <c r="D765" t="s">
        <v>0</v>
      </c>
      <c r="E765" s="4">
        <f t="shared" ca="1" si="11"/>
        <v>88561.8461538462</v>
      </c>
    </row>
    <row r="766" spans="1:5" hidden="1" x14ac:dyDescent="0.25">
      <c r="A766">
        <v>19</v>
      </c>
      <c r="B766">
        <v>2</v>
      </c>
      <c r="C766" t="s">
        <v>18</v>
      </c>
      <c r="D766" t="s">
        <v>1</v>
      </c>
      <c r="E766" s="4">
        <f t="shared" ca="1" si="11"/>
        <v>78950.23076923081</v>
      </c>
    </row>
    <row r="767" spans="1:5" hidden="1" x14ac:dyDescent="0.25">
      <c r="A767">
        <v>19</v>
      </c>
      <c r="B767">
        <v>3</v>
      </c>
      <c r="C767" t="s">
        <v>18</v>
      </c>
      <c r="D767" t="s">
        <v>2</v>
      </c>
      <c r="E767" s="4">
        <f t="shared" ca="1" si="11"/>
        <v>81984.461538461503</v>
      </c>
    </row>
    <row r="768" spans="1:5" hidden="1" x14ac:dyDescent="0.25">
      <c r="A768">
        <v>19</v>
      </c>
      <c r="B768">
        <v>4</v>
      </c>
      <c r="C768" t="s">
        <v>18</v>
      </c>
      <c r="D768" t="s">
        <v>3</v>
      </c>
      <c r="E768" s="4">
        <f t="shared" ca="1" si="11"/>
        <v>71091.384615384595</v>
      </c>
    </row>
    <row r="769" spans="1:5" hidden="1" x14ac:dyDescent="0.25">
      <c r="A769">
        <v>19</v>
      </c>
      <c r="B769">
        <v>5</v>
      </c>
      <c r="C769" t="s">
        <v>18</v>
      </c>
      <c r="D769" t="s">
        <v>4</v>
      </c>
      <c r="E769" s="4">
        <f t="shared" ca="1" si="11"/>
        <v>102891.4615384615</v>
      </c>
    </row>
    <row r="770" spans="1:5" hidden="1" x14ac:dyDescent="0.25">
      <c r="A770">
        <v>19</v>
      </c>
      <c r="B770">
        <v>6</v>
      </c>
      <c r="C770" t="s">
        <v>18</v>
      </c>
      <c r="D770" t="s">
        <v>5</v>
      </c>
      <c r="E770" s="4">
        <f t="shared" ca="1" si="11"/>
        <v>168680.77289377298</v>
      </c>
    </row>
    <row r="771" spans="1:5" hidden="1" x14ac:dyDescent="0.25">
      <c r="A771">
        <v>19</v>
      </c>
      <c r="B771">
        <v>7</v>
      </c>
      <c r="C771" t="s">
        <v>18</v>
      </c>
      <c r="D771" t="s">
        <v>6</v>
      </c>
      <c r="E771" s="4">
        <f t="shared" ca="1" si="11"/>
        <v>102227.07692307691</v>
      </c>
    </row>
    <row r="772" spans="1:5" hidden="1" x14ac:dyDescent="0.25">
      <c r="A772">
        <v>19</v>
      </c>
      <c r="B772">
        <v>8</v>
      </c>
      <c r="C772" t="s">
        <v>18</v>
      </c>
      <c r="D772" t="s">
        <v>7</v>
      </c>
      <c r="E772" s="4">
        <f t="shared" ca="1" si="11"/>
        <v>159824.84615384601</v>
      </c>
    </row>
    <row r="773" spans="1:5" hidden="1" x14ac:dyDescent="0.25">
      <c r="A773">
        <v>19</v>
      </c>
      <c r="B773">
        <v>9</v>
      </c>
      <c r="C773" t="s">
        <v>18</v>
      </c>
      <c r="D773" t="s">
        <v>148</v>
      </c>
      <c r="E773" s="4">
        <f t="shared" ca="1" si="11"/>
        <v>610157.62179487199</v>
      </c>
    </row>
    <row r="774" spans="1:5" hidden="1" x14ac:dyDescent="0.25">
      <c r="A774">
        <v>19</v>
      </c>
      <c r="B774">
        <v>10</v>
      </c>
      <c r="C774" t="s">
        <v>18</v>
      </c>
      <c r="D774" t="s">
        <v>9</v>
      </c>
      <c r="E774" s="4">
        <f t="shared" ca="1" si="11"/>
        <v>134533.92307692312</v>
      </c>
    </row>
    <row r="775" spans="1:5" hidden="1" x14ac:dyDescent="0.25">
      <c r="A775">
        <v>19</v>
      </c>
      <c r="B775">
        <v>11</v>
      </c>
      <c r="C775" t="s">
        <v>18</v>
      </c>
      <c r="D775" t="s">
        <v>10</v>
      </c>
      <c r="E775" s="4">
        <f t="shared" ca="1" si="11"/>
        <v>137298</v>
      </c>
    </row>
    <row r="776" spans="1:5" hidden="1" x14ac:dyDescent="0.25">
      <c r="A776">
        <v>19</v>
      </c>
      <c r="B776">
        <v>12</v>
      </c>
      <c r="C776" t="s">
        <v>18</v>
      </c>
      <c r="D776" t="s">
        <v>11</v>
      </c>
      <c r="E776" s="4">
        <f t="shared" ca="1" si="11"/>
        <v>82024.076923076907</v>
      </c>
    </row>
    <row r="777" spans="1:5" hidden="1" x14ac:dyDescent="0.25">
      <c r="A777">
        <v>19</v>
      </c>
      <c r="B777">
        <v>13</v>
      </c>
      <c r="C777" t="s">
        <v>18</v>
      </c>
      <c r="D777" t="s">
        <v>12</v>
      </c>
      <c r="E777" s="4">
        <f t="shared" ca="1" si="11"/>
        <v>63712.538461538497</v>
      </c>
    </row>
    <row r="778" spans="1:5" hidden="1" x14ac:dyDescent="0.25">
      <c r="A778">
        <v>19</v>
      </c>
      <c r="B778">
        <v>14</v>
      </c>
      <c r="C778" t="s">
        <v>18</v>
      </c>
      <c r="D778" t="s">
        <v>13</v>
      </c>
      <c r="E778" s="4">
        <f t="shared" ca="1" si="11"/>
        <v>210176.76923076899</v>
      </c>
    </row>
    <row r="779" spans="1:5" hidden="1" x14ac:dyDescent="0.25">
      <c r="A779">
        <v>19</v>
      </c>
      <c r="B779">
        <v>15</v>
      </c>
      <c r="C779" t="s">
        <v>18</v>
      </c>
      <c r="D779" t="s">
        <v>14</v>
      </c>
      <c r="E779" s="4">
        <f t="shared" ca="1" si="11"/>
        <v>332352.46153846203</v>
      </c>
    </row>
    <row r="780" spans="1:5" hidden="1" x14ac:dyDescent="0.25">
      <c r="A780">
        <v>19</v>
      </c>
      <c r="B780">
        <v>16</v>
      </c>
      <c r="C780" t="s">
        <v>18</v>
      </c>
      <c r="D780" t="s">
        <v>15</v>
      </c>
      <c r="E780" s="4">
        <f t="shared" ca="1" si="11"/>
        <v>570565.69230769202</v>
      </c>
    </row>
    <row r="781" spans="1:5" hidden="1" x14ac:dyDescent="0.25">
      <c r="A781">
        <v>19</v>
      </c>
      <c r="B781">
        <v>17</v>
      </c>
      <c r="C781" t="s">
        <v>18</v>
      </c>
      <c r="D781" t="s">
        <v>16</v>
      </c>
      <c r="E781" s="4">
        <f t="shared" ca="1" si="11"/>
        <v>215449.538461538</v>
      </c>
    </row>
    <row r="782" spans="1:5" hidden="1" x14ac:dyDescent="0.25">
      <c r="A782">
        <v>19</v>
      </c>
      <c r="B782">
        <v>18</v>
      </c>
      <c r="C782" t="s">
        <v>18</v>
      </c>
      <c r="D782" t="s">
        <v>17</v>
      </c>
      <c r="E782" s="4">
        <f t="shared" ca="1" si="11"/>
        <v>92620.384615384595</v>
      </c>
    </row>
    <row r="783" spans="1:5" hidden="1" x14ac:dyDescent="0.25">
      <c r="A783">
        <v>19</v>
      </c>
      <c r="B783">
        <v>19</v>
      </c>
      <c r="C783" t="s">
        <v>18</v>
      </c>
      <c r="D783" t="s">
        <v>18</v>
      </c>
      <c r="E783" s="4">
        <f t="shared" ca="1" si="11"/>
        <v>0</v>
      </c>
    </row>
    <row r="784" spans="1:5" hidden="1" x14ac:dyDescent="0.25">
      <c r="A784">
        <v>19</v>
      </c>
      <c r="B784">
        <v>20</v>
      </c>
      <c r="C784" t="s">
        <v>18</v>
      </c>
      <c r="D784" t="s">
        <v>19</v>
      </c>
      <c r="E784" s="4">
        <f t="shared" ca="1" si="11"/>
        <v>103154.6666666667</v>
      </c>
    </row>
    <row r="785" spans="1:5" hidden="1" x14ac:dyDescent="0.25">
      <c r="A785">
        <v>19</v>
      </c>
      <c r="B785">
        <v>21</v>
      </c>
      <c r="C785" t="s">
        <v>18</v>
      </c>
      <c r="D785" t="s">
        <v>20</v>
      </c>
      <c r="E785" s="4">
        <f t="shared" ca="1" si="11"/>
        <v>147306.33333333299</v>
      </c>
    </row>
    <row r="786" spans="1:5" hidden="1" x14ac:dyDescent="0.25">
      <c r="A786">
        <v>19</v>
      </c>
      <c r="B786">
        <v>22</v>
      </c>
      <c r="C786" t="s">
        <v>18</v>
      </c>
      <c r="D786" t="s">
        <v>21</v>
      </c>
      <c r="E786" s="4">
        <f t="shared" ca="1" si="11"/>
        <v>166433.33333333299</v>
      </c>
    </row>
    <row r="787" spans="1:5" hidden="1" x14ac:dyDescent="0.25">
      <c r="A787">
        <v>19</v>
      </c>
      <c r="B787">
        <v>23</v>
      </c>
      <c r="C787" t="s">
        <v>18</v>
      </c>
      <c r="D787" t="s">
        <v>22</v>
      </c>
      <c r="E787" s="4">
        <f t="shared" ca="1" si="11"/>
        <v>150169.66666666701</v>
      </c>
    </row>
    <row r="788" spans="1:5" hidden="1" x14ac:dyDescent="0.25">
      <c r="A788">
        <v>19</v>
      </c>
      <c r="B788">
        <v>24</v>
      </c>
      <c r="C788" t="s">
        <v>18</v>
      </c>
      <c r="D788" t="s">
        <v>23</v>
      </c>
      <c r="E788" s="4">
        <f t="shared" ca="1" si="11"/>
        <v>107641.6666666667</v>
      </c>
    </row>
    <row r="789" spans="1:5" hidden="1" x14ac:dyDescent="0.25">
      <c r="A789">
        <v>19</v>
      </c>
      <c r="B789">
        <v>25</v>
      </c>
      <c r="C789" t="s">
        <v>18</v>
      </c>
      <c r="D789" t="s">
        <v>24</v>
      </c>
      <c r="E789" s="4">
        <f t="shared" ca="1" si="11"/>
        <v>100589.3333333333</v>
      </c>
    </row>
    <row r="790" spans="1:5" hidden="1" x14ac:dyDescent="0.25">
      <c r="A790">
        <v>19</v>
      </c>
      <c r="B790">
        <v>26</v>
      </c>
      <c r="C790" t="s">
        <v>18</v>
      </c>
      <c r="D790" t="s">
        <v>25</v>
      </c>
      <c r="E790" s="4">
        <f t="shared" ca="1" si="11"/>
        <v>86663</v>
      </c>
    </row>
    <row r="791" spans="1:5" hidden="1" x14ac:dyDescent="0.25">
      <c r="A791">
        <v>19</v>
      </c>
      <c r="B791">
        <v>27</v>
      </c>
      <c r="C791" t="s">
        <v>18</v>
      </c>
      <c r="D791" t="s">
        <v>145</v>
      </c>
      <c r="E791" s="4">
        <f t="shared" ca="1" si="11"/>
        <v>456596.1</v>
      </c>
    </row>
    <row r="792" spans="1:5" hidden="1" x14ac:dyDescent="0.25">
      <c r="A792">
        <v>19</v>
      </c>
      <c r="B792">
        <v>28</v>
      </c>
      <c r="C792" t="s">
        <v>18</v>
      </c>
      <c r="D792" t="s">
        <v>147</v>
      </c>
      <c r="E792" s="4">
        <f t="shared" ca="1" si="11"/>
        <v>401374.4</v>
      </c>
    </row>
    <row r="793" spans="1:5" hidden="1" x14ac:dyDescent="0.25">
      <c r="A793">
        <v>19</v>
      </c>
      <c r="B793">
        <v>29</v>
      </c>
      <c r="C793" t="s">
        <v>18</v>
      </c>
      <c r="D793" t="s">
        <v>146</v>
      </c>
      <c r="E793" s="4">
        <f t="shared" ca="1" si="11"/>
        <v>269524.09999999998</v>
      </c>
    </row>
    <row r="794" spans="1:5" hidden="1" x14ac:dyDescent="0.25">
      <c r="A794">
        <v>19</v>
      </c>
      <c r="B794">
        <v>30</v>
      </c>
      <c r="C794" t="s">
        <v>18</v>
      </c>
      <c r="D794" t="s">
        <v>30</v>
      </c>
      <c r="E794" s="4">
        <f t="shared" ca="1" si="11"/>
        <v>64275.692307692298</v>
      </c>
    </row>
    <row r="795" spans="1:5" hidden="1" x14ac:dyDescent="0.25">
      <c r="A795">
        <v>19</v>
      </c>
      <c r="B795">
        <v>31</v>
      </c>
      <c r="C795" t="s">
        <v>18</v>
      </c>
      <c r="D795" t="s">
        <v>31</v>
      </c>
      <c r="E795" s="4">
        <f t="shared" ref="E795:E857" ca="1" si="12">OFFSET($B$2,A795,B795)</f>
        <v>89822.5</v>
      </c>
    </row>
    <row r="796" spans="1:5" hidden="1" x14ac:dyDescent="0.25">
      <c r="A796">
        <v>19</v>
      </c>
      <c r="B796">
        <v>32</v>
      </c>
      <c r="C796" t="s">
        <v>18</v>
      </c>
      <c r="D796" t="s">
        <v>32</v>
      </c>
      <c r="E796" s="4">
        <f t="shared" ca="1" si="12"/>
        <v>139532.72307692311</v>
      </c>
    </row>
    <row r="797" spans="1:5" hidden="1" x14ac:dyDescent="0.25">
      <c r="A797">
        <v>19</v>
      </c>
      <c r="B797">
        <v>33</v>
      </c>
      <c r="C797" t="s">
        <v>18</v>
      </c>
      <c r="D797" t="s">
        <v>33</v>
      </c>
      <c r="E797" s="4">
        <f t="shared" ca="1" si="12"/>
        <v>307094.38888888899</v>
      </c>
    </row>
    <row r="798" spans="1:5" hidden="1" x14ac:dyDescent="0.25">
      <c r="A798">
        <v>19</v>
      </c>
      <c r="B798">
        <v>34</v>
      </c>
      <c r="C798" t="s">
        <v>18</v>
      </c>
      <c r="D798" t="s">
        <v>34</v>
      </c>
      <c r="E798" s="4">
        <f t="shared" ca="1" si="12"/>
        <v>55504.538461538497</v>
      </c>
    </row>
    <row r="799" spans="1:5" hidden="1" x14ac:dyDescent="0.25">
      <c r="A799">
        <v>19</v>
      </c>
      <c r="B799">
        <v>35</v>
      </c>
      <c r="C799" t="s">
        <v>18</v>
      </c>
      <c r="D799" t="s">
        <v>35</v>
      </c>
      <c r="E799" s="4">
        <f t="shared" ca="1" si="12"/>
        <v>131350.92307692312</v>
      </c>
    </row>
    <row r="800" spans="1:5" hidden="1" x14ac:dyDescent="0.25">
      <c r="A800">
        <v>19</v>
      </c>
      <c r="B800">
        <v>36</v>
      </c>
      <c r="C800" t="s">
        <v>18</v>
      </c>
      <c r="D800" t="s">
        <v>36</v>
      </c>
      <c r="E800" s="4">
        <f t="shared" ca="1" si="12"/>
        <v>126166.4267399267</v>
      </c>
    </row>
    <row r="801" spans="1:5" hidden="1" x14ac:dyDescent="0.25">
      <c r="A801">
        <v>19</v>
      </c>
      <c r="B801">
        <v>37</v>
      </c>
      <c r="C801" t="s">
        <v>18</v>
      </c>
      <c r="D801" t="s">
        <v>37</v>
      </c>
      <c r="E801" s="4">
        <f t="shared" ca="1" si="12"/>
        <v>47143.384615384617</v>
      </c>
    </row>
    <row r="802" spans="1:5" hidden="1" x14ac:dyDescent="0.25">
      <c r="A802">
        <v>19</v>
      </c>
      <c r="B802">
        <v>38</v>
      </c>
      <c r="C802" t="s">
        <v>18</v>
      </c>
      <c r="D802" t="s">
        <v>38</v>
      </c>
      <c r="E802" s="4">
        <f t="shared" ca="1" si="12"/>
        <v>131313.84249084251</v>
      </c>
    </row>
    <row r="803" spans="1:5" hidden="1" x14ac:dyDescent="0.25">
      <c r="A803">
        <v>19</v>
      </c>
      <c r="B803">
        <v>39</v>
      </c>
      <c r="C803" t="s">
        <v>18</v>
      </c>
      <c r="D803" t="s">
        <v>39</v>
      </c>
      <c r="E803" s="4">
        <f t="shared" ca="1" si="12"/>
        <v>112633.1428571429</v>
      </c>
    </row>
    <row r="804" spans="1:5" hidden="1" x14ac:dyDescent="0.25">
      <c r="A804">
        <v>19</v>
      </c>
      <c r="B804">
        <v>40</v>
      </c>
      <c r="C804" t="s">
        <v>18</v>
      </c>
      <c r="D804" t="s">
        <v>40</v>
      </c>
      <c r="E804" s="4">
        <f t="shared" ca="1" si="12"/>
        <v>60811.492673992703</v>
      </c>
    </row>
    <row r="805" spans="1:5" hidden="1" x14ac:dyDescent="0.25">
      <c r="A805">
        <v>20</v>
      </c>
      <c r="B805">
        <v>1</v>
      </c>
      <c r="C805" t="s">
        <v>19</v>
      </c>
      <c r="D805" t="s">
        <v>0</v>
      </c>
      <c r="E805" s="4">
        <f t="shared" ca="1" si="12"/>
        <v>110128.17948717953</v>
      </c>
    </row>
    <row r="806" spans="1:5" hidden="1" x14ac:dyDescent="0.25">
      <c r="A806">
        <v>20</v>
      </c>
      <c r="B806">
        <v>2</v>
      </c>
      <c r="C806" t="s">
        <v>19</v>
      </c>
      <c r="D806" t="s">
        <v>1</v>
      </c>
      <c r="E806" s="4">
        <f t="shared" ca="1" si="12"/>
        <v>100516.56410256414</v>
      </c>
    </row>
    <row r="807" spans="1:5" hidden="1" x14ac:dyDescent="0.25">
      <c r="A807">
        <v>20</v>
      </c>
      <c r="B807">
        <v>3</v>
      </c>
      <c r="C807" t="s">
        <v>19</v>
      </c>
      <c r="D807" t="s">
        <v>2</v>
      </c>
      <c r="E807" s="4">
        <f t="shared" ca="1" si="12"/>
        <v>103550.79487179485</v>
      </c>
    </row>
    <row r="808" spans="1:5" hidden="1" x14ac:dyDescent="0.25">
      <c r="A808">
        <v>20</v>
      </c>
      <c r="B808">
        <v>4</v>
      </c>
      <c r="C808" t="s">
        <v>19</v>
      </c>
      <c r="D808" t="s">
        <v>3</v>
      </c>
      <c r="E808" s="4">
        <f t="shared" ca="1" si="12"/>
        <v>92657.717948717938</v>
      </c>
    </row>
    <row r="809" spans="1:5" hidden="1" x14ac:dyDescent="0.25">
      <c r="A809">
        <v>20</v>
      </c>
      <c r="B809">
        <v>5</v>
      </c>
      <c r="C809" t="s">
        <v>19</v>
      </c>
      <c r="D809" t="s">
        <v>4</v>
      </c>
      <c r="E809" s="4">
        <f t="shared" ca="1" si="12"/>
        <v>124457.79487179485</v>
      </c>
    </row>
    <row r="810" spans="1:5" hidden="1" x14ac:dyDescent="0.25">
      <c r="A810">
        <v>20</v>
      </c>
      <c r="B810">
        <v>6</v>
      </c>
      <c r="C810" t="s">
        <v>19</v>
      </c>
      <c r="D810" t="s">
        <v>5</v>
      </c>
      <c r="E810" s="4">
        <f t="shared" ca="1" si="12"/>
        <v>190247.10622710633</v>
      </c>
    </row>
    <row r="811" spans="1:5" hidden="1" x14ac:dyDescent="0.25">
      <c r="A811">
        <v>20</v>
      </c>
      <c r="B811">
        <v>7</v>
      </c>
      <c r="C811" t="s">
        <v>19</v>
      </c>
      <c r="D811" t="s">
        <v>6</v>
      </c>
      <c r="E811" s="4">
        <f t="shared" ca="1" si="12"/>
        <v>123793.41025641024</v>
      </c>
    </row>
    <row r="812" spans="1:5" hidden="1" x14ac:dyDescent="0.25">
      <c r="A812">
        <v>20</v>
      </c>
      <c r="B812">
        <v>8</v>
      </c>
      <c r="C812" t="s">
        <v>19</v>
      </c>
      <c r="D812" t="s">
        <v>7</v>
      </c>
      <c r="E812" s="4">
        <f t="shared" ca="1" si="12"/>
        <v>181391.17948717932</v>
      </c>
    </row>
    <row r="813" spans="1:5" hidden="1" x14ac:dyDescent="0.25">
      <c r="A813">
        <v>20</v>
      </c>
      <c r="B813">
        <v>9</v>
      </c>
      <c r="C813" t="s">
        <v>19</v>
      </c>
      <c r="D813" t="s">
        <v>148</v>
      </c>
      <c r="E813" s="4">
        <f t="shared" ca="1" si="12"/>
        <v>631723.95512820536</v>
      </c>
    </row>
    <row r="814" spans="1:5" hidden="1" x14ac:dyDescent="0.25">
      <c r="A814">
        <v>20</v>
      </c>
      <c r="B814">
        <v>10</v>
      </c>
      <c r="C814" t="s">
        <v>19</v>
      </c>
      <c r="D814" t="s">
        <v>9</v>
      </c>
      <c r="E814" s="4">
        <f t="shared" ca="1" si="12"/>
        <v>156100.25641025644</v>
      </c>
    </row>
    <row r="815" spans="1:5" hidden="1" x14ac:dyDescent="0.25">
      <c r="A815">
        <v>20</v>
      </c>
      <c r="B815">
        <v>11</v>
      </c>
      <c r="C815" t="s">
        <v>19</v>
      </c>
      <c r="D815" t="s">
        <v>10</v>
      </c>
      <c r="E815" s="4">
        <f t="shared" ca="1" si="12"/>
        <v>158864.33333333334</v>
      </c>
    </row>
    <row r="816" spans="1:5" hidden="1" x14ac:dyDescent="0.25">
      <c r="A816">
        <v>20</v>
      </c>
      <c r="B816">
        <v>12</v>
      </c>
      <c r="C816" t="s">
        <v>19</v>
      </c>
      <c r="D816" t="s">
        <v>11</v>
      </c>
      <c r="E816" s="4">
        <f t="shared" ca="1" si="12"/>
        <v>103590.41025641024</v>
      </c>
    </row>
    <row r="817" spans="1:5" hidden="1" x14ac:dyDescent="0.25">
      <c r="A817">
        <v>20</v>
      </c>
      <c r="B817">
        <v>13</v>
      </c>
      <c r="C817" t="s">
        <v>19</v>
      </c>
      <c r="D817" t="s">
        <v>12</v>
      </c>
      <c r="E817" s="4">
        <f t="shared" ca="1" si="12"/>
        <v>85278.87179487184</v>
      </c>
    </row>
    <row r="818" spans="1:5" hidden="1" x14ac:dyDescent="0.25">
      <c r="A818">
        <v>20</v>
      </c>
      <c r="B818">
        <v>14</v>
      </c>
      <c r="C818" t="s">
        <v>19</v>
      </c>
      <c r="D818" t="s">
        <v>13</v>
      </c>
      <c r="E818" s="4">
        <f t="shared" ca="1" si="12"/>
        <v>231743.10256410233</v>
      </c>
    </row>
    <row r="819" spans="1:5" hidden="1" x14ac:dyDescent="0.25">
      <c r="A819">
        <v>20</v>
      </c>
      <c r="B819">
        <v>15</v>
      </c>
      <c r="C819" t="s">
        <v>19</v>
      </c>
      <c r="D819" t="s">
        <v>14</v>
      </c>
      <c r="E819" s="4">
        <f t="shared" ca="1" si="12"/>
        <v>353918.79487179534</v>
      </c>
    </row>
    <row r="820" spans="1:5" hidden="1" x14ac:dyDescent="0.25">
      <c r="A820">
        <v>20</v>
      </c>
      <c r="B820">
        <v>16</v>
      </c>
      <c r="C820" t="s">
        <v>19</v>
      </c>
      <c r="D820" t="s">
        <v>15</v>
      </c>
      <c r="E820" s="4">
        <f t="shared" ca="1" si="12"/>
        <v>592132.02564102539</v>
      </c>
    </row>
    <row r="821" spans="1:5" hidden="1" x14ac:dyDescent="0.25">
      <c r="A821">
        <v>20</v>
      </c>
      <c r="B821">
        <v>17</v>
      </c>
      <c r="C821" t="s">
        <v>19</v>
      </c>
      <c r="D821" t="s">
        <v>16</v>
      </c>
      <c r="E821" s="4">
        <f t="shared" ca="1" si="12"/>
        <v>237015.87179487135</v>
      </c>
    </row>
    <row r="822" spans="1:5" hidden="1" x14ac:dyDescent="0.25">
      <c r="A822">
        <v>20</v>
      </c>
      <c r="B822">
        <v>18</v>
      </c>
      <c r="C822" t="s">
        <v>19</v>
      </c>
      <c r="D822" t="s">
        <v>17</v>
      </c>
      <c r="E822" s="4">
        <f t="shared" ca="1" si="12"/>
        <v>114186.71794871794</v>
      </c>
    </row>
    <row r="823" spans="1:5" hidden="1" x14ac:dyDescent="0.25">
      <c r="A823">
        <v>20</v>
      </c>
      <c r="B823">
        <v>19</v>
      </c>
      <c r="C823" t="s">
        <v>19</v>
      </c>
      <c r="D823" t="s">
        <v>18</v>
      </c>
      <c r="E823" s="4">
        <f t="shared" ca="1" si="12"/>
        <v>152905.71794871794</v>
      </c>
    </row>
    <row r="824" spans="1:5" hidden="1" x14ac:dyDescent="0.25">
      <c r="A824">
        <v>20</v>
      </c>
      <c r="B824">
        <v>20</v>
      </c>
      <c r="C824" t="s">
        <v>19</v>
      </c>
      <c r="D824" t="s">
        <v>19</v>
      </c>
      <c r="E824" s="4">
        <f t="shared" ca="1" si="12"/>
        <v>0</v>
      </c>
    </row>
    <row r="825" spans="1:5" hidden="1" x14ac:dyDescent="0.25">
      <c r="A825">
        <v>20</v>
      </c>
      <c r="B825">
        <v>21</v>
      </c>
      <c r="C825" t="s">
        <v>19</v>
      </c>
      <c r="D825" t="s">
        <v>20</v>
      </c>
      <c r="E825" s="4">
        <f t="shared" ca="1" si="12"/>
        <v>168872.66666666634</v>
      </c>
    </row>
    <row r="826" spans="1:5" hidden="1" x14ac:dyDescent="0.25">
      <c r="A826">
        <v>20</v>
      </c>
      <c r="B826">
        <v>22</v>
      </c>
      <c r="C826" t="s">
        <v>19</v>
      </c>
      <c r="D826" t="s">
        <v>21</v>
      </c>
      <c r="E826" s="4">
        <f t="shared" ca="1" si="12"/>
        <v>187999.66666666634</v>
      </c>
    </row>
    <row r="827" spans="1:5" hidden="1" x14ac:dyDescent="0.25">
      <c r="A827">
        <v>20</v>
      </c>
      <c r="B827">
        <v>23</v>
      </c>
      <c r="C827" t="s">
        <v>19</v>
      </c>
      <c r="D827" t="s">
        <v>22</v>
      </c>
      <c r="E827" s="4">
        <f t="shared" ca="1" si="12"/>
        <v>171736.00000000035</v>
      </c>
    </row>
    <row r="828" spans="1:5" hidden="1" x14ac:dyDescent="0.25">
      <c r="A828">
        <v>20</v>
      </c>
      <c r="B828">
        <v>24</v>
      </c>
      <c r="C828" t="s">
        <v>19</v>
      </c>
      <c r="D828" t="s">
        <v>23</v>
      </c>
      <c r="E828" s="4">
        <f t="shared" ca="1" si="12"/>
        <v>129208.00000000003</v>
      </c>
    </row>
    <row r="829" spans="1:5" hidden="1" x14ac:dyDescent="0.25">
      <c r="A829">
        <v>20</v>
      </c>
      <c r="B829">
        <v>25</v>
      </c>
      <c r="C829" t="s">
        <v>19</v>
      </c>
      <c r="D829" t="s">
        <v>24</v>
      </c>
      <c r="E829" s="4">
        <f t="shared" ca="1" si="12"/>
        <v>122155.66666666663</v>
      </c>
    </row>
    <row r="830" spans="1:5" hidden="1" x14ac:dyDescent="0.25">
      <c r="A830">
        <v>20</v>
      </c>
      <c r="B830">
        <v>26</v>
      </c>
      <c r="C830" t="s">
        <v>19</v>
      </c>
      <c r="D830" t="s">
        <v>25</v>
      </c>
      <c r="E830" s="4">
        <f t="shared" ca="1" si="12"/>
        <v>108229.33333333334</v>
      </c>
    </row>
    <row r="831" spans="1:5" hidden="1" x14ac:dyDescent="0.25">
      <c r="A831">
        <v>20</v>
      </c>
      <c r="B831">
        <v>27</v>
      </c>
      <c r="C831" t="s">
        <v>19</v>
      </c>
      <c r="D831" t="s">
        <v>145</v>
      </c>
      <c r="E831" s="4">
        <f t="shared" ca="1" si="12"/>
        <v>478162.43333333329</v>
      </c>
    </row>
    <row r="832" spans="1:5" hidden="1" x14ac:dyDescent="0.25">
      <c r="A832">
        <v>20</v>
      </c>
      <c r="B832">
        <v>28</v>
      </c>
      <c r="C832" t="s">
        <v>19</v>
      </c>
      <c r="D832" t="s">
        <v>147</v>
      </c>
      <c r="E832" s="4">
        <f t="shared" ca="1" si="12"/>
        <v>422940.73333333334</v>
      </c>
    </row>
    <row r="833" spans="1:5" hidden="1" x14ac:dyDescent="0.25">
      <c r="A833">
        <v>20</v>
      </c>
      <c r="B833">
        <v>29</v>
      </c>
      <c r="C833" t="s">
        <v>19</v>
      </c>
      <c r="D833" t="s">
        <v>146</v>
      </c>
      <c r="E833" s="4">
        <f t="shared" ca="1" si="12"/>
        <v>291090.43333333335</v>
      </c>
    </row>
    <row r="834" spans="1:5" hidden="1" x14ac:dyDescent="0.25">
      <c r="A834">
        <v>20</v>
      </c>
      <c r="B834">
        <v>30</v>
      </c>
      <c r="C834" t="s">
        <v>19</v>
      </c>
      <c r="D834" t="s">
        <v>30</v>
      </c>
      <c r="E834" s="4">
        <f t="shared" ca="1" si="12"/>
        <v>85842.025641025641</v>
      </c>
    </row>
    <row r="835" spans="1:5" hidden="1" x14ac:dyDescent="0.25">
      <c r="A835">
        <v>20</v>
      </c>
      <c r="B835">
        <v>31</v>
      </c>
      <c r="C835" t="s">
        <v>19</v>
      </c>
      <c r="D835" t="s">
        <v>31</v>
      </c>
      <c r="E835" s="4">
        <f t="shared" ca="1" si="12"/>
        <v>111388.83333333334</v>
      </c>
    </row>
    <row r="836" spans="1:5" hidden="1" x14ac:dyDescent="0.25">
      <c r="A836">
        <v>20</v>
      </c>
      <c r="B836">
        <v>32</v>
      </c>
      <c r="C836" t="s">
        <v>19</v>
      </c>
      <c r="D836" t="s">
        <v>32</v>
      </c>
      <c r="E836" s="4">
        <f t="shared" ca="1" si="12"/>
        <v>161099.05641025642</v>
      </c>
    </row>
    <row r="837" spans="1:5" hidden="1" x14ac:dyDescent="0.25">
      <c r="A837">
        <v>20</v>
      </c>
      <c r="B837">
        <v>33</v>
      </c>
      <c r="C837" t="s">
        <v>19</v>
      </c>
      <c r="D837" t="s">
        <v>33</v>
      </c>
      <c r="E837" s="4">
        <f t="shared" ca="1" si="12"/>
        <v>328660.72222222231</v>
      </c>
    </row>
    <row r="838" spans="1:5" hidden="1" x14ac:dyDescent="0.25">
      <c r="A838">
        <v>20</v>
      </c>
      <c r="B838">
        <v>34</v>
      </c>
      <c r="C838" t="s">
        <v>19</v>
      </c>
      <c r="D838" t="s">
        <v>34</v>
      </c>
      <c r="E838" s="4">
        <f t="shared" ca="1" si="12"/>
        <v>77070.87179487184</v>
      </c>
    </row>
    <row r="839" spans="1:5" hidden="1" x14ac:dyDescent="0.25">
      <c r="A839">
        <v>20</v>
      </c>
      <c r="B839">
        <v>35</v>
      </c>
      <c r="C839" t="s">
        <v>19</v>
      </c>
      <c r="D839" t="s">
        <v>35</v>
      </c>
      <c r="E839" s="4">
        <f t="shared" ca="1" si="12"/>
        <v>152917.25641025644</v>
      </c>
    </row>
    <row r="840" spans="1:5" hidden="1" x14ac:dyDescent="0.25">
      <c r="A840">
        <v>20</v>
      </c>
      <c r="B840">
        <v>36</v>
      </c>
      <c r="C840" t="s">
        <v>19</v>
      </c>
      <c r="D840" t="s">
        <v>36</v>
      </c>
      <c r="E840" s="4">
        <f t="shared" ca="1" si="12"/>
        <v>147732.76007326003</v>
      </c>
    </row>
    <row r="841" spans="1:5" hidden="1" x14ac:dyDescent="0.25">
      <c r="A841">
        <v>20</v>
      </c>
      <c r="B841">
        <v>37</v>
      </c>
      <c r="C841" t="s">
        <v>19</v>
      </c>
      <c r="D841" t="s">
        <v>37</v>
      </c>
      <c r="E841" s="4">
        <f t="shared" ca="1" si="12"/>
        <v>68709.717948717953</v>
      </c>
    </row>
    <row r="842" spans="1:5" hidden="1" x14ac:dyDescent="0.25">
      <c r="A842">
        <v>20</v>
      </c>
      <c r="B842">
        <v>38</v>
      </c>
      <c r="C842" t="s">
        <v>19</v>
      </c>
      <c r="D842" t="s">
        <v>38</v>
      </c>
      <c r="E842" s="4">
        <f t="shared" ca="1" si="12"/>
        <v>152880.17582417582</v>
      </c>
    </row>
    <row r="843" spans="1:5" hidden="1" x14ac:dyDescent="0.25">
      <c r="A843">
        <v>20</v>
      </c>
      <c r="B843">
        <v>39</v>
      </c>
      <c r="C843" t="s">
        <v>19</v>
      </c>
      <c r="D843" t="s">
        <v>39</v>
      </c>
      <c r="E843" s="4">
        <f t="shared" ca="1" si="12"/>
        <v>134199.47619047624</v>
      </c>
    </row>
    <row r="844" spans="1:5" hidden="1" x14ac:dyDescent="0.25">
      <c r="A844">
        <v>20</v>
      </c>
      <c r="B844">
        <v>40</v>
      </c>
      <c r="C844" t="s">
        <v>19</v>
      </c>
      <c r="D844" t="s">
        <v>40</v>
      </c>
      <c r="E844" s="4">
        <f t="shared" ca="1" si="12"/>
        <v>82377.826007326032</v>
      </c>
    </row>
    <row r="845" spans="1:5" hidden="1" x14ac:dyDescent="0.25">
      <c r="A845">
        <v>21</v>
      </c>
      <c r="B845">
        <v>1</v>
      </c>
      <c r="C845" t="s">
        <v>20</v>
      </c>
      <c r="D845" t="s">
        <v>0</v>
      </c>
      <c r="E845" s="4">
        <f t="shared" ca="1" si="12"/>
        <v>158540.84615384619</v>
      </c>
    </row>
    <row r="846" spans="1:5" hidden="1" x14ac:dyDescent="0.25">
      <c r="A846">
        <v>21</v>
      </c>
      <c r="B846">
        <v>2</v>
      </c>
      <c r="C846" t="s">
        <v>20</v>
      </c>
      <c r="D846" t="s">
        <v>1</v>
      </c>
      <c r="E846" s="4">
        <f t="shared" ca="1" si="12"/>
        <v>148929.23076923081</v>
      </c>
    </row>
    <row r="847" spans="1:5" hidden="1" x14ac:dyDescent="0.25">
      <c r="A847">
        <v>21</v>
      </c>
      <c r="B847">
        <v>3</v>
      </c>
      <c r="C847" t="s">
        <v>20</v>
      </c>
      <c r="D847" t="s">
        <v>2</v>
      </c>
      <c r="E847" s="4">
        <f t="shared" ca="1" si="12"/>
        <v>151963.4615384615</v>
      </c>
    </row>
    <row r="848" spans="1:5" hidden="1" x14ac:dyDescent="0.25">
      <c r="A848">
        <v>21</v>
      </c>
      <c r="B848">
        <v>4</v>
      </c>
      <c r="C848" t="s">
        <v>20</v>
      </c>
      <c r="D848" t="s">
        <v>3</v>
      </c>
      <c r="E848" s="4">
        <f t="shared" ca="1" si="12"/>
        <v>141070.3846153846</v>
      </c>
    </row>
    <row r="849" spans="1:5" hidden="1" x14ac:dyDescent="0.25">
      <c r="A849">
        <v>21</v>
      </c>
      <c r="B849">
        <v>5</v>
      </c>
      <c r="C849" t="s">
        <v>20</v>
      </c>
      <c r="D849" t="s">
        <v>4</v>
      </c>
      <c r="E849" s="4">
        <f t="shared" ca="1" si="12"/>
        <v>172870.4615384615</v>
      </c>
    </row>
    <row r="850" spans="1:5" hidden="1" x14ac:dyDescent="0.25">
      <c r="A850">
        <v>21</v>
      </c>
      <c r="B850">
        <v>6</v>
      </c>
      <c r="C850" t="s">
        <v>20</v>
      </c>
      <c r="D850" t="s">
        <v>5</v>
      </c>
      <c r="E850" s="4">
        <f t="shared" ca="1" si="12"/>
        <v>238659.77289377298</v>
      </c>
    </row>
    <row r="851" spans="1:5" hidden="1" x14ac:dyDescent="0.25">
      <c r="A851">
        <v>21</v>
      </c>
      <c r="B851">
        <v>7</v>
      </c>
      <c r="C851" t="s">
        <v>20</v>
      </c>
      <c r="D851" t="s">
        <v>6</v>
      </c>
      <c r="E851" s="4">
        <f t="shared" ca="1" si="12"/>
        <v>172206.07692307691</v>
      </c>
    </row>
    <row r="852" spans="1:5" hidden="1" x14ac:dyDescent="0.25">
      <c r="A852">
        <v>21</v>
      </c>
      <c r="B852">
        <v>8</v>
      </c>
      <c r="C852" t="s">
        <v>20</v>
      </c>
      <c r="D852" t="s">
        <v>7</v>
      </c>
      <c r="E852" s="4">
        <f t="shared" ca="1" si="12"/>
        <v>229803.84615384601</v>
      </c>
    </row>
    <row r="853" spans="1:5" hidden="1" x14ac:dyDescent="0.25">
      <c r="A853">
        <v>21</v>
      </c>
      <c r="B853">
        <v>9</v>
      </c>
      <c r="C853" t="s">
        <v>20</v>
      </c>
      <c r="D853" t="s">
        <v>148</v>
      </c>
      <c r="E853" s="4">
        <f t="shared" ca="1" si="12"/>
        <v>680136.62179487199</v>
      </c>
    </row>
    <row r="854" spans="1:5" hidden="1" x14ac:dyDescent="0.25">
      <c r="A854">
        <v>21</v>
      </c>
      <c r="B854">
        <v>10</v>
      </c>
      <c r="C854" t="s">
        <v>20</v>
      </c>
      <c r="D854" t="s">
        <v>9</v>
      </c>
      <c r="E854" s="4">
        <f t="shared" ca="1" si="12"/>
        <v>204512.92307692312</v>
      </c>
    </row>
    <row r="855" spans="1:5" hidden="1" x14ac:dyDescent="0.25">
      <c r="A855">
        <v>21</v>
      </c>
      <c r="B855">
        <v>11</v>
      </c>
      <c r="C855" t="s">
        <v>20</v>
      </c>
      <c r="D855" t="s">
        <v>10</v>
      </c>
      <c r="E855" s="4">
        <f t="shared" ca="1" si="12"/>
        <v>207277</v>
      </c>
    </row>
    <row r="856" spans="1:5" hidden="1" x14ac:dyDescent="0.25">
      <c r="A856">
        <v>21</v>
      </c>
      <c r="B856">
        <v>12</v>
      </c>
      <c r="C856" t="s">
        <v>20</v>
      </c>
      <c r="D856" t="s">
        <v>11</v>
      </c>
      <c r="E856" s="4">
        <f t="shared" ca="1" si="12"/>
        <v>152003.07692307691</v>
      </c>
    </row>
    <row r="857" spans="1:5" hidden="1" x14ac:dyDescent="0.25">
      <c r="A857">
        <v>21</v>
      </c>
      <c r="B857">
        <v>13</v>
      </c>
      <c r="C857" t="s">
        <v>20</v>
      </c>
      <c r="D857" t="s">
        <v>12</v>
      </c>
      <c r="E857" s="4">
        <f t="shared" ca="1" si="12"/>
        <v>133691.5384615385</v>
      </c>
    </row>
    <row r="858" spans="1:5" hidden="1" x14ac:dyDescent="0.25">
      <c r="A858">
        <v>21</v>
      </c>
      <c r="B858">
        <v>14</v>
      </c>
      <c r="C858" t="s">
        <v>20</v>
      </c>
      <c r="D858" t="s">
        <v>13</v>
      </c>
      <c r="E858" s="4">
        <f t="shared" ref="E858:E919" ca="1" si="13">OFFSET($B$2,A858,B858)</f>
        <v>280155.76923076902</v>
      </c>
    </row>
    <row r="859" spans="1:5" hidden="1" x14ac:dyDescent="0.25">
      <c r="A859">
        <v>21</v>
      </c>
      <c r="B859">
        <v>15</v>
      </c>
      <c r="C859" t="s">
        <v>20</v>
      </c>
      <c r="D859" t="s">
        <v>14</v>
      </c>
      <c r="E859" s="4">
        <f t="shared" ca="1" si="13"/>
        <v>402331.46153846203</v>
      </c>
    </row>
    <row r="860" spans="1:5" hidden="1" x14ac:dyDescent="0.25">
      <c r="A860">
        <v>21</v>
      </c>
      <c r="B860">
        <v>16</v>
      </c>
      <c r="C860" t="s">
        <v>20</v>
      </c>
      <c r="D860" t="s">
        <v>15</v>
      </c>
      <c r="E860" s="4">
        <f t="shared" ca="1" si="13"/>
        <v>640544.69230769202</v>
      </c>
    </row>
    <row r="861" spans="1:5" hidden="1" x14ac:dyDescent="0.25">
      <c r="A861">
        <v>21</v>
      </c>
      <c r="B861">
        <v>17</v>
      </c>
      <c r="C861" t="s">
        <v>20</v>
      </c>
      <c r="D861" t="s">
        <v>16</v>
      </c>
      <c r="E861" s="4">
        <f t="shared" ca="1" si="13"/>
        <v>285428.53846153803</v>
      </c>
    </row>
    <row r="862" spans="1:5" hidden="1" x14ac:dyDescent="0.25">
      <c r="A862">
        <v>21</v>
      </c>
      <c r="B862">
        <v>18</v>
      </c>
      <c r="C862" t="s">
        <v>20</v>
      </c>
      <c r="D862" t="s">
        <v>17</v>
      </c>
      <c r="E862" s="4">
        <f t="shared" ca="1" si="13"/>
        <v>162599.3846153846</v>
      </c>
    </row>
    <row r="863" spans="1:5" hidden="1" x14ac:dyDescent="0.25">
      <c r="A863">
        <v>21</v>
      </c>
      <c r="B863">
        <v>19</v>
      </c>
      <c r="C863" t="s">
        <v>20</v>
      </c>
      <c r="D863" t="s">
        <v>18</v>
      </c>
      <c r="E863" s="4">
        <f t="shared" ca="1" si="13"/>
        <v>201318.3846153846</v>
      </c>
    </row>
    <row r="864" spans="1:5" hidden="1" x14ac:dyDescent="0.25">
      <c r="A864">
        <v>21</v>
      </c>
      <c r="B864">
        <v>20</v>
      </c>
      <c r="C864" t="s">
        <v>20</v>
      </c>
      <c r="D864" t="s">
        <v>19</v>
      </c>
      <c r="E864" s="4">
        <f t="shared" ca="1" si="13"/>
        <v>173133.66666666669</v>
      </c>
    </row>
    <row r="865" spans="1:5" hidden="1" x14ac:dyDescent="0.25">
      <c r="A865">
        <v>21</v>
      </c>
      <c r="B865">
        <v>21</v>
      </c>
      <c r="C865" t="s">
        <v>20</v>
      </c>
      <c r="D865" t="s">
        <v>20</v>
      </c>
      <c r="E865" s="4">
        <f t="shared" ca="1" si="13"/>
        <v>0</v>
      </c>
    </row>
    <row r="866" spans="1:5" hidden="1" x14ac:dyDescent="0.25">
      <c r="A866">
        <v>21</v>
      </c>
      <c r="B866">
        <v>22</v>
      </c>
      <c r="C866" t="s">
        <v>20</v>
      </c>
      <c r="D866" t="s">
        <v>21</v>
      </c>
      <c r="E866" s="4">
        <f t="shared" ca="1" si="13"/>
        <v>236412.33333333299</v>
      </c>
    </row>
    <row r="867" spans="1:5" hidden="1" x14ac:dyDescent="0.25">
      <c r="A867">
        <v>21</v>
      </c>
      <c r="B867">
        <v>23</v>
      </c>
      <c r="C867" t="s">
        <v>20</v>
      </c>
      <c r="D867" t="s">
        <v>22</v>
      </c>
      <c r="E867" s="4">
        <f t="shared" ca="1" si="13"/>
        <v>220148.66666666701</v>
      </c>
    </row>
    <row r="868" spans="1:5" hidden="1" x14ac:dyDescent="0.25">
      <c r="A868">
        <v>21</v>
      </c>
      <c r="B868">
        <v>24</v>
      </c>
      <c r="C868" t="s">
        <v>20</v>
      </c>
      <c r="D868" t="s">
        <v>23</v>
      </c>
      <c r="E868" s="4">
        <f t="shared" ca="1" si="13"/>
        <v>177620.66666666669</v>
      </c>
    </row>
    <row r="869" spans="1:5" hidden="1" x14ac:dyDescent="0.25">
      <c r="A869">
        <v>21</v>
      </c>
      <c r="B869">
        <v>25</v>
      </c>
      <c r="C869" t="s">
        <v>20</v>
      </c>
      <c r="D869" t="s">
        <v>24</v>
      </c>
      <c r="E869" s="4">
        <f t="shared" ca="1" si="13"/>
        <v>170568.33333333331</v>
      </c>
    </row>
    <row r="870" spans="1:5" hidden="1" x14ac:dyDescent="0.25">
      <c r="A870">
        <v>21</v>
      </c>
      <c r="B870">
        <v>26</v>
      </c>
      <c r="C870" t="s">
        <v>20</v>
      </c>
      <c r="D870" t="s">
        <v>25</v>
      </c>
      <c r="E870" s="4">
        <f t="shared" ca="1" si="13"/>
        <v>156642</v>
      </c>
    </row>
    <row r="871" spans="1:5" hidden="1" x14ac:dyDescent="0.25">
      <c r="A871">
        <v>21</v>
      </c>
      <c r="B871">
        <v>27</v>
      </c>
      <c r="C871" t="s">
        <v>20</v>
      </c>
      <c r="D871" t="s">
        <v>145</v>
      </c>
      <c r="E871" s="4">
        <f t="shared" ca="1" si="13"/>
        <v>526575.1</v>
      </c>
    </row>
    <row r="872" spans="1:5" hidden="1" x14ac:dyDescent="0.25">
      <c r="A872">
        <v>21</v>
      </c>
      <c r="B872">
        <v>28</v>
      </c>
      <c r="C872" t="s">
        <v>20</v>
      </c>
      <c r="D872" t="s">
        <v>147</v>
      </c>
      <c r="E872" s="4">
        <f t="shared" ca="1" si="13"/>
        <v>471353.4</v>
      </c>
    </row>
    <row r="873" spans="1:5" hidden="1" x14ac:dyDescent="0.25">
      <c r="A873">
        <v>21</v>
      </c>
      <c r="B873">
        <v>29</v>
      </c>
      <c r="C873" t="s">
        <v>20</v>
      </c>
      <c r="D873" t="s">
        <v>146</v>
      </c>
      <c r="E873" s="4">
        <f t="shared" ca="1" si="13"/>
        <v>339503.1</v>
      </c>
    </row>
    <row r="874" spans="1:5" hidden="1" x14ac:dyDescent="0.25">
      <c r="A874">
        <v>21</v>
      </c>
      <c r="B874">
        <v>30</v>
      </c>
      <c r="C874" t="s">
        <v>20</v>
      </c>
      <c r="D874" t="s">
        <v>30</v>
      </c>
      <c r="E874" s="4">
        <f t="shared" ca="1" si="13"/>
        <v>134254.69230769231</v>
      </c>
    </row>
    <row r="875" spans="1:5" hidden="1" x14ac:dyDescent="0.25">
      <c r="A875">
        <v>21</v>
      </c>
      <c r="B875">
        <v>31</v>
      </c>
      <c r="C875" t="s">
        <v>20</v>
      </c>
      <c r="D875" t="s">
        <v>31</v>
      </c>
      <c r="E875" s="4">
        <f t="shared" ca="1" si="13"/>
        <v>159801.5</v>
      </c>
    </row>
    <row r="876" spans="1:5" hidden="1" x14ac:dyDescent="0.25">
      <c r="A876">
        <v>21</v>
      </c>
      <c r="B876">
        <v>32</v>
      </c>
      <c r="C876" t="s">
        <v>20</v>
      </c>
      <c r="D876" t="s">
        <v>32</v>
      </c>
      <c r="E876" s="4">
        <f t="shared" ca="1" si="13"/>
        <v>209511.72307692311</v>
      </c>
    </row>
    <row r="877" spans="1:5" hidden="1" x14ac:dyDescent="0.25">
      <c r="A877">
        <v>21</v>
      </c>
      <c r="B877">
        <v>33</v>
      </c>
      <c r="C877" t="s">
        <v>20</v>
      </c>
      <c r="D877" t="s">
        <v>33</v>
      </c>
      <c r="E877" s="4">
        <f t="shared" ca="1" si="13"/>
        <v>377073.38888888899</v>
      </c>
    </row>
    <row r="878" spans="1:5" hidden="1" x14ac:dyDescent="0.25">
      <c r="A878">
        <v>21</v>
      </c>
      <c r="B878">
        <v>34</v>
      </c>
      <c r="C878" t="s">
        <v>20</v>
      </c>
      <c r="D878" t="s">
        <v>34</v>
      </c>
      <c r="E878" s="4">
        <f t="shared" ca="1" si="13"/>
        <v>125483.5384615385</v>
      </c>
    </row>
    <row r="879" spans="1:5" hidden="1" x14ac:dyDescent="0.25">
      <c r="A879">
        <v>21</v>
      </c>
      <c r="B879">
        <v>35</v>
      </c>
      <c r="C879" t="s">
        <v>20</v>
      </c>
      <c r="D879" t="s">
        <v>35</v>
      </c>
      <c r="E879" s="4">
        <f t="shared" ca="1" si="13"/>
        <v>201329.92307692312</v>
      </c>
    </row>
    <row r="880" spans="1:5" hidden="1" x14ac:dyDescent="0.25">
      <c r="A880">
        <v>21</v>
      </c>
      <c r="B880">
        <v>36</v>
      </c>
      <c r="C880" t="s">
        <v>20</v>
      </c>
      <c r="D880" t="s">
        <v>36</v>
      </c>
      <c r="E880" s="4">
        <f t="shared" ca="1" si="13"/>
        <v>196145.42673992668</v>
      </c>
    </row>
    <row r="881" spans="1:5" hidden="1" x14ac:dyDescent="0.25">
      <c r="A881">
        <v>21</v>
      </c>
      <c r="B881">
        <v>37</v>
      </c>
      <c r="C881" t="s">
        <v>20</v>
      </c>
      <c r="D881" t="s">
        <v>37</v>
      </c>
      <c r="E881" s="4">
        <f t="shared" ca="1" si="13"/>
        <v>117122.38461538462</v>
      </c>
    </row>
    <row r="882" spans="1:5" hidden="1" x14ac:dyDescent="0.25">
      <c r="A882">
        <v>21</v>
      </c>
      <c r="B882">
        <v>38</v>
      </c>
      <c r="C882" t="s">
        <v>20</v>
      </c>
      <c r="D882" t="s">
        <v>38</v>
      </c>
      <c r="E882" s="4">
        <f t="shared" ca="1" si="13"/>
        <v>201292.84249084251</v>
      </c>
    </row>
    <row r="883" spans="1:5" hidden="1" x14ac:dyDescent="0.25">
      <c r="A883">
        <v>21</v>
      </c>
      <c r="B883">
        <v>39</v>
      </c>
      <c r="C883" t="s">
        <v>20</v>
      </c>
      <c r="D883" t="s">
        <v>39</v>
      </c>
      <c r="E883" s="4">
        <f t="shared" ca="1" si="13"/>
        <v>182612.1428571429</v>
      </c>
    </row>
    <row r="884" spans="1:5" hidden="1" x14ac:dyDescent="0.25">
      <c r="A884">
        <v>21</v>
      </c>
      <c r="B884">
        <v>40</v>
      </c>
      <c r="C884" t="s">
        <v>20</v>
      </c>
      <c r="D884" t="s">
        <v>40</v>
      </c>
      <c r="E884" s="4">
        <f t="shared" ca="1" si="13"/>
        <v>130790.4926739927</v>
      </c>
    </row>
    <row r="885" spans="1:5" hidden="1" x14ac:dyDescent="0.25">
      <c r="A885">
        <v>22</v>
      </c>
      <c r="B885">
        <v>1</v>
      </c>
      <c r="C885" t="s">
        <v>21</v>
      </c>
      <c r="D885" t="s">
        <v>0</v>
      </c>
      <c r="E885" s="4">
        <f t="shared" ca="1" si="13"/>
        <v>175688.51282051287</v>
      </c>
    </row>
    <row r="886" spans="1:5" hidden="1" x14ac:dyDescent="0.25">
      <c r="A886">
        <v>22</v>
      </c>
      <c r="B886">
        <v>2</v>
      </c>
      <c r="C886" t="s">
        <v>21</v>
      </c>
      <c r="D886" t="s">
        <v>1</v>
      </c>
      <c r="E886" s="4">
        <f t="shared" ca="1" si="13"/>
        <v>166076.89743589747</v>
      </c>
    </row>
    <row r="887" spans="1:5" hidden="1" x14ac:dyDescent="0.25">
      <c r="A887">
        <v>22</v>
      </c>
      <c r="B887">
        <v>3</v>
      </c>
      <c r="C887" t="s">
        <v>21</v>
      </c>
      <c r="D887" t="s">
        <v>2</v>
      </c>
      <c r="E887" s="4">
        <f t="shared" ca="1" si="13"/>
        <v>169111.12820512816</v>
      </c>
    </row>
    <row r="888" spans="1:5" hidden="1" x14ac:dyDescent="0.25">
      <c r="A888">
        <v>22</v>
      </c>
      <c r="B888">
        <v>4</v>
      </c>
      <c r="C888" t="s">
        <v>21</v>
      </c>
      <c r="D888" t="s">
        <v>3</v>
      </c>
      <c r="E888" s="4">
        <f t="shared" ca="1" si="13"/>
        <v>158218.05128205125</v>
      </c>
    </row>
    <row r="889" spans="1:5" hidden="1" x14ac:dyDescent="0.25">
      <c r="A889">
        <v>22</v>
      </c>
      <c r="B889">
        <v>5</v>
      </c>
      <c r="C889" t="s">
        <v>21</v>
      </c>
      <c r="D889" t="s">
        <v>4</v>
      </c>
      <c r="E889" s="4">
        <f t="shared" ca="1" si="13"/>
        <v>190018.12820512816</v>
      </c>
    </row>
    <row r="890" spans="1:5" hidden="1" x14ac:dyDescent="0.25">
      <c r="A890">
        <v>22</v>
      </c>
      <c r="B890">
        <v>6</v>
      </c>
      <c r="C890" t="s">
        <v>21</v>
      </c>
      <c r="D890" t="s">
        <v>5</v>
      </c>
      <c r="E890" s="4">
        <f t="shared" ca="1" si="13"/>
        <v>255807.43956043967</v>
      </c>
    </row>
    <row r="891" spans="1:5" hidden="1" x14ac:dyDescent="0.25">
      <c r="A891">
        <v>22</v>
      </c>
      <c r="B891">
        <v>7</v>
      </c>
      <c r="C891" t="s">
        <v>21</v>
      </c>
      <c r="D891" t="s">
        <v>6</v>
      </c>
      <c r="E891" s="4">
        <f t="shared" ca="1" si="13"/>
        <v>189353.74358974356</v>
      </c>
    </row>
    <row r="892" spans="1:5" hidden="1" x14ac:dyDescent="0.25">
      <c r="A892">
        <v>22</v>
      </c>
      <c r="B892">
        <v>8</v>
      </c>
      <c r="C892" t="s">
        <v>21</v>
      </c>
      <c r="D892" t="s">
        <v>7</v>
      </c>
      <c r="E892" s="4">
        <f t="shared" ca="1" si="13"/>
        <v>246951.51282051264</v>
      </c>
    </row>
    <row r="893" spans="1:5" hidden="1" x14ac:dyDescent="0.25">
      <c r="A893">
        <v>22</v>
      </c>
      <c r="B893">
        <v>9</v>
      </c>
      <c r="C893" t="s">
        <v>21</v>
      </c>
      <c r="D893" t="s">
        <v>148</v>
      </c>
      <c r="E893" s="4">
        <f t="shared" ca="1" si="13"/>
        <v>697284.28846153861</v>
      </c>
    </row>
    <row r="894" spans="1:5" hidden="1" x14ac:dyDescent="0.25">
      <c r="A894">
        <v>22</v>
      </c>
      <c r="B894">
        <v>10</v>
      </c>
      <c r="C894" t="s">
        <v>21</v>
      </c>
      <c r="D894" t="s">
        <v>9</v>
      </c>
      <c r="E894" s="4">
        <f t="shared" ca="1" si="13"/>
        <v>221660.58974358975</v>
      </c>
    </row>
    <row r="895" spans="1:5" hidden="1" x14ac:dyDescent="0.25">
      <c r="A895">
        <v>22</v>
      </c>
      <c r="B895">
        <v>11</v>
      </c>
      <c r="C895" t="s">
        <v>21</v>
      </c>
      <c r="D895" t="s">
        <v>10</v>
      </c>
      <c r="E895" s="4">
        <f t="shared" ca="1" si="13"/>
        <v>224424.66666666666</v>
      </c>
    </row>
    <row r="896" spans="1:5" hidden="1" x14ac:dyDescent="0.25">
      <c r="A896">
        <v>22</v>
      </c>
      <c r="B896">
        <v>12</v>
      </c>
      <c r="C896" t="s">
        <v>21</v>
      </c>
      <c r="D896" t="s">
        <v>11</v>
      </c>
      <c r="E896" s="4">
        <f t="shared" ca="1" si="13"/>
        <v>169150.74358974356</v>
      </c>
    </row>
    <row r="897" spans="1:5" hidden="1" x14ac:dyDescent="0.25">
      <c r="A897">
        <v>22</v>
      </c>
      <c r="B897">
        <v>13</v>
      </c>
      <c r="C897" t="s">
        <v>21</v>
      </c>
      <c r="D897" t="s">
        <v>12</v>
      </c>
      <c r="E897" s="4">
        <f t="shared" ca="1" si="13"/>
        <v>150839.20512820515</v>
      </c>
    </row>
    <row r="898" spans="1:5" hidden="1" x14ac:dyDescent="0.25">
      <c r="A898">
        <v>22</v>
      </c>
      <c r="B898">
        <v>14</v>
      </c>
      <c r="C898" t="s">
        <v>21</v>
      </c>
      <c r="D898" t="s">
        <v>13</v>
      </c>
      <c r="E898" s="4">
        <f t="shared" ca="1" si="13"/>
        <v>297303.43589743564</v>
      </c>
    </row>
    <row r="899" spans="1:5" hidden="1" x14ac:dyDescent="0.25">
      <c r="A899">
        <v>22</v>
      </c>
      <c r="B899">
        <v>15</v>
      </c>
      <c r="C899" t="s">
        <v>21</v>
      </c>
      <c r="D899" t="s">
        <v>14</v>
      </c>
      <c r="E899" s="4">
        <f t="shared" ca="1" si="13"/>
        <v>419479.12820512871</v>
      </c>
    </row>
    <row r="900" spans="1:5" hidden="1" x14ac:dyDescent="0.25">
      <c r="A900">
        <v>22</v>
      </c>
      <c r="B900">
        <v>16</v>
      </c>
      <c r="C900" t="s">
        <v>21</v>
      </c>
      <c r="D900" t="s">
        <v>15</v>
      </c>
      <c r="E900" s="4">
        <f t="shared" ca="1" si="13"/>
        <v>657692.35897435865</v>
      </c>
    </row>
    <row r="901" spans="1:5" hidden="1" x14ac:dyDescent="0.25">
      <c r="A901">
        <v>22</v>
      </c>
      <c r="B901">
        <v>17</v>
      </c>
      <c r="C901" t="s">
        <v>21</v>
      </c>
      <c r="D901" t="s">
        <v>16</v>
      </c>
      <c r="E901" s="4">
        <f t="shared" ca="1" si="13"/>
        <v>302576.20512820466</v>
      </c>
    </row>
    <row r="902" spans="1:5" hidden="1" x14ac:dyDescent="0.25">
      <c r="A902">
        <v>22</v>
      </c>
      <c r="B902">
        <v>18</v>
      </c>
      <c r="C902" t="s">
        <v>21</v>
      </c>
      <c r="D902" t="s">
        <v>17</v>
      </c>
      <c r="E902" s="4">
        <f t="shared" ca="1" si="13"/>
        <v>179747.05128205125</v>
      </c>
    </row>
    <row r="903" spans="1:5" hidden="1" x14ac:dyDescent="0.25">
      <c r="A903">
        <v>22</v>
      </c>
      <c r="B903">
        <v>19</v>
      </c>
      <c r="C903" t="s">
        <v>21</v>
      </c>
      <c r="D903" t="s">
        <v>18</v>
      </c>
      <c r="E903" s="4">
        <f t="shared" ca="1" si="13"/>
        <v>218466.05128205125</v>
      </c>
    </row>
    <row r="904" spans="1:5" hidden="1" x14ac:dyDescent="0.25">
      <c r="A904">
        <v>22</v>
      </c>
      <c r="B904">
        <v>20</v>
      </c>
      <c r="C904" t="s">
        <v>21</v>
      </c>
      <c r="D904" t="s">
        <v>19</v>
      </c>
      <c r="E904" s="4">
        <f t="shared" ca="1" si="13"/>
        <v>190281.33333333337</v>
      </c>
    </row>
    <row r="905" spans="1:5" hidden="1" x14ac:dyDescent="0.25">
      <c r="A905">
        <v>22</v>
      </c>
      <c r="B905">
        <v>21</v>
      </c>
      <c r="C905" t="s">
        <v>21</v>
      </c>
      <c r="D905" t="s">
        <v>20</v>
      </c>
      <c r="E905" s="4">
        <f t="shared" ca="1" si="13"/>
        <v>234432.99999999965</v>
      </c>
    </row>
    <row r="906" spans="1:5" hidden="1" x14ac:dyDescent="0.25">
      <c r="A906">
        <v>22</v>
      </c>
      <c r="B906">
        <v>22</v>
      </c>
      <c r="C906" t="s">
        <v>21</v>
      </c>
      <c r="D906" t="s">
        <v>21</v>
      </c>
      <c r="E906" s="4">
        <f t="shared" ca="1" si="13"/>
        <v>0</v>
      </c>
    </row>
    <row r="907" spans="1:5" hidden="1" x14ac:dyDescent="0.25">
      <c r="A907">
        <v>22</v>
      </c>
      <c r="B907">
        <v>23</v>
      </c>
      <c r="C907" t="s">
        <v>21</v>
      </c>
      <c r="D907" t="s">
        <v>22</v>
      </c>
      <c r="E907" s="4">
        <f t="shared" ca="1" si="13"/>
        <v>237296.33333333366</v>
      </c>
    </row>
    <row r="908" spans="1:5" hidden="1" x14ac:dyDescent="0.25">
      <c r="A908">
        <v>22</v>
      </c>
      <c r="B908">
        <v>24</v>
      </c>
      <c r="C908" t="s">
        <v>21</v>
      </c>
      <c r="D908" t="s">
        <v>23</v>
      </c>
      <c r="E908" s="4">
        <f t="shared" ca="1" si="13"/>
        <v>194768.33333333337</v>
      </c>
    </row>
    <row r="909" spans="1:5" hidden="1" x14ac:dyDescent="0.25">
      <c r="A909">
        <v>22</v>
      </c>
      <c r="B909">
        <v>25</v>
      </c>
      <c r="C909" t="s">
        <v>21</v>
      </c>
      <c r="D909" t="s">
        <v>24</v>
      </c>
      <c r="E909" s="4">
        <f t="shared" ca="1" si="13"/>
        <v>187715.99999999994</v>
      </c>
    </row>
    <row r="910" spans="1:5" hidden="1" x14ac:dyDescent="0.25">
      <c r="A910">
        <v>22</v>
      </c>
      <c r="B910">
        <v>26</v>
      </c>
      <c r="C910" t="s">
        <v>21</v>
      </c>
      <c r="D910" t="s">
        <v>25</v>
      </c>
      <c r="E910" s="4">
        <f t="shared" ca="1" si="13"/>
        <v>173789.66666666666</v>
      </c>
    </row>
    <row r="911" spans="1:5" hidden="1" x14ac:dyDescent="0.25">
      <c r="A911">
        <v>22</v>
      </c>
      <c r="B911">
        <v>27</v>
      </c>
      <c r="C911" t="s">
        <v>21</v>
      </c>
      <c r="D911" t="s">
        <v>145</v>
      </c>
      <c r="E911" s="4">
        <f t="shared" ca="1" si="13"/>
        <v>543722.7666666666</v>
      </c>
    </row>
    <row r="912" spans="1:5" hidden="1" x14ac:dyDescent="0.25">
      <c r="A912">
        <v>22</v>
      </c>
      <c r="B912">
        <v>28</v>
      </c>
      <c r="C912" t="s">
        <v>21</v>
      </c>
      <c r="D912" t="s">
        <v>147</v>
      </c>
      <c r="E912" s="4">
        <f t="shared" ca="1" si="13"/>
        <v>488501.06666666665</v>
      </c>
    </row>
    <row r="913" spans="1:5" hidden="1" x14ac:dyDescent="0.25">
      <c r="A913">
        <v>22</v>
      </c>
      <c r="B913">
        <v>29</v>
      </c>
      <c r="C913" t="s">
        <v>21</v>
      </c>
      <c r="D913" t="s">
        <v>146</v>
      </c>
      <c r="E913" s="4">
        <f t="shared" ca="1" si="13"/>
        <v>356650.76666666666</v>
      </c>
    </row>
    <row r="914" spans="1:5" hidden="1" x14ac:dyDescent="0.25">
      <c r="A914">
        <v>22</v>
      </c>
      <c r="B914">
        <v>30</v>
      </c>
      <c r="C914" t="s">
        <v>21</v>
      </c>
      <c r="D914" t="s">
        <v>30</v>
      </c>
      <c r="E914" s="4">
        <f t="shared" ca="1" si="13"/>
        <v>151402.35897435897</v>
      </c>
    </row>
    <row r="915" spans="1:5" hidden="1" x14ac:dyDescent="0.25">
      <c r="A915">
        <v>22</v>
      </c>
      <c r="B915">
        <v>31</v>
      </c>
      <c r="C915" t="s">
        <v>21</v>
      </c>
      <c r="D915" t="s">
        <v>31</v>
      </c>
      <c r="E915" s="4">
        <f t="shared" ca="1" si="13"/>
        <v>176949.16666666666</v>
      </c>
    </row>
    <row r="916" spans="1:5" hidden="1" x14ac:dyDescent="0.25">
      <c r="A916">
        <v>22</v>
      </c>
      <c r="B916">
        <v>32</v>
      </c>
      <c r="C916" t="s">
        <v>21</v>
      </c>
      <c r="D916" t="s">
        <v>32</v>
      </c>
      <c r="E916" s="4">
        <f t="shared" ca="1" si="13"/>
        <v>226659.38974358974</v>
      </c>
    </row>
    <row r="917" spans="1:5" hidden="1" x14ac:dyDescent="0.25">
      <c r="A917">
        <v>22</v>
      </c>
      <c r="B917">
        <v>33</v>
      </c>
      <c r="C917" t="s">
        <v>21</v>
      </c>
      <c r="D917" t="s">
        <v>33</v>
      </c>
      <c r="E917" s="4">
        <f t="shared" ca="1" si="13"/>
        <v>394221.05555555562</v>
      </c>
    </row>
    <row r="918" spans="1:5" hidden="1" x14ac:dyDescent="0.25">
      <c r="A918">
        <v>22</v>
      </c>
      <c r="B918">
        <v>34</v>
      </c>
      <c r="C918" t="s">
        <v>21</v>
      </c>
      <c r="D918" t="s">
        <v>34</v>
      </c>
      <c r="E918" s="4">
        <f t="shared" ca="1" si="13"/>
        <v>142631.20512820515</v>
      </c>
    </row>
    <row r="919" spans="1:5" hidden="1" x14ac:dyDescent="0.25">
      <c r="A919">
        <v>22</v>
      </c>
      <c r="B919">
        <v>35</v>
      </c>
      <c r="C919" t="s">
        <v>21</v>
      </c>
      <c r="D919" t="s">
        <v>35</v>
      </c>
      <c r="E919" s="4">
        <f t="shared" ca="1" si="13"/>
        <v>218477.58974358975</v>
      </c>
    </row>
    <row r="920" spans="1:5" hidden="1" x14ac:dyDescent="0.25">
      <c r="A920">
        <v>22</v>
      </c>
      <c r="B920">
        <v>36</v>
      </c>
      <c r="C920" t="s">
        <v>21</v>
      </c>
      <c r="D920" t="s">
        <v>36</v>
      </c>
      <c r="E920" s="4">
        <f t="shared" ref="E920:E982" ca="1" si="14">OFFSET($B$2,A920,B920)</f>
        <v>213293.09340659337</v>
      </c>
    </row>
    <row r="921" spans="1:5" hidden="1" x14ac:dyDescent="0.25">
      <c r="A921">
        <v>22</v>
      </c>
      <c r="B921">
        <v>37</v>
      </c>
      <c r="C921" t="s">
        <v>21</v>
      </c>
      <c r="D921" t="s">
        <v>37</v>
      </c>
      <c r="E921" s="4">
        <f t="shared" ca="1" si="14"/>
        <v>134270.05128205128</v>
      </c>
    </row>
    <row r="922" spans="1:5" hidden="1" x14ac:dyDescent="0.25">
      <c r="A922">
        <v>22</v>
      </c>
      <c r="B922">
        <v>38</v>
      </c>
      <c r="C922" t="s">
        <v>21</v>
      </c>
      <c r="D922" t="s">
        <v>38</v>
      </c>
      <c r="E922" s="4">
        <f t="shared" ca="1" si="14"/>
        <v>218440.50915750914</v>
      </c>
    </row>
    <row r="923" spans="1:5" hidden="1" x14ac:dyDescent="0.25">
      <c r="A923">
        <v>22</v>
      </c>
      <c r="B923">
        <v>39</v>
      </c>
      <c r="C923" t="s">
        <v>21</v>
      </c>
      <c r="D923" t="s">
        <v>39</v>
      </c>
      <c r="E923" s="4">
        <f t="shared" ca="1" si="14"/>
        <v>199759.80952380956</v>
      </c>
    </row>
    <row r="924" spans="1:5" hidden="1" x14ac:dyDescent="0.25">
      <c r="A924">
        <v>22</v>
      </c>
      <c r="B924">
        <v>40</v>
      </c>
      <c r="C924" t="s">
        <v>21</v>
      </c>
      <c r="D924" t="s">
        <v>40</v>
      </c>
      <c r="E924" s="4">
        <f t="shared" ca="1" si="14"/>
        <v>147938.15934065936</v>
      </c>
    </row>
    <row r="925" spans="1:5" hidden="1" x14ac:dyDescent="0.25">
      <c r="A925">
        <v>23</v>
      </c>
      <c r="B925">
        <v>1</v>
      </c>
      <c r="C925" t="s">
        <v>22</v>
      </c>
      <c r="D925" t="s">
        <v>0</v>
      </c>
      <c r="E925" s="4">
        <f t="shared" ca="1" si="14"/>
        <v>153589.51282051287</v>
      </c>
    </row>
    <row r="926" spans="1:5" hidden="1" x14ac:dyDescent="0.25">
      <c r="A926">
        <v>23</v>
      </c>
      <c r="B926">
        <v>2</v>
      </c>
      <c r="C926" t="s">
        <v>22</v>
      </c>
      <c r="D926" t="s">
        <v>1</v>
      </c>
      <c r="E926" s="4">
        <f t="shared" ca="1" si="14"/>
        <v>143977.89743589747</v>
      </c>
    </row>
    <row r="927" spans="1:5" hidden="1" x14ac:dyDescent="0.25">
      <c r="A927">
        <v>23</v>
      </c>
      <c r="B927">
        <v>3</v>
      </c>
      <c r="C927" t="s">
        <v>22</v>
      </c>
      <c r="D927" t="s">
        <v>2</v>
      </c>
      <c r="E927" s="4">
        <f t="shared" ca="1" si="14"/>
        <v>147012.12820512819</v>
      </c>
    </row>
    <row r="928" spans="1:5" hidden="1" x14ac:dyDescent="0.25">
      <c r="A928">
        <v>23</v>
      </c>
      <c r="B928">
        <v>4</v>
      </c>
      <c r="C928" t="s">
        <v>22</v>
      </c>
      <c r="D928" t="s">
        <v>3</v>
      </c>
      <c r="E928" s="4">
        <f t="shared" ca="1" si="14"/>
        <v>136119.05128205128</v>
      </c>
    </row>
    <row r="929" spans="1:5" hidden="1" x14ac:dyDescent="0.25">
      <c r="A929">
        <v>23</v>
      </c>
      <c r="B929">
        <v>5</v>
      </c>
      <c r="C929" t="s">
        <v>22</v>
      </c>
      <c r="D929" t="s">
        <v>4</v>
      </c>
      <c r="E929" s="4">
        <f t="shared" ca="1" si="14"/>
        <v>167919.12820512819</v>
      </c>
    </row>
    <row r="930" spans="1:5" hidden="1" x14ac:dyDescent="0.25">
      <c r="A930">
        <v>23</v>
      </c>
      <c r="B930">
        <v>6</v>
      </c>
      <c r="C930" t="s">
        <v>22</v>
      </c>
      <c r="D930" t="s">
        <v>5</v>
      </c>
      <c r="E930" s="4">
        <f t="shared" ca="1" si="14"/>
        <v>233708.43956043967</v>
      </c>
    </row>
    <row r="931" spans="1:5" hidden="1" x14ac:dyDescent="0.25">
      <c r="A931">
        <v>23</v>
      </c>
      <c r="B931">
        <v>7</v>
      </c>
      <c r="C931" t="s">
        <v>22</v>
      </c>
      <c r="D931" t="s">
        <v>6</v>
      </c>
      <c r="E931" s="4">
        <f t="shared" ca="1" si="14"/>
        <v>167254.74358974356</v>
      </c>
    </row>
    <row r="932" spans="1:5" hidden="1" x14ac:dyDescent="0.25">
      <c r="A932">
        <v>23</v>
      </c>
      <c r="B932">
        <v>8</v>
      </c>
      <c r="C932" t="s">
        <v>22</v>
      </c>
      <c r="D932" t="s">
        <v>7</v>
      </c>
      <c r="E932" s="4">
        <f t="shared" ca="1" si="14"/>
        <v>224852.51282051267</v>
      </c>
    </row>
    <row r="933" spans="1:5" hidden="1" x14ac:dyDescent="0.25">
      <c r="A933">
        <v>23</v>
      </c>
      <c r="B933">
        <v>9</v>
      </c>
      <c r="C933" t="s">
        <v>22</v>
      </c>
      <c r="D933" t="s">
        <v>148</v>
      </c>
      <c r="E933" s="4">
        <f t="shared" ca="1" si="14"/>
        <v>675185.28846153861</v>
      </c>
    </row>
    <row r="934" spans="1:5" hidden="1" x14ac:dyDescent="0.25">
      <c r="A934">
        <v>23</v>
      </c>
      <c r="B934">
        <v>10</v>
      </c>
      <c r="C934" t="s">
        <v>22</v>
      </c>
      <c r="D934" t="s">
        <v>9</v>
      </c>
      <c r="E934" s="4">
        <f t="shared" ca="1" si="14"/>
        <v>199561.58974358978</v>
      </c>
    </row>
    <row r="935" spans="1:5" hidden="1" x14ac:dyDescent="0.25">
      <c r="A935">
        <v>23</v>
      </c>
      <c r="B935">
        <v>11</v>
      </c>
      <c r="C935" t="s">
        <v>22</v>
      </c>
      <c r="D935" t="s">
        <v>10</v>
      </c>
      <c r="E935" s="4">
        <f t="shared" ca="1" si="14"/>
        <v>202325.66666666669</v>
      </c>
    </row>
    <row r="936" spans="1:5" hidden="1" x14ac:dyDescent="0.25">
      <c r="A936">
        <v>23</v>
      </c>
      <c r="B936">
        <v>12</v>
      </c>
      <c r="C936" t="s">
        <v>22</v>
      </c>
      <c r="D936" t="s">
        <v>11</v>
      </c>
      <c r="E936" s="4">
        <f t="shared" ca="1" si="14"/>
        <v>147051.74358974356</v>
      </c>
    </row>
    <row r="937" spans="1:5" hidden="1" x14ac:dyDescent="0.25">
      <c r="A937">
        <v>23</v>
      </c>
      <c r="B937">
        <v>13</v>
      </c>
      <c r="C937" t="s">
        <v>22</v>
      </c>
      <c r="D937" t="s">
        <v>12</v>
      </c>
      <c r="E937" s="4">
        <f t="shared" ca="1" si="14"/>
        <v>128740.20512820517</v>
      </c>
    </row>
    <row r="938" spans="1:5" hidden="1" x14ac:dyDescent="0.25">
      <c r="A938">
        <v>23</v>
      </c>
      <c r="B938">
        <v>14</v>
      </c>
      <c r="C938" t="s">
        <v>22</v>
      </c>
      <c r="D938" t="s">
        <v>13</v>
      </c>
      <c r="E938" s="4">
        <f t="shared" ca="1" si="14"/>
        <v>275204.43589743564</v>
      </c>
    </row>
    <row r="939" spans="1:5" hidden="1" x14ac:dyDescent="0.25">
      <c r="A939">
        <v>23</v>
      </c>
      <c r="B939">
        <v>15</v>
      </c>
      <c r="C939" t="s">
        <v>22</v>
      </c>
      <c r="D939" t="s">
        <v>14</v>
      </c>
      <c r="E939" s="4">
        <f t="shared" ca="1" si="14"/>
        <v>397380.12820512871</v>
      </c>
    </row>
    <row r="940" spans="1:5" hidden="1" x14ac:dyDescent="0.25">
      <c r="A940">
        <v>23</v>
      </c>
      <c r="B940">
        <v>16</v>
      </c>
      <c r="C940" t="s">
        <v>22</v>
      </c>
      <c r="D940" t="s">
        <v>15</v>
      </c>
      <c r="E940" s="4">
        <f t="shared" ca="1" si="14"/>
        <v>635593.35897435865</v>
      </c>
    </row>
    <row r="941" spans="1:5" hidden="1" x14ac:dyDescent="0.25">
      <c r="A941">
        <v>23</v>
      </c>
      <c r="B941">
        <v>17</v>
      </c>
      <c r="C941" t="s">
        <v>22</v>
      </c>
      <c r="D941" t="s">
        <v>16</v>
      </c>
      <c r="E941" s="4">
        <f t="shared" ca="1" si="14"/>
        <v>280477.20512820466</v>
      </c>
    </row>
    <row r="942" spans="1:5" hidden="1" x14ac:dyDescent="0.25">
      <c r="A942">
        <v>23</v>
      </c>
      <c r="B942">
        <v>18</v>
      </c>
      <c r="C942" t="s">
        <v>22</v>
      </c>
      <c r="D942" t="s">
        <v>17</v>
      </c>
      <c r="E942" s="4">
        <f t="shared" ca="1" si="14"/>
        <v>157648.05128205128</v>
      </c>
    </row>
    <row r="943" spans="1:5" hidden="1" x14ac:dyDescent="0.25">
      <c r="A943">
        <v>23</v>
      </c>
      <c r="B943">
        <v>19</v>
      </c>
      <c r="C943" t="s">
        <v>22</v>
      </c>
      <c r="D943" t="s">
        <v>18</v>
      </c>
      <c r="E943" s="4">
        <f t="shared" ca="1" si="14"/>
        <v>196367.05128205125</v>
      </c>
    </row>
    <row r="944" spans="1:5" hidden="1" x14ac:dyDescent="0.25">
      <c r="A944">
        <v>23</v>
      </c>
      <c r="B944">
        <v>20</v>
      </c>
      <c r="C944" t="s">
        <v>22</v>
      </c>
      <c r="D944" t="s">
        <v>19</v>
      </c>
      <c r="E944" s="4">
        <f t="shared" ca="1" si="14"/>
        <v>168182.33333333337</v>
      </c>
    </row>
    <row r="945" spans="1:5" hidden="1" x14ac:dyDescent="0.25">
      <c r="A945">
        <v>23</v>
      </c>
      <c r="B945">
        <v>21</v>
      </c>
      <c r="C945" t="s">
        <v>22</v>
      </c>
      <c r="D945" t="s">
        <v>20</v>
      </c>
      <c r="E945" s="4">
        <f t="shared" ca="1" si="14"/>
        <v>212333.99999999965</v>
      </c>
    </row>
    <row r="946" spans="1:5" hidden="1" x14ac:dyDescent="0.25">
      <c r="A946">
        <v>23</v>
      </c>
      <c r="B946">
        <v>22</v>
      </c>
      <c r="C946" t="s">
        <v>22</v>
      </c>
      <c r="D946" t="s">
        <v>21</v>
      </c>
      <c r="E946" s="4">
        <f t="shared" ca="1" si="14"/>
        <v>231460.99999999965</v>
      </c>
    </row>
    <row r="947" spans="1:5" hidden="1" x14ac:dyDescent="0.25">
      <c r="A947">
        <v>23</v>
      </c>
      <c r="B947">
        <v>23</v>
      </c>
      <c r="C947" t="s">
        <v>22</v>
      </c>
      <c r="D947" t="s">
        <v>22</v>
      </c>
      <c r="E947" s="4">
        <f t="shared" ca="1" si="14"/>
        <v>0</v>
      </c>
    </row>
    <row r="948" spans="1:5" hidden="1" x14ac:dyDescent="0.25">
      <c r="A948">
        <v>23</v>
      </c>
      <c r="B948">
        <v>24</v>
      </c>
      <c r="C948" t="s">
        <v>22</v>
      </c>
      <c r="D948" t="s">
        <v>23</v>
      </c>
      <c r="E948" s="4">
        <f t="shared" ca="1" si="14"/>
        <v>172669.33333333337</v>
      </c>
    </row>
    <row r="949" spans="1:5" hidden="1" x14ac:dyDescent="0.25">
      <c r="A949">
        <v>23</v>
      </c>
      <c r="B949">
        <v>25</v>
      </c>
      <c r="C949" t="s">
        <v>22</v>
      </c>
      <c r="D949" t="s">
        <v>24</v>
      </c>
      <c r="E949" s="4">
        <f t="shared" ca="1" si="14"/>
        <v>165616.99999999997</v>
      </c>
    </row>
    <row r="950" spans="1:5" hidden="1" x14ac:dyDescent="0.25">
      <c r="A950">
        <v>23</v>
      </c>
      <c r="B950">
        <v>26</v>
      </c>
      <c r="C950" t="s">
        <v>22</v>
      </c>
      <c r="D950" t="s">
        <v>25</v>
      </c>
      <c r="E950" s="4">
        <f t="shared" ca="1" si="14"/>
        <v>151690.66666666669</v>
      </c>
    </row>
    <row r="951" spans="1:5" hidden="1" x14ac:dyDescent="0.25">
      <c r="A951">
        <v>23</v>
      </c>
      <c r="B951">
        <v>27</v>
      </c>
      <c r="C951" t="s">
        <v>22</v>
      </c>
      <c r="D951" t="s">
        <v>145</v>
      </c>
      <c r="E951" s="4">
        <f t="shared" ca="1" si="14"/>
        <v>521623.76666666666</v>
      </c>
    </row>
    <row r="952" spans="1:5" hidden="1" x14ac:dyDescent="0.25">
      <c r="A952">
        <v>23</v>
      </c>
      <c r="B952">
        <v>28</v>
      </c>
      <c r="C952" t="s">
        <v>22</v>
      </c>
      <c r="D952" t="s">
        <v>147</v>
      </c>
      <c r="E952" s="4">
        <f t="shared" ca="1" si="14"/>
        <v>466402.06666666671</v>
      </c>
    </row>
    <row r="953" spans="1:5" hidden="1" x14ac:dyDescent="0.25">
      <c r="A953">
        <v>23</v>
      </c>
      <c r="B953">
        <v>29</v>
      </c>
      <c r="C953" t="s">
        <v>22</v>
      </c>
      <c r="D953" t="s">
        <v>146</v>
      </c>
      <c r="E953" s="4">
        <f t="shared" ca="1" si="14"/>
        <v>334551.76666666666</v>
      </c>
    </row>
    <row r="954" spans="1:5" hidden="1" x14ac:dyDescent="0.25">
      <c r="A954">
        <v>23</v>
      </c>
      <c r="B954">
        <v>30</v>
      </c>
      <c r="C954" t="s">
        <v>22</v>
      </c>
      <c r="D954" t="s">
        <v>30</v>
      </c>
      <c r="E954" s="4">
        <f t="shared" ca="1" si="14"/>
        <v>129303.35897435897</v>
      </c>
    </row>
    <row r="955" spans="1:5" hidden="1" x14ac:dyDescent="0.25">
      <c r="A955">
        <v>23</v>
      </c>
      <c r="B955">
        <v>31</v>
      </c>
      <c r="C955" t="s">
        <v>22</v>
      </c>
      <c r="D955" t="s">
        <v>31</v>
      </c>
      <c r="E955" s="4">
        <f t="shared" ca="1" si="14"/>
        <v>154850.16666666669</v>
      </c>
    </row>
    <row r="956" spans="1:5" hidden="1" x14ac:dyDescent="0.25">
      <c r="A956">
        <v>23</v>
      </c>
      <c r="B956">
        <v>32</v>
      </c>
      <c r="C956" t="s">
        <v>22</v>
      </c>
      <c r="D956" t="s">
        <v>32</v>
      </c>
      <c r="E956" s="4">
        <f t="shared" ca="1" si="14"/>
        <v>204560.38974358977</v>
      </c>
    </row>
    <row r="957" spans="1:5" hidden="1" x14ac:dyDescent="0.25">
      <c r="A957">
        <v>23</v>
      </c>
      <c r="B957">
        <v>33</v>
      </c>
      <c r="C957" t="s">
        <v>22</v>
      </c>
      <c r="D957" t="s">
        <v>33</v>
      </c>
      <c r="E957" s="4">
        <f t="shared" ca="1" si="14"/>
        <v>372122.05555555568</v>
      </c>
    </row>
    <row r="958" spans="1:5" hidden="1" x14ac:dyDescent="0.25">
      <c r="A958">
        <v>23</v>
      </c>
      <c r="B958">
        <v>34</v>
      </c>
      <c r="C958" t="s">
        <v>22</v>
      </c>
      <c r="D958" t="s">
        <v>34</v>
      </c>
      <c r="E958" s="4">
        <f t="shared" ca="1" si="14"/>
        <v>120532.20512820517</v>
      </c>
    </row>
    <row r="959" spans="1:5" hidden="1" x14ac:dyDescent="0.25">
      <c r="A959">
        <v>23</v>
      </c>
      <c r="B959">
        <v>35</v>
      </c>
      <c r="C959" t="s">
        <v>22</v>
      </c>
      <c r="D959" t="s">
        <v>35</v>
      </c>
      <c r="E959" s="4">
        <f t="shared" ca="1" si="14"/>
        <v>196378.58974358978</v>
      </c>
    </row>
    <row r="960" spans="1:5" hidden="1" x14ac:dyDescent="0.25">
      <c r="A960">
        <v>23</v>
      </c>
      <c r="B960">
        <v>36</v>
      </c>
      <c r="C960" t="s">
        <v>22</v>
      </c>
      <c r="D960" t="s">
        <v>36</v>
      </c>
      <c r="E960" s="4">
        <f t="shared" ca="1" si="14"/>
        <v>191194.09340659337</v>
      </c>
    </row>
    <row r="961" spans="1:5" hidden="1" x14ac:dyDescent="0.25">
      <c r="A961">
        <v>23</v>
      </c>
      <c r="B961">
        <v>37</v>
      </c>
      <c r="C961" t="s">
        <v>22</v>
      </c>
      <c r="D961" t="s">
        <v>37</v>
      </c>
      <c r="E961" s="4">
        <f t="shared" ca="1" si="14"/>
        <v>112171.0512820513</v>
      </c>
    </row>
    <row r="962" spans="1:5" hidden="1" x14ac:dyDescent="0.25">
      <c r="A962">
        <v>23</v>
      </c>
      <c r="B962">
        <v>38</v>
      </c>
      <c r="C962" t="s">
        <v>22</v>
      </c>
      <c r="D962" t="s">
        <v>38</v>
      </c>
      <c r="E962" s="4">
        <f t="shared" ca="1" si="14"/>
        <v>196341.50915750916</v>
      </c>
    </row>
    <row r="963" spans="1:5" hidden="1" x14ac:dyDescent="0.25">
      <c r="A963">
        <v>23</v>
      </c>
      <c r="B963">
        <v>39</v>
      </c>
      <c r="C963" t="s">
        <v>22</v>
      </c>
      <c r="D963" t="s">
        <v>39</v>
      </c>
      <c r="E963" s="4">
        <f t="shared" ca="1" si="14"/>
        <v>177660.80952380958</v>
      </c>
    </row>
    <row r="964" spans="1:5" hidden="1" x14ac:dyDescent="0.25">
      <c r="A964">
        <v>23</v>
      </c>
      <c r="B964">
        <v>40</v>
      </c>
      <c r="C964" t="s">
        <v>22</v>
      </c>
      <c r="D964" t="s">
        <v>40</v>
      </c>
      <c r="E964" s="4">
        <f t="shared" ca="1" si="14"/>
        <v>125839.15934065937</v>
      </c>
    </row>
    <row r="965" spans="1:5" hidden="1" x14ac:dyDescent="0.25">
      <c r="A965">
        <v>24</v>
      </c>
      <c r="B965">
        <v>1</v>
      </c>
      <c r="C965" t="s">
        <v>23</v>
      </c>
      <c r="D965" t="s">
        <v>0</v>
      </c>
      <c r="E965" s="4">
        <f t="shared" ca="1" si="14"/>
        <v>130609.8461538462</v>
      </c>
    </row>
    <row r="966" spans="1:5" hidden="1" x14ac:dyDescent="0.25">
      <c r="A966">
        <v>24</v>
      </c>
      <c r="B966">
        <v>2</v>
      </c>
      <c r="C966" t="s">
        <v>23</v>
      </c>
      <c r="D966" t="s">
        <v>1</v>
      </c>
      <c r="E966" s="4">
        <f t="shared" ca="1" si="14"/>
        <v>120998.23076923081</v>
      </c>
    </row>
    <row r="967" spans="1:5" hidden="1" x14ac:dyDescent="0.25">
      <c r="A967">
        <v>24</v>
      </c>
      <c r="B967">
        <v>3</v>
      </c>
      <c r="C967" t="s">
        <v>23</v>
      </c>
      <c r="D967" t="s">
        <v>2</v>
      </c>
      <c r="E967" s="4">
        <f t="shared" ca="1" si="14"/>
        <v>124032.4615384615</v>
      </c>
    </row>
    <row r="968" spans="1:5" hidden="1" x14ac:dyDescent="0.25">
      <c r="A968">
        <v>24</v>
      </c>
      <c r="B968">
        <v>4</v>
      </c>
      <c r="C968" t="s">
        <v>23</v>
      </c>
      <c r="D968" t="s">
        <v>3</v>
      </c>
      <c r="E968" s="4">
        <f t="shared" ca="1" si="14"/>
        <v>113139.3846153846</v>
      </c>
    </row>
    <row r="969" spans="1:5" hidden="1" x14ac:dyDescent="0.25">
      <c r="A969">
        <v>24</v>
      </c>
      <c r="B969">
        <v>5</v>
      </c>
      <c r="C969" t="s">
        <v>23</v>
      </c>
      <c r="D969" t="s">
        <v>4</v>
      </c>
      <c r="E969" s="4">
        <f t="shared" ca="1" si="14"/>
        <v>144939.4615384615</v>
      </c>
    </row>
    <row r="970" spans="1:5" hidden="1" x14ac:dyDescent="0.25">
      <c r="A970">
        <v>24</v>
      </c>
      <c r="B970">
        <v>6</v>
      </c>
      <c r="C970" t="s">
        <v>23</v>
      </c>
      <c r="D970" t="s">
        <v>5</v>
      </c>
      <c r="E970" s="4">
        <f t="shared" ca="1" si="14"/>
        <v>210728.77289377298</v>
      </c>
    </row>
    <row r="971" spans="1:5" hidden="1" x14ac:dyDescent="0.25">
      <c r="A971">
        <v>24</v>
      </c>
      <c r="B971">
        <v>7</v>
      </c>
      <c r="C971" t="s">
        <v>23</v>
      </c>
      <c r="D971" t="s">
        <v>6</v>
      </c>
      <c r="E971" s="4">
        <f t="shared" ca="1" si="14"/>
        <v>144275.07692307691</v>
      </c>
    </row>
    <row r="972" spans="1:5" hidden="1" x14ac:dyDescent="0.25">
      <c r="A972">
        <v>24</v>
      </c>
      <c r="B972">
        <v>8</v>
      </c>
      <c r="C972" t="s">
        <v>23</v>
      </c>
      <c r="D972" t="s">
        <v>7</v>
      </c>
      <c r="E972" s="4">
        <f t="shared" ca="1" si="14"/>
        <v>201872.84615384601</v>
      </c>
    </row>
    <row r="973" spans="1:5" hidden="1" x14ac:dyDescent="0.25">
      <c r="A973">
        <v>24</v>
      </c>
      <c r="B973">
        <v>9</v>
      </c>
      <c r="C973" t="s">
        <v>23</v>
      </c>
      <c r="D973" t="s">
        <v>148</v>
      </c>
      <c r="E973" s="4">
        <f t="shared" ca="1" si="14"/>
        <v>652205.62179487199</v>
      </c>
    </row>
    <row r="974" spans="1:5" hidden="1" x14ac:dyDescent="0.25">
      <c r="A974">
        <v>24</v>
      </c>
      <c r="B974">
        <v>10</v>
      </c>
      <c r="C974" t="s">
        <v>23</v>
      </c>
      <c r="D974" t="s">
        <v>9</v>
      </c>
      <c r="E974" s="4">
        <f t="shared" ca="1" si="14"/>
        <v>176581.92307692312</v>
      </c>
    </row>
    <row r="975" spans="1:5" hidden="1" x14ac:dyDescent="0.25">
      <c r="A975">
        <v>24</v>
      </c>
      <c r="B975">
        <v>11</v>
      </c>
      <c r="C975" t="s">
        <v>23</v>
      </c>
      <c r="D975" t="s">
        <v>10</v>
      </c>
      <c r="E975" s="4">
        <f t="shared" ca="1" si="14"/>
        <v>179346</v>
      </c>
    </row>
    <row r="976" spans="1:5" hidden="1" x14ac:dyDescent="0.25">
      <c r="A976">
        <v>24</v>
      </c>
      <c r="B976">
        <v>12</v>
      </c>
      <c r="C976" t="s">
        <v>23</v>
      </c>
      <c r="D976" t="s">
        <v>11</v>
      </c>
      <c r="E976" s="4">
        <f t="shared" ca="1" si="14"/>
        <v>124072.07692307691</v>
      </c>
    </row>
    <row r="977" spans="1:5" hidden="1" x14ac:dyDescent="0.25">
      <c r="A977">
        <v>24</v>
      </c>
      <c r="B977">
        <v>13</v>
      </c>
      <c r="C977" t="s">
        <v>23</v>
      </c>
      <c r="D977" t="s">
        <v>12</v>
      </c>
      <c r="E977" s="4">
        <f t="shared" ca="1" si="14"/>
        <v>105760.5384615385</v>
      </c>
    </row>
    <row r="978" spans="1:5" hidden="1" x14ac:dyDescent="0.25">
      <c r="A978">
        <v>24</v>
      </c>
      <c r="B978">
        <v>14</v>
      </c>
      <c r="C978" t="s">
        <v>23</v>
      </c>
      <c r="D978" t="s">
        <v>13</v>
      </c>
      <c r="E978" s="4">
        <f t="shared" ca="1" si="14"/>
        <v>252224.76923076899</v>
      </c>
    </row>
    <row r="979" spans="1:5" hidden="1" x14ac:dyDescent="0.25">
      <c r="A979">
        <v>24</v>
      </c>
      <c r="B979">
        <v>15</v>
      </c>
      <c r="C979" t="s">
        <v>23</v>
      </c>
      <c r="D979" t="s">
        <v>14</v>
      </c>
      <c r="E979" s="4">
        <f t="shared" ca="1" si="14"/>
        <v>374400.46153846203</v>
      </c>
    </row>
    <row r="980" spans="1:5" hidden="1" x14ac:dyDescent="0.25">
      <c r="A980">
        <v>24</v>
      </c>
      <c r="B980">
        <v>16</v>
      </c>
      <c r="C980" t="s">
        <v>23</v>
      </c>
      <c r="D980" t="s">
        <v>15</v>
      </c>
      <c r="E980" s="4">
        <f t="shared" ca="1" si="14"/>
        <v>612613.69230769202</v>
      </c>
    </row>
    <row r="981" spans="1:5" hidden="1" x14ac:dyDescent="0.25">
      <c r="A981">
        <v>24</v>
      </c>
      <c r="B981">
        <v>17</v>
      </c>
      <c r="C981" t="s">
        <v>23</v>
      </c>
      <c r="D981" t="s">
        <v>16</v>
      </c>
      <c r="E981" s="4">
        <f t="shared" ca="1" si="14"/>
        <v>257497.538461538</v>
      </c>
    </row>
    <row r="982" spans="1:5" hidden="1" x14ac:dyDescent="0.25">
      <c r="A982">
        <v>24</v>
      </c>
      <c r="B982">
        <v>18</v>
      </c>
      <c r="C982" t="s">
        <v>23</v>
      </c>
      <c r="D982" t="s">
        <v>17</v>
      </c>
      <c r="E982" s="4">
        <f t="shared" ca="1" si="14"/>
        <v>134668.3846153846</v>
      </c>
    </row>
    <row r="983" spans="1:5" hidden="1" x14ac:dyDescent="0.25">
      <c r="A983">
        <v>24</v>
      </c>
      <c r="B983">
        <v>19</v>
      </c>
      <c r="C983" t="s">
        <v>23</v>
      </c>
      <c r="D983" t="s">
        <v>18</v>
      </c>
      <c r="E983" s="4">
        <f t="shared" ref="E983:E1044" ca="1" si="15">OFFSET($B$2,A983,B983)</f>
        <v>173387.3846153846</v>
      </c>
    </row>
    <row r="984" spans="1:5" hidden="1" x14ac:dyDescent="0.25">
      <c r="A984">
        <v>24</v>
      </c>
      <c r="B984">
        <v>20</v>
      </c>
      <c r="C984" t="s">
        <v>23</v>
      </c>
      <c r="D984" t="s">
        <v>19</v>
      </c>
      <c r="E984" s="4">
        <f t="shared" ca="1" si="15"/>
        <v>145202.66666666669</v>
      </c>
    </row>
    <row r="985" spans="1:5" hidden="1" x14ac:dyDescent="0.25">
      <c r="A985">
        <v>24</v>
      </c>
      <c r="B985">
        <v>21</v>
      </c>
      <c r="C985" t="s">
        <v>23</v>
      </c>
      <c r="D985" t="s">
        <v>20</v>
      </c>
      <c r="E985" s="4">
        <f t="shared" ca="1" si="15"/>
        <v>189354.33333333299</v>
      </c>
    </row>
    <row r="986" spans="1:5" hidden="1" x14ac:dyDescent="0.25">
      <c r="A986">
        <v>24</v>
      </c>
      <c r="B986">
        <v>22</v>
      </c>
      <c r="C986" t="s">
        <v>23</v>
      </c>
      <c r="D986" t="s">
        <v>21</v>
      </c>
      <c r="E986" s="4">
        <f t="shared" ca="1" si="15"/>
        <v>208481.33333333299</v>
      </c>
    </row>
    <row r="987" spans="1:5" hidden="1" x14ac:dyDescent="0.25">
      <c r="A987">
        <v>24</v>
      </c>
      <c r="B987">
        <v>23</v>
      </c>
      <c r="C987" t="s">
        <v>23</v>
      </c>
      <c r="D987" t="s">
        <v>22</v>
      </c>
      <c r="E987" s="4">
        <f t="shared" ca="1" si="15"/>
        <v>192217.66666666701</v>
      </c>
    </row>
    <row r="988" spans="1:5" hidden="1" x14ac:dyDescent="0.25">
      <c r="A988">
        <v>24</v>
      </c>
      <c r="B988">
        <v>24</v>
      </c>
      <c r="C988" t="s">
        <v>23</v>
      </c>
      <c r="D988" t="s">
        <v>23</v>
      </c>
      <c r="E988" s="4">
        <f t="shared" ca="1" si="15"/>
        <v>0</v>
      </c>
    </row>
    <row r="989" spans="1:5" hidden="1" x14ac:dyDescent="0.25">
      <c r="A989">
        <v>24</v>
      </c>
      <c r="B989">
        <v>25</v>
      </c>
      <c r="C989" t="s">
        <v>23</v>
      </c>
      <c r="D989" t="s">
        <v>24</v>
      </c>
      <c r="E989" s="4">
        <f t="shared" ca="1" si="15"/>
        <v>142637.33333333331</v>
      </c>
    </row>
    <row r="990" spans="1:5" hidden="1" x14ac:dyDescent="0.25">
      <c r="A990">
        <v>24</v>
      </c>
      <c r="B990">
        <v>26</v>
      </c>
      <c r="C990" t="s">
        <v>23</v>
      </c>
      <c r="D990" t="s">
        <v>25</v>
      </c>
      <c r="E990" s="4">
        <f t="shared" ca="1" si="15"/>
        <v>128711</v>
      </c>
    </row>
    <row r="991" spans="1:5" hidden="1" x14ac:dyDescent="0.25">
      <c r="A991">
        <v>24</v>
      </c>
      <c r="B991">
        <v>27</v>
      </c>
      <c r="C991" t="s">
        <v>23</v>
      </c>
      <c r="D991" t="s">
        <v>145</v>
      </c>
      <c r="E991" s="4">
        <f t="shared" ca="1" si="15"/>
        <v>498644.1</v>
      </c>
    </row>
    <row r="992" spans="1:5" hidden="1" x14ac:dyDescent="0.25">
      <c r="A992">
        <v>24</v>
      </c>
      <c r="B992">
        <v>28</v>
      </c>
      <c r="C992" t="s">
        <v>23</v>
      </c>
      <c r="D992" t="s">
        <v>147</v>
      </c>
      <c r="E992" s="4">
        <f t="shared" ca="1" si="15"/>
        <v>443422.4</v>
      </c>
    </row>
    <row r="993" spans="1:5" hidden="1" x14ac:dyDescent="0.25">
      <c r="A993">
        <v>24</v>
      </c>
      <c r="B993">
        <v>29</v>
      </c>
      <c r="C993" t="s">
        <v>23</v>
      </c>
      <c r="D993" t="s">
        <v>146</v>
      </c>
      <c r="E993" s="4">
        <f t="shared" ca="1" si="15"/>
        <v>311572.09999999998</v>
      </c>
    </row>
    <row r="994" spans="1:5" hidden="1" x14ac:dyDescent="0.25">
      <c r="A994">
        <v>24</v>
      </c>
      <c r="B994">
        <v>30</v>
      </c>
      <c r="C994" t="s">
        <v>23</v>
      </c>
      <c r="D994" t="s">
        <v>30</v>
      </c>
      <c r="E994" s="4">
        <f t="shared" ca="1" si="15"/>
        <v>106323.6923076923</v>
      </c>
    </row>
    <row r="995" spans="1:5" hidden="1" x14ac:dyDescent="0.25">
      <c r="A995">
        <v>24</v>
      </c>
      <c r="B995">
        <v>31</v>
      </c>
      <c r="C995" t="s">
        <v>23</v>
      </c>
      <c r="D995" t="s">
        <v>31</v>
      </c>
      <c r="E995" s="4">
        <f t="shared" ca="1" si="15"/>
        <v>131870.5</v>
      </c>
    </row>
    <row r="996" spans="1:5" hidden="1" x14ac:dyDescent="0.25">
      <c r="A996">
        <v>24</v>
      </c>
      <c r="B996">
        <v>32</v>
      </c>
      <c r="C996" t="s">
        <v>23</v>
      </c>
      <c r="D996" t="s">
        <v>32</v>
      </c>
      <c r="E996" s="4">
        <f t="shared" ca="1" si="15"/>
        <v>181580.72307692311</v>
      </c>
    </row>
    <row r="997" spans="1:5" hidden="1" x14ac:dyDescent="0.25">
      <c r="A997">
        <v>24</v>
      </c>
      <c r="B997">
        <v>33</v>
      </c>
      <c r="C997" t="s">
        <v>23</v>
      </c>
      <c r="D997" t="s">
        <v>33</v>
      </c>
      <c r="E997" s="4">
        <f t="shared" ca="1" si="15"/>
        <v>349142.38888888899</v>
      </c>
    </row>
    <row r="998" spans="1:5" hidden="1" x14ac:dyDescent="0.25">
      <c r="A998">
        <v>24</v>
      </c>
      <c r="B998">
        <v>34</v>
      </c>
      <c r="C998" t="s">
        <v>23</v>
      </c>
      <c r="D998" t="s">
        <v>34</v>
      </c>
      <c r="E998" s="4">
        <f t="shared" ca="1" si="15"/>
        <v>97552.538461538497</v>
      </c>
    </row>
    <row r="999" spans="1:5" hidden="1" x14ac:dyDescent="0.25">
      <c r="A999">
        <v>24</v>
      </c>
      <c r="B999">
        <v>35</v>
      </c>
      <c r="C999" t="s">
        <v>23</v>
      </c>
      <c r="D999" t="s">
        <v>35</v>
      </c>
      <c r="E999" s="4">
        <f t="shared" ca="1" si="15"/>
        <v>173398.92307692312</v>
      </c>
    </row>
    <row r="1000" spans="1:5" hidden="1" x14ac:dyDescent="0.25">
      <c r="A1000">
        <v>24</v>
      </c>
      <c r="B1000">
        <v>36</v>
      </c>
      <c r="C1000" t="s">
        <v>23</v>
      </c>
      <c r="D1000" t="s">
        <v>36</v>
      </c>
      <c r="E1000" s="4">
        <f t="shared" ca="1" si="15"/>
        <v>168214.42673992668</v>
      </c>
    </row>
    <row r="1001" spans="1:5" hidden="1" x14ac:dyDescent="0.25">
      <c r="A1001">
        <v>24</v>
      </c>
      <c r="B1001">
        <v>37</v>
      </c>
      <c r="C1001" t="s">
        <v>23</v>
      </c>
      <c r="D1001" t="s">
        <v>37</v>
      </c>
      <c r="E1001" s="4">
        <f t="shared" ca="1" si="15"/>
        <v>89191.384615384624</v>
      </c>
    </row>
    <row r="1002" spans="1:5" hidden="1" x14ac:dyDescent="0.25">
      <c r="A1002">
        <v>24</v>
      </c>
      <c r="B1002">
        <v>38</v>
      </c>
      <c r="C1002" t="s">
        <v>23</v>
      </c>
      <c r="D1002" t="s">
        <v>38</v>
      </c>
      <c r="E1002" s="4">
        <f t="shared" ca="1" si="15"/>
        <v>173361.84249084251</v>
      </c>
    </row>
    <row r="1003" spans="1:5" hidden="1" x14ac:dyDescent="0.25">
      <c r="A1003">
        <v>24</v>
      </c>
      <c r="B1003">
        <v>39</v>
      </c>
      <c r="C1003" t="s">
        <v>23</v>
      </c>
      <c r="D1003" t="s">
        <v>39</v>
      </c>
      <c r="E1003" s="4">
        <f t="shared" ca="1" si="15"/>
        <v>154681.1428571429</v>
      </c>
    </row>
    <row r="1004" spans="1:5" hidden="1" x14ac:dyDescent="0.25">
      <c r="A1004">
        <v>24</v>
      </c>
      <c r="B1004">
        <v>40</v>
      </c>
      <c r="C1004" t="s">
        <v>23</v>
      </c>
      <c r="D1004" t="s">
        <v>40</v>
      </c>
      <c r="E1004" s="4">
        <f t="shared" ca="1" si="15"/>
        <v>102859.4926739927</v>
      </c>
    </row>
    <row r="1005" spans="1:5" hidden="1" x14ac:dyDescent="0.25">
      <c r="A1005">
        <v>25</v>
      </c>
      <c r="B1005">
        <v>1</v>
      </c>
      <c r="C1005" t="s">
        <v>24</v>
      </c>
      <c r="D1005" t="s">
        <v>0</v>
      </c>
      <c r="E1005" s="4">
        <f t="shared" ca="1" si="15"/>
        <v>113564.17948717953</v>
      </c>
    </row>
    <row r="1006" spans="1:5" hidden="1" x14ac:dyDescent="0.25">
      <c r="A1006">
        <v>25</v>
      </c>
      <c r="B1006">
        <v>2</v>
      </c>
      <c r="C1006" t="s">
        <v>24</v>
      </c>
      <c r="D1006" t="s">
        <v>1</v>
      </c>
      <c r="E1006" s="4">
        <f t="shared" ca="1" si="15"/>
        <v>103952.56410256412</v>
      </c>
    </row>
    <row r="1007" spans="1:5" hidden="1" x14ac:dyDescent="0.25">
      <c r="A1007">
        <v>25</v>
      </c>
      <c r="B1007">
        <v>3</v>
      </c>
      <c r="C1007" t="s">
        <v>24</v>
      </c>
      <c r="D1007" t="s">
        <v>2</v>
      </c>
      <c r="E1007" s="4">
        <f t="shared" ca="1" si="15"/>
        <v>106986.79487179483</v>
      </c>
    </row>
    <row r="1008" spans="1:5" hidden="1" x14ac:dyDescent="0.25">
      <c r="A1008">
        <v>25</v>
      </c>
      <c r="B1008">
        <v>4</v>
      </c>
      <c r="C1008" t="s">
        <v>24</v>
      </c>
      <c r="D1008" t="s">
        <v>3</v>
      </c>
      <c r="E1008" s="4">
        <f t="shared" ca="1" si="15"/>
        <v>96093.717948717924</v>
      </c>
    </row>
    <row r="1009" spans="1:5" hidden="1" x14ac:dyDescent="0.25">
      <c r="A1009">
        <v>25</v>
      </c>
      <c r="B1009">
        <v>5</v>
      </c>
      <c r="C1009" t="s">
        <v>24</v>
      </c>
      <c r="D1009" t="s">
        <v>4</v>
      </c>
      <c r="E1009" s="4">
        <f t="shared" ca="1" si="15"/>
        <v>127893.79487179483</v>
      </c>
    </row>
    <row r="1010" spans="1:5" hidden="1" x14ac:dyDescent="0.25">
      <c r="A1010">
        <v>25</v>
      </c>
      <c r="B1010">
        <v>6</v>
      </c>
      <c r="C1010" t="s">
        <v>24</v>
      </c>
      <c r="D1010" t="s">
        <v>5</v>
      </c>
      <c r="E1010" s="4">
        <f t="shared" ca="1" si="15"/>
        <v>193683.10622710633</v>
      </c>
    </row>
    <row r="1011" spans="1:5" hidden="1" x14ac:dyDescent="0.25">
      <c r="A1011">
        <v>25</v>
      </c>
      <c r="B1011">
        <v>7</v>
      </c>
      <c r="C1011" t="s">
        <v>24</v>
      </c>
      <c r="D1011" t="s">
        <v>6</v>
      </c>
      <c r="E1011" s="4">
        <f t="shared" ca="1" si="15"/>
        <v>127229.41025641022</v>
      </c>
    </row>
    <row r="1012" spans="1:5" hidden="1" x14ac:dyDescent="0.25">
      <c r="A1012">
        <v>25</v>
      </c>
      <c r="B1012">
        <v>8</v>
      </c>
      <c r="C1012" t="s">
        <v>24</v>
      </c>
      <c r="D1012" t="s">
        <v>7</v>
      </c>
      <c r="E1012" s="4">
        <f t="shared" ca="1" si="15"/>
        <v>184827.17948717932</v>
      </c>
    </row>
    <row r="1013" spans="1:5" hidden="1" x14ac:dyDescent="0.25">
      <c r="A1013">
        <v>25</v>
      </c>
      <c r="B1013">
        <v>9</v>
      </c>
      <c r="C1013" t="s">
        <v>24</v>
      </c>
      <c r="D1013" t="s">
        <v>148</v>
      </c>
      <c r="E1013" s="4">
        <f t="shared" ca="1" si="15"/>
        <v>635159.95512820536</v>
      </c>
    </row>
    <row r="1014" spans="1:5" hidden="1" x14ac:dyDescent="0.25">
      <c r="A1014">
        <v>25</v>
      </c>
      <c r="B1014">
        <v>10</v>
      </c>
      <c r="C1014" t="s">
        <v>24</v>
      </c>
      <c r="D1014" t="s">
        <v>9</v>
      </c>
      <c r="E1014" s="4">
        <f t="shared" ca="1" si="15"/>
        <v>159536.25641025644</v>
      </c>
    </row>
    <row r="1015" spans="1:5" hidden="1" x14ac:dyDescent="0.25">
      <c r="A1015">
        <v>25</v>
      </c>
      <c r="B1015">
        <v>11</v>
      </c>
      <c r="C1015" t="s">
        <v>24</v>
      </c>
      <c r="D1015" t="s">
        <v>10</v>
      </c>
      <c r="E1015" s="4">
        <f t="shared" ca="1" si="15"/>
        <v>162300.33333333331</v>
      </c>
    </row>
    <row r="1016" spans="1:5" hidden="1" x14ac:dyDescent="0.25">
      <c r="A1016">
        <v>25</v>
      </c>
      <c r="B1016">
        <v>12</v>
      </c>
      <c r="C1016" t="s">
        <v>24</v>
      </c>
      <c r="D1016" t="s">
        <v>11</v>
      </c>
      <c r="E1016" s="4">
        <f t="shared" ca="1" si="15"/>
        <v>107026.41025641022</v>
      </c>
    </row>
    <row r="1017" spans="1:5" hidden="1" x14ac:dyDescent="0.25">
      <c r="A1017">
        <v>25</v>
      </c>
      <c r="B1017">
        <v>13</v>
      </c>
      <c r="C1017" t="s">
        <v>24</v>
      </c>
      <c r="D1017" t="s">
        <v>12</v>
      </c>
      <c r="E1017" s="4">
        <f t="shared" ca="1" si="15"/>
        <v>88714.871794871826</v>
      </c>
    </row>
    <row r="1018" spans="1:5" hidden="1" x14ac:dyDescent="0.25">
      <c r="A1018">
        <v>25</v>
      </c>
      <c r="B1018">
        <v>14</v>
      </c>
      <c r="C1018" t="s">
        <v>24</v>
      </c>
      <c r="D1018" t="s">
        <v>13</v>
      </c>
      <c r="E1018" s="4">
        <f t="shared" ca="1" si="15"/>
        <v>235179.10256410233</v>
      </c>
    </row>
    <row r="1019" spans="1:5" hidden="1" x14ac:dyDescent="0.25">
      <c r="A1019">
        <v>25</v>
      </c>
      <c r="B1019">
        <v>15</v>
      </c>
      <c r="C1019" t="s">
        <v>24</v>
      </c>
      <c r="D1019" t="s">
        <v>14</v>
      </c>
      <c r="E1019" s="4">
        <f t="shared" ca="1" si="15"/>
        <v>357354.79487179534</v>
      </c>
    </row>
    <row r="1020" spans="1:5" hidden="1" x14ac:dyDescent="0.25">
      <c r="A1020">
        <v>25</v>
      </c>
      <c r="B1020">
        <v>16</v>
      </c>
      <c r="C1020" t="s">
        <v>24</v>
      </c>
      <c r="D1020" t="s">
        <v>15</v>
      </c>
      <c r="E1020" s="4">
        <f t="shared" ca="1" si="15"/>
        <v>595568.02564102539</v>
      </c>
    </row>
    <row r="1021" spans="1:5" hidden="1" x14ac:dyDescent="0.25">
      <c r="A1021">
        <v>25</v>
      </c>
      <c r="B1021">
        <v>17</v>
      </c>
      <c r="C1021" t="s">
        <v>24</v>
      </c>
      <c r="D1021" t="s">
        <v>16</v>
      </c>
      <c r="E1021" s="4">
        <f t="shared" ca="1" si="15"/>
        <v>240451.87179487135</v>
      </c>
    </row>
    <row r="1022" spans="1:5" hidden="1" x14ac:dyDescent="0.25">
      <c r="A1022">
        <v>25</v>
      </c>
      <c r="B1022">
        <v>18</v>
      </c>
      <c r="C1022" t="s">
        <v>24</v>
      </c>
      <c r="D1022" t="s">
        <v>17</v>
      </c>
      <c r="E1022" s="4">
        <f t="shared" ca="1" si="15"/>
        <v>117622.71794871794</v>
      </c>
    </row>
    <row r="1023" spans="1:5" hidden="1" x14ac:dyDescent="0.25">
      <c r="A1023">
        <v>25</v>
      </c>
      <c r="B1023">
        <v>19</v>
      </c>
      <c r="C1023" t="s">
        <v>24</v>
      </c>
      <c r="D1023" t="s">
        <v>18</v>
      </c>
      <c r="E1023" s="4">
        <f t="shared" ca="1" si="15"/>
        <v>156341.71794871794</v>
      </c>
    </row>
    <row r="1024" spans="1:5" hidden="1" x14ac:dyDescent="0.25">
      <c r="A1024">
        <v>25</v>
      </c>
      <c r="B1024">
        <v>20</v>
      </c>
      <c r="C1024" t="s">
        <v>24</v>
      </c>
      <c r="D1024" t="s">
        <v>19</v>
      </c>
      <c r="E1024" s="4">
        <f t="shared" ca="1" si="15"/>
        <v>128157.00000000003</v>
      </c>
    </row>
    <row r="1025" spans="1:5" hidden="1" x14ac:dyDescent="0.25">
      <c r="A1025">
        <v>25</v>
      </c>
      <c r="B1025">
        <v>21</v>
      </c>
      <c r="C1025" t="s">
        <v>24</v>
      </c>
      <c r="D1025" t="s">
        <v>20</v>
      </c>
      <c r="E1025" s="4">
        <f t="shared" ca="1" si="15"/>
        <v>172308.66666666634</v>
      </c>
    </row>
    <row r="1026" spans="1:5" hidden="1" x14ac:dyDescent="0.25">
      <c r="A1026">
        <v>25</v>
      </c>
      <c r="B1026">
        <v>22</v>
      </c>
      <c r="C1026" t="s">
        <v>24</v>
      </c>
      <c r="D1026" t="s">
        <v>21</v>
      </c>
      <c r="E1026" s="4">
        <f t="shared" ca="1" si="15"/>
        <v>191435.66666666634</v>
      </c>
    </row>
    <row r="1027" spans="1:5" hidden="1" x14ac:dyDescent="0.25">
      <c r="A1027">
        <v>25</v>
      </c>
      <c r="B1027">
        <v>23</v>
      </c>
      <c r="C1027" t="s">
        <v>24</v>
      </c>
      <c r="D1027" t="s">
        <v>22</v>
      </c>
      <c r="E1027" s="4">
        <f t="shared" ca="1" si="15"/>
        <v>175172.00000000035</v>
      </c>
    </row>
    <row r="1028" spans="1:5" hidden="1" x14ac:dyDescent="0.25">
      <c r="A1028">
        <v>25</v>
      </c>
      <c r="B1028">
        <v>24</v>
      </c>
      <c r="C1028" t="s">
        <v>24</v>
      </c>
      <c r="D1028" t="s">
        <v>23</v>
      </c>
      <c r="E1028" s="4">
        <f t="shared" ca="1" si="15"/>
        <v>132644.00000000003</v>
      </c>
    </row>
    <row r="1029" spans="1:5" hidden="1" x14ac:dyDescent="0.25">
      <c r="A1029">
        <v>25</v>
      </c>
      <c r="B1029">
        <v>25</v>
      </c>
      <c r="C1029" t="s">
        <v>24</v>
      </c>
      <c r="D1029" t="s">
        <v>24</v>
      </c>
      <c r="E1029" s="4">
        <f t="shared" ca="1" si="15"/>
        <v>0</v>
      </c>
    </row>
    <row r="1030" spans="1:5" hidden="1" x14ac:dyDescent="0.25">
      <c r="A1030">
        <v>25</v>
      </c>
      <c r="B1030">
        <v>26</v>
      </c>
      <c r="C1030" t="s">
        <v>24</v>
      </c>
      <c r="D1030" t="s">
        <v>25</v>
      </c>
      <c r="E1030" s="4">
        <f t="shared" ca="1" si="15"/>
        <v>111665.33333333333</v>
      </c>
    </row>
    <row r="1031" spans="1:5" hidden="1" x14ac:dyDescent="0.25">
      <c r="A1031">
        <v>25</v>
      </c>
      <c r="B1031">
        <v>27</v>
      </c>
      <c r="C1031" t="s">
        <v>24</v>
      </c>
      <c r="D1031" t="s">
        <v>145</v>
      </c>
      <c r="E1031" s="4">
        <f t="shared" ca="1" si="15"/>
        <v>481598.43333333329</v>
      </c>
    </row>
    <row r="1032" spans="1:5" hidden="1" x14ac:dyDescent="0.25">
      <c r="A1032">
        <v>25</v>
      </c>
      <c r="B1032">
        <v>28</v>
      </c>
      <c r="C1032" t="s">
        <v>24</v>
      </c>
      <c r="D1032" t="s">
        <v>147</v>
      </c>
      <c r="E1032" s="4">
        <f t="shared" ca="1" si="15"/>
        <v>426376.73333333334</v>
      </c>
    </row>
    <row r="1033" spans="1:5" hidden="1" x14ac:dyDescent="0.25">
      <c r="A1033">
        <v>25</v>
      </c>
      <c r="B1033">
        <v>29</v>
      </c>
      <c r="C1033" t="s">
        <v>24</v>
      </c>
      <c r="D1033" t="s">
        <v>146</v>
      </c>
      <c r="E1033" s="4">
        <f t="shared" ca="1" si="15"/>
        <v>294526.43333333335</v>
      </c>
    </row>
    <row r="1034" spans="1:5" hidden="1" x14ac:dyDescent="0.25">
      <c r="A1034">
        <v>25</v>
      </c>
      <c r="B1034">
        <v>30</v>
      </c>
      <c r="C1034" t="s">
        <v>24</v>
      </c>
      <c r="D1034" t="s">
        <v>30</v>
      </c>
      <c r="E1034" s="4">
        <f t="shared" ca="1" si="15"/>
        <v>89278.025641025626</v>
      </c>
    </row>
    <row r="1035" spans="1:5" hidden="1" x14ac:dyDescent="0.25">
      <c r="A1035">
        <v>25</v>
      </c>
      <c r="B1035">
        <v>31</v>
      </c>
      <c r="C1035" t="s">
        <v>24</v>
      </c>
      <c r="D1035" t="s">
        <v>31</v>
      </c>
      <c r="E1035" s="4">
        <f t="shared" ca="1" si="15"/>
        <v>114824.83333333333</v>
      </c>
    </row>
    <row r="1036" spans="1:5" hidden="1" x14ac:dyDescent="0.25">
      <c r="A1036">
        <v>25</v>
      </c>
      <c r="B1036">
        <v>32</v>
      </c>
      <c r="C1036" t="s">
        <v>24</v>
      </c>
      <c r="D1036" t="s">
        <v>32</v>
      </c>
      <c r="E1036" s="4">
        <f t="shared" ca="1" si="15"/>
        <v>164535.05641025642</v>
      </c>
    </row>
    <row r="1037" spans="1:5" hidden="1" x14ac:dyDescent="0.25">
      <c r="A1037">
        <v>25</v>
      </c>
      <c r="B1037">
        <v>33</v>
      </c>
      <c r="C1037" t="s">
        <v>24</v>
      </c>
      <c r="D1037" t="s">
        <v>33</v>
      </c>
      <c r="E1037" s="4">
        <f t="shared" ca="1" si="15"/>
        <v>332096.72222222231</v>
      </c>
    </row>
    <row r="1038" spans="1:5" hidden="1" x14ac:dyDescent="0.25">
      <c r="A1038">
        <v>25</v>
      </c>
      <c r="B1038">
        <v>34</v>
      </c>
      <c r="C1038" t="s">
        <v>24</v>
      </c>
      <c r="D1038" t="s">
        <v>34</v>
      </c>
      <c r="E1038" s="4">
        <f t="shared" ca="1" si="15"/>
        <v>80506.871794871826</v>
      </c>
    </row>
    <row r="1039" spans="1:5" hidden="1" x14ac:dyDescent="0.25">
      <c r="A1039">
        <v>25</v>
      </c>
      <c r="B1039">
        <v>35</v>
      </c>
      <c r="C1039" t="s">
        <v>24</v>
      </c>
      <c r="D1039" t="s">
        <v>35</v>
      </c>
      <c r="E1039" s="4">
        <f t="shared" ca="1" si="15"/>
        <v>156353.25641025644</v>
      </c>
    </row>
    <row r="1040" spans="1:5" hidden="1" x14ac:dyDescent="0.25">
      <c r="A1040">
        <v>25</v>
      </c>
      <c r="B1040">
        <v>36</v>
      </c>
      <c r="C1040" t="s">
        <v>24</v>
      </c>
      <c r="D1040" t="s">
        <v>36</v>
      </c>
      <c r="E1040" s="4">
        <f t="shared" ca="1" si="15"/>
        <v>151168.76007326003</v>
      </c>
    </row>
    <row r="1041" spans="1:5" hidden="1" x14ac:dyDescent="0.25">
      <c r="A1041">
        <v>25</v>
      </c>
      <c r="B1041">
        <v>37</v>
      </c>
      <c r="C1041" t="s">
        <v>24</v>
      </c>
      <c r="D1041" t="s">
        <v>37</v>
      </c>
      <c r="E1041" s="4">
        <f t="shared" ca="1" si="15"/>
        <v>72145.717948717953</v>
      </c>
    </row>
    <row r="1042" spans="1:5" hidden="1" x14ac:dyDescent="0.25">
      <c r="A1042">
        <v>25</v>
      </c>
      <c r="B1042">
        <v>38</v>
      </c>
      <c r="C1042" t="s">
        <v>24</v>
      </c>
      <c r="D1042" t="s">
        <v>38</v>
      </c>
      <c r="E1042" s="4">
        <f t="shared" ca="1" si="15"/>
        <v>156316.17582417582</v>
      </c>
    </row>
    <row r="1043" spans="1:5" hidden="1" x14ac:dyDescent="0.25">
      <c r="A1043">
        <v>25</v>
      </c>
      <c r="B1043">
        <v>39</v>
      </c>
      <c r="C1043" t="s">
        <v>24</v>
      </c>
      <c r="D1043" t="s">
        <v>39</v>
      </c>
      <c r="E1043" s="4">
        <f t="shared" ca="1" si="15"/>
        <v>137635.47619047621</v>
      </c>
    </row>
    <row r="1044" spans="1:5" hidden="1" x14ac:dyDescent="0.25">
      <c r="A1044">
        <v>25</v>
      </c>
      <c r="B1044">
        <v>40</v>
      </c>
      <c r="C1044" t="s">
        <v>24</v>
      </c>
      <c r="D1044" t="s">
        <v>40</v>
      </c>
      <c r="E1044" s="4">
        <f t="shared" ca="1" si="15"/>
        <v>85813.826007326032</v>
      </c>
    </row>
    <row r="1045" spans="1:5" hidden="1" x14ac:dyDescent="0.25">
      <c r="A1045">
        <v>26</v>
      </c>
      <c r="B1045">
        <v>1</v>
      </c>
      <c r="C1045" t="s">
        <v>25</v>
      </c>
      <c r="D1045" t="s">
        <v>0</v>
      </c>
      <c r="E1045" s="4">
        <f t="shared" ref="E1045:E1107" ca="1" si="16">OFFSET($B$2,A1045,B1045)</f>
        <v>95845.846153846214</v>
      </c>
    </row>
    <row r="1046" spans="1:5" hidden="1" x14ac:dyDescent="0.25">
      <c r="A1046">
        <v>26</v>
      </c>
      <c r="B1046">
        <v>2</v>
      </c>
      <c r="C1046" t="s">
        <v>25</v>
      </c>
      <c r="D1046" t="s">
        <v>1</v>
      </c>
      <c r="E1046" s="4">
        <f t="shared" ca="1" si="16"/>
        <v>86234.23076923081</v>
      </c>
    </row>
    <row r="1047" spans="1:5" hidden="1" x14ac:dyDescent="0.25">
      <c r="A1047">
        <v>26</v>
      </c>
      <c r="B1047">
        <v>3</v>
      </c>
      <c r="C1047" t="s">
        <v>25</v>
      </c>
      <c r="D1047" t="s">
        <v>2</v>
      </c>
      <c r="E1047" s="4">
        <f t="shared" ca="1" si="16"/>
        <v>89268.461538461503</v>
      </c>
    </row>
    <row r="1048" spans="1:5" hidden="1" x14ac:dyDescent="0.25">
      <c r="A1048">
        <v>26</v>
      </c>
      <c r="B1048">
        <v>4</v>
      </c>
      <c r="C1048" t="s">
        <v>25</v>
      </c>
      <c r="D1048" t="s">
        <v>3</v>
      </c>
      <c r="E1048" s="4">
        <f t="shared" ca="1" si="16"/>
        <v>78375.38461538461</v>
      </c>
    </row>
    <row r="1049" spans="1:5" hidden="1" x14ac:dyDescent="0.25">
      <c r="A1049">
        <v>26</v>
      </c>
      <c r="B1049">
        <v>5</v>
      </c>
      <c r="C1049" t="s">
        <v>25</v>
      </c>
      <c r="D1049" t="s">
        <v>4</v>
      </c>
      <c r="E1049" s="4">
        <f t="shared" ca="1" si="16"/>
        <v>110175.4615384615</v>
      </c>
    </row>
    <row r="1050" spans="1:5" hidden="1" x14ac:dyDescent="0.25">
      <c r="A1050">
        <v>26</v>
      </c>
      <c r="B1050">
        <v>6</v>
      </c>
      <c r="C1050" t="s">
        <v>25</v>
      </c>
      <c r="D1050" t="s">
        <v>5</v>
      </c>
      <c r="E1050" s="4">
        <f t="shared" ca="1" si="16"/>
        <v>175964.77289377301</v>
      </c>
    </row>
    <row r="1051" spans="1:5" hidden="1" x14ac:dyDescent="0.25">
      <c r="A1051">
        <v>26</v>
      </c>
      <c r="B1051">
        <v>7</v>
      </c>
      <c r="C1051" t="s">
        <v>25</v>
      </c>
      <c r="D1051" t="s">
        <v>6</v>
      </c>
      <c r="E1051" s="4">
        <f t="shared" ca="1" si="16"/>
        <v>109511.07692307691</v>
      </c>
    </row>
    <row r="1052" spans="1:5" hidden="1" x14ac:dyDescent="0.25">
      <c r="A1052">
        <v>26</v>
      </c>
      <c r="B1052">
        <v>8</v>
      </c>
      <c r="C1052" t="s">
        <v>25</v>
      </c>
      <c r="D1052" t="s">
        <v>7</v>
      </c>
      <c r="E1052" s="4">
        <f t="shared" ca="1" si="16"/>
        <v>167108.84615384601</v>
      </c>
    </row>
    <row r="1053" spans="1:5" hidden="1" x14ac:dyDescent="0.25">
      <c r="A1053">
        <v>26</v>
      </c>
      <c r="B1053">
        <v>9</v>
      </c>
      <c r="C1053" t="s">
        <v>25</v>
      </c>
      <c r="D1053" t="s">
        <v>148</v>
      </c>
      <c r="E1053" s="4">
        <f t="shared" ca="1" si="16"/>
        <v>617441.62179487199</v>
      </c>
    </row>
    <row r="1054" spans="1:5" hidden="1" x14ac:dyDescent="0.25">
      <c r="A1054">
        <v>26</v>
      </c>
      <c r="B1054">
        <v>10</v>
      </c>
      <c r="C1054" t="s">
        <v>25</v>
      </c>
      <c r="D1054" t="s">
        <v>9</v>
      </c>
      <c r="E1054" s="4">
        <f t="shared" ca="1" si="16"/>
        <v>141817.92307692312</v>
      </c>
    </row>
    <row r="1055" spans="1:5" hidden="1" x14ac:dyDescent="0.25">
      <c r="A1055">
        <v>26</v>
      </c>
      <c r="B1055">
        <v>11</v>
      </c>
      <c r="C1055" t="s">
        <v>25</v>
      </c>
      <c r="D1055" t="s">
        <v>10</v>
      </c>
      <c r="E1055" s="4">
        <f t="shared" ca="1" si="16"/>
        <v>144582</v>
      </c>
    </row>
    <row r="1056" spans="1:5" hidden="1" x14ac:dyDescent="0.25">
      <c r="A1056">
        <v>26</v>
      </c>
      <c r="B1056">
        <v>12</v>
      </c>
      <c r="C1056" t="s">
        <v>25</v>
      </c>
      <c r="D1056" t="s">
        <v>11</v>
      </c>
      <c r="E1056" s="4">
        <f t="shared" ca="1" si="16"/>
        <v>89308.076923076907</v>
      </c>
    </row>
    <row r="1057" spans="1:5" hidden="1" x14ac:dyDescent="0.25">
      <c r="A1057">
        <v>26</v>
      </c>
      <c r="B1057">
        <v>13</v>
      </c>
      <c r="C1057" t="s">
        <v>25</v>
      </c>
      <c r="D1057" t="s">
        <v>12</v>
      </c>
      <c r="E1057" s="4">
        <f t="shared" ca="1" si="16"/>
        <v>70996.538461538512</v>
      </c>
    </row>
    <row r="1058" spans="1:5" hidden="1" x14ac:dyDescent="0.25">
      <c r="A1058">
        <v>26</v>
      </c>
      <c r="B1058">
        <v>14</v>
      </c>
      <c r="C1058" t="s">
        <v>25</v>
      </c>
      <c r="D1058" t="s">
        <v>13</v>
      </c>
      <c r="E1058" s="4">
        <f t="shared" ca="1" si="16"/>
        <v>217460.76923076899</v>
      </c>
    </row>
    <row r="1059" spans="1:5" hidden="1" x14ac:dyDescent="0.25">
      <c r="A1059">
        <v>26</v>
      </c>
      <c r="B1059">
        <v>15</v>
      </c>
      <c r="C1059" t="s">
        <v>25</v>
      </c>
      <c r="D1059" t="s">
        <v>14</v>
      </c>
      <c r="E1059" s="4">
        <f t="shared" ca="1" si="16"/>
        <v>339636.46153846203</v>
      </c>
    </row>
    <row r="1060" spans="1:5" hidden="1" x14ac:dyDescent="0.25">
      <c r="A1060">
        <v>26</v>
      </c>
      <c r="B1060">
        <v>16</v>
      </c>
      <c r="C1060" t="s">
        <v>25</v>
      </c>
      <c r="D1060" t="s">
        <v>15</v>
      </c>
      <c r="E1060" s="4">
        <f t="shared" ca="1" si="16"/>
        <v>577849.69230769202</v>
      </c>
    </row>
    <row r="1061" spans="1:5" hidden="1" x14ac:dyDescent="0.25">
      <c r="A1061">
        <v>26</v>
      </c>
      <c r="B1061">
        <v>17</v>
      </c>
      <c r="C1061" t="s">
        <v>25</v>
      </c>
      <c r="D1061" t="s">
        <v>16</v>
      </c>
      <c r="E1061" s="4">
        <f t="shared" ca="1" si="16"/>
        <v>222733.538461538</v>
      </c>
    </row>
    <row r="1062" spans="1:5" hidden="1" x14ac:dyDescent="0.25">
      <c r="A1062">
        <v>26</v>
      </c>
      <c r="B1062">
        <v>18</v>
      </c>
      <c r="C1062" t="s">
        <v>25</v>
      </c>
      <c r="D1062" t="s">
        <v>17</v>
      </c>
      <c r="E1062" s="4">
        <f t="shared" ca="1" si="16"/>
        <v>99904.38461538461</v>
      </c>
    </row>
    <row r="1063" spans="1:5" hidden="1" x14ac:dyDescent="0.25">
      <c r="A1063">
        <v>26</v>
      </c>
      <c r="B1063">
        <v>19</v>
      </c>
      <c r="C1063" t="s">
        <v>25</v>
      </c>
      <c r="D1063" t="s">
        <v>18</v>
      </c>
      <c r="E1063" s="4">
        <f t="shared" ca="1" si="16"/>
        <v>138623.3846153846</v>
      </c>
    </row>
    <row r="1064" spans="1:5" hidden="1" x14ac:dyDescent="0.25">
      <c r="A1064">
        <v>26</v>
      </c>
      <c r="B1064">
        <v>20</v>
      </c>
      <c r="C1064" t="s">
        <v>25</v>
      </c>
      <c r="D1064" t="s">
        <v>19</v>
      </c>
      <c r="E1064" s="4">
        <f t="shared" ca="1" si="16"/>
        <v>110438.66666666672</v>
      </c>
    </row>
    <row r="1065" spans="1:5" hidden="1" x14ac:dyDescent="0.25">
      <c r="A1065">
        <v>26</v>
      </c>
      <c r="B1065">
        <v>21</v>
      </c>
      <c r="C1065" t="s">
        <v>25</v>
      </c>
      <c r="D1065" t="s">
        <v>20</v>
      </c>
      <c r="E1065" s="4">
        <f t="shared" ca="1" si="16"/>
        <v>154590.33333333299</v>
      </c>
    </row>
    <row r="1066" spans="1:5" hidden="1" x14ac:dyDescent="0.25">
      <c r="A1066">
        <v>26</v>
      </c>
      <c r="B1066">
        <v>22</v>
      </c>
      <c r="C1066" t="s">
        <v>25</v>
      </c>
      <c r="D1066" t="s">
        <v>21</v>
      </c>
      <c r="E1066" s="4">
        <f t="shared" ca="1" si="16"/>
        <v>173717.33333333299</v>
      </c>
    </row>
    <row r="1067" spans="1:5" hidden="1" x14ac:dyDescent="0.25">
      <c r="A1067">
        <v>26</v>
      </c>
      <c r="B1067">
        <v>23</v>
      </c>
      <c r="C1067" t="s">
        <v>25</v>
      </c>
      <c r="D1067" t="s">
        <v>22</v>
      </c>
      <c r="E1067" s="4">
        <f t="shared" ca="1" si="16"/>
        <v>157453.66666666701</v>
      </c>
    </row>
    <row r="1068" spans="1:5" hidden="1" x14ac:dyDescent="0.25">
      <c r="A1068">
        <v>26</v>
      </c>
      <c r="B1068">
        <v>24</v>
      </c>
      <c r="C1068" t="s">
        <v>25</v>
      </c>
      <c r="D1068" t="s">
        <v>23</v>
      </c>
      <c r="E1068" s="4">
        <f t="shared" ca="1" si="16"/>
        <v>114925.66666666672</v>
      </c>
    </row>
    <row r="1069" spans="1:5" hidden="1" x14ac:dyDescent="0.25">
      <c r="A1069">
        <v>26</v>
      </c>
      <c r="B1069">
        <v>25</v>
      </c>
      <c r="C1069" t="s">
        <v>25</v>
      </c>
      <c r="D1069" t="s">
        <v>24</v>
      </c>
      <c r="E1069" s="4">
        <f t="shared" ca="1" si="16"/>
        <v>107873.33333333331</v>
      </c>
    </row>
    <row r="1070" spans="1:5" hidden="1" x14ac:dyDescent="0.25">
      <c r="A1070">
        <v>26</v>
      </c>
      <c r="B1070">
        <v>26</v>
      </c>
      <c r="C1070" t="s">
        <v>25</v>
      </c>
      <c r="D1070" t="s">
        <v>25</v>
      </c>
      <c r="E1070" s="4">
        <f t="shared" ca="1" si="16"/>
        <v>0</v>
      </c>
    </row>
    <row r="1071" spans="1:5" hidden="1" x14ac:dyDescent="0.25">
      <c r="A1071">
        <v>26</v>
      </c>
      <c r="B1071">
        <v>27</v>
      </c>
      <c r="C1071" t="s">
        <v>25</v>
      </c>
      <c r="D1071" t="s">
        <v>145</v>
      </c>
      <c r="E1071" s="4">
        <f t="shared" ca="1" si="16"/>
        <v>463880.1</v>
      </c>
    </row>
    <row r="1072" spans="1:5" hidden="1" x14ac:dyDescent="0.25">
      <c r="A1072">
        <v>26</v>
      </c>
      <c r="B1072">
        <v>28</v>
      </c>
      <c r="C1072" t="s">
        <v>25</v>
      </c>
      <c r="D1072" t="s">
        <v>147</v>
      </c>
      <c r="E1072" s="4">
        <f t="shared" ca="1" si="16"/>
        <v>408658.4</v>
      </c>
    </row>
    <row r="1073" spans="1:5" hidden="1" x14ac:dyDescent="0.25">
      <c r="A1073">
        <v>26</v>
      </c>
      <c r="B1073">
        <v>29</v>
      </c>
      <c r="C1073" t="s">
        <v>25</v>
      </c>
      <c r="D1073" t="s">
        <v>146</v>
      </c>
      <c r="E1073" s="4">
        <f t="shared" ca="1" si="16"/>
        <v>276808.10000000003</v>
      </c>
    </row>
    <row r="1074" spans="1:5" hidden="1" x14ac:dyDescent="0.25">
      <c r="A1074">
        <v>26</v>
      </c>
      <c r="B1074">
        <v>30</v>
      </c>
      <c r="C1074" t="s">
        <v>25</v>
      </c>
      <c r="D1074" t="s">
        <v>30</v>
      </c>
      <c r="E1074" s="4">
        <f t="shared" ca="1" si="16"/>
        <v>71559.692307692312</v>
      </c>
    </row>
    <row r="1075" spans="1:5" hidden="1" x14ac:dyDescent="0.25">
      <c r="A1075">
        <v>26</v>
      </c>
      <c r="B1075">
        <v>31</v>
      </c>
      <c r="C1075" t="s">
        <v>25</v>
      </c>
      <c r="D1075" t="s">
        <v>31</v>
      </c>
      <c r="E1075" s="4">
        <f t="shared" ca="1" si="16"/>
        <v>97106.5</v>
      </c>
    </row>
    <row r="1076" spans="1:5" hidden="1" x14ac:dyDescent="0.25">
      <c r="A1076">
        <v>26</v>
      </c>
      <c r="B1076">
        <v>32</v>
      </c>
      <c r="C1076" t="s">
        <v>25</v>
      </c>
      <c r="D1076" t="s">
        <v>32</v>
      </c>
      <c r="E1076" s="4">
        <f t="shared" ca="1" si="16"/>
        <v>146816.72307692311</v>
      </c>
    </row>
    <row r="1077" spans="1:5" hidden="1" x14ac:dyDescent="0.25">
      <c r="A1077">
        <v>26</v>
      </c>
      <c r="B1077">
        <v>33</v>
      </c>
      <c r="C1077" t="s">
        <v>25</v>
      </c>
      <c r="D1077" t="s">
        <v>33</v>
      </c>
      <c r="E1077" s="4">
        <f t="shared" ca="1" si="16"/>
        <v>314378.38888888899</v>
      </c>
    </row>
    <row r="1078" spans="1:5" hidden="1" x14ac:dyDescent="0.25">
      <c r="A1078">
        <v>26</v>
      </c>
      <c r="B1078">
        <v>34</v>
      </c>
      <c r="C1078" t="s">
        <v>25</v>
      </c>
      <c r="D1078" t="s">
        <v>34</v>
      </c>
      <c r="E1078" s="4">
        <f t="shared" ca="1" si="16"/>
        <v>62788.538461538505</v>
      </c>
    </row>
    <row r="1079" spans="1:5" hidden="1" x14ac:dyDescent="0.25">
      <c r="A1079">
        <v>26</v>
      </c>
      <c r="B1079">
        <v>35</v>
      </c>
      <c r="C1079" t="s">
        <v>25</v>
      </c>
      <c r="D1079" t="s">
        <v>35</v>
      </c>
      <c r="E1079" s="4">
        <f t="shared" ca="1" si="16"/>
        <v>138634.92307692312</v>
      </c>
    </row>
    <row r="1080" spans="1:5" hidden="1" x14ac:dyDescent="0.25">
      <c r="A1080">
        <v>26</v>
      </c>
      <c r="B1080">
        <v>36</v>
      </c>
      <c r="C1080" t="s">
        <v>25</v>
      </c>
      <c r="D1080" t="s">
        <v>36</v>
      </c>
      <c r="E1080" s="4">
        <f t="shared" ca="1" si="16"/>
        <v>133450.42673992671</v>
      </c>
    </row>
    <row r="1081" spans="1:5" hidden="1" x14ac:dyDescent="0.25">
      <c r="A1081">
        <v>26</v>
      </c>
      <c r="B1081">
        <v>37</v>
      </c>
      <c r="C1081" t="s">
        <v>25</v>
      </c>
      <c r="D1081" t="s">
        <v>37</v>
      </c>
      <c r="E1081" s="4">
        <f t="shared" ca="1" si="16"/>
        <v>54427.384615384624</v>
      </c>
    </row>
    <row r="1082" spans="1:5" hidden="1" x14ac:dyDescent="0.25">
      <c r="A1082">
        <v>26</v>
      </c>
      <c r="B1082">
        <v>38</v>
      </c>
      <c r="C1082" t="s">
        <v>25</v>
      </c>
      <c r="D1082" t="s">
        <v>38</v>
      </c>
      <c r="E1082" s="4">
        <f t="shared" ca="1" si="16"/>
        <v>138597.84249084251</v>
      </c>
    </row>
    <row r="1083" spans="1:5" hidden="1" x14ac:dyDescent="0.25">
      <c r="A1083">
        <v>26</v>
      </c>
      <c r="B1083">
        <v>39</v>
      </c>
      <c r="C1083" t="s">
        <v>25</v>
      </c>
      <c r="D1083" t="s">
        <v>39</v>
      </c>
      <c r="E1083" s="4">
        <f t="shared" ca="1" si="16"/>
        <v>119917.1428571429</v>
      </c>
    </row>
    <row r="1084" spans="1:5" hidden="1" x14ac:dyDescent="0.25">
      <c r="A1084">
        <v>26</v>
      </c>
      <c r="B1084">
        <v>40</v>
      </c>
      <c r="C1084" t="s">
        <v>25</v>
      </c>
      <c r="D1084" t="s">
        <v>40</v>
      </c>
      <c r="E1084" s="4">
        <f t="shared" ca="1" si="16"/>
        <v>68095.492673992703</v>
      </c>
    </row>
    <row r="1085" spans="1:5" hidden="1" x14ac:dyDescent="0.25">
      <c r="A1085">
        <v>27</v>
      </c>
      <c r="B1085">
        <v>1</v>
      </c>
      <c r="C1085" t="s">
        <v>145</v>
      </c>
      <c r="D1085" t="s">
        <v>0</v>
      </c>
      <c r="E1085" s="4">
        <f t="shared" ca="1" si="16"/>
        <v>468298.04615384614</v>
      </c>
    </row>
    <row r="1086" spans="1:5" hidden="1" x14ac:dyDescent="0.25">
      <c r="A1086">
        <v>27</v>
      </c>
      <c r="B1086">
        <v>2</v>
      </c>
      <c r="C1086" t="s">
        <v>145</v>
      </c>
      <c r="D1086" t="s">
        <v>1</v>
      </c>
      <c r="E1086" s="4">
        <f t="shared" ca="1" si="16"/>
        <v>458686.43076923076</v>
      </c>
    </row>
    <row r="1087" spans="1:5" hidden="1" x14ac:dyDescent="0.25">
      <c r="A1087">
        <v>27</v>
      </c>
      <c r="B1087">
        <v>3</v>
      </c>
      <c r="C1087" t="s">
        <v>145</v>
      </c>
      <c r="D1087" t="s">
        <v>2</v>
      </c>
      <c r="E1087" s="4">
        <f t="shared" ca="1" si="16"/>
        <v>461720.66153846146</v>
      </c>
    </row>
    <row r="1088" spans="1:5" hidden="1" x14ac:dyDescent="0.25">
      <c r="A1088">
        <v>27</v>
      </c>
      <c r="B1088">
        <v>4</v>
      </c>
      <c r="C1088" t="s">
        <v>145</v>
      </c>
      <c r="D1088" t="s">
        <v>3</v>
      </c>
      <c r="E1088" s="4">
        <f t="shared" ca="1" si="16"/>
        <v>450827.58461538458</v>
      </c>
    </row>
    <row r="1089" spans="1:5" hidden="1" x14ac:dyDescent="0.25">
      <c r="A1089">
        <v>27</v>
      </c>
      <c r="B1089">
        <v>5</v>
      </c>
      <c r="C1089" t="s">
        <v>145</v>
      </c>
      <c r="D1089" t="s">
        <v>4</v>
      </c>
      <c r="E1089" s="4">
        <f t="shared" ca="1" si="16"/>
        <v>482627.66153846146</v>
      </c>
    </row>
    <row r="1090" spans="1:5" hidden="1" x14ac:dyDescent="0.25">
      <c r="A1090">
        <v>27</v>
      </c>
      <c r="B1090">
        <v>6</v>
      </c>
      <c r="C1090" t="s">
        <v>145</v>
      </c>
      <c r="D1090" t="s">
        <v>5</v>
      </c>
      <c r="E1090" s="4">
        <f t="shared" ca="1" si="16"/>
        <v>548416.972893773</v>
      </c>
    </row>
    <row r="1091" spans="1:5" hidden="1" x14ac:dyDescent="0.25">
      <c r="A1091">
        <v>27</v>
      </c>
      <c r="B1091">
        <v>7</v>
      </c>
      <c r="C1091" t="s">
        <v>145</v>
      </c>
      <c r="D1091" t="s">
        <v>6</v>
      </c>
      <c r="E1091" s="4">
        <f t="shared" ca="1" si="16"/>
        <v>481963.27692307683</v>
      </c>
    </row>
    <row r="1092" spans="1:5" hidden="1" x14ac:dyDescent="0.25">
      <c r="A1092">
        <v>27</v>
      </c>
      <c r="B1092">
        <v>8</v>
      </c>
      <c r="C1092" t="s">
        <v>145</v>
      </c>
      <c r="D1092" t="s">
        <v>7</v>
      </c>
      <c r="E1092" s="4">
        <f t="shared" ca="1" si="16"/>
        <v>539561.04615384596</v>
      </c>
    </row>
    <row r="1093" spans="1:5" hidden="1" x14ac:dyDescent="0.25">
      <c r="A1093">
        <v>27</v>
      </c>
      <c r="B1093">
        <v>9</v>
      </c>
      <c r="C1093" t="s">
        <v>145</v>
      </c>
      <c r="D1093" t="s">
        <v>148</v>
      </c>
      <c r="E1093" s="4">
        <f t="shared" ca="1" si="16"/>
        <v>989893.82179487194</v>
      </c>
    </row>
    <row r="1094" spans="1:5" hidden="1" x14ac:dyDescent="0.25">
      <c r="A1094">
        <v>27</v>
      </c>
      <c r="B1094">
        <v>10</v>
      </c>
      <c r="C1094" t="s">
        <v>145</v>
      </c>
      <c r="D1094" t="s">
        <v>9</v>
      </c>
      <c r="E1094" s="4">
        <f t="shared" ca="1" si="16"/>
        <v>514270.12307692308</v>
      </c>
    </row>
    <row r="1095" spans="1:5" hidden="1" x14ac:dyDescent="0.25">
      <c r="A1095">
        <v>27</v>
      </c>
      <c r="B1095">
        <v>11</v>
      </c>
      <c r="C1095" t="s">
        <v>145</v>
      </c>
      <c r="D1095" t="s">
        <v>10</v>
      </c>
      <c r="E1095" s="4">
        <f t="shared" ca="1" si="16"/>
        <v>517034.19999999995</v>
      </c>
    </row>
    <row r="1096" spans="1:5" hidden="1" x14ac:dyDescent="0.25">
      <c r="A1096">
        <v>27</v>
      </c>
      <c r="B1096">
        <v>12</v>
      </c>
      <c r="C1096" t="s">
        <v>145</v>
      </c>
      <c r="D1096" t="s">
        <v>11</v>
      </c>
      <c r="E1096" s="4">
        <f t="shared" ca="1" si="16"/>
        <v>461760.27692307683</v>
      </c>
    </row>
    <row r="1097" spans="1:5" hidden="1" x14ac:dyDescent="0.25">
      <c r="A1097">
        <v>27</v>
      </c>
      <c r="B1097">
        <v>13</v>
      </c>
      <c r="C1097" t="s">
        <v>145</v>
      </c>
      <c r="D1097" t="s">
        <v>12</v>
      </c>
      <c r="E1097" s="4">
        <f t="shared" ca="1" si="16"/>
        <v>443448.73846153845</v>
      </c>
    </row>
    <row r="1098" spans="1:5" hidden="1" x14ac:dyDescent="0.25">
      <c r="A1098">
        <v>27</v>
      </c>
      <c r="B1098">
        <v>14</v>
      </c>
      <c r="C1098" t="s">
        <v>145</v>
      </c>
      <c r="D1098" t="s">
        <v>13</v>
      </c>
      <c r="E1098" s="4">
        <f t="shared" ca="1" si="16"/>
        <v>589912.96923076897</v>
      </c>
    </row>
    <row r="1099" spans="1:5" hidden="1" x14ac:dyDescent="0.25">
      <c r="A1099">
        <v>27</v>
      </c>
      <c r="B1099">
        <v>15</v>
      </c>
      <c r="C1099" t="s">
        <v>145</v>
      </c>
      <c r="D1099" t="s">
        <v>14</v>
      </c>
      <c r="E1099" s="4">
        <f t="shared" ca="1" si="16"/>
        <v>712088.66153846192</v>
      </c>
    </row>
    <row r="1100" spans="1:5" hidden="1" x14ac:dyDescent="0.25">
      <c r="A1100">
        <v>27</v>
      </c>
      <c r="B1100">
        <v>16</v>
      </c>
      <c r="C1100" t="s">
        <v>145</v>
      </c>
      <c r="D1100" t="s">
        <v>15</v>
      </c>
      <c r="E1100" s="4">
        <f t="shared" ca="1" si="16"/>
        <v>950301.89230769197</v>
      </c>
    </row>
    <row r="1101" spans="1:5" hidden="1" x14ac:dyDescent="0.25">
      <c r="A1101">
        <v>27</v>
      </c>
      <c r="B1101">
        <v>17</v>
      </c>
      <c r="C1101" t="s">
        <v>145</v>
      </c>
      <c r="D1101" t="s">
        <v>16</v>
      </c>
      <c r="E1101" s="4">
        <f t="shared" ca="1" si="16"/>
        <v>595185.73846153799</v>
      </c>
    </row>
    <row r="1102" spans="1:5" hidden="1" x14ac:dyDescent="0.25">
      <c r="A1102">
        <v>27</v>
      </c>
      <c r="B1102">
        <v>18</v>
      </c>
      <c r="C1102" t="s">
        <v>145</v>
      </c>
      <c r="D1102" t="s">
        <v>17</v>
      </c>
      <c r="E1102" s="4">
        <f t="shared" ca="1" si="16"/>
        <v>472356.58461538458</v>
      </c>
    </row>
    <row r="1103" spans="1:5" hidden="1" x14ac:dyDescent="0.25">
      <c r="A1103">
        <v>27</v>
      </c>
      <c r="B1103">
        <v>19</v>
      </c>
      <c r="C1103" t="s">
        <v>145</v>
      </c>
      <c r="D1103" t="s">
        <v>18</v>
      </c>
      <c r="E1103" s="4">
        <f t="shared" ca="1" si="16"/>
        <v>511075.58461538458</v>
      </c>
    </row>
    <row r="1104" spans="1:5" hidden="1" x14ac:dyDescent="0.25">
      <c r="A1104">
        <v>27</v>
      </c>
      <c r="B1104">
        <v>20</v>
      </c>
      <c r="C1104" t="s">
        <v>145</v>
      </c>
      <c r="D1104" t="s">
        <v>19</v>
      </c>
      <c r="E1104" s="4">
        <f t="shared" ca="1" si="16"/>
        <v>482890.86666666664</v>
      </c>
    </row>
    <row r="1105" spans="1:5" hidden="1" x14ac:dyDescent="0.25">
      <c r="A1105">
        <v>27</v>
      </c>
      <c r="B1105">
        <v>21</v>
      </c>
      <c r="C1105" t="s">
        <v>145</v>
      </c>
      <c r="D1105" t="s">
        <v>20</v>
      </c>
      <c r="E1105" s="4">
        <f t="shared" ca="1" si="16"/>
        <v>527042.53333333298</v>
      </c>
    </row>
    <row r="1106" spans="1:5" hidden="1" x14ac:dyDescent="0.25">
      <c r="A1106">
        <v>27</v>
      </c>
      <c r="B1106">
        <v>22</v>
      </c>
      <c r="C1106" t="s">
        <v>145</v>
      </c>
      <c r="D1106" t="s">
        <v>21</v>
      </c>
      <c r="E1106" s="4">
        <f t="shared" ca="1" si="16"/>
        <v>546169.53333333298</v>
      </c>
    </row>
    <row r="1107" spans="1:5" hidden="1" x14ac:dyDescent="0.25">
      <c r="A1107">
        <v>27</v>
      </c>
      <c r="B1107">
        <v>23</v>
      </c>
      <c r="C1107" t="s">
        <v>145</v>
      </c>
      <c r="D1107" t="s">
        <v>22</v>
      </c>
      <c r="E1107" s="4">
        <f t="shared" ca="1" si="16"/>
        <v>529905.86666666693</v>
      </c>
    </row>
    <row r="1108" spans="1:5" hidden="1" x14ac:dyDescent="0.25">
      <c r="A1108">
        <v>27</v>
      </c>
      <c r="B1108">
        <v>24</v>
      </c>
      <c r="C1108" t="s">
        <v>145</v>
      </c>
      <c r="D1108" t="s">
        <v>23</v>
      </c>
      <c r="E1108" s="4">
        <f t="shared" ref="E1108:E1129" ca="1" si="17">OFFSET($B$2,A1108,B1108)</f>
        <v>487377.86666666664</v>
      </c>
    </row>
    <row r="1109" spans="1:5" hidden="1" x14ac:dyDescent="0.25">
      <c r="A1109">
        <v>27</v>
      </c>
      <c r="B1109">
        <v>25</v>
      </c>
      <c r="C1109" t="s">
        <v>145</v>
      </c>
      <c r="D1109" t="s">
        <v>24</v>
      </c>
      <c r="E1109" s="4">
        <f t="shared" ca="1" si="17"/>
        <v>480325.53333333327</v>
      </c>
    </row>
    <row r="1110" spans="1:5" hidden="1" x14ac:dyDescent="0.25">
      <c r="A1110">
        <v>27</v>
      </c>
      <c r="B1110">
        <v>26</v>
      </c>
      <c r="C1110" t="s">
        <v>145</v>
      </c>
      <c r="D1110" t="s">
        <v>25</v>
      </c>
      <c r="E1110" s="4">
        <f t="shared" ca="1" si="17"/>
        <v>466399.19999999995</v>
      </c>
    </row>
    <row r="1111" spans="1:5" hidden="1" x14ac:dyDescent="0.25">
      <c r="A1111">
        <v>27</v>
      </c>
      <c r="B1111">
        <v>27</v>
      </c>
      <c r="C1111" t="s">
        <v>145</v>
      </c>
      <c r="D1111" t="s">
        <v>145</v>
      </c>
      <c r="E1111" s="4">
        <f t="shared" ca="1" si="17"/>
        <v>0</v>
      </c>
    </row>
    <row r="1112" spans="1:5" hidden="1" x14ac:dyDescent="0.25">
      <c r="A1112">
        <v>27</v>
      </c>
      <c r="B1112">
        <v>28</v>
      </c>
      <c r="C1112" t="s">
        <v>145</v>
      </c>
      <c r="D1112" t="s">
        <v>147</v>
      </c>
      <c r="E1112" s="4">
        <f t="shared" ca="1" si="17"/>
        <v>781110.6</v>
      </c>
    </row>
    <row r="1113" spans="1:5" hidden="1" x14ac:dyDescent="0.25">
      <c r="A1113">
        <v>27</v>
      </c>
      <c r="B1113">
        <v>29</v>
      </c>
      <c r="C1113" t="s">
        <v>145</v>
      </c>
      <c r="D1113" t="s">
        <v>146</v>
      </c>
      <c r="E1113" s="4">
        <f t="shared" ca="1" si="17"/>
        <v>649260.29999999993</v>
      </c>
    </row>
    <row r="1114" spans="1:5" hidden="1" x14ac:dyDescent="0.25">
      <c r="A1114">
        <v>27</v>
      </c>
      <c r="B1114">
        <v>30</v>
      </c>
      <c r="C1114" t="s">
        <v>145</v>
      </c>
      <c r="D1114" t="s">
        <v>30</v>
      </c>
      <c r="E1114" s="4">
        <f t="shared" ca="1" si="17"/>
        <v>444011.89230769227</v>
      </c>
    </row>
    <row r="1115" spans="1:5" hidden="1" x14ac:dyDescent="0.25">
      <c r="A1115">
        <v>27</v>
      </c>
      <c r="B1115">
        <v>31</v>
      </c>
      <c r="C1115" t="s">
        <v>145</v>
      </c>
      <c r="D1115" t="s">
        <v>31</v>
      </c>
      <c r="E1115" s="4">
        <f t="shared" ca="1" si="17"/>
        <v>469558.69999999995</v>
      </c>
    </row>
    <row r="1116" spans="1:5" hidden="1" x14ac:dyDescent="0.25">
      <c r="A1116">
        <v>27</v>
      </c>
      <c r="B1116">
        <v>32</v>
      </c>
      <c r="C1116" t="s">
        <v>145</v>
      </c>
      <c r="D1116" t="s">
        <v>32</v>
      </c>
      <c r="E1116" s="4">
        <f t="shared" ca="1" si="17"/>
        <v>519268.92307692306</v>
      </c>
    </row>
    <row r="1117" spans="1:5" hidden="1" x14ac:dyDescent="0.25">
      <c r="A1117">
        <v>27</v>
      </c>
      <c r="B1117">
        <v>33</v>
      </c>
      <c r="C1117" t="s">
        <v>145</v>
      </c>
      <c r="D1117" t="s">
        <v>33</v>
      </c>
      <c r="E1117" s="4">
        <f t="shared" ca="1" si="17"/>
        <v>686830.58888888895</v>
      </c>
    </row>
    <row r="1118" spans="1:5" hidden="1" x14ac:dyDescent="0.25">
      <c r="A1118">
        <v>27</v>
      </c>
      <c r="B1118">
        <v>34</v>
      </c>
      <c r="C1118" t="s">
        <v>145</v>
      </c>
      <c r="D1118" t="s">
        <v>34</v>
      </c>
      <c r="E1118" s="4">
        <f t="shared" ca="1" si="17"/>
        <v>435240.73846153845</v>
      </c>
    </row>
    <row r="1119" spans="1:5" hidden="1" x14ac:dyDescent="0.25">
      <c r="A1119">
        <v>27</v>
      </c>
      <c r="B1119">
        <v>35</v>
      </c>
      <c r="C1119" t="s">
        <v>145</v>
      </c>
      <c r="D1119" t="s">
        <v>35</v>
      </c>
      <c r="E1119" s="4">
        <f t="shared" ca="1" si="17"/>
        <v>511087.12307692308</v>
      </c>
    </row>
    <row r="1120" spans="1:5" hidden="1" x14ac:dyDescent="0.25">
      <c r="A1120">
        <v>27</v>
      </c>
      <c r="B1120">
        <v>36</v>
      </c>
      <c r="C1120" t="s">
        <v>145</v>
      </c>
      <c r="D1120" t="s">
        <v>36</v>
      </c>
      <c r="E1120" s="4">
        <f t="shared" ca="1" si="17"/>
        <v>505902.62673992664</v>
      </c>
    </row>
    <row r="1121" spans="1:5" hidden="1" x14ac:dyDescent="0.25">
      <c r="A1121">
        <v>27</v>
      </c>
      <c r="B1121">
        <v>37</v>
      </c>
      <c r="C1121" t="s">
        <v>145</v>
      </c>
      <c r="D1121" t="s">
        <v>37</v>
      </c>
      <c r="E1121" s="4">
        <f t="shared" ca="1" si="17"/>
        <v>426879.58461538458</v>
      </c>
    </row>
    <row r="1122" spans="1:5" hidden="1" x14ac:dyDescent="0.25">
      <c r="A1122">
        <v>27</v>
      </c>
      <c r="B1122">
        <v>38</v>
      </c>
      <c r="C1122" t="s">
        <v>145</v>
      </c>
      <c r="D1122" t="s">
        <v>38</v>
      </c>
      <c r="E1122" s="4">
        <f t="shared" ca="1" si="17"/>
        <v>511050.04249084246</v>
      </c>
    </row>
    <row r="1123" spans="1:5" hidden="1" x14ac:dyDescent="0.25">
      <c r="A1123">
        <v>27</v>
      </c>
      <c r="B1123">
        <v>39</v>
      </c>
      <c r="C1123" t="s">
        <v>145</v>
      </c>
      <c r="D1123" t="s">
        <v>39</v>
      </c>
      <c r="E1123" s="4">
        <f t="shared" ca="1" si="17"/>
        <v>492369.34285714285</v>
      </c>
    </row>
    <row r="1124" spans="1:5" hidden="1" x14ac:dyDescent="0.25">
      <c r="A1124">
        <v>27</v>
      </c>
      <c r="B1124">
        <v>40</v>
      </c>
      <c r="C1124" t="s">
        <v>145</v>
      </c>
      <c r="D1124" t="s">
        <v>40</v>
      </c>
      <c r="E1124" s="4">
        <f t="shared" ca="1" si="17"/>
        <v>440547.69267399266</v>
      </c>
    </row>
    <row r="1125" spans="1:5" hidden="1" x14ac:dyDescent="0.25">
      <c r="A1125">
        <v>28</v>
      </c>
      <c r="B1125">
        <v>1</v>
      </c>
      <c r="C1125" t="s">
        <v>147</v>
      </c>
      <c r="D1125" t="s">
        <v>0</v>
      </c>
      <c r="E1125" s="4">
        <f t="shared" ca="1" si="17"/>
        <v>411232.94615384616</v>
      </c>
    </row>
    <row r="1126" spans="1:5" hidden="1" x14ac:dyDescent="0.25">
      <c r="A1126">
        <v>28</v>
      </c>
      <c r="B1126">
        <v>2</v>
      </c>
      <c r="C1126" t="s">
        <v>147</v>
      </c>
      <c r="D1126" t="s">
        <v>1</v>
      </c>
      <c r="E1126" s="4">
        <f t="shared" ca="1" si="17"/>
        <v>401621.33076923079</v>
      </c>
    </row>
    <row r="1127" spans="1:5" hidden="1" x14ac:dyDescent="0.25">
      <c r="A1127">
        <v>28</v>
      </c>
      <c r="B1127">
        <v>3</v>
      </c>
      <c r="C1127" t="s">
        <v>147</v>
      </c>
      <c r="D1127" t="s">
        <v>2</v>
      </c>
      <c r="E1127" s="4">
        <f t="shared" ca="1" si="17"/>
        <v>404655.56153846148</v>
      </c>
    </row>
    <row r="1128" spans="1:5" hidden="1" x14ac:dyDescent="0.25">
      <c r="A1128">
        <v>28</v>
      </c>
      <c r="B1128">
        <v>4</v>
      </c>
      <c r="C1128" t="s">
        <v>147</v>
      </c>
      <c r="D1128" t="s">
        <v>3</v>
      </c>
      <c r="E1128" s="4">
        <f t="shared" ca="1" si="17"/>
        <v>393762.4846153846</v>
      </c>
    </row>
    <row r="1129" spans="1:5" hidden="1" x14ac:dyDescent="0.25">
      <c r="A1129">
        <v>28</v>
      </c>
      <c r="B1129">
        <v>5</v>
      </c>
      <c r="C1129" t="s">
        <v>147</v>
      </c>
      <c r="D1129" t="s">
        <v>4</v>
      </c>
      <c r="E1129" s="4">
        <f t="shared" ca="1" si="17"/>
        <v>425562.56153846148</v>
      </c>
    </row>
    <row r="1130" spans="1:5" hidden="1" x14ac:dyDescent="0.25">
      <c r="A1130">
        <v>28</v>
      </c>
      <c r="B1130">
        <v>6</v>
      </c>
      <c r="C1130" t="s">
        <v>147</v>
      </c>
      <c r="D1130" t="s">
        <v>5</v>
      </c>
      <c r="E1130" s="4">
        <f t="shared" ref="E1130:E1191" ca="1" si="18">OFFSET($B$2,A1130,B1130)</f>
        <v>491351.87289377296</v>
      </c>
    </row>
    <row r="1131" spans="1:5" hidden="1" x14ac:dyDescent="0.25">
      <c r="A1131">
        <v>28</v>
      </c>
      <c r="B1131">
        <v>7</v>
      </c>
      <c r="C1131" t="s">
        <v>147</v>
      </c>
      <c r="D1131" t="s">
        <v>6</v>
      </c>
      <c r="E1131" s="4">
        <f t="shared" ca="1" si="18"/>
        <v>424898.17692307686</v>
      </c>
    </row>
    <row r="1132" spans="1:5" hidden="1" x14ac:dyDescent="0.25">
      <c r="A1132">
        <v>28</v>
      </c>
      <c r="B1132">
        <v>8</v>
      </c>
      <c r="C1132" t="s">
        <v>147</v>
      </c>
      <c r="D1132" t="s">
        <v>7</v>
      </c>
      <c r="E1132" s="4">
        <f t="shared" ca="1" si="18"/>
        <v>482495.94615384599</v>
      </c>
    </row>
    <row r="1133" spans="1:5" hidden="1" x14ac:dyDescent="0.25">
      <c r="A1133">
        <v>28</v>
      </c>
      <c r="B1133">
        <v>9</v>
      </c>
      <c r="C1133" t="s">
        <v>147</v>
      </c>
      <c r="D1133" t="s">
        <v>148</v>
      </c>
      <c r="E1133" s="4">
        <f t="shared" ca="1" si="18"/>
        <v>932828.72179487196</v>
      </c>
    </row>
    <row r="1134" spans="1:5" hidden="1" x14ac:dyDescent="0.25">
      <c r="A1134">
        <v>28</v>
      </c>
      <c r="B1134">
        <v>10</v>
      </c>
      <c r="C1134" t="s">
        <v>147</v>
      </c>
      <c r="D1134" t="s">
        <v>9</v>
      </c>
      <c r="E1134" s="4">
        <f t="shared" ca="1" si="18"/>
        <v>457205.0230769231</v>
      </c>
    </row>
    <row r="1135" spans="1:5" hidden="1" x14ac:dyDescent="0.25">
      <c r="A1135">
        <v>28</v>
      </c>
      <c r="B1135">
        <v>11</v>
      </c>
      <c r="C1135" t="s">
        <v>147</v>
      </c>
      <c r="D1135" t="s">
        <v>10</v>
      </c>
      <c r="E1135" s="4">
        <f t="shared" ca="1" si="18"/>
        <v>459969.1</v>
      </c>
    </row>
    <row r="1136" spans="1:5" hidden="1" x14ac:dyDescent="0.25">
      <c r="A1136">
        <v>28</v>
      </c>
      <c r="B1136">
        <v>12</v>
      </c>
      <c r="C1136" t="s">
        <v>147</v>
      </c>
      <c r="D1136" t="s">
        <v>11</v>
      </c>
      <c r="E1136" s="4">
        <f t="shared" ca="1" si="18"/>
        <v>404695.17692307686</v>
      </c>
    </row>
    <row r="1137" spans="1:5" hidden="1" x14ac:dyDescent="0.25">
      <c r="A1137">
        <v>28</v>
      </c>
      <c r="B1137">
        <v>13</v>
      </c>
      <c r="C1137" t="s">
        <v>147</v>
      </c>
      <c r="D1137" t="s">
        <v>12</v>
      </c>
      <c r="E1137" s="4">
        <f t="shared" ca="1" si="18"/>
        <v>386383.63846153847</v>
      </c>
    </row>
    <row r="1138" spans="1:5" hidden="1" x14ac:dyDescent="0.25">
      <c r="A1138">
        <v>28</v>
      </c>
      <c r="B1138">
        <v>14</v>
      </c>
      <c r="C1138" t="s">
        <v>147</v>
      </c>
      <c r="D1138" t="s">
        <v>13</v>
      </c>
      <c r="E1138" s="4">
        <f t="shared" ca="1" si="18"/>
        <v>532847.86923076899</v>
      </c>
    </row>
    <row r="1139" spans="1:5" hidden="1" x14ac:dyDescent="0.25">
      <c r="A1139">
        <v>28</v>
      </c>
      <c r="B1139">
        <v>15</v>
      </c>
      <c r="C1139" t="s">
        <v>147</v>
      </c>
      <c r="D1139" t="s">
        <v>14</v>
      </c>
      <c r="E1139" s="4">
        <f t="shared" ca="1" si="18"/>
        <v>655023.56153846206</v>
      </c>
    </row>
    <row r="1140" spans="1:5" hidden="1" x14ac:dyDescent="0.25">
      <c r="A1140">
        <v>28</v>
      </c>
      <c r="B1140">
        <v>16</v>
      </c>
      <c r="C1140" t="s">
        <v>147</v>
      </c>
      <c r="D1140" t="s">
        <v>15</v>
      </c>
      <c r="E1140" s="4">
        <f t="shared" ca="1" si="18"/>
        <v>893236.792307692</v>
      </c>
    </row>
    <row r="1141" spans="1:5" hidden="1" x14ac:dyDescent="0.25">
      <c r="A1141">
        <v>28</v>
      </c>
      <c r="B1141">
        <v>17</v>
      </c>
      <c r="C1141" t="s">
        <v>147</v>
      </c>
      <c r="D1141" t="s">
        <v>16</v>
      </c>
      <c r="E1141" s="4">
        <f t="shared" ca="1" si="18"/>
        <v>538120.63846153801</v>
      </c>
    </row>
    <row r="1142" spans="1:5" hidden="1" x14ac:dyDescent="0.25">
      <c r="A1142">
        <v>28</v>
      </c>
      <c r="B1142">
        <v>18</v>
      </c>
      <c r="C1142" t="s">
        <v>147</v>
      </c>
      <c r="D1142" t="s">
        <v>17</v>
      </c>
      <c r="E1142" s="4">
        <f t="shared" ca="1" si="18"/>
        <v>415291.4846153846</v>
      </c>
    </row>
    <row r="1143" spans="1:5" hidden="1" x14ac:dyDescent="0.25">
      <c r="A1143">
        <v>28</v>
      </c>
      <c r="B1143">
        <v>19</v>
      </c>
      <c r="C1143" t="s">
        <v>147</v>
      </c>
      <c r="D1143" t="s">
        <v>18</v>
      </c>
      <c r="E1143" s="4">
        <f t="shared" ca="1" si="18"/>
        <v>454010.4846153846</v>
      </c>
    </row>
    <row r="1144" spans="1:5" hidden="1" x14ac:dyDescent="0.25">
      <c r="A1144">
        <v>28</v>
      </c>
      <c r="B1144">
        <v>20</v>
      </c>
      <c r="C1144" t="s">
        <v>147</v>
      </c>
      <c r="D1144" t="s">
        <v>19</v>
      </c>
      <c r="E1144" s="4">
        <f t="shared" ca="1" si="18"/>
        <v>425825.76666666666</v>
      </c>
    </row>
    <row r="1145" spans="1:5" hidden="1" x14ac:dyDescent="0.25">
      <c r="A1145">
        <v>28</v>
      </c>
      <c r="B1145">
        <v>21</v>
      </c>
      <c r="C1145" t="s">
        <v>147</v>
      </c>
      <c r="D1145" t="s">
        <v>20</v>
      </c>
      <c r="E1145" s="4">
        <f t="shared" ca="1" si="18"/>
        <v>469977.433333333</v>
      </c>
    </row>
    <row r="1146" spans="1:5" hidden="1" x14ac:dyDescent="0.25">
      <c r="A1146">
        <v>28</v>
      </c>
      <c r="B1146">
        <v>22</v>
      </c>
      <c r="C1146" t="s">
        <v>147</v>
      </c>
      <c r="D1146" t="s">
        <v>21</v>
      </c>
      <c r="E1146" s="4">
        <f t="shared" ca="1" si="18"/>
        <v>489104.433333333</v>
      </c>
    </row>
    <row r="1147" spans="1:5" hidden="1" x14ac:dyDescent="0.25">
      <c r="A1147">
        <v>28</v>
      </c>
      <c r="B1147">
        <v>23</v>
      </c>
      <c r="C1147" t="s">
        <v>147</v>
      </c>
      <c r="D1147" t="s">
        <v>22</v>
      </c>
      <c r="E1147" s="4">
        <f t="shared" ca="1" si="18"/>
        <v>472840.76666666695</v>
      </c>
    </row>
    <row r="1148" spans="1:5" hidden="1" x14ac:dyDescent="0.25">
      <c r="A1148">
        <v>28</v>
      </c>
      <c r="B1148">
        <v>24</v>
      </c>
      <c r="C1148" t="s">
        <v>147</v>
      </c>
      <c r="D1148" t="s">
        <v>23</v>
      </c>
      <c r="E1148" s="4">
        <f t="shared" ca="1" si="18"/>
        <v>430312.76666666666</v>
      </c>
    </row>
    <row r="1149" spans="1:5" hidden="1" x14ac:dyDescent="0.25">
      <c r="A1149">
        <v>28</v>
      </c>
      <c r="B1149">
        <v>25</v>
      </c>
      <c r="C1149" t="s">
        <v>147</v>
      </c>
      <c r="D1149" t="s">
        <v>24</v>
      </c>
      <c r="E1149" s="4">
        <f t="shared" ca="1" si="18"/>
        <v>423260.43333333329</v>
      </c>
    </row>
    <row r="1150" spans="1:5" hidden="1" x14ac:dyDescent="0.25">
      <c r="A1150">
        <v>28</v>
      </c>
      <c r="B1150">
        <v>26</v>
      </c>
      <c r="C1150" t="s">
        <v>147</v>
      </c>
      <c r="D1150" t="s">
        <v>25</v>
      </c>
      <c r="E1150" s="4">
        <f t="shared" ca="1" si="18"/>
        <v>409334.1</v>
      </c>
    </row>
    <row r="1151" spans="1:5" hidden="1" x14ac:dyDescent="0.25">
      <c r="A1151">
        <v>28</v>
      </c>
      <c r="B1151">
        <v>27</v>
      </c>
      <c r="C1151" t="s">
        <v>147</v>
      </c>
      <c r="D1151" t="s">
        <v>145</v>
      </c>
      <c r="E1151" s="4">
        <f t="shared" ca="1" si="18"/>
        <v>779267.2</v>
      </c>
    </row>
    <row r="1152" spans="1:5" hidden="1" x14ac:dyDescent="0.25">
      <c r="A1152">
        <v>28</v>
      </c>
      <c r="B1152">
        <v>28</v>
      </c>
      <c r="C1152" t="s">
        <v>147</v>
      </c>
      <c r="D1152" t="s">
        <v>147</v>
      </c>
      <c r="E1152" s="4">
        <f t="shared" ca="1" si="18"/>
        <v>0</v>
      </c>
    </row>
    <row r="1153" spans="1:5" hidden="1" x14ac:dyDescent="0.25">
      <c r="A1153">
        <v>28</v>
      </c>
      <c r="B1153">
        <v>29</v>
      </c>
      <c r="C1153" t="s">
        <v>147</v>
      </c>
      <c r="D1153" t="s">
        <v>146</v>
      </c>
      <c r="E1153" s="4">
        <f t="shared" ca="1" si="18"/>
        <v>592195.19999999995</v>
      </c>
    </row>
    <row r="1154" spans="1:5" hidden="1" x14ac:dyDescent="0.25">
      <c r="A1154">
        <v>28</v>
      </c>
      <c r="B1154">
        <v>30</v>
      </c>
      <c r="C1154" t="s">
        <v>147</v>
      </c>
      <c r="D1154" t="s">
        <v>30</v>
      </c>
      <c r="E1154" s="4">
        <f t="shared" ca="1" si="18"/>
        <v>386946.79230769229</v>
      </c>
    </row>
    <row r="1155" spans="1:5" hidden="1" x14ac:dyDescent="0.25">
      <c r="A1155">
        <v>28</v>
      </c>
      <c r="B1155">
        <v>31</v>
      </c>
      <c r="C1155" t="s">
        <v>147</v>
      </c>
      <c r="D1155" t="s">
        <v>31</v>
      </c>
      <c r="E1155" s="4">
        <f t="shared" ca="1" si="18"/>
        <v>412493.6</v>
      </c>
    </row>
    <row r="1156" spans="1:5" hidden="1" x14ac:dyDescent="0.25">
      <c r="A1156">
        <v>28</v>
      </c>
      <c r="B1156">
        <v>32</v>
      </c>
      <c r="C1156" t="s">
        <v>147</v>
      </c>
      <c r="D1156" t="s">
        <v>32</v>
      </c>
      <c r="E1156" s="4">
        <f t="shared" ca="1" si="18"/>
        <v>462203.82307692309</v>
      </c>
    </row>
    <row r="1157" spans="1:5" hidden="1" x14ac:dyDescent="0.25">
      <c r="A1157">
        <v>28</v>
      </c>
      <c r="B1157">
        <v>33</v>
      </c>
      <c r="C1157" t="s">
        <v>147</v>
      </c>
      <c r="D1157" t="s">
        <v>33</v>
      </c>
      <c r="E1157" s="4">
        <f t="shared" ca="1" si="18"/>
        <v>629765.48888888897</v>
      </c>
    </row>
    <row r="1158" spans="1:5" hidden="1" x14ac:dyDescent="0.25">
      <c r="A1158">
        <v>28</v>
      </c>
      <c r="B1158">
        <v>34</v>
      </c>
      <c r="C1158" t="s">
        <v>147</v>
      </c>
      <c r="D1158" t="s">
        <v>34</v>
      </c>
      <c r="E1158" s="4">
        <f t="shared" ca="1" si="18"/>
        <v>378175.63846153847</v>
      </c>
    </row>
    <row r="1159" spans="1:5" hidden="1" x14ac:dyDescent="0.25">
      <c r="A1159">
        <v>28</v>
      </c>
      <c r="B1159">
        <v>35</v>
      </c>
      <c r="C1159" t="s">
        <v>147</v>
      </c>
      <c r="D1159" t="s">
        <v>35</v>
      </c>
      <c r="E1159" s="4">
        <f t="shared" ca="1" si="18"/>
        <v>454022.0230769231</v>
      </c>
    </row>
    <row r="1160" spans="1:5" hidden="1" x14ac:dyDescent="0.25">
      <c r="A1160">
        <v>28</v>
      </c>
      <c r="B1160">
        <v>36</v>
      </c>
      <c r="C1160" t="s">
        <v>147</v>
      </c>
      <c r="D1160" t="s">
        <v>36</v>
      </c>
      <c r="E1160" s="4">
        <f t="shared" ca="1" si="18"/>
        <v>448837.52673992666</v>
      </c>
    </row>
    <row r="1161" spans="1:5" hidden="1" x14ac:dyDescent="0.25">
      <c r="A1161">
        <v>28</v>
      </c>
      <c r="B1161">
        <v>37</v>
      </c>
      <c r="C1161" t="s">
        <v>147</v>
      </c>
      <c r="D1161" t="s">
        <v>37</v>
      </c>
      <c r="E1161" s="4">
        <f t="shared" ca="1" si="18"/>
        <v>369814.4846153846</v>
      </c>
    </row>
    <row r="1162" spans="1:5" hidden="1" x14ac:dyDescent="0.25">
      <c r="A1162">
        <v>28</v>
      </c>
      <c r="B1162">
        <v>38</v>
      </c>
      <c r="C1162" t="s">
        <v>147</v>
      </c>
      <c r="D1162" t="s">
        <v>38</v>
      </c>
      <c r="E1162" s="4">
        <f t="shared" ca="1" si="18"/>
        <v>453984.94249084248</v>
      </c>
    </row>
    <row r="1163" spans="1:5" hidden="1" x14ac:dyDescent="0.25">
      <c r="A1163">
        <v>28</v>
      </c>
      <c r="B1163">
        <v>39</v>
      </c>
      <c r="C1163" t="s">
        <v>147</v>
      </c>
      <c r="D1163" t="s">
        <v>39</v>
      </c>
      <c r="E1163" s="4">
        <f t="shared" ca="1" si="18"/>
        <v>435304.24285714288</v>
      </c>
    </row>
    <row r="1164" spans="1:5" hidden="1" x14ac:dyDescent="0.25">
      <c r="A1164">
        <v>28</v>
      </c>
      <c r="B1164">
        <v>40</v>
      </c>
      <c r="C1164" t="s">
        <v>147</v>
      </c>
      <c r="D1164" t="s">
        <v>40</v>
      </c>
      <c r="E1164" s="4">
        <f t="shared" ca="1" si="18"/>
        <v>383482.59267399268</v>
      </c>
    </row>
    <row r="1165" spans="1:5" hidden="1" x14ac:dyDescent="0.25">
      <c r="A1165">
        <v>29</v>
      </c>
      <c r="B1165">
        <v>1</v>
      </c>
      <c r="C1165" t="s">
        <v>146</v>
      </c>
      <c r="D1165" t="s">
        <v>0</v>
      </c>
      <c r="E1165" s="4">
        <f t="shared" ca="1" si="18"/>
        <v>273326.64615384623</v>
      </c>
    </row>
    <row r="1166" spans="1:5" hidden="1" x14ac:dyDescent="0.25">
      <c r="A1166">
        <v>29</v>
      </c>
      <c r="B1166">
        <v>2</v>
      </c>
      <c r="C1166" t="s">
        <v>146</v>
      </c>
      <c r="D1166" t="s">
        <v>1</v>
      </c>
      <c r="E1166" s="4">
        <f t="shared" ca="1" si="18"/>
        <v>263715.03076923086</v>
      </c>
    </row>
    <row r="1167" spans="1:5" hidden="1" x14ac:dyDescent="0.25">
      <c r="A1167">
        <v>29</v>
      </c>
      <c r="B1167">
        <v>3</v>
      </c>
      <c r="C1167" t="s">
        <v>146</v>
      </c>
      <c r="D1167" t="s">
        <v>2</v>
      </c>
      <c r="E1167" s="4">
        <f t="shared" ca="1" si="18"/>
        <v>266749.26153846155</v>
      </c>
    </row>
    <row r="1168" spans="1:5" hidden="1" x14ac:dyDescent="0.25">
      <c r="A1168">
        <v>29</v>
      </c>
      <c r="B1168">
        <v>4</v>
      </c>
      <c r="C1168" t="s">
        <v>146</v>
      </c>
      <c r="D1168" t="s">
        <v>3</v>
      </c>
      <c r="E1168" s="4">
        <f t="shared" ca="1" si="18"/>
        <v>255856.18461538464</v>
      </c>
    </row>
    <row r="1169" spans="1:5" hidden="1" x14ac:dyDescent="0.25">
      <c r="A1169">
        <v>29</v>
      </c>
      <c r="B1169">
        <v>5</v>
      </c>
      <c r="C1169" t="s">
        <v>146</v>
      </c>
      <c r="D1169" t="s">
        <v>4</v>
      </c>
      <c r="E1169" s="4">
        <f t="shared" ca="1" si="18"/>
        <v>287656.26153846155</v>
      </c>
    </row>
    <row r="1170" spans="1:5" hidden="1" x14ac:dyDescent="0.25">
      <c r="A1170">
        <v>29</v>
      </c>
      <c r="B1170">
        <v>6</v>
      </c>
      <c r="C1170" t="s">
        <v>146</v>
      </c>
      <c r="D1170" t="s">
        <v>5</v>
      </c>
      <c r="E1170" s="4">
        <f t="shared" ca="1" si="18"/>
        <v>353445.57289377303</v>
      </c>
    </row>
    <row r="1171" spans="1:5" hidden="1" x14ac:dyDescent="0.25">
      <c r="A1171">
        <v>29</v>
      </c>
      <c r="B1171">
        <v>7</v>
      </c>
      <c r="C1171" t="s">
        <v>146</v>
      </c>
      <c r="D1171" t="s">
        <v>6</v>
      </c>
      <c r="E1171" s="4">
        <f t="shared" ca="1" si="18"/>
        <v>286991.87692307692</v>
      </c>
    </row>
    <row r="1172" spans="1:5" hidden="1" x14ac:dyDescent="0.25">
      <c r="A1172">
        <v>29</v>
      </c>
      <c r="B1172">
        <v>8</v>
      </c>
      <c r="C1172" t="s">
        <v>146</v>
      </c>
      <c r="D1172" t="s">
        <v>7</v>
      </c>
      <c r="E1172" s="4">
        <f t="shared" ca="1" si="18"/>
        <v>344589.64615384606</v>
      </c>
    </row>
    <row r="1173" spans="1:5" hidden="1" x14ac:dyDescent="0.25">
      <c r="A1173">
        <v>29</v>
      </c>
      <c r="B1173">
        <v>9</v>
      </c>
      <c r="C1173" t="s">
        <v>146</v>
      </c>
      <c r="D1173" t="s">
        <v>148</v>
      </c>
      <c r="E1173" s="4">
        <f t="shared" ca="1" si="18"/>
        <v>794922.42179487203</v>
      </c>
    </row>
    <row r="1174" spans="1:5" hidden="1" x14ac:dyDescent="0.25">
      <c r="A1174">
        <v>29</v>
      </c>
      <c r="B1174">
        <v>10</v>
      </c>
      <c r="C1174" t="s">
        <v>146</v>
      </c>
      <c r="D1174" t="s">
        <v>9</v>
      </c>
      <c r="E1174" s="4">
        <f t="shared" ca="1" si="18"/>
        <v>319298.72307692317</v>
      </c>
    </row>
    <row r="1175" spans="1:5" hidden="1" x14ac:dyDescent="0.25">
      <c r="A1175">
        <v>29</v>
      </c>
      <c r="B1175">
        <v>11</v>
      </c>
      <c r="C1175" t="s">
        <v>146</v>
      </c>
      <c r="D1175" t="s">
        <v>10</v>
      </c>
      <c r="E1175" s="4">
        <f t="shared" ca="1" si="18"/>
        <v>322062.80000000005</v>
      </c>
    </row>
    <row r="1176" spans="1:5" hidden="1" x14ac:dyDescent="0.25">
      <c r="A1176">
        <v>29</v>
      </c>
      <c r="B1176">
        <v>12</v>
      </c>
      <c r="C1176" t="s">
        <v>146</v>
      </c>
      <c r="D1176" t="s">
        <v>11</v>
      </c>
      <c r="E1176" s="4">
        <f t="shared" ca="1" si="18"/>
        <v>266788.87692307692</v>
      </c>
    </row>
    <row r="1177" spans="1:5" hidden="1" x14ac:dyDescent="0.25">
      <c r="A1177">
        <v>29</v>
      </c>
      <c r="B1177">
        <v>13</v>
      </c>
      <c r="C1177" t="s">
        <v>146</v>
      </c>
      <c r="D1177" t="s">
        <v>12</v>
      </c>
      <c r="E1177" s="4">
        <f t="shared" ca="1" si="18"/>
        <v>248477.33846153854</v>
      </c>
    </row>
    <row r="1178" spans="1:5" hidden="1" x14ac:dyDescent="0.25">
      <c r="A1178">
        <v>29</v>
      </c>
      <c r="B1178">
        <v>14</v>
      </c>
      <c r="C1178" t="s">
        <v>146</v>
      </c>
      <c r="D1178" t="s">
        <v>13</v>
      </c>
      <c r="E1178" s="4">
        <f t="shared" ca="1" si="18"/>
        <v>394941.56923076906</v>
      </c>
    </row>
    <row r="1179" spans="1:5" hidden="1" x14ac:dyDescent="0.25">
      <c r="A1179">
        <v>29</v>
      </c>
      <c r="B1179">
        <v>15</v>
      </c>
      <c r="C1179" t="s">
        <v>146</v>
      </c>
      <c r="D1179" t="s">
        <v>14</v>
      </c>
      <c r="E1179" s="4">
        <f t="shared" ca="1" si="18"/>
        <v>517117.26153846207</v>
      </c>
    </row>
    <row r="1180" spans="1:5" hidden="1" x14ac:dyDescent="0.25">
      <c r="A1180">
        <v>29</v>
      </c>
      <c r="B1180">
        <v>16</v>
      </c>
      <c r="C1180" t="s">
        <v>146</v>
      </c>
      <c r="D1180" t="s">
        <v>15</v>
      </c>
      <c r="E1180" s="4">
        <f t="shared" ca="1" si="18"/>
        <v>755330.49230769207</v>
      </c>
    </row>
    <row r="1181" spans="1:5" hidden="1" x14ac:dyDescent="0.25">
      <c r="A1181">
        <v>29</v>
      </c>
      <c r="B1181">
        <v>17</v>
      </c>
      <c r="C1181" t="s">
        <v>146</v>
      </c>
      <c r="D1181" t="s">
        <v>16</v>
      </c>
      <c r="E1181" s="4">
        <f t="shared" ca="1" si="18"/>
        <v>400214.33846153808</v>
      </c>
    </row>
    <row r="1182" spans="1:5" hidden="1" x14ac:dyDescent="0.25">
      <c r="A1182">
        <v>29</v>
      </c>
      <c r="B1182">
        <v>18</v>
      </c>
      <c r="C1182" t="s">
        <v>146</v>
      </c>
      <c r="D1182" t="s">
        <v>17</v>
      </c>
      <c r="E1182" s="4">
        <f t="shared" ca="1" si="18"/>
        <v>277385.18461538467</v>
      </c>
    </row>
    <row r="1183" spans="1:5" hidden="1" x14ac:dyDescent="0.25">
      <c r="A1183">
        <v>29</v>
      </c>
      <c r="B1183">
        <v>19</v>
      </c>
      <c r="C1183" t="s">
        <v>146</v>
      </c>
      <c r="D1183" t="s">
        <v>18</v>
      </c>
      <c r="E1183" s="4">
        <f t="shared" ca="1" si="18"/>
        <v>316104.18461538467</v>
      </c>
    </row>
    <row r="1184" spans="1:5" hidden="1" x14ac:dyDescent="0.25">
      <c r="A1184">
        <v>29</v>
      </c>
      <c r="B1184">
        <v>20</v>
      </c>
      <c r="C1184" t="s">
        <v>146</v>
      </c>
      <c r="D1184" t="s">
        <v>19</v>
      </c>
      <c r="E1184" s="4">
        <f t="shared" ca="1" si="18"/>
        <v>287919.46666666673</v>
      </c>
    </row>
    <row r="1185" spans="1:5" hidden="1" x14ac:dyDescent="0.25">
      <c r="A1185">
        <v>29</v>
      </c>
      <c r="B1185">
        <v>21</v>
      </c>
      <c r="C1185" t="s">
        <v>146</v>
      </c>
      <c r="D1185" t="s">
        <v>20</v>
      </c>
      <c r="E1185" s="4">
        <f t="shared" ca="1" si="18"/>
        <v>332071.13333333307</v>
      </c>
    </row>
    <row r="1186" spans="1:5" hidden="1" x14ac:dyDescent="0.25">
      <c r="A1186">
        <v>29</v>
      </c>
      <c r="B1186">
        <v>22</v>
      </c>
      <c r="C1186" t="s">
        <v>146</v>
      </c>
      <c r="D1186" t="s">
        <v>21</v>
      </c>
      <c r="E1186" s="4">
        <f t="shared" ca="1" si="18"/>
        <v>351198.13333333307</v>
      </c>
    </row>
    <row r="1187" spans="1:5" hidden="1" x14ac:dyDescent="0.25">
      <c r="A1187">
        <v>29</v>
      </c>
      <c r="B1187">
        <v>23</v>
      </c>
      <c r="C1187" t="s">
        <v>146</v>
      </c>
      <c r="D1187" t="s">
        <v>22</v>
      </c>
      <c r="E1187" s="4">
        <f t="shared" ca="1" si="18"/>
        <v>334934.46666666702</v>
      </c>
    </row>
    <row r="1188" spans="1:5" hidden="1" x14ac:dyDescent="0.25">
      <c r="A1188">
        <v>29</v>
      </c>
      <c r="B1188">
        <v>24</v>
      </c>
      <c r="C1188" t="s">
        <v>146</v>
      </c>
      <c r="D1188" t="s">
        <v>23</v>
      </c>
      <c r="E1188" s="4">
        <f t="shared" ca="1" si="18"/>
        <v>292406.46666666673</v>
      </c>
    </row>
    <row r="1189" spans="1:5" hidden="1" x14ac:dyDescent="0.25">
      <c r="A1189">
        <v>29</v>
      </c>
      <c r="B1189">
        <v>25</v>
      </c>
      <c r="C1189" t="s">
        <v>146</v>
      </c>
      <c r="D1189" t="s">
        <v>24</v>
      </c>
      <c r="E1189" s="4">
        <f t="shared" ca="1" si="18"/>
        <v>285354.13333333336</v>
      </c>
    </row>
    <row r="1190" spans="1:5" hidden="1" x14ac:dyDescent="0.25">
      <c r="A1190">
        <v>29</v>
      </c>
      <c r="B1190">
        <v>26</v>
      </c>
      <c r="C1190" t="s">
        <v>146</v>
      </c>
      <c r="D1190" t="s">
        <v>25</v>
      </c>
      <c r="E1190" s="4">
        <f t="shared" ca="1" si="18"/>
        <v>271427.80000000005</v>
      </c>
    </row>
    <row r="1191" spans="1:5" hidden="1" x14ac:dyDescent="0.25">
      <c r="A1191">
        <v>29</v>
      </c>
      <c r="B1191">
        <v>27</v>
      </c>
      <c r="C1191" t="s">
        <v>146</v>
      </c>
      <c r="D1191" t="s">
        <v>145</v>
      </c>
      <c r="E1191" s="4">
        <f t="shared" ca="1" si="18"/>
        <v>641360.9</v>
      </c>
    </row>
    <row r="1192" spans="1:5" hidden="1" x14ac:dyDescent="0.25">
      <c r="A1192">
        <v>29</v>
      </c>
      <c r="B1192">
        <v>28</v>
      </c>
      <c r="C1192" t="s">
        <v>146</v>
      </c>
      <c r="D1192" t="s">
        <v>147</v>
      </c>
      <c r="E1192" s="4">
        <f t="shared" ref="E1192:E1254" ca="1" si="19">OFFSET($B$2,A1192,B1192)</f>
        <v>586139.20000000007</v>
      </c>
    </row>
    <row r="1193" spans="1:5" hidden="1" x14ac:dyDescent="0.25">
      <c r="A1193">
        <v>29</v>
      </c>
      <c r="B1193">
        <v>29</v>
      </c>
      <c r="C1193" t="s">
        <v>146</v>
      </c>
      <c r="D1193" t="s">
        <v>146</v>
      </c>
      <c r="E1193" s="4">
        <f t="shared" ca="1" si="19"/>
        <v>0</v>
      </c>
    </row>
    <row r="1194" spans="1:5" hidden="1" x14ac:dyDescent="0.25">
      <c r="A1194">
        <v>29</v>
      </c>
      <c r="B1194">
        <v>30</v>
      </c>
      <c r="C1194" t="s">
        <v>146</v>
      </c>
      <c r="D1194" t="s">
        <v>30</v>
      </c>
      <c r="E1194" s="4">
        <f t="shared" ca="1" si="19"/>
        <v>249040.49230769236</v>
      </c>
    </row>
    <row r="1195" spans="1:5" hidden="1" x14ac:dyDescent="0.25">
      <c r="A1195">
        <v>29</v>
      </c>
      <c r="B1195">
        <v>31</v>
      </c>
      <c r="C1195" t="s">
        <v>146</v>
      </c>
      <c r="D1195" t="s">
        <v>31</v>
      </c>
      <c r="E1195" s="4">
        <f t="shared" ca="1" si="19"/>
        <v>274587.30000000005</v>
      </c>
    </row>
    <row r="1196" spans="1:5" hidden="1" x14ac:dyDescent="0.25">
      <c r="A1196">
        <v>29</v>
      </c>
      <c r="B1196">
        <v>32</v>
      </c>
      <c r="C1196" t="s">
        <v>146</v>
      </c>
      <c r="D1196" t="s">
        <v>32</v>
      </c>
      <c r="E1196" s="4">
        <f t="shared" ca="1" si="19"/>
        <v>324297.52307692316</v>
      </c>
    </row>
    <row r="1197" spans="1:5" hidden="1" x14ac:dyDescent="0.25">
      <c r="A1197">
        <v>29</v>
      </c>
      <c r="B1197">
        <v>33</v>
      </c>
      <c r="C1197" t="s">
        <v>146</v>
      </c>
      <c r="D1197" t="s">
        <v>33</v>
      </c>
      <c r="E1197" s="4">
        <f t="shared" ca="1" si="19"/>
        <v>491859.18888888904</v>
      </c>
    </row>
    <row r="1198" spans="1:5" hidden="1" x14ac:dyDescent="0.25">
      <c r="A1198">
        <v>29</v>
      </c>
      <c r="B1198">
        <v>34</v>
      </c>
      <c r="C1198" t="s">
        <v>146</v>
      </c>
      <c r="D1198" t="s">
        <v>34</v>
      </c>
      <c r="E1198" s="4">
        <f t="shared" ca="1" si="19"/>
        <v>240269.33846153854</v>
      </c>
    </row>
    <row r="1199" spans="1:5" hidden="1" x14ac:dyDescent="0.25">
      <c r="A1199">
        <v>29</v>
      </c>
      <c r="B1199">
        <v>35</v>
      </c>
      <c r="C1199" t="s">
        <v>146</v>
      </c>
      <c r="D1199" t="s">
        <v>35</v>
      </c>
      <c r="E1199" s="4">
        <f t="shared" ca="1" si="19"/>
        <v>316115.72307692317</v>
      </c>
    </row>
    <row r="1200" spans="1:5" hidden="1" x14ac:dyDescent="0.25">
      <c r="A1200">
        <v>29</v>
      </c>
      <c r="B1200">
        <v>36</v>
      </c>
      <c r="C1200" t="s">
        <v>146</v>
      </c>
      <c r="D1200" t="s">
        <v>36</v>
      </c>
      <c r="E1200" s="4">
        <f t="shared" ca="1" si="19"/>
        <v>310931.22673992673</v>
      </c>
    </row>
    <row r="1201" spans="1:5" hidden="1" x14ac:dyDescent="0.25">
      <c r="A1201">
        <v>29</v>
      </c>
      <c r="B1201">
        <v>37</v>
      </c>
      <c r="C1201" t="s">
        <v>146</v>
      </c>
      <c r="D1201" t="s">
        <v>37</v>
      </c>
      <c r="E1201" s="4">
        <f t="shared" ca="1" si="19"/>
        <v>231908.18461538467</v>
      </c>
    </row>
    <row r="1202" spans="1:5" hidden="1" x14ac:dyDescent="0.25">
      <c r="A1202">
        <v>29</v>
      </c>
      <c r="B1202">
        <v>38</v>
      </c>
      <c r="C1202" t="s">
        <v>146</v>
      </c>
      <c r="D1202" t="s">
        <v>38</v>
      </c>
      <c r="E1202" s="4">
        <f t="shared" ca="1" si="19"/>
        <v>316078.64249084255</v>
      </c>
    </row>
    <row r="1203" spans="1:5" hidden="1" x14ac:dyDescent="0.25">
      <c r="A1203">
        <v>29</v>
      </c>
      <c r="B1203">
        <v>39</v>
      </c>
      <c r="C1203" t="s">
        <v>146</v>
      </c>
      <c r="D1203" t="s">
        <v>39</v>
      </c>
      <c r="E1203" s="4">
        <f t="shared" ca="1" si="19"/>
        <v>297397.94285714295</v>
      </c>
    </row>
    <row r="1204" spans="1:5" hidden="1" x14ac:dyDescent="0.25">
      <c r="A1204">
        <v>29</v>
      </c>
      <c r="B1204">
        <v>40</v>
      </c>
      <c r="C1204" t="s">
        <v>146</v>
      </c>
      <c r="D1204" t="s">
        <v>40</v>
      </c>
      <c r="E1204" s="4">
        <f t="shared" ca="1" si="19"/>
        <v>245576.29267399275</v>
      </c>
    </row>
    <row r="1205" spans="1:5" hidden="1" x14ac:dyDescent="0.25">
      <c r="A1205">
        <v>30</v>
      </c>
      <c r="B1205">
        <v>1</v>
      </c>
      <c r="C1205" t="s">
        <v>30</v>
      </c>
      <c r="D1205" t="s">
        <v>0</v>
      </c>
      <c r="E1205" s="4">
        <f t="shared" ca="1" si="19"/>
        <v>68695.153846153888</v>
      </c>
    </row>
    <row r="1206" spans="1:5" hidden="1" x14ac:dyDescent="0.25">
      <c r="A1206">
        <v>30</v>
      </c>
      <c r="B1206">
        <v>2</v>
      </c>
      <c r="C1206" t="s">
        <v>30</v>
      </c>
      <c r="D1206" t="s">
        <v>1</v>
      </c>
      <c r="E1206" s="4">
        <f t="shared" ca="1" si="19"/>
        <v>59083.538461538497</v>
      </c>
    </row>
    <row r="1207" spans="1:5" hidden="1" x14ac:dyDescent="0.25">
      <c r="A1207">
        <v>30</v>
      </c>
      <c r="B1207">
        <v>3</v>
      </c>
      <c r="C1207" t="s">
        <v>30</v>
      </c>
      <c r="D1207" t="s">
        <v>2</v>
      </c>
      <c r="E1207" s="4">
        <f t="shared" ca="1" si="19"/>
        <v>62117.76923076919</v>
      </c>
    </row>
    <row r="1208" spans="1:5" hidden="1" x14ac:dyDescent="0.25">
      <c r="A1208">
        <v>30</v>
      </c>
      <c r="B1208">
        <v>4</v>
      </c>
      <c r="C1208" t="s">
        <v>30</v>
      </c>
      <c r="D1208" t="s">
        <v>3</v>
      </c>
      <c r="E1208" s="4">
        <f t="shared" ca="1" si="19"/>
        <v>51224.69230769229</v>
      </c>
    </row>
    <row r="1209" spans="1:5" hidden="1" x14ac:dyDescent="0.25">
      <c r="A1209">
        <v>30</v>
      </c>
      <c r="B1209">
        <v>5</v>
      </c>
      <c r="C1209" t="s">
        <v>30</v>
      </c>
      <c r="D1209" t="s">
        <v>4</v>
      </c>
      <c r="E1209" s="4">
        <f t="shared" ca="1" si="19"/>
        <v>83024.76923076919</v>
      </c>
    </row>
    <row r="1210" spans="1:5" hidden="1" x14ac:dyDescent="0.25">
      <c r="A1210">
        <v>30</v>
      </c>
      <c r="B1210">
        <v>6</v>
      </c>
      <c r="C1210" t="s">
        <v>30</v>
      </c>
      <c r="D1210" t="s">
        <v>5</v>
      </c>
      <c r="E1210" s="4">
        <f t="shared" ca="1" si="19"/>
        <v>148814.0805860807</v>
      </c>
    </row>
    <row r="1211" spans="1:5" hidden="1" x14ac:dyDescent="0.25">
      <c r="A1211">
        <v>30</v>
      </c>
      <c r="B1211">
        <v>7</v>
      </c>
      <c r="C1211" t="s">
        <v>30</v>
      </c>
      <c r="D1211" t="s">
        <v>6</v>
      </c>
      <c r="E1211" s="4">
        <f t="shared" ca="1" si="19"/>
        <v>82360.384615384595</v>
      </c>
    </row>
    <row r="1212" spans="1:5" hidden="1" x14ac:dyDescent="0.25">
      <c r="A1212">
        <v>30</v>
      </c>
      <c r="B1212">
        <v>8</v>
      </c>
      <c r="C1212" t="s">
        <v>30</v>
      </c>
      <c r="D1212" t="s">
        <v>7</v>
      </c>
      <c r="E1212" s="4">
        <f t="shared" ca="1" si="19"/>
        <v>139958.1538461537</v>
      </c>
    </row>
    <row r="1213" spans="1:5" hidden="1" x14ac:dyDescent="0.25">
      <c r="A1213">
        <v>30</v>
      </c>
      <c r="B1213">
        <v>9</v>
      </c>
      <c r="C1213" t="s">
        <v>30</v>
      </c>
      <c r="D1213" t="s">
        <v>148</v>
      </c>
      <c r="E1213" s="4">
        <f t="shared" ca="1" si="19"/>
        <v>590290.92948717973</v>
      </c>
    </row>
    <row r="1214" spans="1:5" hidden="1" x14ac:dyDescent="0.25">
      <c r="A1214">
        <v>30</v>
      </c>
      <c r="B1214">
        <v>10</v>
      </c>
      <c r="C1214" t="s">
        <v>30</v>
      </c>
      <c r="D1214" t="s">
        <v>9</v>
      </c>
      <c r="E1214" s="4">
        <f t="shared" ca="1" si="19"/>
        <v>114667.23076923079</v>
      </c>
    </row>
    <row r="1215" spans="1:5" hidden="1" x14ac:dyDescent="0.25">
      <c r="A1215">
        <v>30</v>
      </c>
      <c r="B1215">
        <v>11</v>
      </c>
      <c r="C1215" t="s">
        <v>30</v>
      </c>
      <c r="D1215" t="s">
        <v>10</v>
      </c>
      <c r="E1215" s="4">
        <f t="shared" ca="1" si="19"/>
        <v>117431.30769230769</v>
      </c>
    </row>
    <row r="1216" spans="1:5" hidden="1" x14ac:dyDescent="0.25">
      <c r="A1216">
        <v>30</v>
      </c>
      <c r="B1216">
        <v>12</v>
      </c>
      <c r="C1216" t="s">
        <v>30</v>
      </c>
      <c r="D1216" t="s">
        <v>11</v>
      </c>
      <c r="E1216" s="4">
        <f t="shared" ca="1" si="19"/>
        <v>62157.384615384595</v>
      </c>
    </row>
    <row r="1217" spans="1:5" hidden="1" x14ac:dyDescent="0.25">
      <c r="A1217">
        <v>30</v>
      </c>
      <c r="B1217">
        <v>13</v>
      </c>
      <c r="C1217" t="s">
        <v>30</v>
      </c>
      <c r="D1217" t="s">
        <v>12</v>
      </c>
      <c r="E1217" s="4">
        <f t="shared" ca="1" si="19"/>
        <v>43845.846153846192</v>
      </c>
    </row>
    <row r="1218" spans="1:5" hidden="1" x14ac:dyDescent="0.25">
      <c r="A1218">
        <v>30</v>
      </c>
      <c r="B1218">
        <v>14</v>
      </c>
      <c r="C1218" t="s">
        <v>30</v>
      </c>
      <c r="D1218" t="s">
        <v>13</v>
      </c>
      <c r="E1218" s="4">
        <f t="shared" ca="1" si="19"/>
        <v>190310.07692307667</v>
      </c>
    </row>
    <row r="1219" spans="1:5" hidden="1" x14ac:dyDescent="0.25">
      <c r="A1219">
        <v>30</v>
      </c>
      <c r="B1219">
        <v>15</v>
      </c>
      <c r="C1219" t="s">
        <v>30</v>
      </c>
      <c r="D1219" t="s">
        <v>14</v>
      </c>
      <c r="E1219" s="4">
        <f t="shared" ca="1" si="19"/>
        <v>312485.76923076971</v>
      </c>
    </row>
    <row r="1220" spans="1:5" hidden="1" x14ac:dyDescent="0.25">
      <c r="A1220">
        <v>30</v>
      </c>
      <c r="B1220">
        <v>16</v>
      </c>
      <c r="C1220" t="s">
        <v>30</v>
      </c>
      <c r="D1220" t="s">
        <v>15</v>
      </c>
      <c r="E1220" s="4">
        <f t="shared" ca="1" si="19"/>
        <v>550698.99999999977</v>
      </c>
    </row>
    <row r="1221" spans="1:5" hidden="1" x14ac:dyDescent="0.25">
      <c r="A1221">
        <v>30</v>
      </c>
      <c r="B1221">
        <v>17</v>
      </c>
      <c r="C1221" t="s">
        <v>30</v>
      </c>
      <c r="D1221" t="s">
        <v>16</v>
      </c>
      <c r="E1221" s="4">
        <f t="shared" ca="1" si="19"/>
        <v>195582.84615384569</v>
      </c>
    </row>
    <row r="1222" spans="1:5" hidden="1" x14ac:dyDescent="0.25">
      <c r="A1222">
        <v>30</v>
      </c>
      <c r="B1222">
        <v>18</v>
      </c>
      <c r="C1222" t="s">
        <v>30</v>
      </c>
      <c r="D1222" t="s">
        <v>17</v>
      </c>
      <c r="E1222" s="4">
        <f t="shared" ca="1" si="19"/>
        <v>72753.692307692298</v>
      </c>
    </row>
    <row r="1223" spans="1:5" hidden="1" x14ac:dyDescent="0.25">
      <c r="A1223">
        <v>30</v>
      </c>
      <c r="B1223">
        <v>19</v>
      </c>
      <c r="C1223" t="s">
        <v>30</v>
      </c>
      <c r="D1223" t="s">
        <v>18</v>
      </c>
      <c r="E1223" s="4">
        <f t="shared" ca="1" si="19"/>
        <v>111472.69230769228</v>
      </c>
    </row>
    <row r="1224" spans="1:5" hidden="1" x14ac:dyDescent="0.25">
      <c r="A1224">
        <v>30</v>
      </c>
      <c r="B1224">
        <v>20</v>
      </c>
      <c r="C1224" t="s">
        <v>30</v>
      </c>
      <c r="D1224" t="s">
        <v>19</v>
      </c>
      <c r="E1224" s="4">
        <f t="shared" ca="1" si="19"/>
        <v>83287.974358974388</v>
      </c>
    </row>
    <row r="1225" spans="1:5" hidden="1" x14ac:dyDescent="0.25">
      <c r="A1225">
        <v>30</v>
      </c>
      <c r="B1225">
        <v>21</v>
      </c>
      <c r="C1225" t="s">
        <v>30</v>
      </c>
      <c r="D1225" t="s">
        <v>20</v>
      </c>
      <c r="E1225" s="4">
        <f t="shared" ca="1" si="19"/>
        <v>127439.64102564068</v>
      </c>
    </row>
    <row r="1226" spans="1:5" hidden="1" x14ac:dyDescent="0.25">
      <c r="A1226">
        <v>30</v>
      </c>
      <c r="B1226">
        <v>22</v>
      </c>
      <c r="C1226" t="s">
        <v>30</v>
      </c>
      <c r="D1226" t="s">
        <v>21</v>
      </c>
      <c r="E1226" s="4">
        <f t="shared" ca="1" si="19"/>
        <v>146566.64102564068</v>
      </c>
    </row>
    <row r="1227" spans="1:5" hidden="1" x14ac:dyDescent="0.25">
      <c r="A1227">
        <v>30</v>
      </c>
      <c r="B1227">
        <v>23</v>
      </c>
      <c r="C1227" t="s">
        <v>30</v>
      </c>
      <c r="D1227" t="s">
        <v>22</v>
      </c>
      <c r="E1227" s="4">
        <f t="shared" ca="1" si="19"/>
        <v>130302.97435897469</v>
      </c>
    </row>
    <row r="1228" spans="1:5" hidden="1" x14ac:dyDescent="0.25">
      <c r="A1228">
        <v>30</v>
      </c>
      <c r="B1228">
        <v>24</v>
      </c>
      <c r="C1228" t="s">
        <v>30</v>
      </c>
      <c r="D1228" t="s">
        <v>23</v>
      </c>
      <c r="E1228" s="4">
        <f t="shared" ca="1" si="19"/>
        <v>87774.974358974388</v>
      </c>
    </row>
    <row r="1229" spans="1:5" hidden="1" x14ac:dyDescent="0.25">
      <c r="A1229">
        <v>30</v>
      </c>
      <c r="B1229">
        <v>25</v>
      </c>
      <c r="C1229" t="s">
        <v>30</v>
      </c>
      <c r="D1229" t="s">
        <v>24</v>
      </c>
      <c r="E1229" s="4">
        <f t="shared" ca="1" si="19"/>
        <v>80722.641025640987</v>
      </c>
    </row>
    <row r="1230" spans="1:5" hidden="1" x14ac:dyDescent="0.25">
      <c r="A1230">
        <v>30</v>
      </c>
      <c r="B1230">
        <v>26</v>
      </c>
      <c r="C1230" t="s">
        <v>30</v>
      </c>
      <c r="D1230" t="s">
        <v>25</v>
      </c>
      <c r="E1230" s="4">
        <f t="shared" ca="1" si="19"/>
        <v>66796.307692307688</v>
      </c>
    </row>
    <row r="1231" spans="1:5" hidden="1" x14ac:dyDescent="0.25">
      <c r="A1231">
        <v>30</v>
      </c>
      <c r="B1231">
        <v>27</v>
      </c>
      <c r="C1231" t="s">
        <v>30</v>
      </c>
      <c r="D1231" t="s">
        <v>145</v>
      </c>
      <c r="E1231" s="4">
        <f t="shared" ca="1" si="19"/>
        <v>436729.40769230766</v>
      </c>
    </row>
    <row r="1232" spans="1:5" hidden="1" x14ac:dyDescent="0.25">
      <c r="A1232">
        <v>30</v>
      </c>
      <c r="B1232">
        <v>28</v>
      </c>
      <c r="C1232" t="s">
        <v>30</v>
      </c>
      <c r="D1232" t="s">
        <v>147</v>
      </c>
      <c r="E1232" s="4">
        <f t="shared" ca="1" si="19"/>
        <v>381507.70769230771</v>
      </c>
    </row>
    <row r="1233" spans="1:5" hidden="1" x14ac:dyDescent="0.25">
      <c r="A1233">
        <v>30</v>
      </c>
      <c r="B1233">
        <v>29</v>
      </c>
      <c r="C1233" t="s">
        <v>30</v>
      </c>
      <c r="D1233" t="s">
        <v>146</v>
      </c>
      <c r="E1233" s="4">
        <f t="shared" ca="1" si="19"/>
        <v>249657.40769230769</v>
      </c>
    </row>
    <row r="1234" spans="1:5" hidden="1" x14ac:dyDescent="0.25">
      <c r="A1234">
        <v>30</v>
      </c>
      <c r="B1234">
        <v>30</v>
      </c>
      <c r="C1234" t="s">
        <v>30</v>
      </c>
      <c r="D1234" t="s">
        <v>30</v>
      </c>
      <c r="E1234" s="4">
        <f t="shared" ca="1" si="19"/>
        <v>0</v>
      </c>
    </row>
    <row r="1235" spans="1:5" hidden="1" x14ac:dyDescent="0.25">
      <c r="A1235">
        <v>30</v>
      </c>
      <c r="B1235">
        <v>31</v>
      </c>
      <c r="C1235" t="s">
        <v>30</v>
      </c>
      <c r="D1235" t="s">
        <v>31</v>
      </c>
      <c r="E1235" s="4">
        <f t="shared" ca="1" si="19"/>
        <v>69955.807692307688</v>
      </c>
    </row>
    <row r="1236" spans="1:5" hidden="1" x14ac:dyDescent="0.25">
      <c r="A1236">
        <v>30</v>
      </c>
      <c r="B1236">
        <v>32</v>
      </c>
      <c r="C1236" t="s">
        <v>30</v>
      </c>
      <c r="D1236" t="s">
        <v>32</v>
      </c>
      <c r="E1236" s="4">
        <f t="shared" ca="1" si="19"/>
        <v>119666.03076923078</v>
      </c>
    </row>
    <row r="1237" spans="1:5" hidden="1" x14ac:dyDescent="0.25">
      <c r="A1237">
        <v>30</v>
      </c>
      <c r="B1237">
        <v>33</v>
      </c>
      <c r="C1237" t="s">
        <v>30</v>
      </c>
      <c r="D1237" t="s">
        <v>33</v>
      </c>
      <c r="E1237" s="4">
        <f t="shared" ca="1" si="19"/>
        <v>287227.69658119668</v>
      </c>
    </row>
    <row r="1238" spans="1:5" hidden="1" x14ac:dyDescent="0.25">
      <c r="A1238">
        <v>30</v>
      </c>
      <c r="B1238">
        <v>34</v>
      </c>
      <c r="C1238" t="s">
        <v>30</v>
      </c>
      <c r="D1238" t="s">
        <v>34</v>
      </c>
      <c r="E1238" s="4">
        <f t="shared" ca="1" si="19"/>
        <v>35637.846153846192</v>
      </c>
    </row>
    <row r="1239" spans="1:5" hidden="1" x14ac:dyDescent="0.25">
      <c r="A1239">
        <v>30</v>
      </c>
      <c r="B1239">
        <v>35</v>
      </c>
      <c r="C1239" t="s">
        <v>30</v>
      </c>
      <c r="D1239" t="s">
        <v>35</v>
      </c>
      <c r="E1239" s="4">
        <f t="shared" ca="1" si="19"/>
        <v>111484.23076923079</v>
      </c>
    </row>
    <row r="1240" spans="1:5" hidden="1" x14ac:dyDescent="0.25">
      <c r="A1240">
        <v>30</v>
      </c>
      <c r="B1240">
        <v>36</v>
      </c>
      <c r="C1240" t="s">
        <v>30</v>
      </c>
      <c r="D1240" t="s">
        <v>36</v>
      </c>
      <c r="E1240" s="4">
        <f t="shared" ca="1" si="19"/>
        <v>106299.73443223439</v>
      </c>
    </row>
    <row r="1241" spans="1:5" hidden="1" x14ac:dyDescent="0.25">
      <c r="A1241">
        <v>30</v>
      </c>
      <c r="B1241">
        <v>37</v>
      </c>
      <c r="C1241" t="s">
        <v>30</v>
      </c>
      <c r="D1241" t="s">
        <v>37</v>
      </c>
      <c r="E1241" s="4">
        <f t="shared" ca="1" si="19"/>
        <v>27276.692307692312</v>
      </c>
    </row>
    <row r="1242" spans="1:5" hidden="1" x14ac:dyDescent="0.25">
      <c r="A1242">
        <v>30</v>
      </c>
      <c r="B1242">
        <v>38</v>
      </c>
      <c r="C1242" t="s">
        <v>30</v>
      </c>
      <c r="D1242" t="s">
        <v>38</v>
      </c>
      <c r="E1242" s="4">
        <f t="shared" ca="1" si="19"/>
        <v>111447.15018315018</v>
      </c>
    </row>
    <row r="1243" spans="1:5" hidden="1" x14ac:dyDescent="0.25">
      <c r="A1243">
        <v>30</v>
      </c>
      <c r="B1243">
        <v>39</v>
      </c>
      <c r="C1243" t="s">
        <v>30</v>
      </c>
      <c r="D1243" t="s">
        <v>39</v>
      </c>
      <c r="E1243" s="4">
        <f t="shared" ca="1" si="19"/>
        <v>92766.450549450587</v>
      </c>
    </row>
    <row r="1244" spans="1:5" hidden="1" x14ac:dyDescent="0.25">
      <c r="A1244">
        <v>30</v>
      </c>
      <c r="B1244">
        <v>40</v>
      </c>
      <c r="C1244" t="s">
        <v>30</v>
      </c>
      <c r="D1244" t="s">
        <v>40</v>
      </c>
      <c r="E1244" s="4">
        <f t="shared" ca="1" si="19"/>
        <v>40944.800366300391</v>
      </c>
    </row>
    <row r="1245" spans="1:5" hidden="1" x14ac:dyDescent="0.25">
      <c r="A1245">
        <v>31</v>
      </c>
      <c r="B1245">
        <v>1</v>
      </c>
      <c r="C1245" t="s">
        <v>31</v>
      </c>
      <c r="D1245" t="s">
        <v>0</v>
      </c>
      <c r="E1245" s="4">
        <f t="shared" ca="1" si="19"/>
        <v>95137.446153846191</v>
      </c>
    </row>
    <row r="1246" spans="1:5" hidden="1" x14ac:dyDescent="0.25">
      <c r="A1246">
        <v>31</v>
      </c>
      <c r="B1246">
        <v>2</v>
      </c>
      <c r="C1246" t="s">
        <v>31</v>
      </c>
      <c r="D1246" t="s">
        <v>1</v>
      </c>
      <c r="E1246" s="4">
        <f t="shared" ca="1" si="19"/>
        <v>85525.830769230786</v>
      </c>
    </row>
    <row r="1247" spans="1:5" hidden="1" x14ac:dyDescent="0.25">
      <c r="A1247">
        <v>31</v>
      </c>
      <c r="B1247">
        <v>3</v>
      </c>
      <c r="C1247" t="s">
        <v>31</v>
      </c>
      <c r="D1247" t="s">
        <v>2</v>
      </c>
      <c r="E1247" s="4">
        <f t="shared" ca="1" si="19"/>
        <v>88560.061538461494</v>
      </c>
    </row>
    <row r="1248" spans="1:5" hidden="1" x14ac:dyDescent="0.25">
      <c r="A1248">
        <v>31</v>
      </c>
      <c r="B1248">
        <v>4</v>
      </c>
      <c r="C1248" t="s">
        <v>31</v>
      </c>
      <c r="D1248" t="s">
        <v>3</v>
      </c>
      <c r="E1248" s="4">
        <f t="shared" ca="1" si="19"/>
        <v>77666.984615384587</v>
      </c>
    </row>
    <row r="1249" spans="1:5" hidden="1" x14ac:dyDescent="0.25">
      <c r="A1249">
        <v>31</v>
      </c>
      <c r="B1249">
        <v>5</v>
      </c>
      <c r="C1249" t="s">
        <v>31</v>
      </c>
      <c r="D1249" t="s">
        <v>4</v>
      </c>
      <c r="E1249" s="4">
        <f t="shared" ca="1" si="19"/>
        <v>109467.06153846149</v>
      </c>
    </row>
    <row r="1250" spans="1:5" hidden="1" x14ac:dyDescent="0.25">
      <c r="A1250">
        <v>31</v>
      </c>
      <c r="B1250">
        <v>6</v>
      </c>
      <c r="C1250" t="s">
        <v>31</v>
      </c>
      <c r="D1250" t="s">
        <v>5</v>
      </c>
      <c r="E1250" s="4">
        <f t="shared" ca="1" si="19"/>
        <v>175256.37289377299</v>
      </c>
    </row>
    <row r="1251" spans="1:5" hidden="1" x14ac:dyDescent="0.25">
      <c r="A1251">
        <v>31</v>
      </c>
      <c r="B1251">
        <v>7</v>
      </c>
      <c r="C1251" t="s">
        <v>31</v>
      </c>
      <c r="D1251" t="s">
        <v>6</v>
      </c>
      <c r="E1251" s="4">
        <f t="shared" ca="1" si="19"/>
        <v>108802.67692307688</v>
      </c>
    </row>
    <row r="1252" spans="1:5" hidden="1" x14ac:dyDescent="0.25">
      <c r="A1252">
        <v>31</v>
      </c>
      <c r="B1252">
        <v>8</v>
      </c>
      <c r="C1252" t="s">
        <v>31</v>
      </c>
      <c r="D1252" t="s">
        <v>7</v>
      </c>
      <c r="E1252" s="4">
        <f t="shared" ca="1" si="19"/>
        <v>166400.44615384599</v>
      </c>
    </row>
    <row r="1253" spans="1:5" hidden="1" x14ac:dyDescent="0.25">
      <c r="A1253">
        <v>31</v>
      </c>
      <c r="B1253">
        <v>9</v>
      </c>
      <c r="C1253" t="s">
        <v>31</v>
      </c>
      <c r="D1253" t="s">
        <v>148</v>
      </c>
      <c r="E1253" s="4">
        <f t="shared" ca="1" si="19"/>
        <v>616733.22179487196</v>
      </c>
    </row>
    <row r="1254" spans="1:5" hidden="1" x14ac:dyDescent="0.25">
      <c r="A1254">
        <v>31</v>
      </c>
      <c r="B1254">
        <v>10</v>
      </c>
      <c r="C1254" t="s">
        <v>31</v>
      </c>
      <c r="D1254" t="s">
        <v>9</v>
      </c>
      <c r="E1254" s="4">
        <f t="shared" ca="1" si="19"/>
        <v>141109.5230769231</v>
      </c>
    </row>
    <row r="1255" spans="1:5" hidden="1" x14ac:dyDescent="0.25">
      <c r="A1255">
        <v>31</v>
      </c>
      <c r="B1255">
        <v>11</v>
      </c>
      <c r="C1255" t="s">
        <v>31</v>
      </c>
      <c r="D1255" t="s">
        <v>10</v>
      </c>
      <c r="E1255" s="4">
        <f t="shared" ref="E1255:E1316" ca="1" si="20">OFFSET($B$2,A1255,B1255)</f>
        <v>143873.59999999998</v>
      </c>
    </row>
    <row r="1256" spans="1:5" hidden="1" x14ac:dyDescent="0.25">
      <c r="A1256">
        <v>31</v>
      </c>
      <c r="B1256">
        <v>12</v>
      </c>
      <c r="C1256" t="s">
        <v>31</v>
      </c>
      <c r="D1256" t="s">
        <v>11</v>
      </c>
      <c r="E1256" s="4">
        <f t="shared" ca="1" si="20"/>
        <v>88599.676923076884</v>
      </c>
    </row>
    <row r="1257" spans="1:5" hidden="1" x14ac:dyDescent="0.25">
      <c r="A1257">
        <v>31</v>
      </c>
      <c r="B1257">
        <v>13</v>
      </c>
      <c r="C1257" t="s">
        <v>31</v>
      </c>
      <c r="D1257" t="s">
        <v>12</v>
      </c>
      <c r="E1257" s="4">
        <f t="shared" ca="1" si="20"/>
        <v>70288.138461538489</v>
      </c>
    </row>
    <row r="1258" spans="1:5" hidden="1" x14ac:dyDescent="0.25">
      <c r="A1258">
        <v>31</v>
      </c>
      <c r="B1258">
        <v>14</v>
      </c>
      <c r="C1258" t="s">
        <v>31</v>
      </c>
      <c r="D1258" t="s">
        <v>13</v>
      </c>
      <c r="E1258" s="4">
        <f t="shared" ca="1" si="20"/>
        <v>216752.36923076899</v>
      </c>
    </row>
    <row r="1259" spans="1:5" hidden="1" x14ac:dyDescent="0.25">
      <c r="A1259">
        <v>31</v>
      </c>
      <c r="B1259">
        <v>15</v>
      </c>
      <c r="C1259" t="s">
        <v>31</v>
      </c>
      <c r="D1259" t="s">
        <v>14</v>
      </c>
      <c r="E1259" s="4">
        <f t="shared" ca="1" si="20"/>
        <v>338928.061538462</v>
      </c>
    </row>
    <row r="1260" spans="1:5" hidden="1" x14ac:dyDescent="0.25">
      <c r="A1260">
        <v>31</v>
      </c>
      <c r="B1260">
        <v>16</v>
      </c>
      <c r="C1260" t="s">
        <v>31</v>
      </c>
      <c r="D1260" t="s">
        <v>15</v>
      </c>
      <c r="E1260" s="4">
        <f t="shared" ca="1" si="20"/>
        <v>577141.292307692</v>
      </c>
    </row>
    <row r="1261" spans="1:5" hidden="1" x14ac:dyDescent="0.25">
      <c r="A1261">
        <v>31</v>
      </c>
      <c r="B1261">
        <v>17</v>
      </c>
      <c r="C1261" t="s">
        <v>31</v>
      </c>
      <c r="D1261" t="s">
        <v>16</v>
      </c>
      <c r="E1261" s="4">
        <f t="shared" ca="1" si="20"/>
        <v>222025.13846153801</v>
      </c>
    </row>
    <row r="1262" spans="1:5" hidden="1" x14ac:dyDescent="0.25">
      <c r="A1262">
        <v>31</v>
      </c>
      <c r="B1262">
        <v>18</v>
      </c>
      <c r="C1262" t="s">
        <v>31</v>
      </c>
      <c r="D1262" t="s">
        <v>17</v>
      </c>
      <c r="E1262" s="4">
        <f t="shared" ca="1" si="20"/>
        <v>99195.984615384601</v>
      </c>
    </row>
    <row r="1263" spans="1:5" hidden="1" x14ac:dyDescent="0.25">
      <c r="A1263">
        <v>31</v>
      </c>
      <c r="B1263">
        <v>19</v>
      </c>
      <c r="C1263" t="s">
        <v>31</v>
      </c>
      <c r="D1263" t="s">
        <v>18</v>
      </c>
      <c r="E1263" s="4">
        <f t="shared" ca="1" si="20"/>
        <v>137914.9846153846</v>
      </c>
    </row>
    <row r="1264" spans="1:5" hidden="1" x14ac:dyDescent="0.25">
      <c r="A1264">
        <v>31</v>
      </c>
      <c r="B1264">
        <v>20</v>
      </c>
      <c r="C1264" t="s">
        <v>31</v>
      </c>
      <c r="D1264" t="s">
        <v>19</v>
      </c>
      <c r="E1264" s="4">
        <f t="shared" ca="1" si="20"/>
        <v>109730.26666666669</v>
      </c>
    </row>
    <row r="1265" spans="1:5" hidden="1" x14ac:dyDescent="0.25">
      <c r="A1265">
        <v>31</v>
      </c>
      <c r="B1265">
        <v>21</v>
      </c>
      <c r="C1265" t="s">
        <v>31</v>
      </c>
      <c r="D1265" t="s">
        <v>20</v>
      </c>
      <c r="E1265" s="4">
        <f t="shared" ca="1" si="20"/>
        <v>153881.933333333</v>
      </c>
    </row>
    <row r="1266" spans="1:5" hidden="1" x14ac:dyDescent="0.25">
      <c r="A1266">
        <v>31</v>
      </c>
      <c r="B1266">
        <v>22</v>
      </c>
      <c r="C1266" t="s">
        <v>31</v>
      </c>
      <c r="D1266" t="s">
        <v>21</v>
      </c>
      <c r="E1266" s="4">
        <f t="shared" ca="1" si="20"/>
        <v>173008.933333333</v>
      </c>
    </row>
    <row r="1267" spans="1:5" hidden="1" x14ac:dyDescent="0.25">
      <c r="A1267">
        <v>31</v>
      </c>
      <c r="B1267">
        <v>23</v>
      </c>
      <c r="C1267" t="s">
        <v>31</v>
      </c>
      <c r="D1267" t="s">
        <v>22</v>
      </c>
      <c r="E1267" s="4">
        <f t="shared" ca="1" si="20"/>
        <v>156745.26666666701</v>
      </c>
    </row>
    <row r="1268" spans="1:5" hidden="1" x14ac:dyDescent="0.25">
      <c r="A1268">
        <v>31</v>
      </c>
      <c r="B1268">
        <v>24</v>
      </c>
      <c r="C1268" t="s">
        <v>31</v>
      </c>
      <c r="D1268" t="s">
        <v>23</v>
      </c>
      <c r="E1268" s="4">
        <f t="shared" ca="1" si="20"/>
        <v>114217.26666666669</v>
      </c>
    </row>
    <row r="1269" spans="1:5" hidden="1" x14ac:dyDescent="0.25">
      <c r="A1269">
        <v>31</v>
      </c>
      <c r="B1269">
        <v>25</v>
      </c>
      <c r="C1269" t="s">
        <v>31</v>
      </c>
      <c r="D1269" t="s">
        <v>24</v>
      </c>
      <c r="E1269" s="4">
        <f t="shared" ca="1" si="20"/>
        <v>107164.93333333329</v>
      </c>
    </row>
    <row r="1270" spans="1:5" hidden="1" x14ac:dyDescent="0.25">
      <c r="A1270">
        <v>31</v>
      </c>
      <c r="B1270">
        <v>26</v>
      </c>
      <c r="C1270" t="s">
        <v>31</v>
      </c>
      <c r="D1270" t="s">
        <v>25</v>
      </c>
      <c r="E1270" s="4">
        <f t="shared" ca="1" si="20"/>
        <v>93238.599999999991</v>
      </c>
    </row>
    <row r="1271" spans="1:5" hidden="1" x14ac:dyDescent="0.25">
      <c r="A1271">
        <v>31</v>
      </c>
      <c r="B1271">
        <v>27</v>
      </c>
      <c r="C1271" t="s">
        <v>31</v>
      </c>
      <c r="D1271" t="s">
        <v>145</v>
      </c>
      <c r="E1271" s="4">
        <f t="shared" ca="1" si="20"/>
        <v>463171.69999999995</v>
      </c>
    </row>
    <row r="1272" spans="1:5" hidden="1" x14ac:dyDescent="0.25">
      <c r="A1272">
        <v>31</v>
      </c>
      <c r="B1272">
        <v>28</v>
      </c>
      <c r="C1272" t="s">
        <v>31</v>
      </c>
      <c r="D1272" t="s">
        <v>147</v>
      </c>
      <c r="E1272" s="4">
        <f t="shared" ca="1" si="20"/>
        <v>407950</v>
      </c>
    </row>
    <row r="1273" spans="1:5" hidden="1" x14ac:dyDescent="0.25">
      <c r="A1273">
        <v>31</v>
      </c>
      <c r="B1273">
        <v>29</v>
      </c>
      <c r="C1273" t="s">
        <v>31</v>
      </c>
      <c r="D1273" t="s">
        <v>146</v>
      </c>
      <c r="E1273" s="4">
        <f t="shared" ca="1" si="20"/>
        <v>276099.7</v>
      </c>
    </row>
    <row r="1274" spans="1:5" hidden="1" x14ac:dyDescent="0.25">
      <c r="A1274">
        <v>31</v>
      </c>
      <c r="B1274">
        <v>30</v>
      </c>
      <c r="C1274" t="s">
        <v>31</v>
      </c>
      <c r="D1274" t="s">
        <v>30</v>
      </c>
      <c r="E1274" s="4">
        <f t="shared" ca="1" si="20"/>
        <v>70851.292307692289</v>
      </c>
    </row>
    <row r="1275" spans="1:5" hidden="1" x14ac:dyDescent="0.25">
      <c r="A1275">
        <v>31</v>
      </c>
      <c r="B1275">
        <v>31</v>
      </c>
      <c r="C1275" t="s">
        <v>31</v>
      </c>
      <c r="D1275" t="s">
        <v>31</v>
      </c>
      <c r="E1275" s="4">
        <f t="shared" ca="1" si="20"/>
        <v>0</v>
      </c>
    </row>
    <row r="1276" spans="1:5" hidden="1" x14ac:dyDescent="0.25">
      <c r="A1276">
        <v>31</v>
      </c>
      <c r="B1276">
        <v>32</v>
      </c>
      <c r="C1276" t="s">
        <v>31</v>
      </c>
      <c r="D1276" t="s">
        <v>32</v>
      </c>
      <c r="E1276" s="4">
        <f t="shared" ca="1" si="20"/>
        <v>146108.32307692309</v>
      </c>
    </row>
    <row r="1277" spans="1:5" hidden="1" x14ac:dyDescent="0.25">
      <c r="A1277">
        <v>31</v>
      </c>
      <c r="B1277">
        <v>33</v>
      </c>
      <c r="C1277" t="s">
        <v>31</v>
      </c>
      <c r="D1277" t="s">
        <v>33</v>
      </c>
      <c r="E1277" s="4">
        <f t="shared" ca="1" si="20"/>
        <v>313669.98888888897</v>
      </c>
    </row>
    <row r="1278" spans="1:5" hidden="1" x14ac:dyDescent="0.25">
      <c r="A1278">
        <v>31</v>
      </c>
      <c r="B1278">
        <v>34</v>
      </c>
      <c r="C1278" t="s">
        <v>31</v>
      </c>
      <c r="D1278" t="s">
        <v>34</v>
      </c>
      <c r="E1278" s="4">
        <f t="shared" ca="1" si="20"/>
        <v>62080.138461538489</v>
      </c>
    </row>
    <row r="1279" spans="1:5" hidden="1" x14ac:dyDescent="0.25">
      <c r="A1279">
        <v>31</v>
      </c>
      <c r="B1279">
        <v>35</v>
      </c>
      <c r="C1279" t="s">
        <v>31</v>
      </c>
      <c r="D1279" t="s">
        <v>35</v>
      </c>
      <c r="E1279" s="4">
        <f t="shared" ca="1" si="20"/>
        <v>137926.5230769231</v>
      </c>
    </row>
    <row r="1280" spans="1:5" hidden="1" x14ac:dyDescent="0.25">
      <c r="A1280">
        <v>31</v>
      </c>
      <c r="B1280">
        <v>36</v>
      </c>
      <c r="C1280" t="s">
        <v>31</v>
      </c>
      <c r="D1280" t="s">
        <v>36</v>
      </c>
      <c r="E1280" s="4">
        <f t="shared" ca="1" si="20"/>
        <v>132742.02673992669</v>
      </c>
    </row>
    <row r="1281" spans="1:5" hidden="1" x14ac:dyDescent="0.25">
      <c r="A1281">
        <v>31</v>
      </c>
      <c r="B1281">
        <v>37</v>
      </c>
      <c r="C1281" t="s">
        <v>31</v>
      </c>
      <c r="D1281" t="s">
        <v>37</v>
      </c>
      <c r="E1281" s="4">
        <f t="shared" ca="1" si="20"/>
        <v>53718.984615384608</v>
      </c>
    </row>
    <row r="1282" spans="1:5" hidden="1" x14ac:dyDescent="0.25">
      <c r="A1282">
        <v>31</v>
      </c>
      <c r="B1282">
        <v>38</v>
      </c>
      <c r="C1282" t="s">
        <v>31</v>
      </c>
      <c r="D1282" t="s">
        <v>38</v>
      </c>
      <c r="E1282" s="4">
        <f t="shared" ca="1" si="20"/>
        <v>137889.44249084248</v>
      </c>
    </row>
    <row r="1283" spans="1:5" hidden="1" x14ac:dyDescent="0.25">
      <c r="A1283">
        <v>31</v>
      </c>
      <c r="B1283">
        <v>39</v>
      </c>
      <c r="C1283" t="s">
        <v>31</v>
      </c>
      <c r="D1283" t="s">
        <v>39</v>
      </c>
      <c r="E1283" s="4">
        <f t="shared" ca="1" si="20"/>
        <v>119208.74285714289</v>
      </c>
    </row>
    <row r="1284" spans="1:5" hidden="1" x14ac:dyDescent="0.25">
      <c r="A1284">
        <v>31</v>
      </c>
      <c r="B1284">
        <v>40</v>
      </c>
      <c r="C1284" t="s">
        <v>31</v>
      </c>
      <c r="D1284" t="s">
        <v>40</v>
      </c>
      <c r="E1284" s="4">
        <f t="shared" ca="1" si="20"/>
        <v>67387.092673992694</v>
      </c>
    </row>
    <row r="1285" spans="1:5" hidden="1" x14ac:dyDescent="0.25">
      <c r="A1285">
        <v>32</v>
      </c>
      <c r="B1285">
        <v>1</v>
      </c>
      <c r="C1285" t="s">
        <v>32</v>
      </c>
      <c r="D1285" t="s">
        <v>0</v>
      </c>
      <c r="E1285" s="4">
        <f t="shared" ca="1" si="20"/>
        <v>141247.8666666667</v>
      </c>
    </row>
    <row r="1286" spans="1:5" hidden="1" x14ac:dyDescent="0.25">
      <c r="A1286">
        <v>32</v>
      </c>
      <c r="B1286">
        <v>2</v>
      </c>
      <c r="C1286" t="s">
        <v>32</v>
      </c>
      <c r="D1286" t="s">
        <v>1</v>
      </c>
      <c r="E1286" s="4">
        <f t="shared" ca="1" si="20"/>
        <v>131636.25128205132</v>
      </c>
    </row>
    <row r="1287" spans="1:5" hidden="1" x14ac:dyDescent="0.25">
      <c r="A1287">
        <v>32</v>
      </c>
      <c r="B1287">
        <v>3</v>
      </c>
      <c r="C1287" t="s">
        <v>32</v>
      </c>
      <c r="D1287" t="s">
        <v>2</v>
      </c>
      <c r="E1287" s="4">
        <f t="shared" ca="1" si="20"/>
        <v>134670.48205128202</v>
      </c>
    </row>
    <row r="1288" spans="1:5" hidden="1" x14ac:dyDescent="0.25">
      <c r="A1288">
        <v>32</v>
      </c>
      <c r="B1288">
        <v>4</v>
      </c>
      <c r="C1288" t="s">
        <v>32</v>
      </c>
      <c r="D1288" t="s">
        <v>3</v>
      </c>
      <c r="E1288" s="4">
        <f t="shared" ca="1" si="20"/>
        <v>123777.40512820511</v>
      </c>
    </row>
    <row r="1289" spans="1:5" hidden="1" x14ac:dyDescent="0.25">
      <c r="A1289">
        <v>32</v>
      </c>
      <c r="B1289">
        <v>5</v>
      </c>
      <c r="C1289" t="s">
        <v>32</v>
      </c>
      <c r="D1289" t="s">
        <v>4</v>
      </c>
      <c r="E1289" s="4">
        <f t="shared" ca="1" si="20"/>
        <v>155577.48205128202</v>
      </c>
    </row>
    <row r="1290" spans="1:5" hidden="1" x14ac:dyDescent="0.25">
      <c r="A1290">
        <v>32</v>
      </c>
      <c r="B1290">
        <v>6</v>
      </c>
      <c r="C1290" t="s">
        <v>32</v>
      </c>
      <c r="D1290" t="s">
        <v>5</v>
      </c>
      <c r="E1290" s="4">
        <f t="shared" ca="1" si="20"/>
        <v>221366.7934065935</v>
      </c>
    </row>
    <row r="1291" spans="1:5" hidden="1" x14ac:dyDescent="0.25">
      <c r="A1291">
        <v>32</v>
      </c>
      <c r="B1291">
        <v>7</v>
      </c>
      <c r="C1291" t="s">
        <v>32</v>
      </c>
      <c r="D1291" t="s">
        <v>6</v>
      </c>
      <c r="E1291" s="4">
        <f t="shared" ca="1" si="20"/>
        <v>154913.09743589742</v>
      </c>
    </row>
    <row r="1292" spans="1:5" hidden="1" x14ac:dyDescent="0.25">
      <c r="A1292">
        <v>32</v>
      </c>
      <c r="B1292">
        <v>8</v>
      </c>
      <c r="C1292" t="s">
        <v>32</v>
      </c>
      <c r="D1292" t="s">
        <v>7</v>
      </c>
      <c r="E1292" s="4">
        <f t="shared" ca="1" si="20"/>
        <v>212510.86666666652</v>
      </c>
    </row>
    <row r="1293" spans="1:5" hidden="1" x14ac:dyDescent="0.25">
      <c r="A1293">
        <v>32</v>
      </c>
      <c r="B1293">
        <v>9</v>
      </c>
      <c r="C1293" t="s">
        <v>32</v>
      </c>
      <c r="D1293" t="s">
        <v>148</v>
      </c>
      <c r="E1293" s="4">
        <f t="shared" ca="1" si="20"/>
        <v>662843.64230769244</v>
      </c>
    </row>
    <row r="1294" spans="1:5" hidden="1" x14ac:dyDescent="0.25">
      <c r="A1294">
        <v>32</v>
      </c>
      <c r="B1294">
        <v>10</v>
      </c>
      <c r="C1294" t="s">
        <v>32</v>
      </c>
      <c r="D1294" t="s">
        <v>9</v>
      </c>
      <c r="E1294" s="4">
        <f t="shared" ca="1" si="20"/>
        <v>187219.94358974363</v>
      </c>
    </row>
    <row r="1295" spans="1:5" hidden="1" x14ac:dyDescent="0.25">
      <c r="A1295">
        <v>32</v>
      </c>
      <c r="B1295">
        <v>11</v>
      </c>
      <c r="C1295" t="s">
        <v>32</v>
      </c>
      <c r="D1295" t="s">
        <v>10</v>
      </c>
      <c r="E1295" s="4">
        <f t="shared" ca="1" si="20"/>
        <v>189984.02051282051</v>
      </c>
    </row>
    <row r="1296" spans="1:5" hidden="1" x14ac:dyDescent="0.25">
      <c r="A1296">
        <v>32</v>
      </c>
      <c r="B1296">
        <v>12</v>
      </c>
      <c r="C1296" t="s">
        <v>32</v>
      </c>
      <c r="D1296" t="s">
        <v>11</v>
      </c>
      <c r="E1296" s="4">
        <f t="shared" ca="1" si="20"/>
        <v>134710.09743589742</v>
      </c>
    </row>
    <row r="1297" spans="1:5" hidden="1" x14ac:dyDescent="0.25">
      <c r="A1297">
        <v>32</v>
      </c>
      <c r="B1297">
        <v>13</v>
      </c>
      <c r="C1297" t="s">
        <v>32</v>
      </c>
      <c r="D1297" t="s">
        <v>12</v>
      </c>
      <c r="E1297" s="4">
        <f t="shared" ca="1" si="20"/>
        <v>116398.55897435901</v>
      </c>
    </row>
    <row r="1298" spans="1:5" hidden="1" x14ac:dyDescent="0.25">
      <c r="A1298">
        <v>32</v>
      </c>
      <c r="B1298">
        <v>14</v>
      </c>
      <c r="C1298" t="s">
        <v>32</v>
      </c>
      <c r="D1298" t="s">
        <v>13</v>
      </c>
      <c r="E1298" s="4">
        <f t="shared" ca="1" si="20"/>
        <v>262862.78974358947</v>
      </c>
    </row>
    <row r="1299" spans="1:5" hidden="1" x14ac:dyDescent="0.25">
      <c r="A1299">
        <v>32</v>
      </c>
      <c r="B1299">
        <v>15</v>
      </c>
      <c r="C1299" t="s">
        <v>32</v>
      </c>
      <c r="D1299" t="s">
        <v>14</v>
      </c>
      <c r="E1299" s="4">
        <f t="shared" ca="1" si="20"/>
        <v>385038.48205128254</v>
      </c>
    </row>
    <row r="1300" spans="1:5" hidden="1" x14ac:dyDescent="0.25">
      <c r="A1300">
        <v>32</v>
      </c>
      <c r="B1300">
        <v>16</v>
      </c>
      <c r="C1300" t="s">
        <v>32</v>
      </c>
      <c r="D1300" t="s">
        <v>15</v>
      </c>
      <c r="E1300" s="4">
        <f t="shared" ca="1" si="20"/>
        <v>623251.71282051248</v>
      </c>
    </row>
    <row r="1301" spans="1:5" hidden="1" x14ac:dyDescent="0.25">
      <c r="A1301">
        <v>32</v>
      </c>
      <c r="B1301">
        <v>17</v>
      </c>
      <c r="C1301" t="s">
        <v>32</v>
      </c>
      <c r="D1301" t="s">
        <v>16</v>
      </c>
      <c r="E1301" s="4">
        <f t="shared" ca="1" si="20"/>
        <v>268135.55897435849</v>
      </c>
    </row>
    <row r="1302" spans="1:5" hidden="1" x14ac:dyDescent="0.25">
      <c r="A1302">
        <v>32</v>
      </c>
      <c r="B1302">
        <v>18</v>
      </c>
      <c r="C1302" t="s">
        <v>32</v>
      </c>
      <c r="D1302" t="s">
        <v>17</v>
      </c>
      <c r="E1302" s="4">
        <f t="shared" ca="1" si="20"/>
        <v>145306.40512820511</v>
      </c>
    </row>
    <row r="1303" spans="1:5" hidden="1" x14ac:dyDescent="0.25">
      <c r="A1303">
        <v>32</v>
      </c>
      <c r="B1303">
        <v>19</v>
      </c>
      <c r="C1303" t="s">
        <v>32</v>
      </c>
      <c r="D1303" t="s">
        <v>18</v>
      </c>
      <c r="E1303" s="4">
        <f t="shared" ca="1" si="20"/>
        <v>184025.40512820511</v>
      </c>
    </row>
    <row r="1304" spans="1:5" hidden="1" x14ac:dyDescent="0.25">
      <c r="A1304">
        <v>32</v>
      </c>
      <c r="B1304">
        <v>20</v>
      </c>
      <c r="C1304" t="s">
        <v>32</v>
      </c>
      <c r="D1304" t="s">
        <v>19</v>
      </c>
      <c r="E1304" s="4">
        <f t="shared" ca="1" si="20"/>
        <v>155840.6871794872</v>
      </c>
    </row>
    <row r="1305" spans="1:5" hidden="1" x14ac:dyDescent="0.25">
      <c r="A1305">
        <v>32</v>
      </c>
      <c r="B1305">
        <v>21</v>
      </c>
      <c r="C1305" t="s">
        <v>32</v>
      </c>
      <c r="D1305" t="s">
        <v>20</v>
      </c>
      <c r="E1305" s="4">
        <f t="shared" ca="1" si="20"/>
        <v>199992.35384615351</v>
      </c>
    </row>
    <row r="1306" spans="1:5" hidden="1" x14ac:dyDescent="0.25">
      <c r="A1306">
        <v>32</v>
      </c>
      <c r="B1306">
        <v>22</v>
      </c>
      <c r="C1306" t="s">
        <v>32</v>
      </c>
      <c r="D1306" t="s">
        <v>21</v>
      </c>
      <c r="E1306" s="4">
        <f t="shared" ca="1" si="20"/>
        <v>219119.35384615351</v>
      </c>
    </row>
    <row r="1307" spans="1:5" hidden="1" x14ac:dyDescent="0.25">
      <c r="A1307">
        <v>32</v>
      </c>
      <c r="B1307">
        <v>23</v>
      </c>
      <c r="C1307" t="s">
        <v>32</v>
      </c>
      <c r="D1307" t="s">
        <v>22</v>
      </c>
      <c r="E1307" s="4">
        <f t="shared" ca="1" si="20"/>
        <v>202855.68717948752</v>
      </c>
    </row>
    <row r="1308" spans="1:5" hidden="1" x14ac:dyDescent="0.25">
      <c r="A1308">
        <v>32</v>
      </c>
      <c r="B1308">
        <v>24</v>
      </c>
      <c r="C1308" t="s">
        <v>32</v>
      </c>
      <c r="D1308" t="s">
        <v>23</v>
      </c>
      <c r="E1308" s="4">
        <f t="shared" ca="1" si="20"/>
        <v>160327.6871794872</v>
      </c>
    </row>
    <row r="1309" spans="1:5" hidden="1" x14ac:dyDescent="0.25">
      <c r="A1309">
        <v>32</v>
      </c>
      <c r="B1309">
        <v>25</v>
      </c>
      <c r="C1309" t="s">
        <v>32</v>
      </c>
      <c r="D1309" t="s">
        <v>24</v>
      </c>
      <c r="E1309" s="4">
        <f t="shared" ca="1" si="20"/>
        <v>153275.35384615383</v>
      </c>
    </row>
    <row r="1310" spans="1:5" hidden="1" x14ac:dyDescent="0.25">
      <c r="A1310">
        <v>32</v>
      </c>
      <c r="B1310">
        <v>26</v>
      </c>
      <c r="C1310" t="s">
        <v>32</v>
      </c>
      <c r="D1310" t="s">
        <v>25</v>
      </c>
      <c r="E1310" s="4">
        <f t="shared" ca="1" si="20"/>
        <v>139349.02051282051</v>
      </c>
    </row>
    <row r="1311" spans="1:5" hidden="1" x14ac:dyDescent="0.25">
      <c r="A1311">
        <v>32</v>
      </c>
      <c r="B1311">
        <v>27</v>
      </c>
      <c r="C1311" t="s">
        <v>32</v>
      </c>
      <c r="D1311" t="s">
        <v>145</v>
      </c>
      <c r="E1311" s="4">
        <f t="shared" ca="1" si="20"/>
        <v>509282.12051282049</v>
      </c>
    </row>
    <row r="1312" spans="1:5" hidden="1" x14ac:dyDescent="0.25">
      <c r="A1312">
        <v>32</v>
      </c>
      <c r="B1312">
        <v>28</v>
      </c>
      <c r="C1312" t="s">
        <v>32</v>
      </c>
      <c r="D1312" t="s">
        <v>147</v>
      </c>
      <c r="E1312" s="4">
        <f t="shared" ca="1" si="20"/>
        <v>454060.42051282054</v>
      </c>
    </row>
    <row r="1313" spans="1:5" hidden="1" x14ac:dyDescent="0.25">
      <c r="A1313">
        <v>32</v>
      </c>
      <c r="B1313">
        <v>29</v>
      </c>
      <c r="C1313" t="s">
        <v>32</v>
      </c>
      <c r="D1313" t="s">
        <v>146</v>
      </c>
      <c r="E1313" s="4">
        <f t="shared" ca="1" si="20"/>
        <v>322210.12051282055</v>
      </c>
    </row>
    <row r="1314" spans="1:5" hidden="1" x14ac:dyDescent="0.25">
      <c r="A1314">
        <v>32</v>
      </c>
      <c r="B1314">
        <v>30</v>
      </c>
      <c r="C1314" t="s">
        <v>32</v>
      </c>
      <c r="D1314" t="s">
        <v>30</v>
      </c>
      <c r="E1314" s="4">
        <f t="shared" ca="1" si="20"/>
        <v>116961.71282051281</v>
      </c>
    </row>
    <row r="1315" spans="1:5" hidden="1" x14ac:dyDescent="0.25">
      <c r="A1315">
        <v>32</v>
      </c>
      <c r="B1315">
        <v>31</v>
      </c>
      <c r="C1315" t="s">
        <v>32</v>
      </c>
      <c r="D1315" t="s">
        <v>31</v>
      </c>
      <c r="E1315" s="4">
        <f t="shared" ca="1" si="20"/>
        <v>142508.52051282051</v>
      </c>
    </row>
    <row r="1316" spans="1:5" hidden="1" x14ac:dyDescent="0.25">
      <c r="A1316">
        <v>32</v>
      </c>
      <c r="B1316">
        <v>32</v>
      </c>
      <c r="C1316" t="s">
        <v>32</v>
      </c>
      <c r="D1316" t="s">
        <v>32</v>
      </c>
      <c r="E1316" s="4">
        <f t="shared" ca="1" si="20"/>
        <v>0</v>
      </c>
    </row>
    <row r="1317" spans="1:5" hidden="1" x14ac:dyDescent="0.25">
      <c r="A1317">
        <v>32</v>
      </c>
      <c r="B1317">
        <v>33</v>
      </c>
      <c r="C1317" t="s">
        <v>32</v>
      </c>
      <c r="D1317" t="s">
        <v>33</v>
      </c>
      <c r="E1317" s="4">
        <f t="shared" ref="E1317:E1379" ca="1" si="21">OFFSET($B$2,A1317,B1317)</f>
        <v>359780.4094017095</v>
      </c>
    </row>
    <row r="1318" spans="1:5" hidden="1" x14ac:dyDescent="0.25">
      <c r="A1318">
        <v>32</v>
      </c>
      <c r="B1318">
        <v>34</v>
      </c>
      <c r="C1318" t="s">
        <v>32</v>
      </c>
      <c r="D1318" t="s">
        <v>34</v>
      </c>
      <c r="E1318" s="4">
        <f t="shared" ca="1" si="21"/>
        <v>108190.55897435901</v>
      </c>
    </row>
    <row r="1319" spans="1:5" hidden="1" x14ac:dyDescent="0.25">
      <c r="A1319">
        <v>32</v>
      </c>
      <c r="B1319">
        <v>35</v>
      </c>
      <c r="C1319" t="s">
        <v>32</v>
      </c>
      <c r="D1319" t="s">
        <v>35</v>
      </c>
      <c r="E1319" s="4">
        <f t="shared" ca="1" si="21"/>
        <v>184036.94358974363</v>
      </c>
    </row>
    <row r="1320" spans="1:5" hidden="1" x14ac:dyDescent="0.25">
      <c r="A1320">
        <v>32</v>
      </c>
      <c r="B1320">
        <v>36</v>
      </c>
      <c r="C1320" t="s">
        <v>32</v>
      </c>
      <c r="D1320" t="s">
        <v>36</v>
      </c>
      <c r="E1320" s="4">
        <f t="shared" ca="1" si="21"/>
        <v>178852.4472527472</v>
      </c>
    </row>
    <row r="1321" spans="1:5" hidden="1" x14ac:dyDescent="0.25">
      <c r="A1321">
        <v>32</v>
      </c>
      <c r="B1321">
        <v>37</v>
      </c>
      <c r="C1321" t="s">
        <v>32</v>
      </c>
      <c r="D1321" t="s">
        <v>37</v>
      </c>
      <c r="E1321" s="4">
        <f t="shared" ca="1" si="21"/>
        <v>99829.405128205137</v>
      </c>
    </row>
    <row r="1322" spans="1:5" hidden="1" x14ac:dyDescent="0.25">
      <c r="A1322">
        <v>32</v>
      </c>
      <c r="B1322">
        <v>38</v>
      </c>
      <c r="C1322" t="s">
        <v>32</v>
      </c>
      <c r="D1322" t="s">
        <v>38</v>
      </c>
      <c r="E1322" s="4">
        <f t="shared" ca="1" si="21"/>
        <v>183999.86300366302</v>
      </c>
    </row>
    <row r="1323" spans="1:5" hidden="1" x14ac:dyDescent="0.25">
      <c r="A1323">
        <v>32</v>
      </c>
      <c r="B1323">
        <v>39</v>
      </c>
      <c r="C1323" t="s">
        <v>32</v>
      </c>
      <c r="D1323" t="s">
        <v>39</v>
      </c>
      <c r="E1323" s="4">
        <f t="shared" ca="1" si="21"/>
        <v>165319.16336996341</v>
      </c>
    </row>
    <row r="1324" spans="1:5" hidden="1" x14ac:dyDescent="0.25">
      <c r="A1324">
        <v>32</v>
      </c>
      <c r="B1324">
        <v>40</v>
      </c>
      <c r="C1324" t="s">
        <v>32</v>
      </c>
      <c r="D1324" t="s">
        <v>40</v>
      </c>
      <c r="E1324" s="4">
        <f t="shared" ca="1" si="21"/>
        <v>113497.51318681322</v>
      </c>
    </row>
    <row r="1325" spans="1:5" hidden="1" x14ac:dyDescent="0.25">
      <c r="A1325">
        <v>33</v>
      </c>
      <c r="B1325">
        <v>1</v>
      </c>
      <c r="C1325" t="s">
        <v>33</v>
      </c>
      <c r="D1325" t="s">
        <v>0</v>
      </c>
      <c r="E1325" s="4">
        <f t="shared" ca="1" si="21"/>
        <v>323157.07264957268</v>
      </c>
    </row>
    <row r="1326" spans="1:5" hidden="1" x14ac:dyDescent="0.25">
      <c r="A1326">
        <v>33</v>
      </c>
      <c r="B1326">
        <v>2</v>
      </c>
      <c r="C1326" t="s">
        <v>33</v>
      </c>
      <c r="D1326" t="s">
        <v>1</v>
      </c>
      <c r="E1326" s="4">
        <f t="shared" ca="1" si="21"/>
        <v>313545.45726495731</v>
      </c>
    </row>
    <row r="1327" spans="1:5" hidden="1" x14ac:dyDescent="0.25">
      <c r="A1327">
        <v>33</v>
      </c>
      <c r="B1327">
        <v>3</v>
      </c>
      <c r="C1327" t="s">
        <v>33</v>
      </c>
      <c r="D1327" t="s">
        <v>2</v>
      </c>
      <c r="E1327" s="4">
        <f t="shared" ca="1" si="21"/>
        <v>316579.688034188</v>
      </c>
    </row>
    <row r="1328" spans="1:5" hidden="1" x14ac:dyDescent="0.25">
      <c r="A1328">
        <v>33</v>
      </c>
      <c r="B1328">
        <v>4</v>
      </c>
      <c r="C1328" t="s">
        <v>33</v>
      </c>
      <c r="D1328" t="s">
        <v>3</v>
      </c>
      <c r="E1328" s="4">
        <f t="shared" ca="1" si="21"/>
        <v>305686.61111111112</v>
      </c>
    </row>
    <row r="1329" spans="1:5" hidden="1" x14ac:dyDescent="0.25">
      <c r="A1329">
        <v>33</v>
      </c>
      <c r="B1329">
        <v>5</v>
      </c>
      <c r="C1329" t="s">
        <v>33</v>
      </c>
      <c r="D1329" t="s">
        <v>4</v>
      </c>
      <c r="E1329" s="4">
        <f t="shared" ca="1" si="21"/>
        <v>337486.688034188</v>
      </c>
    </row>
    <row r="1330" spans="1:5" hidden="1" x14ac:dyDescent="0.25">
      <c r="A1330">
        <v>33</v>
      </c>
      <c r="B1330">
        <v>6</v>
      </c>
      <c r="C1330" t="s">
        <v>33</v>
      </c>
      <c r="D1330" t="s">
        <v>5</v>
      </c>
      <c r="E1330" s="4">
        <f t="shared" ca="1" si="21"/>
        <v>403275.99938949948</v>
      </c>
    </row>
    <row r="1331" spans="1:5" hidden="1" x14ac:dyDescent="0.25">
      <c r="A1331">
        <v>33</v>
      </c>
      <c r="B1331">
        <v>7</v>
      </c>
      <c r="C1331" t="s">
        <v>33</v>
      </c>
      <c r="D1331" t="s">
        <v>6</v>
      </c>
      <c r="E1331" s="4">
        <f t="shared" ca="1" si="21"/>
        <v>336822.30341880338</v>
      </c>
    </row>
    <row r="1332" spans="1:5" hidden="1" x14ac:dyDescent="0.25">
      <c r="A1332">
        <v>33</v>
      </c>
      <c r="B1332">
        <v>8</v>
      </c>
      <c r="C1332" t="s">
        <v>33</v>
      </c>
      <c r="D1332" t="s">
        <v>7</v>
      </c>
      <c r="E1332" s="4">
        <f t="shared" ca="1" si="21"/>
        <v>394420.07264957251</v>
      </c>
    </row>
    <row r="1333" spans="1:5" hidden="1" x14ac:dyDescent="0.25">
      <c r="A1333">
        <v>33</v>
      </c>
      <c r="B1333">
        <v>9</v>
      </c>
      <c r="C1333" t="s">
        <v>33</v>
      </c>
      <c r="D1333" t="s">
        <v>148</v>
      </c>
      <c r="E1333" s="4">
        <f t="shared" ca="1" si="21"/>
        <v>844752.84829059849</v>
      </c>
    </row>
    <row r="1334" spans="1:5" hidden="1" x14ac:dyDescent="0.25">
      <c r="A1334">
        <v>33</v>
      </c>
      <c r="B1334">
        <v>10</v>
      </c>
      <c r="C1334" t="s">
        <v>33</v>
      </c>
      <c r="D1334" t="s">
        <v>9</v>
      </c>
      <c r="E1334" s="4">
        <f t="shared" ca="1" si="21"/>
        <v>369129.14957264962</v>
      </c>
    </row>
    <row r="1335" spans="1:5" hidden="1" x14ac:dyDescent="0.25">
      <c r="A1335">
        <v>33</v>
      </c>
      <c r="B1335">
        <v>11</v>
      </c>
      <c r="C1335" t="s">
        <v>33</v>
      </c>
      <c r="D1335" t="s">
        <v>10</v>
      </c>
      <c r="E1335" s="4">
        <f t="shared" ca="1" si="21"/>
        <v>371893.2264957265</v>
      </c>
    </row>
    <row r="1336" spans="1:5" hidden="1" x14ac:dyDescent="0.25">
      <c r="A1336">
        <v>33</v>
      </c>
      <c r="B1336">
        <v>12</v>
      </c>
      <c r="C1336" t="s">
        <v>33</v>
      </c>
      <c r="D1336" t="s">
        <v>11</v>
      </c>
      <c r="E1336" s="4">
        <f t="shared" ca="1" si="21"/>
        <v>316619.30341880338</v>
      </c>
    </row>
    <row r="1337" spans="1:5" hidden="1" x14ac:dyDescent="0.25">
      <c r="A1337">
        <v>33</v>
      </c>
      <c r="B1337">
        <v>13</v>
      </c>
      <c r="C1337" t="s">
        <v>33</v>
      </c>
      <c r="D1337" t="s">
        <v>12</v>
      </c>
      <c r="E1337" s="4">
        <f t="shared" ca="1" si="21"/>
        <v>298307.764957265</v>
      </c>
    </row>
    <row r="1338" spans="1:5" hidden="1" x14ac:dyDescent="0.25">
      <c r="A1338">
        <v>33</v>
      </c>
      <c r="B1338">
        <v>14</v>
      </c>
      <c r="C1338" t="s">
        <v>33</v>
      </c>
      <c r="D1338" t="s">
        <v>13</v>
      </c>
      <c r="E1338" s="4">
        <f t="shared" ca="1" si="21"/>
        <v>444771.99572649552</v>
      </c>
    </row>
    <row r="1339" spans="1:5" hidden="1" x14ac:dyDescent="0.25">
      <c r="A1339">
        <v>33</v>
      </c>
      <c r="B1339">
        <v>15</v>
      </c>
      <c r="C1339" t="s">
        <v>33</v>
      </c>
      <c r="D1339" t="s">
        <v>14</v>
      </c>
      <c r="E1339" s="4">
        <f t="shared" ca="1" si="21"/>
        <v>566947.68803418847</v>
      </c>
    </row>
    <row r="1340" spans="1:5" hidden="1" x14ac:dyDescent="0.25">
      <c r="A1340">
        <v>33</v>
      </c>
      <c r="B1340">
        <v>16</v>
      </c>
      <c r="C1340" t="s">
        <v>33</v>
      </c>
      <c r="D1340" t="s">
        <v>15</v>
      </c>
      <c r="E1340" s="4">
        <f t="shared" ca="1" si="21"/>
        <v>805160.91880341852</v>
      </c>
    </row>
    <row r="1341" spans="1:5" hidden="1" x14ac:dyDescent="0.25">
      <c r="A1341">
        <v>33</v>
      </c>
      <c r="B1341">
        <v>17</v>
      </c>
      <c r="C1341" t="s">
        <v>33</v>
      </c>
      <c r="D1341" t="s">
        <v>16</v>
      </c>
      <c r="E1341" s="4">
        <f t="shared" ca="1" si="21"/>
        <v>450044.76495726453</v>
      </c>
    </row>
    <row r="1342" spans="1:5" hidden="1" x14ac:dyDescent="0.25">
      <c r="A1342">
        <v>33</v>
      </c>
      <c r="B1342">
        <v>18</v>
      </c>
      <c r="C1342" t="s">
        <v>33</v>
      </c>
      <c r="D1342" t="s">
        <v>17</v>
      </c>
      <c r="E1342" s="4">
        <f t="shared" ca="1" si="21"/>
        <v>327215.61111111112</v>
      </c>
    </row>
    <row r="1343" spans="1:5" hidden="1" x14ac:dyDescent="0.25">
      <c r="A1343">
        <v>33</v>
      </c>
      <c r="B1343">
        <v>19</v>
      </c>
      <c r="C1343" t="s">
        <v>33</v>
      </c>
      <c r="D1343" t="s">
        <v>18</v>
      </c>
      <c r="E1343" s="4">
        <f t="shared" ca="1" si="21"/>
        <v>365934.61111111112</v>
      </c>
    </row>
    <row r="1344" spans="1:5" hidden="1" x14ac:dyDescent="0.25">
      <c r="A1344">
        <v>33</v>
      </c>
      <c r="B1344">
        <v>20</v>
      </c>
      <c r="C1344" t="s">
        <v>33</v>
      </c>
      <c r="D1344" t="s">
        <v>19</v>
      </c>
      <c r="E1344" s="4">
        <f t="shared" ca="1" si="21"/>
        <v>337749.89316239319</v>
      </c>
    </row>
    <row r="1345" spans="1:5" hidden="1" x14ac:dyDescent="0.25">
      <c r="A1345">
        <v>33</v>
      </c>
      <c r="B1345">
        <v>21</v>
      </c>
      <c r="C1345" t="s">
        <v>33</v>
      </c>
      <c r="D1345" t="s">
        <v>20</v>
      </c>
      <c r="E1345" s="4">
        <f t="shared" ca="1" si="21"/>
        <v>381901.55982905952</v>
      </c>
    </row>
    <row r="1346" spans="1:5" hidden="1" x14ac:dyDescent="0.25">
      <c r="A1346">
        <v>33</v>
      </c>
      <c r="B1346">
        <v>22</v>
      </c>
      <c r="C1346" t="s">
        <v>33</v>
      </c>
      <c r="D1346" t="s">
        <v>21</v>
      </c>
      <c r="E1346" s="4">
        <f t="shared" ca="1" si="21"/>
        <v>401028.55982905952</v>
      </c>
    </row>
    <row r="1347" spans="1:5" hidden="1" x14ac:dyDescent="0.25">
      <c r="A1347">
        <v>33</v>
      </c>
      <c r="B1347">
        <v>23</v>
      </c>
      <c r="C1347" t="s">
        <v>33</v>
      </c>
      <c r="D1347" t="s">
        <v>22</v>
      </c>
      <c r="E1347" s="4">
        <f t="shared" ca="1" si="21"/>
        <v>384764.89316239348</v>
      </c>
    </row>
    <row r="1348" spans="1:5" hidden="1" x14ac:dyDescent="0.25">
      <c r="A1348">
        <v>33</v>
      </c>
      <c r="B1348">
        <v>24</v>
      </c>
      <c r="C1348" t="s">
        <v>33</v>
      </c>
      <c r="D1348" t="s">
        <v>23</v>
      </c>
      <c r="E1348" s="4">
        <f t="shared" ca="1" si="21"/>
        <v>342236.89316239319</v>
      </c>
    </row>
    <row r="1349" spans="1:5" hidden="1" x14ac:dyDescent="0.25">
      <c r="A1349">
        <v>33</v>
      </c>
      <c r="B1349">
        <v>25</v>
      </c>
      <c r="C1349" t="s">
        <v>33</v>
      </c>
      <c r="D1349" t="s">
        <v>24</v>
      </c>
      <c r="E1349" s="4">
        <f t="shared" ca="1" si="21"/>
        <v>335184.55982905981</v>
      </c>
    </row>
    <row r="1350" spans="1:5" hidden="1" x14ac:dyDescent="0.25">
      <c r="A1350">
        <v>33</v>
      </c>
      <c r="B1350">
        <v>26</v>
      </c>
      <c r="C1350" t="s">
        <v>33</v>
      </c>
      <c r="D1350" t="s">
        <v>25</v>
      </c>
      <c r="E1350" s="4">
        <f t="shared" ca="1" si="21"/>
        <v>321258.2264957265</v>
      </c>
    </row>
    <row r="1351" spans="1:5" hidden="1" x14ac:dyDescent="0.25">
      <c r="A1351">
        <v>33</v>
      </c>
      <c r="B1351">
        <v>27</v>
      </c>
      <c r="C1351" t="s">
        <v>33</v>
      </c>
      <c r="D1351" t="s">
        <v>145</v>
      </c>
      <c r="E1351" s="4">
        <f t="shared" ca="1" si="21"/>
        <v>691191.32649572648</v>
      </c>
    </row>
    <row r="1352" spans="1:5" hidden="1" x14ac:dyDescent="0.25">
      <c r="A1352">
        <v>33</v>
      </c>
      <c r="B1352">
        <v>28</v>
      </c>
      <c r="C1352" t="s">
        <v>33</v>
      </c>
      <c r="D1352" t="s">
        <v>147</v>
      </c>
      <c r="E1352" s="4">
        <f t="shared" ca="1" si="21"/>
        <v>635969.62649572652</v>
      </c>
    </row>
    <row r="1353" spans="1:5" hidden="1" x14ac:dyDescent="0.25">
      <c r="A1353">
        <v>33</v>
      </c>
      <c r="B1353">
        <v>29</v>
      </c>
      <c r="C1353" t="s">
        <v>33</v>
      </c>
      <c r="D1353" t="s">
        <v>146</v>
      </c>
      <c r="E1353" s="4">
        <f t="shared" ca="1" si="21"/>
        <v>504119.32649572648</v>
      </c>
    </row>
    <row r="1354" spans="1:5" hidden="1" x14ac:dyDescent="0.25">
      <c r="A1354">
        <v>33</v>
      </c>
      <c r="B1354">
        <v>30</v>
      </c>
      <c r="C1354" t="s">
        <v>33</v>
      </c>
      <c r="D1354" t="s">
        <v>30</v>
      </c>
      <c r="E1354" s="4">
        <f t="shared" ca="1" si="21"/>
        <v>298870.91880341881</v>
      </c>
    </row>
    <row r="1355" spans="1:5" hidden="1" x14ac:dyDescent="0.25">
      <c r="A1355">
        <v>33</v>
      </c>
      <c r="B1355">
        <v>31</v>
      </c>
      <c r="C1355" t="s">
        <v>33</v>
      </c>
      <c r="D1355" t="s">
        <v>31</v>
      </c>
      <c r="E1355" s="4">
        <f t="shared" ca="1" si="21"/>
        <v>324417.7264957265</v>
      </c>
    </row>
    <row r="1356" spans="1:5" hidden="1" x14ac:dyDescent="0.25">
      <c r="A1356">
        <v>33</v>
      </c>
      <c r="B1356">
        <v>32</v>
      </c>
      <c r="C1356" t="s">
        <v>33</v>
      </c>
      <c r="D1356" t="s">
        <v>32</v>
      </c>
      <c r="E1356" s="4">
        <f t="shared" ca="1" si="21"/>
        <v>374127.94957264961</v>
      </c>
    </row>
    <row r="1357" spans="1:5" hidden="1" x14ac:dyDescent="0.25">
      <c r="A1357">
        <v>33</v>
      </c>
      <c r="B1357">
        <v>33</v>
      </c>
      <c r="C1357" t="s">
        <v>33</v>
      </c>
      <c r="D1357" t="s">
        <v>33</v>
      </c>
      <c r="E1357" s="4">
        <f t="shared" ca="1" si="21"/>
        <v>0</v>
      </c>
    </row>
    <row r="1358" spans="1:5" hidden="1" x14ac:dyDescent="0.25">
      <c r="A1358">
        <v>33</v>
      </c>
      <c r="B1358">
        <v>34</v>
      </c>
      <c r="C1358" t="s">
        <v>33</v>
      </c>
      <c r="D1358" t="s">
        <v>34</v>
      </c>
      <c r="E1358" s="4">
        <f t="shared" ca="1" si="21"/>
        <v>290099.764957265</v>
      </c>
    </row>
    <row r="1359" spans="1:5" hidden="1" x14ac:dyDescent="0.25">
      <c r="A1359">
        <v>33</v>
      </c>
      <c r="B1359">
        <v>35</v>
      </c>
      <c r="C1359" t="s">
        <v>33</v>
      </c>
      <c r="D1359" t="s">
        <v>35</v>
      </c>
      <c r="E1359" s="4">
        <f t="shared" ca="1" si="21"/>
        <v>365946.14957264962</v>
      </c>
    </row>
    <row r="1360" spans="1:5" hidden="1" x14ac:dyDescent="0.25">
      <c r="A1360">
        <v>33</v>
      </c>
      <c r="B1360">
        <v>36</v>
      </c>
      <c r="C1360" t="s">
        <v>33</v>
      </c>
      <c r="D1360" t="s">
        <v>36</v>
      </c>
      <c r="E1360" s="4">
        <f t="shared" ca="1" si="21"/>
        <v>360761.65323565318</v>
      </c>
    </row>
    <row r="1361" spans="1:5" hidden="1" x14ac:dyDescent="0.25">
      <c r="A1361">
        <v>33</v>
      </c>
      <c r="B1361">
        <v>37</v>
      </c>
      <c r="C1361" t="s">
        <v>33</v>
      </c>
      <c r="D1361" t="s">
        <v>37</v>
      </c>
      <c r="E1361" s="4">
        <f t="shared" ca="1" si="21"/>
        <v>281738.61111111112</v>
      </c>
    </row>
    <row r="1362" spans="1:5" hidden="1" x14ac:dyDescent="0.25">
      <c r="A1362">
        <v>33</v>
      </c>
      <c r="B1362">
        <v>38</v>
      </c>
      <c r="C1362" t="s">
        <v>33</v>
      </c>
      <c r="D1362" t="s">
        <v>38</v>
      </c>
      <c r="E1362" s="4">
        <f t="shared" ca="1" si="21"/>
        <v>365909.06898656901</v>
      </c>
    </row>
    <row r="1363" spans="1:5" hidden="1" x14ac:dyDescent="0.25">
      <c r="A1363">
        <v>33</v>
      </c>
      <c r="B1363">
        <v>39</v>
      </c>
      <c r="C1363" t="s">
        <v>33</v>
      </c>
      <c r="D1363" t="s">
        <v>39</v>
      </c>
      <c r="E1363" s="4">
        <f t="shared" ca="1" si="21"/>
        <v>347228.3693528694</v>
      </c>
    </row>
    <row r="1364" spans="1:5" hidden="1" x14ac:dyDescent="0.25">
      <c r="A1364">
        <v>33</v>
      </c>
      <c r="B1364">
        <v>40</v>
      </c>
      <c r="C1364" t="s">
        <v>33</v>
      </c>
      <c r="D1364" t="s">
        <v>40</v>
      </c>
      <c r="E1364" s="4">
        <f t="shared" ca="1" si="21"/>
        <v>295406.7191697192</v>
      </c>
    </row>
    <row r="1365" spans="1:5" hidden="1" x14ac:dyDescent="0.25">
      <c r="A1365">
        <v>34</v>
      </c>
      <c r="B1365">
        <v>1</v>
      </c>
      <c r="C1365" t="s">
        <v>34</v>
      </c>
      <c r="D1365" t="s">
        <v>0</v>
      </c>
      <c r="E1365" s="4">
        <f t="shared" ca="1" si="21"/>
        <v>62655.230769230817</v>
      </c>
    </row>
    <row r="1366" spans="1:5" hidden="1" x14ac:dyDescent="0.25">
      <c r="A1366">
        <v>34</v>
      </c>
      <c r="B1366">
        <v>2</v>
      </c>
      <c r="C1366" t="s">
        <v>34</v>
      </c>
      <c r="D1366" t="s">
        <v>1</v>
      </c>
      <c r="E1366" s="4">
        <f t="shared" ca="1" si="21"/>
        <v>53043.615384615419</v>
      </c>
    </row>
    <row r="1367" spans="1:5" hidden="1" x14ac:dyDescent="0.25">
      <c r="A1367">
        <v>34</v>
      </c>
      <c r="B1367">
        <v>3</v>
      </c>
      <c r="C1367" t="s">
        <v>34</v>
      </c>
      <c r="D1367" t="s">
        <v>2</v>
      </c>
      <c r="E1367" s="4">
        <f t="shared" ca="1" si="21"/>
        <v>56077.84615384612</v>
      </c>
    </row>
    <row r="1368" spans="1:5" hidden="1" x14ac:dyDescent="0.25">
      <c r="A1368">
        <v>34</v>
      </c>
      <c r="B1368">
        <v>4</v>
      </c>
      <c r="C1368" t="s">
        <v>34</v>
      </c>
      <c r="D1368" t="s">
        <v>3</v>
      </c>
      <c r="E1368" s="4">
        <f t="shared" ca="1" si="21"/>
        <v>45184.769230769212</v>
      </c>
    </row>
    <row r="1369" spans="1:5" hidden="1" x14ac:dyDescent="0.25">
      <c r="A1369">
        <v>34</v>
      </c>
      <c r="B1369">
        <v>5</v>
      </c>
      <c r="C1369" t="s">
        <v>34</v>
      </c>
      <c r="D1369" t="s">
        <v>4</v>
      </c>
      <c r="E1369" s="4">
        <f t="shared" ca="1" si="21"/>
        <v>76984.846153846112</v>
      </c>
    </row>
    <row r="1370" spans="1:5" hidden="1" x14ac:dyDescent="0.25">
      <c r="A1370">
        <v>34</v>
      </c>
      <c r="B1370">
        <v>6</v>
      </c>
      <c r="C1370" t="s">
        <v>34</v>
      </c>
      <c r="D1370" t="s">
        <v>5</v>
      </c>
      <c r="E1370" s="4">
        <f t="shared" ca="1" si="21"/>
        <v>142774.15750915761</v>
      </c>
    </row>
    <row r="1371" spans="1:5" hidden="1" x14ac:dyDescent="0.25">
      <c r="A1371">
        <v>34</v>
      </c>
      <c r="B1371">
        <v>7</v>
      </c>
      <c r="C1371" t="s">
        <v>34</v>
      </c>
      <c r="D1371" t="s">
        <v>6</v>
      </c>
      <c r="E1371" s="4">
        <f t="shared" ca="1" si="21"/>
        <v>76320.461538461517</v>
      </c>
    </row>
    <row r="1372" spans="1:5" hidden="1" x14ac:dyDescent="0.25">
      <c r="A1372">
        <v>34</v>
      </c>
      <c r="B1372">
        <v>8</v>
      </c>
      <c r="C1372" t="s">
        <v>34</v>
      </c>
      <c r="D1372" t="s">
        <v>7</v>
      </c>
      <c r="E1372" s="4">
        <f t="shared" ca="1" si="21"/>
        <v>133918.23076923061</v>
      </c>
    </row>
    <row r="1373" spans="1:5" hidden="1" x14ac:dyDescent="0.25">
      <c r="A1373">
        <v>34</v>
      </c>
      <c r="B1373">
        <v>9</v>
      </c>
      <c r="C1373" t="s">
        <v>34</v>
      </c>
      <c r="D1373" t="s">
        <v>148</v>
      </c>
      <c r="E1373" s="4">
        <f t="shared" ca="1" si="21"/>
        <v>584251.00641025661</v>
      </c>
    </row>
    <row r="1374" spans="1:5" hidden="1" x14ac:dyDescent="0.25">
      <c r="A1374">
        <v>34</v>
      </c>
      <c r="B1374">
        <v>10</v>
      </c>
      <c r="C1374" t="s">
        <v>34</v>
      </c>
      <c r="D1374" t="s">
        <v>9</v>
      </c>
      <c r="E1374" s="4">
        <f t="shared" ca="1" si="21"/>
        <v>108627.30769230772</v>
      </c>
    </row>
    <row r="1375" spans="1:5" hidden="1" x14ac:dyDescent="0.25">
      <c r="A1375">
        <v>34</v>
      </c>
      <c r="B1375">
        <v>11</v>
      </c>
      <c r="C1375" t="s">
        <v>34</v>
      </c>
      <c r="D1375" t="s">
        <v>10</v>
      </c>
      <c r="E1375" s="4">
        <f t="shared" ca="1" si="21"/>
        <v>111391.38461538461</v>
      </c>
    </row>
    <row r="1376" spans="1:5" hidden="1" x14ac:dyDescent="0.25">
      <c r="A1376">
        <v>34</v>
      </c>
      <c r="B1376">
        <v>12</v>
      </c>
      <c r="C1376" t="s">
        <v>34</v>
      </c>
      <c r="D1376" t="s">
        <v>11</v>
      </c>
      <c r="E1376" s="4">
        <f t="shared" ca="1" si="21"/>
        <v>56117.461538461517</v>
      </c>
    </row>
    <row r="1377" spans="1:5" hidden="1" x14ac:dyDescent="0.25">
      <c r="A1377">
        <v>34</v>
      </c>
      <c r="B1377">
        <v>13</v>
      </c>
      <c r="C1377" t="s">
        <v>34</v>
      </c>
      <c r="D1377" t="s">
        <v>12</v>
      </c>
      <c r="E1377" s="4">
        <f t="shared" ca="1" si="21"/>
        <v>37805.923076923114</v>
      </c>
    </row>
    <row r="1378" spans="1:5" hidden="1" x14ac:dyDescent="0.25">
      <c r="A1378">
        <v>34</v>
      </c>
      <c r="B1378">
        <v>14</v>
      </c>
      <c r="C1378" t="s">
        <v>34</v>
      </c>
      <c r="D1378" t="s">
        <v>13</v>
      </c>
      <c r="E1378" s="4">
        <f t="shared" ca="1" si="21"/>
        <v>184270.15384615361</v>
      </c>
    </row>
    <row r="1379" spans="1:5" hidden="1" x14ac:dyDescent="0.25">
      <c r="A1379">
        <v>34</v>
      </c>
      <c r="B1379">
        <v>15</v>
      </c>
      <c r="C1379" t="s">
        <v>34</v>
      </c>
      <c r="D1379" t="s">
        <v>14</v>
      </c>
      <c r="E1379" s="4">
        <f t="shared" ca="1" si="21"/>
        <v>306445.84615384665</v>
      </c>
    </row>
    <row r="1380" spans="1:5" hidden="1" x14ac:dyDescent="0.25">
      <c r="A1380">
        <v>34</v>
      </c>
      <c r="B1380">
        <v>16</v>
      </c>
      <c r="C1380" t="s">
        <v>34</v>
      </c>
      <c r="D1380" t="s">
        <v>15</v>
      </c>
      <c r="E1380" s="4">
        <f t="shared" ref="E1380:E1441" ca="1" si="22">OFFSET($B$2,A1380,B1380)</f>
        <v>544659.07692307665</v>
      </c>
    </row>
    <row r="1381" spans="1:5" hidden="1" x14ac:dyDescent="0.25">
      <c r="A1381">
        <v>34</v>
      </c>
      <c r="B1381">
        <v>17</v>
      </c>
      <c r="C1381" t="s">
        <v>34</v>
      </c>
      <c r="D1381" t="s">
        <v>16</v>
      </c>
      <c r="E1381" s="4">
        <f t="shared" ca="1" si="22"/>
        <v>189542.92307692263</v>
      </c>
    </row>
    <row r="1382" spans="1:5" hidden="1" x14ac:dyDescent="0.25">
      <c r="A1382">
        <v>34</v>
      </c>
      <c r="B1382">
        <v>18</v>
      </c>
      <c r="C1382" t="s">
        <v>34</v>
      </c>
      <c r="D1382" t="s">
        <v>17</v>
      </c>
      <c r="E1382" s="4">
        <f t="shared" ca="1" si="22"/>
        <v>66713.76923076922</v>
      </c>
    </row>
    <row r="1383" spans="1:5" hidden="1" x14ac:dyDescent="0.25">
      <c r="A1383">
        <v>34</v>
      </c>
      <c r="B1383">
        <v>19</v>
      </c>
      <c r="C1383" t="s">
        <v>34</v>
      </c>
      <c r="D1383" t="s">
        <v>18</v>
      </c>
      <c r="E1383" s="4">
        <f t="shared" ca="1" si="22"/>
        <v>105432.76923076921</v>
      </c>
    </row>
    <row r="1384" spans="1:5" hidden="1" x14ac:dyDescent="0.25">
      <c r="A1384">
        <v>34</v>
      </c>
      <c r="B1384">
        <v>20</v>
      </c>
      <c r="C1384" t="s">
        <v>34</v>
      </c>
      <c r="D1384" t="s">
        <v>19</v>
      </c>
      <c r="E1384" s="4">
        <f t="shared" ca="1" si="22"/>
        <v>77248.05128205131</v>
      </c>
    </row>
    <row r="1385" spans="1:5" hidden="1" x14ac:dyDescent="0.25">
      <c r="A1385">
        <v>34</v>
      </c>
      <c r="B1385">
        <v>21</v>
      </c>
      <c r="C1385" t="s">
        <v>34</v>
      </c>
      <c r="D1385" t="s">
        <v>20</v>
      </c>
      <c r="E1385" s="4">
        <f t="shared" ca="1" si="22"/>
        <v>121399.7179487176</v>
      </c>
    </row>
    <row r="1386" spans="1:5" hidden="1" x14ac:dyDescent="0.25">
      <c r="A1386">
        <v>34</v>
      </c>
      <c r="B1386">
        <v>22</v>
      </c>
      <c r="C1386" t="s">
        <v>34</v>
      </c>
      <c r="D1386" t="s">
        <v>21</v>
      </c>
      <c r="E1386" s="4">
        <f t="shared" ca="1" si="22"/>
        <v>140526.71794871762</v>
      </c>
    </row>
    <row r="1387" spans="1:5" hidden="1" x14ac:dyDescent="0.25">
      <c r="A1387">
        <v>34</v>
      </c>
      <c r="B1387">
        <v>23</v>
      </c>
      <c r="C1387" t="s">
        <v>34</v>
      </c>
      <c r="D1387" t="s">
        <v>22</v>
      </c>
      <c r="E1387" s="4">
        <f t="shared" ca="1" si="22"/>
        <v>124263.05128205162</v>
      </c>
    </row>
    <row r="1388" spans="1:5" hidden="1" x14ac:dyDescent="0.25">
      <c r="A1388">
        <v>34</v>
      </c>
      <c r="B1388">
        <v>24</v>
      </c>
      <c r="C1388" t="s">
        <v>34</v>
      </c>
      <c r="D1388" t="s">
        <v>23</v>
      </c>
      <c r="E1388" s="4">
        <f t="shared" ca="1" si="22"/>
        <v>81735.05128205131</v>
      </c>
    </row>
    <row r="1389" spans="1:5" hidden="1" x14ac:dyDescent="0.25">
      <c r="A1389">
        <v>34</v>
      </c>
      <c r="B1389">
        <v>25</v>
      </c>
      <c r="C1389" t="s">
        <v>34</v>
      </c>
      <c r="D1389" t="s">
        <v>24</v>
      </c>
      <c r="E1389" s="4">
        <f t="shared" ca="1" si="22"/>
        <v>74682.717948717909</v>
      </c>
    </row>
    <row r="1390" spans="1:5" hidden="1" x14ac:dyDescent="0.25">
      <c r="A1390">
        <v>34</v>
      </c>
      <c r="B1390">
        <v>26</v>
      </c>
      <c r="C1390" t="s">
        <v>34</v>
      </c>
      <c r="D1390" t="s">
        <v>25</v>
      </c>
      <c r="E1390" s="4">
        <f t="shared" ca="1" si="22"/>
        <v>60756.384615384617</v>
      </c>
    </row>
    <row r="1391" spans="1:5" hidden="1" x14ac:dyDescent="0.25">
      <c r="A1391">
        <v>34</v>
      </c>
      <c r="B1391">
        <v>27</v>
      </c>
      <c r="C1391" t="s">
        <v>34</v>
      </c>
      <c r="D1391" t="s">
        <v>145</v>
      </c>
      <c r="E1391" s="4">
        <f t="shared" ca="1" si="22"/>
        <v>430689.4846153846</v>
      </c>
    </row>
    <row r="1392" spans="1:5" hidden="1" x14ac:dyDescent="0.25">
      <c r="A1392">
        <v>34</v>
      </c>
      <c r="B1392">
        <v>28</v>
      </c>
      <c r="C1392" t="s">
        <v>34</v>
      </c>
      <c r="D1392" t="s">
        <v>147</v>
      </c>
      <c r="E1392" s="4">
        <f t="shared" ca="1" si="22"/>
        <v>375467.78461538465</v>
      </c>
    </row>
    <row r="1393" spans="1:5" hidden="1" x14ac:dyDescent="0.25">
      <c r="A1393">
        <v>34</v>
      </c>
      <c r="B1393">
        <v>29</v>
      </c>
      <c r="C1393" t="s">
        <v>34</v>
      </c>
      <c r="D1393" t="s">
        <v>146</v>
      </c>
      <c r="E1393" s="4">
        <f t="shared" ca="1" si="22"/>
        <v>243617.48461538463</v>
      </c>
    </row>
    <row r="1394" spans="1:5" hidden="1" x14ac:dyDescent="0.25">
      <c r="A1394">
        <v>34</v>
      </c>
      <c r="B1394">
        <v>30</v>
      </c>
      <c r="C1394" t="s">
        <v>34</v>
      </c>
      <c r="D1394" t="s">
        <v>30</v>
      </c>
      <c r="E1394" s="4">
        <f t="shared" ca="1" si="22"/>
        <v>38369.076923076915</v>
      </c>
    </row>
    <row r="1395" spans="1:5" hidden="1" x14ac:dyDescent="0.25">
      <c r="A1395">
        <v>34</v>
      </c>
      <c r="B1395">
        <v>31</v>
      </c>
      <c r="C1395" t="s">
        <v>34</v>
      </c>
      <c r="D1395" t="s">
        <v>31</v>
      </c>
      <c r="E1395" s="4">
        <f t="shared" ca="1" si="22"/>
        <v>63915.884615384617</v>
      </c>
    </row>
    <row r="1396" spans="1:5" hidden="1" x14ac:dyDescent="0.25">
      <c r="A1396">
        <v>34</v>
      </c>
      <c r="B1396">
        <v>32</v>
      </c>
      <c r="C1396" t="s">
        <v>34</v>
      </c>
      <c r="D1396" t="s">
        <v>32</v>
      </c>
      <c r="E1396" s="4">
        <f t="shared" ca="1" si="22"/>
        <v>113626.10769230771</v>
      </c>
    </row>
    <row r="1397" spans="1:5" hidden="1" x14ac:dyDescent="0.25">
      <c r="A1397">
        <v>34</v>
      </c>
      <c r="B1397">
        <v>33</v>
      </c>
      <c r="C1397" t="s">
        <v>34</v>
      </c>
      <c r="D1397" t="s">
        <v>33</v>
      </c>
      <c r="E1397" s="4">
        <f t="shared" ca="1" si="22"/>
        <v>281187.77350427362</v>
      </c>
    </row>
    <row r="1398" spans="1:5" hidden="1" x14ac:dyDescent="0.25">
      <c r="A1398">
        <v>34</v>
      </c>
      <c r="B1398">
        <v>34</v>
      </c>
      <c r="C1398" t="s">
        <v>34</v>
      </c>
      <c r="D1398" t="s">
        <v>34</v>
      </c>
      <c r="E1398" s="4">
        <f t="shared" ca="1" si="22"/>
        <v>0</v>
      </c>
    </row>
    <row r="1399" spans="1:5" hidden="1" x14ac:dyDescent="0.25">
      <c r="A1399">
        <v>34</v>
      </c>
      <c r="B1399">
        <v>35</v>
      </c>
      <c r="C1399" t="s">
        <v>34</v>
      </c>
      <c r="D1399" t="s">
        <v>35</v>
      </c>
      <c r="E1399" s="4">
        <f t="shared" ca="1" si="22"/>
        <v>105444.30769230772</v>
      </c>
    </row>
    <row r="1400" spans="1:5" hidden="1" x14ac:dyDescent="0.25">
      <c r="A1400">
        <v>34</v>
      </c>
      <c r="B1400">
        <v>36</v>
      </c>
      <c r="C1400" t="s">
        <v>34</v>
      </c>
      <c r="D1400" t="s">
        <v>36</v>
      </c>
      <c r="E1400" s="4">
        <f t="shared" ca="1" si="22"/>
        <v>100259.81135531131</v>
      </c>
    </row>
    <row r="1401" spans="1:5" hidden="1" x14ac:dyDescent="0.25">
      <c r="A1401">
        <v>34</v>
      </c>
      <c r="B1401">
        <v>37</v>
      </c>
      <c r="C1401" t="s">
        <v>34</v>
      </c>
      <c r="D1401" t="s">
        <v>37</v>
      </c>
      <c r="E1401" s="4">
        <f t="shared" ca="1" si="22"/>
        <v>21236.769230769234</v>
      </c>
    </row>
    <row r="1402" spans="1:5" hidden="1" x14ac:dyDescent="0.25">
      <c r="A1402">
        <v>34</v>
      </c>
      <c r="B1402">
        <v>38</v>
      </c>
      <c r="C1402" t="s">
        <v>34</v>
      </c>
      <c r="D1402" t="s">
        <v>38</v>
      </c>
      <c r="E1402" s="4">
        <f t="shared" ca="1" si="22"/>
        <v>105407.2271062271</v>
      </c>
    </row>
    <row r="1403" spans="1:5" hidden="1" x14ac:dyDescent="0.25">
      <c r="A1403">
        <v>34</v>
      </c>
      <c r="B1403">
        <v>39</v>
      </c>
      <c r="C1403" t="s">
        <v>34</v>
      </c>
      <c r="D1403" t="s">
        <v>39</v>
      </c>
      <c r="E1403" s="4">
        <f t="shared" ca="1" si="22"/>
        <v>86726.527472527509</v>
      </c>
    </row>
    <row r="1404" spans="1:5" hidden="1" x14ac:dyDescent="0.25">
      <c r="A1404">
        <v>34</v>
      </c>
      <c r="B1404">
        <v>40</v>
      </c>
      <c r="C1404" t="s">
        <v>34</v>
      </c>
      <c r="D1404" t="s">
        <v>40</v>
      </c>
      <c r="E1404" s="4">
        <f t="shared" ca="1" si="22"/>
        <v>34904.877289377313</v>
      </c>
    </row>
    <row r="1405" spans="1:5" hidden="1" x14ac:dyDescent="0.25">
      <c r="A1405">
        <v>35</v>
      </c>
      <c r="B1405">
        <v>1</v>
      </c>
      <c r="C1405" t="s">
        <v>35</v>
      </c>
      <c r="D1405" t="s">
        <v>0</v>
      </c>
      <c r="E1405" s="4">
        <f t="shared" ca="1" si="22"/>
        <v>141154.76923076928</v>
      </c>
    </row>
    <row r="1406" spans="1:5" hidden="1" x14ac:dyDescent="0.25">
      <c r="A1406">
        <v>35</v>
      </c>
      <c r="B1406">
        <v>2</v>
      </c>
      <c r="C1406" t="s">
        <v>35</v>
      </c>
      <c r="D1406" t="s">
        <v>1</v>
      </c>
      <c r="E1406" s="4">
        <f t="shared" ca="1" si="22"/>
        <v>131543.15384615387</v>
      </c>
    </row>
    <row r="1407" spans="1:5" hidden="1" x14ac:dyDescent="0.25">
      <c r="A1407">
        <v>35</v>
      </c>
      <c r="B1407">
        <v>3</v>
      </c>
      <c r="C1407" t="s">
        <v>35</v>
      </c>
      <c r="D1407" t="s">
        <v>2</v>
      </c>
      <c r="E1407" s="4">
        <f t="shared" ca="1" si="22"/>
        <v>134577.38461538457</v>
      </c>
    </row>
    <row r="1408" spans="1:5" hidden="1" x14ac:dyDescent="0.25">
      <c r="A1408">
        <v>35</v>
      </c>
      <c r="B1408">
        <v>4</v>
      </c>
      <c r="C1408" t="s">
        <v>35</v>
      </c>
      <c r="D1408" t="s">
        <v>3</v>
      </c>
      <c r="E1408" s="4">
        <f t="shared" ca="1" si="22"/>
        <v>123684.30769230767</v>
      </c>
    </row>
    <row r="1409" spans="1:5" hidden="1" x14ac:dyDescent="0.25">
      <c r="A1409">
        <v>35</v>
      </c>
      <c r="B1409">
        <v>5</v>
      </c>
      <c r="C1409" t="s">
        <v>35</v>
      </c>
      <c r="D1409" t="s">
        <v>4</v>
      </c>
      <c r="E1409" s="4">
        <f t="shared" ca="1" si="22"/>
        <v>155484.38461538457</v>
      </c>
    </row>
    <row r="1410" spans="1:5" hidden="1" x14ac:dyDescent="0.25">
      <c r="A1410">
        <v>35</v>
      </c>
      <c r="B1410">
        <v>6</v>
      </c>
      <c r="C1410" t="s">
        <v>35</v>
      </c>
      <c r="D1410" t="s">
        <v>5</v>
      </c>
      <c r="E1410" s="4">
        <f t="shared" ca="1" si="22"/>
        <v>221273.69597069608</v>
      </c>
    </row>
    <row r="1411" spans="1:5" hidden="1" x14ac:dyDescent="0.25">
      <c r="A1411">
        <v>35</v>
      </c>
      <c r="B1411">
        <v>7</v>
      </c>
      <c r="C1411" t="s">
        <v>35</v>
      </c>
      <c r="D1411" t="s">
        <v>6</v>
      </c>
      <c r="E1411" s="4">
        <f t="shared" ca="1" si="22"/>
        <v>154819.99999999997</v>
      </c>
    </row>
    <row r="1412" spans="1:5" hidden="1" x14ac:dyDescent="0.25">
      <c r="A1412">
        <v>35</v>
      </c>
      <c r="B1412">
        <v>8</v>
      </c>
      <c r="C1412" t="s">
        <v>35</v>
      </c>
      <c r="D1412" t="s">
        <v>7</v>
      </c>
      <c r="E1412" s="4">
        <f t="shared" ca="1" si="22"/>
        <v>212417.76923076907</v>
      </c>
    </row>
    <row r="1413" spans="1:5" hidden="1" x14ac:dyDescent="0.25">
      <c r="A1413">
        <v>35</v>
      </c>
      <c r="B1413">
        <v>9</v>
      </c>
      <c r="C1413" t="s">
        <v>35</v>
      </c>
      <c r="D1413" t="s">
        <v>148</v>
      </c>
      <c r="E1413" s="4">
        <f t="shared" ca="1" si="22"/>
        <v>662750.54487179511</v>
      </c>
    </row>
    <row r="1414" spans="1:5" hidden="1" x14ac:dyDescent="0.25">
      <c r="A1414">
        <v>35</v>
      </c>
      <c r="B1414">
        <v>10</v>
      </c>
      <c r="C1414" t="s">
        <v>35</v>
      </c>
      <c r="D1414" t="s">
        <v>9</v>
      </c>
      <c r="E1414" s="4">
        <f t="shared" ca="1" si="22"/>
        <v>187126.84615384619</v>
      </c>
    </row>
    <row r="1415" spans="1:5" hidden="1" x14ac:dyDescent="0.25">
      <c r="A1415">
        <v>35</v>
      </c>
      <c r="B1415">
        <v>11</v>
      </c>
      <c r="C1415" t="s">
        <v>35</v>
      </c>
      <c r="D1415" t="s">
        <v>10</v>
      </c>
      <c r="E1415" s="4">
        <f t="shared" ca="1" si="22"/>
        <v>189890.92307692306</v>
      </c>
    </row>
    <row r="1416" spans="1:5" hidden="1" x14ac:dyDescent="0.25">
      <c r="A1416">
        <v>35</v>
      </c>
      <c r="B1416">
        <v>12</v>
      </c>
      <c r="C1416" t="s">
        <v>35</v>
      </c>
      <c r="D1416" t="s">
        <v>11</v>
      </c>
      <c r="E1416" s="4">
        <f t="shared" ca="1" si="22"/>
        <v>134616.99999999997</v>
      </c>
    </row>
    <row r="1417" spans="1:5" hidden="1" x14ac:dyDescent="0.25">
      <c r="A1417">
        <v>35</v>
      </c>
      <c r="B1417">
        <v>13</v>
      </c>
      <c r="C1417" t="s">
        <v>35</v>
      </c>
      <c r="D1417" t="s">
        <v>12</v>
      </c>
      <c r="E1417" s="4">
        <f t="shared" ca="1" si="22"/>
        <v>116305.46153846158</v>
      </c>
    </row>
    <row r="1418" spans="1:5" hidden="1" x14ac:dyDescent="0.25">
      <c r="A1418">
        <v>35</v>
      </c>
      <c r="B1418">
        <v>14</v>
      </c>
      <c r="C1418" t="s">
        <v>35</v>
      </c>
      <c r="D1418" t="s">
        <v>13</v>
      </c>
      <c r="E1418" s="4">
        <f t="shared" ca="1" si="22"/>
        <v>262769.69230769208</v>
      </c>
    </row>
    <row r="1419" spans="1:5" hidden="1" x14ac:dyDescent="0.25">
      <c r="A1419">
        <v>35</v>
      </c>
      <c r="B1419">
        <v>15</v>
      </c>
      <c r="C1419" t="s">
        <v>35</v>
      </c>
      <c r="D1419" t="s">
        <v>14</v>
      </c>
      <c r="E1419" s="4">
        <f t="shared" ca="1" si="22"/>
        <v>384945.38461538509</v>
      </c>
    </row>
    <row r="1420" spans="1:5" hidden="1" x14ac:dyDescent="0.25">
      <c r="A1420">
        <v>35</v>
      </c>
      <c r="B1420">
        <v>16</v>
      </c>
      <c r="C1420" t="s">
        <v>35</v>
      </c>
      <c r="D1420" t="s">
        <v>15</v>
      </c>
      <c r="E1420" s="4">
        <f t="shared" ca="1" si="22"/>
        <v>623158.61538461514</v>
      </c>
    </row>
    <row r="1421" spans="1:5" hidden="1" x14ac:dyDescent="0.25">
      <c r="A1421">
        <v>35</v>
      </c>
      <c r="B1421">
        <v>17</v>
      </c>
      <c r="C1421" t="s">
        <v>35</v>
      </c>
      <c r="D1421" t="s">
        <v>16</v>
      </c>
      <c r="E1421" s="4">
        <f t="shared" ca="1" si="22"/>
        <v>268042.4615384611</v>
      </c>
    </row>
    <row r="1422" spans="1:5" hidden="1" x14ac:dyDescent="0.25">
      <c r="A1422">
        <v>35</v>
      </c>
      <c r="B1422">
        <v>18</v>
      </c>
      <c r="C1422" t="s">
        <v>35</v>
      </c>
      <c r="D1422" t="s">
        <v>17</v>
      </c>
      <c r="E1422" s="4">
        <f t="shared" ca="1" si="22"/>
        <v>145213.30769230769</v>
      </c>
    </row>
    <row r="1423" spans="1:5" hidden="1" x14ac:dyDescent="0.25">
      <c r="A1423">
        <v>35</v>
      </c>
      <c r="B1423">
        <v>19</v>
      </c>
      <c r="C1423" t="s">
        <v>35</v>
      </c>
      <c r="D1423" t="s">
        <v>18</v>
      </c>
      <c r="E1423" s="4">
        <f t="shared" ca="1" si="22"/>
        <v>183932.30769230769</v>
      </c>
    </row>
    <row r="1424" spans="1:5" hidden="1" x14ac:dyDescent="0.25">
      <c r="A1424">
        <v>35</v>
      </c>
      <c r="B1424">
        <v>20</v>
      </c>
      <c r="C1424" t="s">
        <v>35</v>
      </c>
      <c r="D1424" t="s">
        <v>19</v>
      </c>
      <c r="E1424" s="4">
        <f t="shared" ca="1" si="22"/>
        <v>155747.58974358978</v>
      </c>
    </row>
    <row r="1425" spans="1:5" hidden="1" x14ac:dyDescent="0.25">
      <c r="A1425">
        <v>35</v>
      </c>
      <c r="B1425">
        <v>21</v>
      </c>
      <c r="C1425" t="s">
        <v>35</v>
      </c>
      <c r="D1425" t="s">
        <v>20</v>
      </c>
      <c r="E1425" s="4">
        <f t="shared" ca="1" si="22"/>
        <v>199899.25641025609</v>
      </c>
    </row>
    <row r="1426" spans="1:5" hidden="1" x14ac:dyDescent="0.25">
      <c r="A1426">
        <v>35</v>
      </c>
      <c r="B1426">
        <v>22</v>
      </c>
      <c r="C1426" t="s">
        <v>35</v>
      </c>
      <c r="D1426" t="s">
        <v>21</v>
      </c>
      <c r="E1426" s="4">
        <f t="shared" ca="1" si="22"/>
        <v>219026.25641025609</v>
      </c>
    </row>
    <row r="1427" spans="1:5" hidden="1" x14ac:dyDescent="0.25">
      <c r="A1427">
        <v>35</v>
      </c>
      <c r="B1427">
        <v>23</v>
      </c>
      <c r="C1427" t="s">
        <v>35</v>
      </c>
      <c r="D1427" t="s">
        <v>22</v>
      </c>
      <c r="E1427" s="4">
        <f t="shared" ca="1" si="22"/>
        <v>202762.5897435901</v>
      </c>
    </row>
    <row r="1428" spans="1:5" hidden="1" x14ac:dyDescent="0.25">
      <c r="A1428">
        <v>35</v>
      </c>
      <c r="B1428">
        <v>24</v>
      </c>
      <c r="C1428" t="s">
        <v>35</v>
      </c>
      <c r="D1428" t="s">
        <v>23</v>
      </c>
      <c r="E1428" s="4">
        <f t="shared" ca="1" si="22"/>
        <v>160234.58974358978</v>
      </c>
    </row>
    <row r="1429" spans="1:5" hidden="1" x14ac:dyDescent="0.25">
      <c r="A1429">
        <v>35</v>
      </c>
      <c r="B1429">
        <v>25</v>
      </c>
      <c r="C1429" t="s">
        <v>35</v>
      </c>
      <c r="D1429" t="s">
        <v>24</v>
      </c>
      <c r="E1429" s="4">
        <f t="shared" ca="1" si="22"/>
        <v>153182.25641025638</v>
      </c>
    </row>
    <row r="1430" spans="1:5" hidden="1" x14ac:dyDescent="0.25">
      <c r="A1430">
        <v>35</v>
      </c>
      <c r="B1430">
        <v>26</v>
      </c>
      <c r="C1430" t="s">
        <v>35</v>
      </c>
      <c r="D1430" t="s">
        <v>25</v>
      </c>
      <c r="E1430" s="4">
        <f t="shared" ca="1" si="22"/>
        <v>139255.92307692306</v>
      </c>
    </row>
    <row r="1431" spans="1:5" hidden="1" x14ac:dyDescent="0.25">
      <c r="A1431">
        <v>35</v>
      </c>
      <c r="B1431">
        <v>27</v>
      </c>
      <c r="C1431" t="s">
        <v>35</v>
      </c>
      <c r="D1431" t="s">
        <v>145</v>
      </c>
      <c r="E1431" s="4">
        <f t="shared" ca="1" si="22"/>
        <v>509189.02307692304</v>
      </c>
    </row>
    <row r="1432" spans="1:5" hidden="1" x14ac:dyDescent="0.25">
      <c r="A1432">
        <v>35</v>
      </c>
      <c r="B1432">
        <v>28</v>
      </c>
      <c r="C1432" t="s">
        <v>35</v>
      </c>
      <c r="D1432" t="s">
        <v>147</v>
      </c>
      <c r="E1432" s="4">
        <f t="shared" ca="1" si="22"/>
        <v>453967.32307692309</v>
      </c>
    </row>
    <row r="1433" spans="1:5" hidden="1" x14ac:dyDescent="0.25">
      <c r="A1433">
        <v>35</v>
      </c>
      <c r="B1433">
        <v>29</v>
      </c>
      <c r="C1433" t="s">
        <v>35</v>
      </c>
      <c r="D1433" t="s">
        <v>146</v>
      </c>
      <c r="E1433" s="4">
        <f t="shared" ca="1" si="22"/>
        <v>322117.0230769231</v>
      </c>
    </row>
    <row r="1434" spans="1:5" hidden="1" x14ac:dyDescent="0.25">
      <c r="A1434">
        <v>35</v>
      </c>
      <c r="B1434">
        <v>30</v>
      </c>
      <c r="C1434" t="s">
        <v>35</v>
      </c>
      <c r="D1434" t="s">
        <v>30</v>
      </c>
      <c r="E1434" s="4">
        <f t="shared" ca="1" si="22"/>
        <v>116868.61538461538</v>
      </c>
    </row>
    <row r="1435" spans="1:5" hidden="1" x14ac:dyDescent="0.25">
      <c r="A1435">
        <v>35</v>
      </c>
      <c r="B1435">
        <v>31</v>
      </c>
      <c r="C1435" t="s">
        <v>35</v>
      </c>
      <c r="D1435" t="s">
        <v>31</v>
      </c>
      <c r="E1435" s="4">
        <f t="shared" ca="1" si="22"/>
        <v>142415.42307692306</v>
      </c>
    </row>
    <row r="1436" spans="1:5" hidden="1" x14ac:dyDescent="0.25">
      <c r="A1436">
        <v>35</v>
      </c>
      <c r="B1436">
        <v>32</v>
      </c>
      <c r="C1436" t="s">
        <v>35</v>
      </c>
      <c r="D1436" t="s">
        <v>32</v>
      </c>
      <c r="E1436" s="4">
        <f t="shared" ca="1" si="22"/>
        <v>192125.64615384617</v>
      </c>
    </row>
    <row r="1437" spans="1:5" hidden="1" x14ac:dyDescent="0.25">
      <c r="A1437">
        <v>35</v>
      </c>
      <c r="B1437">
        <v>33</v>
      </c>
      <c r="C1437" t="s">
        <v>35</v>
      </c>
      <c r="D1437" t="s">
        <v>33</v>
      </c>
      <c r="E1437" s="4">
        <f t="shared" ca="1" si="22"/>
        <v>359687.31196581206</v>
      </c>
    </row>
    <row r="1438" spans="1:5" hidden="1" x14ac:dyDescent="0.25">
      <c r="A1438">
        <v>35</v>
      </c>
      <c r="B1438">
        <v>34</v>
      </c>
      <c r="C1438" t="s">
        <v>35</v>
      </c>
      <c r="D1438" t="s">
        <v>34</v>
      </c>
      <c r="E1438" s="4">
        <f t="shared" ca="1" si="22"/>
        <v>108097.46153846158</v>
      </c>
    </row>
    <row r="1439" spans="1:5" hidden="1" x14ac:dyDescent="0.25">
      <c r="A1439">
        <v>35</v>
      </c>
      <c r="B1439">
        <v>35</v>
      </c>
      <c r="C1439" t="s">
        <v>35</v>
      </c>
      <c r="D1439" t="s">
        <v>35</v>
      </c>
      <c r="E1439" s="4">
        <f t="shared" ca="1" si="22"/>
        <v>0</v>
      </c>
    </row>
    <row r="1440" spans="1:5" hidden="1" x14ac:dyDescent="0.25">
      <c r="A1440">
        <v>35</v>
      </c>
      <c r="B1440">
        <v>36</v>
      </c>
      <c r="C1440" t="s">
        <v>35</v>
      </c>
      <c r="D1440" t="s">
        <v>36</v>
      </c>
      <c r="E1440" s="4">
        <f t="shared" ca="1" si="22"/>
        <v>178759.34981684978</v>
      </c>
    </row>
    <row r="1441" spans="1:5" hidden="1" x14ac:dyDescent="0.25">
      <c r="A1441">
        <v>35</v>
      </c>
      <c r="B1441">
        <v>37</v>
      </c>
      <c r="C1441" t="s">
        <v>35</v>
      </c>
      <c r="D1441" t="s">
        <v>37</v>
      </c>
      <c r="E1441" s="4">
        <f t="shared" ca="1" si="22"/>
        <v>99736.307692307702</v>
      </c>
    </row>
    <row r="1442" spans="1:5" hidden="1" x14ac:dyDescent="0.25">
      <c r="A1442">
        <v>35</v>
      </c>
      <c r="B1442">
        <v>38</v>
      </c>
      <c r="C1442" t="s">
        <v>35</v>
      </c>
      <c r="D1442" t="s">
        <v>38</v>
      </c>
      <c r="E1442" s="4">
        <f t="shared" ref="E1442:E1504" ca="1" si="23">OFFSET($B$2,A1442,B1442)</f>
        <v>183906.76556776557</v>
      </c>
    </row>
    <row r="1443" spans="1:5" hidden="1" x14ac:dyDescent="0.25">
      <c r="A1443">
        <v>35</v>
      </c>
      <c r="B1443">
        <v>39</v>
      </c>
      <c r="C1443" t="s">
        <v>35</v>
      </c>
      <c r="D1443" t="s">
        <v>39</v>
      </c>
      <c r="E1443" s="4">
        <f t="shared" ca="1" si="23"/>
        <v>165226.06593406596</v>
      </c>
    </row>
    <row r="1444" spans="1:5" hidden="1" x14ac:dyDescent="0.25">
      <c r="A1444">
        <v>35</v>
      </c>
      <c r="B1444">
        <v>40</v>
      </c>
      <c r="C1444" t="s">
        <v>35</v>
      </c>
      <c r="D1444" t="s">
        <v>40</v>
      </c>
      <c r="E1444" s="4">
        <f t="shared" ca="1" si="23"/>
        <v>113404.41575091578</v>
      </c>
    </row>
    <row r="1445" spans="1:5" hidden="1" x14ac:dyDescent="0.25">
      <c r="A1445">
        <v>36</v>
      </c>
      <c r="B1445">
        <v>1</v>
      </c>
      <c r="C1445" t="s">
        <v>36</v>
      </c>
      <c r="D1445" t="s">
        <v>0</v>
      </c>
      <c r="E1445" s="4">
        <f t="shared" ca="1" si="23"/>
        <v>130586.4212454213</v>
      </c>
    </row>
    <row r="1446" spans="1:5" hidden="1" x14ac:dyDescent="0.25">
      <c r="A1446">
        <v>36</v>
      </c>
      <c r="B1446">
        <v>2</v>
      </c>
      <c r="C1446" t="s">
        <v>36</v>
      </c>
      <c r="D1446" t="s">
        <v>1</v>
      </c>
      <c r="E1446" s="4">
        <f t="shared" ca="1" si="23"/>
        <v>120974.80586080591</v>
      </c>
    </row>
    <row r="1447" spans="1:5" hidden="1" x14ac:dyDescent="0.25">
      <c r="A1447">
        <v>36</v>
      </c>
      <c r="B1447">
        <v>3</v>
      </c>
      <c r="C1447" t="s">
        <v>36</v>
      </c>
      <c r="D1447" t="s">
        <v>2</v>
      </c>
      <c r="E1447" s="4">
        <f t="shared" ca="1" si="23"/>
        <v>124009.0366300366</v>
      </c>
    </row>
    <row r="1448" spans="1:5" hidden="1" x14ac:dyDescent="0.25">
      <c r="A1448">
        <v>36</v>
      </c>
      <c r="B1448">
        <v>4</v>
      </c>
      <c r="C1448" t="s">
        <v>36</v>
      </c>
      <c r="D1448" t="s">
        <v>3</v>
      </c>
      <c r="E1448" s="4">
        <f t="shared" ca="1" si="23"/>
        <v>113115.95970695969</v>
      </c>
    </row>
    <row r="1449" spans="1:5" hidden="1" x14ac:dyDescent="0.25">
      <c r="A1449">
        <v>36</v>
      </c>
      <c r="B1449">
        <v>5</v>
      </c>
      <c r="C1449" t="s">
        <v>36</v>
      </c>
      <c r="D1449" t="s">
        <v>4</v>
      </c>
      <c r="E1449" s="4">
        <f t="shared" ca="1" si="23"/>
        <v>144916.0366300366</v>
      </c>
    </row>
    <row r="1450" spans="1:5" hidden="1" x14ac:dyDescent="0.25">
      <c r="A1450">
        <v>36</v>
      </c>
      <c r="B1450">
        <v>6</v>
      </c>
      <c r="C1450" t="s">
        <v>36</v>
      </c>
      <c r="D1450" t="s">
        <v>5</v>
      </c>
      <c r="E1450" s="4">
        <f t="shared" ca="1" si="23"/>
        <v>210705.34798534808</v>
      </c>
    </row>
    <row r="1451" spans="1:5" hidden="1" x14ac:dyDescent="0.25">
      <c r="A1451">
        <v>36</v>
      </c>
      <c r="B1451">
        <v>7</v>
      </c>
      <c r="C1451" t="s">
        <v>36</v>
      </c>
      <c r="D1451" t="s">
        <v>6</v>
      </c>
      <c r="E1451" s="4">
        <f t="shared" ca="1" si="23"/>
        <v>144251.65201465201</v>
      </c>
    </row>
    <row r="1452" spans="1:5" hidden="1" x14ac:dyDescent="0.25">
      <c r="A1452">
        <v>36</v>
      </c>
      <c r="B1452">
        <v>8</v>
      </c>
      <c r="C1452" t="s">
        <v>36</v>
      </c>
      <c r="D1452" t="s">
        <v>7</v>
      </c>
      <c r="E1452" s="4">
        <f t="shared" ca="1" si="23"/>
        <v>201849.42124542111</v>
      </c>
    </row>
    <row r="1453" spans="1:5" hidden="1" x14ac:dyDescent="0.25">
      <c r="A1453">
        <v>36</v>
      </c>
      <c r="B1453">
        <v>9</v>
      </c>
      <c r="C1453" t="s">
        <v>36</v>
      </c>
      <c r="D1453" t="s">
        <v>148</v>
      </c>
      <c r="E1453" s="4">
        <f t="shared" ca="1" si="23"/>
        <v>652182.19688644703</v>
      </c>
    </row>
    <row r="1454" spans="1:5" hidden="1" x14ac:dyDescent="0.25">
      <c r="A1454">
        <v>36</v>
      </c>
      <c r="B1454">
        <v>10</v>
      </c>
      <c r="C1454" t="s">
        <v>36</v>
      </c>
      <c r="D1454" t="s">
        <v>9</v>
      </c>
      <c r="E1454" s="4">
        <f t="shared" ca="1" si="23"/>
        <v>176558.49816849822</v>
      </c>
    </row>
    <row r="1455" spans="1:5" hidden="1" x14ac:dyDescent="0.25">
      <c r="A1455">
        <v>36</v>
      </c>
      <c r="B1455">
        <v>11</v>
      </c>
      <c r="C1455" t="s">
        <v>36</v>
      </c>
      <c r="D1455" t="s">
        <v>10</v>
      </c>
      <c r="E1455" s="4">
        <f t="shared" ca="1" si="23"/>
        <v>179322.5750915751</v>
      </c>
    </row>
    <row r="1456" spans="1:5" hidden="1" x14ac:dyDescent="0.25">
      <c r="A1456">
        <v>36</v>
      </c>
      <c r="B1456">
        <v>12</v>
      </c>
      <c r="C1456" t="s">
        <v>36</v>
      </c>
      <c r="D1456" t="s">
        <v>11</v>
      </c>
      <c r="E1456" s="4">
        <f t="shared" ca="1" si="23"/>
        <v>124048.65201465201</v>
      </c>
    </row>
    <row r="1457" spans="1:5" hidden="1" x14ac:dyDescent="0.25">
      <c r="A1457">
        <v>36</v>
      </c>
      <c r="B1457">
        <v>13</v>
      </c>
      <c r="C1457" t="s">
        <v>36</v>
      </c>
      <c r="D1457" t="s">
        <v>12</v>
      </c>
      <c r="E1457" s="4">
        <f t="shared" ca="1" si="23"/>
        <v>105737.1135531136</v>
      </c>
    </row>
    <row r="1458" spans="1:5" hidden="1" x14ac:dyDescent="0.25">
      <c r="A1458">
        <v>36</v>
      </c>
      <c r="B1458">
        <v>14</v>
      </c>
      <c r="C1458" t="s">
        <v>36</v>
      </c>
      <c r="D1458" t="s">
        <v>13</v>
      </c>
      <c r="E1458" s="4">
        <f t="shared" ca="1" si="23"/>
        <v>252201.34432234408</v>
      </c>
    </row>
    <row r="1459" spans="1:5" hidden="1" x14ac:dyDescent="0.25">
      <c r="A1459">
        <v>36</v>
      </c>
      <c r="B1459">
        <v>15</v>
      </c>
      <c r="C1459" t="s">
        <v>36</v>
      </c>
      <c r="D1459" t="s">
        <v>14</v>
      </c>
      <c r="E1459" s="4">
        <f t="shared" ca="1" si="23"/>
        <v>374377.03663003712</v>
      </c>
    </row>
    <row r="1460" spans="1:5" hidden="1" x14ac:dyDescent="0.25">
      <c r="A1460">
        <v>36</v>
      </c>
      <c r="B1460">
        <v>16</v>
      </c>
      <c r="C1460" t="s">
        <v>36</v>
      </c>
      <c r="D1460" t="s">
        <v>15</v>
      </c>
      <c r="E1460" s="4">
        <f t="shared" ca="1" si="23"/>
        <v>612590.26739926706</v>
      </c>
    </row>
    <row r="1461" spans="1:5" hidden="1" x14ac:dyDescent="0.25">
      <c r="A1461">
        <v>36</v>
      </c>
      <c r="B1461">
        <v>17</v>
      </c>
      <c r="C1461" t="s">
        <v>36</v>
      </c>
      <c r="D1461" t="s">
        <v>16</v>
      </c>
      <c r="E1461" s="4">
        <f t="shared" ca="1" si="23"/>
        <v>257474.1135531131</v>
      </c>
    </row>
    <row r="1462" spans="1:5" hidden="1" x14ac:dyDescent="0.25">
      <c r="A1462">
        <v>36</v>
      </c>
      <c r="B1462">
        <v>18</v>
      </c>
      <c r="C1462" t="s">
        <v>36</v>
      </c>
      <c r="D1462" t="s">
        <v>17</v>
      </c>
      <c r="E1462" s="4">
        <f t="shared" ca="1" si="23"/>
        <v>134644.95970695969</v>
      </c>
    </row>
    <row r="1463" spans="1:5" hidden="1" x14ac:dyDescent="0.25">
      <c r="A1463">
        <v>36</v>
      </c>
      <c r="B1463">
        <v>19</v>
      </c>
      <c r="C1463" t="s">
        <v>36</v>
      </c>
      <c r="D1463" t="s">
        <v>18</v>
      </c>
      <c r="E1463" s="4">
        <f t="shared" ca="1" si="23"/>
        <v>173363.95970695969</v>
      </c>
    </row>
    <row r="1464" spans="1:5" hidden="1" x14ac:dyDescent="0.25">
      <c r="A1464">
        <v>36</v>
      </c>
      <c r="B1464">
        <v>20</v>
      </c>
      <c r="C1464" t="s">
        <v>36</v>
      </c>
      <c r="D1464" t="s">
        <v>19</v>
      </c>
      <c r="E1464" s="4">
        <f t="shared" ca="1" si="23"/>
        <v>145179.24175824178</v>
      </c>
    </row>
    <row r="1465" spans="1:5" hidden="1" x14ac:dyDescent="0.25">
      <c r="A1465">
        <v>36</v>
      </c>
      <c r="B1465">
        <v>21</v>
      </c>
      <c r="C1465" t="s">
        <v>36</v>
      </c>
      <c r="D1465" t="s">
        <v>20</v>
      </c>
      <c r="E1465" s="4">
        <f t="shared" ca="1" si="23"/>
        <v>189330.90842490809</v>
      </c>
    </row>
    <row r="1466" spans="1:5" hidden="1" x14ac:dyDescent="0.25">
      <c r="A1466">
        <v>36</v>
      </c>
      <c r="B1466">
        <v>22</v>
      </c>
      <c r="C1466" t="s">
        <v>36</v>
      </c>
      <c r="D1466" t="s">
        <v>21</v>
      </c>
      <c r="E1466" s="4">
        <f t="shared" ca="1" si="23"/>
        <v>208457.90842490809</v>
      </c>
    </row>
    <row r="1467" spans="1:5" hidden="1" x14ac:dyDescent="0.25">
      <c r="A1467">
        <v>36</v>
      </c>
      <c r="B1467">
        <v>23</v>
      </c>
      <c r="C1467" t="s">
        <v>36</v>
      </c>
      <c r="D1467" t="s">
        <v>22</v>
      </c>
      <c r="E1467" s="4">
        <f t="shared" ca="1" si="23"/>
        <v>192194.2417582421</v>
      </c>
    </row>
    <row r="1468" spans="1:5" hidden="1" x14ac:dyDescent="0.25">
      <c r="A1468">
        <v>36</v>
      </c>
      <c r="B1468">
        <v>24</v>
      </c>
      <c r="C1468" t="s">
        <v>36</v>
      </c>
      <c r="D1468" t="s">
        <v>23</v>
      </c>
      <c r="E1468" s="4">
        <f t="shared" ca="1" si="23"/>
        <v>149666.24175824178</v>
      </c>
    </row>
    <row r="1469" spans="1:5" hidden="1" x14ac:dyDescent="0.25">
      <c r="A1469">
        <v>36</v>
      </c>
      <c r="B1469">
        <v>25</v>
      </c>
      <c r="C1469" t="s">
        <v>36</v>
      </c>
      <c r="D1469" t="s">
        <v>24</v>
      </c>
      <c r="E1469" s="4">
        <f t="shared" ca="1" si="23"/>
        <v>142613.90842490841</v>
      </c>
    </row>
    <row r="1470" spans="1:5" hidden="1" x14ac:dyDescent="0.25">
      <c r="A1470">
        <v>36</v>
      </c>
      <c r="B1470">
        <v>26</v>
      </c>
      <c r="C1470" t="s">
        <v>36</v>
      </c>
      <c r="D1470" t="s">
        <v>25</v>
      </c>
      <c r="E1470" s="4">
        <f t="shared" ca="1" si="23"/>
        <v>128687.5750915751</v>
      </c>
    </row>
    <row r="1471" spans="1:5" hidden="1" x14ac:dyDescent="0.25">
      <c r="A1471">
        <v>36</v>
      </c>
      <c r="B1471">
        <v>27</v>
      </c>
      <c r="C1471" t="s">
        <v>36</v>
      </c>
      <c r="D1471" t="s">
        <v>145</v>
      </c>
      <c r="E1471" s="4">
        <f t="shared" ca="1" si="23"/>
        <v>498620.67509157507</v>
      </c>
    </row>
    <row r="1472" spans="1:5" hidden="1" x14ac:dyDescent="0.25">
      <c r="A1472">
        <v>36</v>
      </c>
      <c r="B1472">
        <v>28</v>
      </c>
      <c r="C1472" t="s">
        <v>36</v>
      </c>
      <c r="D1472" t="s">
        <v>147</v>
      </c>
      <c r="E1472" s="4">
        <f t="shared" ca="1" si="23"/>
        <v>443398.97509157512</v>
      </c>
    </row>
    <row r="1473" spans="1:5" hidden="1" x14ac:dyDescent="0.25">
      <c r="A1473">
        <v>36</v>
      </c>
      <c r="B1473">
        <v>29</v>
      </c>
      <c r="C1473" t="s">
        <v>36</v>
      </c>
      <c r="D1473" t="s">
        <v>146</v>
      </c>
      <c r="E1473" s="4">
        <f t="shared" ca="1" si="23"/>
        <v>311548.67509157513</v>
      </c>
    </row>
    <row r="1474" spans="1:5" hidden="1" x14ac:dyDescent="0.25">
      <c r="A1474">
        <v>36</v>
      </c>
      <c r="B1474">
        <v>30</v>
      </c>
      <c r="C1474" t="s">
        <v>36</v>
      </c>
      <c r="D1474" t="s">
        <v>30</v>
      </c>
      <c r="E1474" s="4">
        <f t="shared" ca="1" si="23"/>
        <v>106300.2673992674</v>
      </c>
    </row>
    <row r="1475" spans="1:5" hidden="1" x14ac:dyDescent="0.25">
      <c r="A1475">
        <v>36</v>
      </c>
      <c r="B1475">
        <v>31</v>
      </c>
      <c r="C1475" t="s">
        <v>36</v>
      </c>
      <c r="D1475" t="s">
        <v>31</v>
      </c>
      <c r="E1475" s="4">
        <f t="shared" ca="1" si="23"/>
        <v>131847.0750915751</v>
      </c>
    </row>
    <row r="1476" spans="1:5" hidden="1" x14ac:dyDescent="0.25">
      <c r="A1476">
        <v>36</v>
      </c>
      <c r="B1476">
        <v>32</v>
      </c>
      <c r="C1476" t="s">
        <v>36</v>
      </c>
      <c r="D1476" t="s">
        <v>32</v>
      </c>
      <c r="E1476" s="4">
        <f t="shared" ca="1" si="23"/>
        <v>181557.29816849821</v>
      </c>
    </row>
    <row r="1477" spans="1:5" hidden="1" x14ac:dyDescent="0.25">
      <c r="A1477">
        <v>36</v>
      </c>
      <c r="B1477">
        <v>33</v>
      </c>
      <c r="C1477" t="s">
        <v>36</v>
      </c>
      <c r="D1477" t="s">
        <v>33</v>
      </c>
      <c r="E1477" s="4">
        <f t="shared" ca="1" si="23"/>
        <v>349118.96398046409</v>
      </c>
    </row>
    <row r="1478" spans="1:5" hidden="1" x14ac:dyDescent="0.25">
      <c r="A1478">
        <v>36</v>
      </c>
      <c r="B1478">
        <v>34</v>
      </c>
      <c r="C1478" t="s">
        <v>36</v>
      </c>
      <c r="D1478" t="s">
        <v>34</v>
      </c>
      <c r="E1478" s="4">
        <f t="shared" ca="1" si="23"/>
        <v>97529.113553113595</v>
      </c>
    </row>
    <row r="1479" spans="1:5" hidden="1" x14ac:dyDescent="0.25">
      <c r="A1479">
        <v>36</v>
      </c>
      <c r="B1479">
        <v>35</v>
      </c>
      <c r="C1479" t="s">
        <v>36</v>
      </c>
      <c r="D1479" t="s">
        <v>35</v>
      </c>
      <c r="E1479" s="4">
        <f t="shared" ca="1" si="23"/>
        <v>173375.49816849822</v>
      </c>
    </row>
    <row r="1480" spans="1:5" hidden="1" x14ac:dyDescent="0.25">
      <c r="A1480">
        <v>36</v>
      </c>
      <c r="B1480">
        <v>36</v>
      </c>
      <c r="C1480" t="s">
        <v>36</v>
      </c>
      <c r="D1480" t="s">
        <v>36</v>
      </c>
      <c r="E1480" s="4">
        <f t="shared" ca="1" si="23"/>
        <v>0</v>
      </c>
    </row>
    <row r="1481" spans="1:5" hidden="1" x14ac:dyDescent="0.25">
      <c r="A1481">
        <v>36</v>
      </c>
      <c r="B1481">
        <v>37</v>
      </c>
      <c r="C1481" t="s">
        <v>36</v>
      </c>
      <c r="D1481" t="s">
        <v>37</v>
      </c>
      <c r="E1481" s="4">
        <f t="shared" ca="1" si="23"/>
        <v>89167.959706959722</v>
      </c>
    </row>
    <row r="1482" spans="1:5" hidden="1" x14ac:dyDescent="0.25">
      <c r="A1482">
        <v>36</v>
      </c>
      <c r="B1482">
        <v>38</v>
      </c>
      <c r="C1482" t="s">
        <v>36</v>
      </c>
      <c r="D1482" t="s">
        <v>38</v>
      </c>
      <c r="E1482" s="4">
        <f t="shared" ca="1" si="23"/>
        <v>173338.41758241761</v>
      </c>
    </row>
    <row r="1483" spans="1:5" hidden="1" x14ac:dyDescent="0.25">
      <c r="A1483">
        <v>36</v>
      </c>
      <c r="B1483">
        <v>39</v>
      </c>
      <c r="C1483" t="s">
        <v>36</v>
      </c>
      <c r="D1483" t="s">
        <v>39</v>
      </c>
      <c r="E1483" s="4">
        <f t="shared" ca="1" si="23"/>
        <v>154657.717948718</v>
      </c>
    </row>
    <row r="1484" spans="1:5" hidden="1" x14ac:dyDescent="0.25">
      <c r="A1484">
        <v>36</v>
      </c>
      <c r="B1484">
        <v>40</v>
      </c>
      <c r="C1484" t="s">
        <v>36</v>
      </c>
      <c r="D1484" t="s">
        <v>40</v>
      </c>
      <c r="E1484" s="4">
        <f t="shared" ca="1" si="23"/>
        <v>102836.0677655678</v>
      </c>
    </row>
    <row r="1485" spans="1:5" hidden="1" x14ac:dyDescent="0.25">
      <c r="A1485">
        <v>37</v>
      </c>
      <c r="B1485">
        <v>1</v>
      </c>
      <c r="C1485" t="s">
        <v>37</v>
      </c>
      <c r="D1485" t="s">
        <v>0</v>
      </c>
      <c r="E1485" s="4">
        <f t="shared" ca="1" si="23"/>
        <v>53919.538461538505</v>
      </c>
    </row>
    <row r="1486" spans="1:5" hidden="1" x14ac:dyDescent="0.25">
      <c r="A1486">
        <v>37</v>
      </c>
      <c r="B1486">
        <v>2</v>
      </c>
      <c r="C1486" t="s">
        <v>37</v>
      </c>
      <c r="D1486" t="s">
        <v>1</v>
      </c>
      <c r="E1486" s="4">
        <f t="shared" ca="1" si="23"/>
        <v>44307.923076923107</v>
      </c>
    </row>
    <row r="1487" spans="1:5" hidden="1" x14ac:dyDescent="0.25">
      <c r="A1487">
        <v>37</v>
      </c>
      <c r="B1487">
        <v>3</v>
      </c>
      <c r="C1487" t="s">
        <v>37</v>
      </c>
      <c r="D1487" t="s">
        <v>2</v>
      </c>
      <c r="E1487" s="4">
        <f t="shared" ca="1" si="23"/>
        <v>47342.153846153808</v>
      </c>
    </row>
    <row r="1488" spans="1:5" hidden="1" x14ac:dyDescent="0.25">
      <c r="A1488">
        <v>37</v>
      </c>
      <c r="B1488">
        <v>4</v>
      </c>
      <c r="C1488" t="s">
        <v>37</v>
      </c>
      <c r="D1488" t="s">
        <v>3</v>
      </c>
      <c r="E1488" s="4">
        <f t="shared" ca="1" si="23"/>
        <v>36449.076923076907</v>
      </c>
    </row>
    <row r="1489" spans="1:5" hidden="1" x14ac:dyDescent="0.25">
      <c r="A1489">
        <v>37</v>
      </c>
      <c r="B1489">
        <v>5</v>
      </c>
      <c r="C1489" t="s">
        <v>37</v>
      </c>
      <c r="D1489" t="s">
        <v>4</v>
      </c>
      <c r="E1489" s="4">
        <f t="shared" ca="1" si="23"/>
        <v>68249.153846153815</v>
      </c>
    </row>
    <row r="1490" spans="1:5" hidden="1" x14ac:dyDescent="0.25">
      <c r="A1490">
        <v>37</v>
      </c>
      <c r="B1490">
        <v>6</v>
      </c>
      <c r="C1490" t="s">
        <v>37</v>
      </c>
      <c r="D1490" t="s">
        <v>5</v>
      </c>
      <c r="E1490" s="4">
        <f t="shared" ca="1" si="23"/>
        <v>134038.4652014653</v>
      </c>
    </row>
    <row r="1491" spans="1:5" hidden="1" x14ac:dyDescent="0.25">
      <c r="A1491">
        <v>37</v>
      </c>
      <c r="B1491">
        <v>7</v>
      </c>
      <c r="C1491" t="s">
        <v>37</v>
      </c>
      <c r="D1491" t="s">
        <v>6</v>
      </c>
      <c r="E1491" s="4">
        <f t="shared" ca="1" si="23"/>
        <v>67584.769230769205</v>
      </c>
    </row>
    <row r="1492" spans="1:5" hidden="1" x14ac:dyDescent="0.25">
      <c r="A1492">
        <v>37</v>
      </c>
      <c r="B1492">
        <v>8</v>
      </c>
      <c r="C1492" t="s">
        <v>37</v>
      </c>
      <c r="D1492" t="s">
        <v>7</v>
      </c>
      <c r="E1492" s="4">
        <f t="shared" ca="1" si="23"/>
        <v>125182.53846153831</v>
      </c>
    </row>
    <row r="1493" spans="1:5" hidden="1" x14ac:dyDescent="0.25">
      <c r="A1493">
        <v>37</v>
      </c>
      <c r="B1493">
        <v>9</v>
      </c>
      <c r="C1493" t="s">
        <v>37</v>
      </c>
      <c r="D1493" t="s">
        <v>148</v>
      </c>
      <c r="E1493" s="4">
        <f t="shared" ca="1" si="23"/>
        <v>575515.31410256424</v>
      </c>
    </row>
    <row r="1494" spans="1:5" hidden="1" x14ac:dyDescent="0.25">
      <c r="A1494">
        <v>37</v>
      </c>
      <c r="B1494">
        <v>10</v>
      </c>
      <c r="C1494" t="s">
        <v>37</v>
      </c>
      <c r="D1494" t="s">
        <v>9</v>
      </c>
      <c r="E1494" s="4">
        <f t="shared" ca="1" si="23"/>
        <v>99891.615384615419</v>
      </c>
    </row>
    <row r="1495" spans="1:5" hidden="1" x14ac:dyDescent="0.25">
      <c r="A1495">
        <v>37</v>
      </c>
      <c r="B1495">
        <v>11</v>
      </c>
      <c r="C1495" t="s">
        <v>37</v>
      </c>
      <c r="D1495" t="s">
        <v>10</v>
      </c>
      <c r="E1495" s="4">
        <f t="shared" ca="1" si="23"/>
        <v>102655.69230769231</v>
      </c>
    </row>
    <row r="1496" spans="1:5" hidden="1" x14ac:dyDescent="0.25">
      <c r="A1496">
        <v>37</v>
      </c>
      <c r="B1496">
        <v>12</v>
      </c>
      <c r="C1496" t="s">
        <v>37</v>
      </c>
      <c r="D1496" t="s">
        <v>11</v>
      </c>
      <c r="E1496" s="4">
        <f t="shared" ca="1" si="23"/>
        <v>47381.769230769205</v>
      </c>
    </row>
    <row r="1497" spans="1:5" hidden="1" x14ac:dyDescent="0.25">
      <c r="A1497">
        <v>37</v>
      </c>
      <c r="B1497">
        <v>13</v>
      </c>
      <c r="C1497" t="s">
        <v>37</v>
      </c>
      <c r="D1497" t="s">
        <v>12</v>
      </c>
      <c r="E1497" s="4">
        <f t="shared" ca="1" si="23"/>
        <v>29070.23076923081</v>
      </c>
    </row>
    <row r="1498" spans="1:5" hidden="1" x14ac:dyDescent="0.25">
      <c r="A1498">
        <v>37</v>
      </c>
      <c r="B1498">
        <v>14</v>
      </c>
      <c r="C1498" t="s">
        <v>37</v>
      </c>
      <c r="D1498" t="s">
        <v>13</v>
      </c>
      <c r="E1498" s="4">
        <f t="shared" ca="1" si="23"/>
        <v>175534.4615384613</v>
      </c>
    </row>
    <row r="1499" spans="1:5" hidden="1" x14ac:dyDescent="0.25">
      <c r="A1499">
        <v>37</v>
      </c>
      <c r="B1499">
        <v>15</v>
      </c>
      <c r="C1499" t="s">
        <v>37</v>
      </c>
      <c r="D1499" t="s">
        <v>14</v>
      </c>
      <c r="E1499" s="4">
        <f t="shared" ca="1" si="23"/>
        <v>297710.15384615434</v>
      </c>
    </row>
    <row r="1500" spans="1:5" hidden="1" x14ac:dyDescent="0.25">
      <c r="A1500">
        <v>37</v>
      </c>
      <c r="B1500">
        <v>16</v>
      </c>
      <c r="C1500" t="s">
        <v>37</v>
      </c>
      <c r="D1500" t="s">
        <v>15</v>
      </c>
      <c r="E1500" s="4">
        <f t="shared" ca="1" si="23"/>
        <v>535923.38461538428</v>
      </c>
    </row>
    <row r="1501" spans="1:5" hidden="1" x14ac:dyDescent="0.25">
      <c r="A1501">
        <v>37</v>
      </c>
      <c r="B1501">
        <v>17</v>
      </c>
      <c r="C1501" t="s">
        <v>37</v>
      </c>
      <c r="D1501" t="s">
        <v>16</v>
      </c>
      <c r="E1501" s="4">
        <f t="shared" ca="1" si="23"/>
        <v>180807.23076923031</v>
      </c>
    </row>
    <row r="1502" spans="1:5" hidden="1" x14ac:dyDescent="0.25">
      <c r="A1502">
        <v>37</v>
      </c>
      <c r="B1502">
        <v>18</v>
      </c>
      <c r="C1502" t="s">
        <v>37</v>
      </c>
      <c r="D1502" t="s">
        <v>17</v>
      </c>
      <c r="E1502" s="4">
        <f t="shared" ca="1" si="23"/>
        <v>57978.076923076907</v>
      </c>
    </row>
    <row r="1503" spans="1:5" hidden="1" x14ac:dyDescent="0.25">
      <c r="A1503">
        <v>37</v>
      </c>
      <c r="B1503">
        <v>19</v>
      </c>
      <c r="C1503" t="s">
        <v>37</v>
      </c>
      <c r="D1503" t="s">
        <v>18</v>
      </c>
      <c r="E1503" s="4">
        <f t="shared" ca="1" si="23"/>
        <v>96697.076923076907</v>
      </c>
    </row>
    <row r="1504" spans="1:5" hidden="1" x14ac:dyDescent="0.25">
      <c r="A1504">
        <v>37</v>
      </c>
      <c r="B1504">
        <v>20</v>
      </c>
      <c r="C1504" t="s">
        <v>37</v>
      </c>
      <c r="D1504" t="s">
        <v>19</v>
      </c>
      <c r="E1504" s="4">
        <f t="shared" ca="1" si="23"/>
        <v>68512.358974359013</v>
      </c>
    </row>
    <row r="1505" spans="1:5" hidden="1" x14ac:dyDescent="0.25">
      <c r="A1505">
        <v>37</v>
      </c>
      <c r="B1505">
        <v>21</v>
      </c>
      <c r="C1505" t="s">
        <v>37</v>
      </c>
      <c r="D1505" t="s">
        <v>20</v>
      </c>
      <c r="E1505" s="4">
        <f t="shared" ref="E1505:E1566" ca="1" si="24">OFFSET($B$2,A1505,B1505)</f>
        <v>112664.02564102531</v>
      </c>
    </row>
    <row r="1506" spans="1:5" hidden="1" x14ac:dyDescent="0.25">
      <c r="A1506">
        <v>37</v>
      </c>
      <c r="B1506">
        <v>22</v>
      </c>
      <c r="C1506" t="s">
        <v>37</v>
      </c>
      <c r="D1506" t="s">
        <v>21</v>
      </c>
      <c r="E1506" s="4">
        <f t="shared" ca="1" si="24"/>
        <v>131791.02564102531</v>
      </c>
    </row>
    <row r="1507" spans="1:5" hidden="1" x14ac:dyDescent="0.25">
      <c r="A1507">
        <v>37</v>
      </c>
      <c r="B1507">
        <v>23</v>
      </c>
      <c r="C1507" t="s">
        <v>37</v>
      </c>
      <c r="D1507" t="s">
        <v>22</v>
      </c>
      <c r="E1507" s="4">
        <f t="shared" ca="1" si="24"/>
        <v>115527.35897435932</v>
      </c>
    </row>
    <row r="1508" spans="1:5" hidden="1" x14ac:dyDescent="0.25">
      <c r="A1508">
        <v>37</v>
      </c>
      <c r="B1508">
        <v>24</v>
      </c>
      <c r="C1508" t="s">
        <v>37</v>
      </c>
      <c r="D1508" t="s">
        <v>23</v>
      </c>
      <c r="E1508" s="4">
        <f t="shared" ca="1" si="24"/>
        <v>72999.358974359013</v>
      </c>
    </row>
    <row r="1509" spans="1:5" hidden="1" x14ac:dyDescent="0.25">
      <c r="A1509">
        <v>37</v>
      </c>
      <c r="B1509">
        <v>25</v>
      </c>
      <c r="C1509" t="s">
        <v>37</v>
      </c>
      <c r="D1509" t="s">
        <v>24</v>
      </c>
      <c r="E1509" s="4">
        <f t="shared" ca="1" si="24"/>
        <v>65947.025641025612</v>
      </c>
    </row>
    <row r="1510" spans="1:5" hidden="1" x14ac:dyDescent="0.25">
      <c r="A1510">
        <v>37</v>
      </c>
      <c r="B1510">
        <v>26</v>
      </c>
      <c r="C1510" t="s">
        <v>37</v>
      </c>
      <c r="D1510" t="s">
        <v>25</v>
      </c>
      <c r="E1510" s="4">
        <f t="shared" ca="1" si="24"/>
        <v>52020.692307692305</v>
      </c>
    </row>
    <row r="1511" spans="1:5" hidden="1" x14ac:dyDescent="0.25">
      <c r="A1511">
        <v>37</v>
      </c>
      <c r="B1511">
        <v>27</v>
      </c>
      <c r="C1511" t="s">
        <v>37</v>
      </c>
      <c r="D1511" t="s">
        <v>145</v>
      </c>
      <c r="E1511" s="4">
        <f t="shared" ca="1" si="24"/>
        <v>421953.79230769229</v>
      </c>
    </row>
    <row r="1512" spans="1:5" hidden="1" x14ac:dyDescent="0.25">
      <c r="A1512">
        <v>37</v>
      </c>
      <c r="B1512">
        <v>28</v>
      </c>
      <c r="C1512" t="s">
        <v>37</v>
      </c>
      <c r="D1512" t="s">
        <v>147</v>
      </c>
      <c r="E1512" s="4">
        <f t="shared" ca="1" si="24"/>
        <v>366732.09230769234</v>
      </c>
    </row>
    <row r="1513" spans="1:5" hidden="1" x14ac:dyDescent="0.25">
      <c r="A1513">
        <v>37</v>
      </c>
      <c r="B1513">
        <v>29</v>
      </c>
      <c r="C1513" t="s">
        <v>37</v>
      </c>
      <c r="D1513" t="s">
        <v>146</v>
      </c>
      <c r="E1513" s="4">
        <f t="shared" ca="1" si="24"/>
        <v>234881.79230769232</v>
      </c>
    </row>
    <row r="1514" spans="1:5" hidden="1" x14ac:dyDescent="0.25">
      <c r="A1514">
        <v>37</v>
      </c>
      <c r="B1514">
        <v>30</v>
      </c>
      <c r="C1514" t="s">
        <v>37</v>
      </c>
      <c r="D1514" t="s">
        <v>30</v>
      </c>
      <c r="E1514" s="4">
        <f t="shared" ca="1" si="24"/>
        <v>29633.38461538461</v>
      </c>
    </row>
    <row r="1515" spans="1:5" hidden="1" x14ac:dyDescent="0.25">
      <c r="A1515">
        <v>37</v>
      </c>
      <c r="B1515">
        <v>31</v>
      </c>
      <c r="C1515" t="s">
        <v>37</v>
      </c>
      <c r="D1515" t="s">
        <v>31</v>
      </c>
      <c r="E1515" s="4">
        <f t="shared" ca="1" si="24"/>
        <v>55180.192307692305</v>
      </c>
    </row>
    <row r="1516" spans="1:5" hidden="1" x14ac:dyDescent="0.25">
      <c r="A1516">
        <v>37</v>
      </c>
      <c r="B1516">
        <v>32</v>
      </c>
      <c r="C1516" t="s">
        <v>37</v>
      </c>
      <c r="D1516" t="s">
        <v>32</v>
      </c>
      <c r="E1516" s="4">
        <f t="shared" ca="1" si="24"/>
        <v>104890.41538461541</v>
      </c>
    </row>
    <row r="1517" spans="1:5" hidden="1" x14ac:dyDescent="0.25">
      <c r="A1517">
        <v>37</v>
      </c>
      <c r="B1517">
        <v>33</v>
      </c>
      <c r="C1517" t="s">
        <v>37</v>
      </c>
      <c r="D1517" t="s">
        <v>33</v>
      </c>
      <c r="E1517" s="4">
        <f t="shared" ca="1" si="24"/>
        <v>272452.0811965813</v>
      </c>
    </row>
    <row r="1518" spans="1:5" hidden="1" x14ac:dyDescent="0.25">
      <c r="A1518">
        <v>37</v>
      </c>
      <c r="B1518">
        <v>34</v>
      </c>
      <c r="C1518" t="s">
        <v>37</v>
      </c>
      <c r="D1518" t="s">
        <v>34</v>
      </c>
      <c r="E1518" s="4">
        <f t="shared" ca="1" si="24"/>
        <v>20862.230769230806</v>
      </c>
    </row>
    <row r="1519" spans="1:5" hidden="1" x14ac:dyDescent="0.25">
      <c r="A1519">
        <v>37</v>
      </c>
      <c r="B1519">
        <v>35</v>
      </c>
      <c r="C1519" t="s">
        <v>37</v>
      </c>
      <c r="D1519" t="s">
        <v>35</v>
      </c>
      <c r="E1519" s="4">
        <f t="shared" ca="1" si="24"/>
        <v>96708.615384615419</v>
      </c>
    </row>
    <row r="1520" spans="1:5" hidden="1" x14ac:dyDescent="0.25">
      <c r="A1520">
        <v>37</v>
      </c>
      <c r="B1520">
        <v>36</v>
      </c>
      <c r="C1520" t="s">
        <v>37</v>
      </c>
      <c r="D1520" t="s">
        <v>36</v>
      </c>
      <c r="E1520" s="4">
        <f t="shared" ca="1" si="24"/>
        <v>91524.11904761901</v>
      </c>
    </row>
    <row r="1521" spans="1:5" hidden="1" x14ac:dyDescent="0.25">
      <c r="A1521">
        <v>37</v>
      </c>
      <c r="B1521">
        <v>37</v>
      </c>
      <c r="C1521" t="s">
        <v>37</v>
      </c>
      <c r="D1521" t="s">
        <v>37</v>
      </c>
      <c r="E1521" s="4">
        <f t="shared" ca="1" si="24"/>
        <v>0</v>
      </c>
    </row>
    <row r="1522" spans="1:5" hidden="1" x14ac:dyDescent="0.25">
      <c r="A1522">
        <v>37</v>
      </c>
      <c r="B1522">
        <v>38</v>
      </c>
      <c r="C1522" t="s">
        <v>37</v>
      </c>
      <c r="D1522" t="s">
        <v>38</v>
      </c>
      <c r="E1522" s="4">
        <f t="shared" ca="1" si="24"/>
        <v>96671.534798534805</v>
      </c>
    </row>
    <row r="1523" spans="1:5" hidden="1" x14ac:dyDescent="0.25">
      <c r="A1523">
        <v>37</v>
      </c>
      <c r="B1523">
        <v>39</v>
      </c>
      <c r="C1523" t="s">
        <v>37</v>
      </c>
      <c r="D1523" t="s">
        <v>39</v>
      </c>
      <c r="E1523" s="4">
        <f t="shared" ca="1" si="24"/>
        <v>77990.835164835211</v>
      </c>
    </row>
    <row r="1524" spans="1:5" hidden="1" x14ac:dyDescent="0.25">
      <c r="A1524">
        <v>37</v>
      </c>
      <c r="B1524">
        <v>40</v>
      </c>
      <c r="C1524" t="s">
        <v>37</v>
      </c>
      <c r="D1524" t="s">
        <v>40</v>
      </c>
      <c r="E1524" s="4">
        <f t="shared" ca="1" si="24"/>
        <v>26169.184981685008</v>
      </c>
    </row>
    <row r="1525" spans="1:5" x14ac:dyDescent="0.25">
      <c r="A1525">
        <v>37</v>
      </c>
      <c r="B1525">
        <v>1</v>
      </c>
      <c r="C1525" t="s">
        <v>38</v>
      </c>
      <c r="D1525" t="s">
        <v>0</v>
      </c>
      <c r="E1525" s="4">
        <f t="shared" ca="1" si="24"/>
        <v>53919.538461538505</v>
      </c>
    </row>
    <row r="1526" spans="1:5" x14ac:dyDescent="0.25">
      <c r="A1526">
        <v>37</v>
      </c>
      <c r="B1526">
        <v>2</v>
      </c>
      <c r="C1526" t="s">
        <v>38</v>
      </c>
      <c r="D1526" t="s">
        <v>1</v>
      </c>
      <c r="E1526" s="4">
        <f t="shared" ca="1" si="24"/>
        <v>44307.923076923107</v>
      </c>
    </row>
    <row r="1527" spans="1:5" x14ac:dyDescent="0.25">
      <c r="A1527">
        <v>37</v>
      </c>
      <c r="B1527">
        <v>3</v>
      </c>
      <c r="C1527" t="s">
        <v>38</v>
      </c>
      <c r="D1527" t="s">
        <v>2</v>
      </c>
      <c r="E1527" s="4">
        <f t="shared" ca="1" si="24"/>
        <v>47342.153846153808</v>
      </c>
    </row>
    <row r="1528" spans="1:5" x14ac:dyDescent="0.25">
      <c r="A1528">
        <v>37</v>
      </c>
      <c r="B1528">
        <v>4</v>
      </c>
      <c r="C1528" t="s">
        <v>38</v>
      </c>
      <c r="D1528" t="s">
        <v>3</v>
      </c>
      <c r="E1528" s="4">
        <f t="shared" ca="1" si="24"/>
        <v>36449.076923076907</v>
      </c>
    </row>
    <row r="1529" spans="1:5" x14ac:dyDescent="0.25">
      <c r="A1529">
        <v>37</v>
      </c>
      <c r="B1529">
        <v>5</v>
      </c>
      <c r="C1529" t="s">
        <v>38</v>
      </c>
      <c r="D1529" t="s">
        <v>4</v>
      </c>
      <c r="E1529" s="4">
        <f t="shared" ca="1" si="24"/>
        <v>68249.153846153815</v>
      </c>
    </row>
    <row r="1530" spans="1:5" x14ac:dyDescent="0.25">
      <c r="A1530">
        <v>37</v>
      </c>
      <c r="B1530">
        <v>6</v>
      </c>
      <c r="C1530" t="s">
        <v>38</v>
      </c>
      <c r="D1530" t="s">
        <v>5</v>
      </c>
      <c r="E1530" s="4">
        <f t="shared" ca="1" si="24"/>
        <v>134038.4652014653</v>
      </c>
    </row>
    <row r="1531" spans="1:5" x14ac:dyDescent="0.25">
      <c r="A1531">
        <v>37</v>
      </c>
      <c r="B1531">
        <v>7</v>
      </c>
      <c r="C1531" t="s">
        <v>38</v>
      </c>
      <c r="D1531" t="s">
        <v>6</v>
      </c>
      <c r="E1531" s="4">
        <f t="shared" ca="1" si="24"/>
        <v>67584.769230769205</v>
      </c>
    </row>
    <row r="1532" spans="1:5" x14ac:dyDescent="0.25">
      <c r="A1532">
        <v>37</v>
      </c>
      <c r="B1532">
        <v>8</v>
      </c>
      <c r="C1532" t="s">
        <v>38</v>
      </c>
      <c r="D1532" t="s">
        <v>7</v>
      </c>
      <c r="E1532" s="4">
        <f t="shared" ca="1" si="24"/>
        <v>125182.53846153831</v>
      </c>
    </row>
    <row r="1533" spans="1:5" x14ac:dyDescent="0.25">
      <c r="A1533">
        <v>37</v>
      </c>
      <c r="B1533">
        <v>9</v>
      </c>
      <c r="C1533" t="s">
        <v>38</v>
      </c>
      <c r="D1533" t="s">
        <v>148</v>
      </c>
      <c r="E1533" s="4">
        <f t="shared" ca="1" si="24"/>
        <v>575515.31410256424</v>
      </c>
    </row>
    <row r="1534" spans="1:5" x14ac:dyDescent="0.25">
      <c r="A1534">
        <v>37</v>
      </c>
      <c r="B1534">
        <v>10</v>
      </c>
      <c r="C1534" t="s">
        <v>38</v>
      </c>
      <c r="D1534" t="s">
        <v>9</v>
      </c>
      <c r="E1534" s="4">
        <f t="shared" ca="1" si="24"/>
        <v>99891.615384615419</v>
      </c>
    </row>
    <row r="1535" spans="1:5" x14ac:dyDescent="0.25">
      <c r="A1535">
        <v>37</v>
      </c>
      <c r="B1535">
        <v>11</v>
      </c>
      <c r="C1535" t="s">
        <v>38</v>
      </c>
      <c r="D1535" t="s">
        <v>10</v>
      </c>
      <c r="E1535" s="4">
        <f t="shared" ca="1" si="24"/>
        <v>102655.69230769231</v>
      </c>
    </row>
    <row r="1536" spans="1:5" x14ac:dyDescent="0.25">
      <c r="A1536">
        <v>37</v>
      </c>
      <c r="B1536">
        <v>12</v>
      </c>
      <c r="C1536" t="s">
        <v>38</v>
      </c>
      <c r="D1536" t="s">
        <v>11</v>
      </c>
      <c r="E1536" s="4">
        <f t="shared" ca="1" si="24"/>
        <v>47381.769230769205</v>
      </c>
    </row>
    <row r="1537" spans="1:5" x14ac:dyDescent="0.25">
      <c r="A1537">
        <v>37</v>
      </c>
      <c r="B1537">
        <v>13</v>
      </c>
      <c r="C1537" t="s">
        <v>38</v>
      </c>
      <c r="D1537" t="s">
        <v>12</v>
      </c>
      <c r="E1537" s="4">
        <f t="shared" ca="1" si="24"/>
        <v>29070.23076923081</v>
      </c>
    </row>
    <row r="1538" spans="1:5" x14ac:dyDescent="0.25">
      <c r="A1538">
        <v>37</v>
      </c>
      <c r="B1538">
        <v>14</v>
      </c>
      <c r="C1538" t="s">
        <v>38</v>
      </c>
      <c r="D1538" t="s">
        <v>13</v>
      </c>
      <c r="E1538" s="4">
        <f t="shared" ca="1" si="24"/>
        <v>175534.4615384613</v>
      </c>
    </row>
    <row r="1539" spans="1:5" x14ac:dyDescent="0.25">
      <c r="A1539">
        <v>37</v>
      </c>
      <c r="B1539">
        <v>15</v>
      </c>
      <c r="C1539" t="s">
        <v>38</v>
      </c>
      <c r="D1539" t="s">
        <v>14</v>
      </c>
      <c r="E1539" s="4">
        <f t="shared" ca="1" si="24"/>
        <v>297710.15384615434</v>
      </c>
    </row>
    <row r="1540" spans="1:5" x14ac:dyDescent="0.25">
      <c r="A1540">
        <v>37</v>
      </c>
      <c r="B1540">
        <v>16</v>
      </c>
      <c r="C1540" t="s">
        <v>38</v>
      </c>
      <c r="D1540" t="s">
        <v>15</v>
      </c>
      <c r="E1540" s="4">
        <f t="shared" ca="1" si="24"/>
        <v>535923.38461538428</v>
      </c>
    </row>
    <row r="1541" spans="1:5" x14ac:dyDescent="0.25">
      <c r="A1541">
        <v>37</v>
      </c>
      <c r="B1541">
        <v>17</v>
      </c>
      <c r="C1541" t="s">
        <v>38</v>
      </c>
      <c r="D1541" t="s">
        <v>16</v>
      </c>
      <c r="E1541" s="4">
        <f t="shared" ca="1" si="24"/>
        <v>180807.23076923031</v>
      </c>
    </row>
    <row r="1542" spans="1:5" x14ac:dyDescent="0.25">
      <c r="A1542">
        <v>37</v>
      </c>
      <c r="B1542">
        <v>18</v>
      </c>
      <c r="C1542" t="s">
        <v>38</v>
      </c>
      <c r="D1542" t="s">
        <v>17</v>
      </c>
      <c r="E1542" s="4">
        <f t="shared" ca="1" si="24"/>
        <v>57978.076923076907</v>
      </c>
    </row>
    <row r="1543" spans="1:5" x14ac:dyDescent="0.25">
      <c r="A1543">
        <v>37</v>
      </c>
      <c r="B1543">
        <v>19</v>
      </c>
      <c r="C1543" t="s">
        <v>38</v>
      </c>
      <c r="D1543" t="s">
        <v>18</v>
      </c>
      <c r="E1543" s="4">
        <f t="shared" ca="1" si="24"/>
        <v>96697.076923076907</v>
      </c>
    </row>
    <row r="1544" spans="1:5" x14ac:dyDescent="0.25">
      <c r="A1544">
        <v>37</v>
      </c>
      <c r="B1544">
        <v>20</v>
      </c>
      <c r="C1544" t="s">
        <v>38</v>
      </c>
      <c r="D1544" t="s">
        <v>19</v>
      </c>
      <c r="E1544" s="4">
        <f t="shared" ca="1" si="24"/>
        <v>68512.358974359013</v>
      </c>
    </row>
    <row r="1545" spans="1:5" x14ac:dyDescent="0.25">
      <c r="A1545">
        <v>37</v>
      </c>
      <c r="B1545">
        <v>21</v>
      </c>
      <c r="C1545" t="s">
        <v>38</v>
      </c>
      <c r="D1545" t="s">
        <v>20</v>
      </c>
      <c r="E1545" s="4">
        <f t="shared" ca="1" si="24"/>
        <v>112664.02564102531</v>
      </c>
    </row>
    <row r="1546" spans="1:5" x14ac:dyDescent="0.25">
      <c r="A1546">
        <v>37</v>
      </c>
      <c r="B1546">
        <v>22</v>
      </c>
      <c r="C1546" t="s">
        <v>38</v>
      </c>
      <c r="D1546" t="s">
        <v>21</v>
      </c>
      <c r="E1546" s="4">
        <f t="shared" ca="1" si="24"/>
        <v>131791.02564102531</v>
      </c>
    </row>
    <row r="1547" spans="1:5" x14ac:dyDescent="0.25">
      <c r="A1547">
        <v>37</v>
      </c>
      <c r="B1547">
        <v>23</v>
      </c>
      <c r="C1547" t="s">
        <v>38</v>
      </c>
      <c r="D1547" t="s">
        <v>22</v>
      </c>
      <c r="E1547" s="4">
        <f t="shared" ca="1" si="24"/>
        <v>115527.35897435932</v>
      </c>
    </row>
    <row r="1548" spans="1:5" x14ac:dyDescent="0.25">
      <c r="A1548">
        <v>37</v>
      </c>
      <c r="B1548">
        <v>24</v>
      </c>
      <c r="C1548" t="s">
        <v>38</v>
      </c>
      <c r="D1548" t="s">
        <v>23</v>
      </c>
      <c r="E1548" s="4">
        <f t="shared" ca="1" si="24"/>
        <v>72999.358974359013</v>
      </c>
    </row>
    <row r="1549" spans="1:5" x14ac:dyDescent="0.25">
      <c r="A1549">
        <v>37</v>
      </c>
      <c r="B1549">
        <v>25</v>
      </c>
      <c r="C1549" t="s">
        <v>38</v>
      </c>
      <c r="D1549" t="s">
        <v>24</v>
      </c>
      <c r="E1549" s="4">
        <f t="shared" ca="1" si="24"/>
        <v>65947.025641025612</v>
      </c>
    </row>
    <row r="1550" spans="1:5" x14ac:dyDescent="0.25">
      <c r="A1550">
        <v>37</v>
      </c>
      <c r="B1550">
        <v>26</v>
      </c>
      <c r="C1550" t="s">
        <v>38</v>
      </c>
      <c r="D1550" t="s">
        <v>25</v>
      </c>
      <c r="E1550" s="4">
        <f t="shared" ca="1" si="24"/>
        <v>52020.692307692305</v>
      </c>
    </row>
    <row r="1551" spans="1:5" x14ac:dyDescent="0.25">
      <c r="A1551">
        <v>37</v>
      </c>
      <c r="B1551">
        <v>27</v>
      </c>
      <c r="C1551" t="s">
        <v>38</v>
      </c>
      <c r="D1551" t="s">
        <v>145</v>
      </c>
      <c r="E1551" s="4">
        <f t="shared" ca="1" si="24"/>
        <v>421953.79230769229</v>
      </c>
    </row>
    <row r="1552" spans="1:5" x14ac:dyDescent="0.25">
      <c r="A1552">
        <v>37</v>
      </c>
      <c r="B1552">
        <v>28</v>
      </c>
      <c r="C1552" t="s">
        <v>38</v>
      </c>
      <c r="D1552" t="s">
        <v>147</v>
      </c>
      <c r="E1552" s="4">
        <f t="shared" ca="1" si="24"/>
        <v>366732.09230769234</v>
      </c>
    </row>
    <row r="1553" spans="1:5" x14ac:dyDescent="0.25">
      <c r="A1553">
        <v>37</v>
      </c>
      <c r="B1553">
        <v>29</v>
      </c>
      <c r="C1553" t="s">
        <v>38</v>
      </c>
      <c r="D1553" t="s">
        <v>146</v>
      </c>
      <c r="E1553" s="4">
        <f t="shared" ca="1" si="24"/>
        <v>234881.79230769232</v>
      </c>
    </row>
    <row r="1554" spans="1:5" x14ac:dyDescent="0.25">
      <c r="A1554">
        <v>37</v>
      </c>
      <c r="B1554">
        <v>30</v>
      </c>
      <c r="C1554" t="s">
        <v>38</v>
      </c>
      <c r="D1554" t="s">
        <v>30</v>
      </c>
      <c r="E1554" s="4">
        <f t="shared" ca="1" si="24"/>
        <v>29633.38461538461</v>
      </c>
    </row>
    <row r="1555" spans="1:5" x14ac:dyDescent="0.25">
      <c r="A1555">
        <v>37</v>
      </c>
      <c r="B1555">
        <v>31</v>
      </c>
      <c r="C1555" t="s">
        <v>38</v>
      </c>
      <c r="D1555" t="s">
        <v>31</v>
      </c>
      <c r="E1555" s="4">
        <f t="shared" ca="1" si="24"/>
        <v>55180.192307692305</v>
      </c>
    </row>
    <row r="1556" spans="1:5" x14ac:dyDescent="0.25">
      <c r="A1556">
        <v>37</v>
      </c>
      <c r="B1556">
        <v>32</v>
      </c>
      <c r="C1556" t="s">
        <v>38</v>
      </c>
      <c r="D1556" t="s">
        <v>32</v>
      </c>
      <c r="E1556" s="4">
        <f t="shared" ca="1" si="24"/>
        <v>104890.41538461541</v>
      </c>
    </row>
    <row r="1557" spans="1:5" x14ac:dyDescent="0.25">
      <c r="A1557">
        <v>37</v>
      </c>
      <c r="B1557">
        <v>33</v>
      </c>
      <c r="C1557" t="s">
        <v>38</v>
      </c>
      <c r="D1557" t="s">
        <v>33</v>
      </c>
      <c r="E1557" s="4">
        <f t="shared" ca="1" si="24"/>
        <v>272452.0811965813</v>
      </c>
    </row>
    <row r="1558" spans="1:5" x14ac:dyDescent="0.25">
      <c r="A1558">
        <v>37</v>
      </c>
      <c r="B1558">
        <v>34</v>
      </c>
      <c r="C1558" t="s">
        <v>38</v>
      </c>
      <c r="D1558" t="s">
        <v>34</v>
      </c>
      <c r="E1558" s="4">
        <f t="shared" ca="1" si="24"/>
        <v>20862.230769230806</v>
      </c>
    </row>
    <row r="1559" spans="1:5" x14ac:dyDescent="0.25">
      <c r="A1559">
        <v>37</v>
      </c>
      <c r="B1559">
        <v>35</v>
      </c>
      <c r="C1559" t="s">
        <v>38</v>
      </c>
      <c r="D1559" t="s">
        <v>35</v>
      </c>
      <c r="E1559" s="4">
        <f t="shared" ca="1" si="24"/>
        <v>96708.615384615419</v>
      </c>
    </row>
    <row r="1560" spans="1:5" x14ac:dyDescent="0.25">
      <c r="A1560">
        <v>37</v>
      </c>
      <c r="B1560">
        <v>36</v>
      </c>
      <c r="C1560" t="s">
        <v>38</v>
      </c>
      <c r="D1560" t="s">
        <v>36</v>
      </c>
      <c r="E1560" s="4">
        <f t="shared" ca="1" si="24"/>
        <v>91524.11904761901</v>
      </c>
    </row>
    <row r="1561" spans="1:5" x14ac:dyDescent="0.25">
      <c r="A1561">
        <v>37</v>
      </c>
      <c r="B1561">
        <v>37</v>
      </c>
      <c r="C1561" t="s">
        <v>38</v>
      </c>
      <c r="D1561" t="s">
        <v>37</v>
      </c>
      <c r="E1561" s="4">
        <f t="shared" ca="1" si="24"/>
        <v>0</v>
      </c>
    </row>
    <row r="1562" spans="1:5" x14ac:dyDescent="0.25">
      <c r="A1562">
        <v>37</v>
      </c>
      <c r="B1562">
        <v>38</v>
      </c>
      <c r="C1562" t="s">
        <v>38</v>
      </c>
      <c r="D1562" t="s">
        <v>38</v>
      </c>
      <c r="E1562" s="4">
        <f t="shared" ca="1" si="24"/>
        <v>96671.534798534805</v>
      </c>
    </row>
    <row r="1563" spans="1:5" x14ac:dyDescent="0.25">
      <c r="A1563">
        <v>37</v>
      </c>
      <c r="B1563">
        <v>39</v>
      </c>
      <c r="C1563" t="s">
        <v>38</v>
      </c>
      <c r="D1563" t="s">
        <v>39</v>
      </c>
      <c r="E1563" s="4">
        <f t="shared" ca="1" si="24"/>
        <v>77990.835164835211</v>
      </c>
    </row>
    <row r="1564" spans="1:5" x14ac:dyDescent="0.25">
      <c r="A1564">
        <v>37</v>
      </c>
      <c r="B1564">
        <v>40</v>
      </c>
      <c r="C1564" t="s">
        <v>38</v>
      </c>
      <c r="D1564" t="s">
        <v>40</v>
      </c>
      <c r="E1564" s="4">
        <f t="shared" ca="1" si="24"/>
        <v>26169.184981685008</v>
      </c>
    </row>
    <row r="1565" spans="1:5" hidden="1" x14ac:dyDescent="0.25">
      <c r="A1565">
        <v>38</v>
      </c>
      <c r="B1565">
        <v>1</v>
      </c>
      <c r="C1565" t="s">
        <v>39</v>
      </c>
      <c r="D1565" t="s">
        <v>0</v>
      </c>
      <c r="E1565" s="4">
        <f t="shared" ca="1" si="24"/>
        <v>148202.35897435903</v>
      </c>
    </row>
    <row r="1566" spans="1:5" hidden="1" x14ac:dyDescent="0.25">
      <c r="A1566">
        <v>38</v>
      </c>
      <c r="B1566">
        <v>2</v>
      </c>
      <c r="C1566" t="s">
        <v>39</v>
      </c>
      <c r="D1566" t="s">
        <v>1</v>
      </c>
      <c r="E1566" s="4">
        <f t="shared" ca="1" si="24"/>
        <v>138590.74358974362</v>
      </c>
    </row>
    <row r="1567" spans="1:5" hidden="1" x14ac:dyDescent="0.25">
      <c r="A1567">
        <v>38</v>
      </c>
      <c r="B1567">
        <v>3</v>
      </c>
      <c r="C1567" t="s">
        <v>39</v>
      </c>
      <c r="D1567" t="s">
        <v>2</v>
      </c>
      <c r="E1567" s="4">
        <f t="shared" ref="E1567:E1629" ca="1" si="25">OFFSET($B$2,A1567,B1567)</f>
        <v>141624.97435897432</v>
      </c>
    </row>
    <row r="1568" spans="1:5" hidden="1" x14ac:dyDescent="0.25">
      <c r="A1568">
        <v>38</v>
      </c>
      <c r="B1568">
        <v>4</v>
      </c>
      <c r="C1568" t="s">
        <v>39</v>
      </c>
      <c r="D1568" t="s">
        <v>3</v>
      </c>
      <c r="E1568" s="4">
        <f t="shared" ca="1" si="25"/>
        <v>130731.89743589742</v>
      </c>
    </row>
    <row r="1569" spans="1:5" hidden="1" x14ac:dyDescent="0.25">
      <c r="A1569">
        <v>38</v>
      </c>
      <c r="B1569">
        <v>5</v>
      </c>
      <c r="C1569" t="s">
        <v>39</v>
      </c>
      <c r="D1569" t="s">
        <v>4</v>
      </c>
      <c r="E1569" s="4">
        <f t="shared" ca="1" si="25"/>
        <v>162531.97435897432</v>
      </c>
    </row>
    <row r="1570" spans="1:5" hidden="1" x14ac:dyDescent="0.25">
      <c r="A1570">
        <v>38</v>
      </c>
      <c r="B1570">
        <v>6</v>
      </c>
      <c r="C1570" t="s">
        <v>39</v>
      </c>
      <c r="D1570" t="s">
        <v>5</v>
      </c>
      <c r="E1570" s="4">
        <f t="shared" ca="1" si="25"/>
        <v>228321.28571428583</v>
      </c>
    </row>
    <row r="1571" spans="1:5" hidden="1" x14ac:dyDescent="0.25">
      <c r="A1571">
        <v>38</v>
      </c>
      <c r="B1571">
        <v>7</v>
      </c>
      <c r="C1571" t="s">
        <v>39</v>
      </c>
      <c r="D1571" t="s">
        <v>6</v>
      </c>
      <c r="E1571" s="4">
        <f t="shared" ca="1" si="25"/>
        <v>161867.58974358972</v>
      </c>
    </row>
    <row r="1572" spans="1:5" hidden="1" x14ac:dyDescent="0.25">
      <c r="A1572">
        <v>38</v>
      </c>
      <c r="B1572">
        <v>8</v>
      </c>
      <c r="C1572" t="s">
        <v>39</v>
      </c>
      <c r="D1572" t="s">
        <v>7</v>
      </c>
      <c r="E1572" s="4">
        <f t="shared" ca="1" si="25"/>
        <v>219465.35897435882</v>
      </c>
    </row>
    <row r="1573" spans="1:5" hidden="1" x14ac:dyDescent="0.25">
      <c r="A1573">
        <v>38</v>
      </c>
      <c r="B1573">
        <v>9</v>
      </c>
      <c r="C1573" t="s">
        <v>39</v>
      </c>
      <c r="D1573" t="s">
        <v>148</v>
      </c>
      <c r="E1573" s="4">
        <f t="shared" ca="1" si="25"/>
        <v>669798.13461538486</v>
      </c>
    </row>
    <row r="1574" spans="1:5" hidden="1" x14ac:dyDescent="0.25">
      <c r="A1574">
        <v>38</v>
      </c>
      <c r="B1574">
        <v>10</v>
      </c>
      <c r="C1574" t="s">
        <v>39</v>
      </c>
      <c r="D1574" t="s">
        <v>9</v>
      </c>
      <c r="E1574" s="4">
        <f t="shared" ca="1" si="25"/>
        <v>194174.43589743593</v>
      </c>
    </row>
    <row r="1575" spans="1:5" hidden="1" x14ac:dyDescent="0.25">
      <c r="A1575">
        <v>38</v>
      </c>
      <c r="B1575">
        <v>11</v>
      </c>
      <c r="C1575" t="s">
        <v>39</v>
      </c>
      <c r="D1575" t="s">
        <v>10</v>
      </c>
      <c r="E1575" s="4">
        <f t="shared" ca="1" si="25"/>
        <v>196938.51282051281</v>
      </c>
    </row>
    <row r="1576" spans="1:5" hidden="1" x14ac:dyDescent="0.25">
      <c r="A1576">
        <v>38</v>
      </c>
      <c r="B1576">
        <v>12</v>
      </c>
      <c r="C1576" t="s">
        <v>39</v>
      </c>
      <c r="D1576" t="s">
        <v>11</v>
      </c>
      <c r="E1576" s="4">
        <f t="shared" ca="1" si="25"/>
        <v>141664.58974358972</v>
      </c>
    </row>
    <row r="1577" spans="1:5" hidden="1" x14ac:dyDescent="0.25">
      <c r="A1577">
        <v>38</v>
      </c>
      <c r="B1577">
        <v>13</v>
      </c>
      <c r="C1577" t="s">
        <v>39</v>
      </c>
      <c r="D1577" t="s">
        <v>12</v>
      </c>
      <c r="E1577" s="4">
        <f t="shared" ca="1" si="25"/>
        <v>123353.05128205132</v>
      </c>
    </row>
    <row r="1578" spans="1:5" hidden="1" x14ac:dyDescent="0.25">
      <c r="A1578">
        <v>38</v>
      </c>
      <c r="B1578">
        <v>14</v>
      </c>
      <c r="C1578" t="s">
        <v>39</v>
      </c>
      <c r="D1578" t="s">
        <v>13</v>
      </c>
      <c r="E1578" s="4">
        <f t="shared" ca="1" si="25"/>
        <v>269817.28205128183</v>
      </c>
    </row>
    <row r="1579" spans="1:5" hidden="1" x14ac:dyDescent="0.25">
      <c r="A1579">
        <v>38</v>
      </c>
      <c r="B1579">
        <v>15</v>
      </c>
      <c r="C1579" t="s">
        <v>39</v>
      </c>
      <c r="D1579" t="s">
        <v>14</v>
      </c>
      <c r="E1579" s="4">
        <f t="shared" ca="1" si="25"/>
        <v>391992.97435897484</v>
      </c>
    </row>
    <row r="1580" spans="1:5" hidden="1" x14ac:dyDescent="0.25">
      <c r="A1580">
        <v>38</v>
      </c>
      <c r="B1580">
        <v>16</v>
      </c>
      <c r="C1580" t="s">
        <v>39</v>
      </c>
      <c r="D1580" t="s">
        <v>15</v>
      </c>
      <c r="E1580" s="4">
        <f t="shared" ca="1" si="25"/>
        <v>630206.20512820489</v>
      </c>
    </row>
    <row r="1581" spans="1:5" hidden="1" x14ac:dyDescent="0.25">
      <c r="A1581">
        <v>38</v>
      </c>
      <c r="B1581">
        <v>17</v>
      </c>
      <c r="C1581" t="s">
        <v>39</v>
      </c>
      <c r="D1581" t="s">
        <v>16</v>
      </c>
      <c r="E1581" s="4">
        <f t="shared" ca="1" si="25"/>
        <v>275090.05128205084</v>
      </c>
    </row>
    <row r="1582" spans="1:5" hidden="1" x14ac:dyDescent="0.25">
      <c r="A1582">
        <v>38</v>
      </c>
      <c r="B1582">
        <v>18</v>
      </c>
      <c r="C1582" t="s">
        <v>39</v>
      </c>
      <c r="D1582" t="s">
        <v>17</v>
      </c>
      <c r="E1582" s="4">
        <f t="shared" ca="1" si="25"/>
        <v>152260.89743589744</v>
      </c>
    </row>
    <row r="1583" spans="1:5" hidden="1" x14ac:dyDescent="0.25">
      <c r="A1583">
        <v>38</v>
      </c>
      <c r="B1583">
        <v>19</v>
      </c>
      <c r="C1583" t="s">
        <v>39</v>
      </c>
      <c r="D1583" t="s">
        <v>18</v>
      </c>
      <c r="E1583" s="4">
        <f t="shared" ca="1" si="25"/>
        <v>190979.89743589744</v>
      </c>
    </row>
    <row r="1584" spans="1:5" hidden="1" x14ac:dyDescent="0.25">
      <c r="A1584">
        <v>38</v>
      </c>
      <c r="B1584">
        <v>20</v>
      </c>
      <c r="C1584" t="s">
        <v>39</v>
      </c>
      <c r="D1584" t="s">
        <v>19</v>
      </c>
      <c r="E1584" s="4">
        <f t="shared" ca="1" si="25"/>
        <v>162795.17948717953</v>
      </c>
    </row>
    <row r="1585" spans="1:5" hidden="1" x14ac:dyDescent="0.25">
      <c r="A1585">
        <v>38</v>
      </c>
      <c r="B1585">
        <v>21</v>
      </c>
      <c r="C1585" t="s">
        <v>39</v>
      </c>
      <c r="D1585" t="s">
        <v>20</v>
      </c>
      <c r="E1585" s="4">
        <f t="shared" ca="1" si="25"/>
        <v>206946.84615384584</v>
      </c>
    </row>
    <row r="1586" spans="1:5" hidden="1" x14ac:dyDescent="0.25">
      <c r="A1586">
        <v>38</v>
      </c>
      <c r="B1586">
        <v>22</v>
      </c>
      <c r="C1586" t="s">
        <v>39</v>
      </c>
      <c r="D1586" t="s">
        <v>21</v>
      </c>
      <c r="E1586" s="4">
        <f t="shared" ca="1" si="25"/>
        <v>226073.84615384584</v>
      </c>
    </row>
    <row r="1587" spans="1:5" hidden="1" x14ac:dyDescent="0.25">
      <c r="A1587">
        <v>38</v>
      </c>
      <c r="B1587">
        <v>23</v>
      </c>
      <c r="C1587" t="s">
        <v>39</v>
      </c>
      <c r="D1587" t="s">
        <v>22</v>
      </c>
      <c r="E1587" s="4">
        <f t="shared" ca="1" si="25"/>
        <v>209810.17948717985</v>
      </c>
    </row>
    <row r="1588" spans="1:5" hidden="1" x14ac:dyDescent="0.25">
      <c r="A1588">
        <v>38</v>
      </c>
      <c r="B1588">
        <v>24</v>
      </c>
      <c r="C1588" t="s">
        <v>39</v>
      </c>
      <c r="D1588" t="s">
        <v>23</v>
      </c>
      <c r="E1588" s="4">
        <f t="shared" ca="1" si="25"/>
        <v>167282.17948717953</v>
      </c>
    </row>
    <row r="1589" spans="1:5" hidden="1" x14ac:dyDescent="0.25">
      <c r="A1589">
        <v>38</v>
      </c>
      <c r="B1589">
        <v>25</v>
      </c>
      <c r="C1589" t="s">
        <v>39</v>
      </c>
      <c r="D1589" t="s">
        <v>24</v>
      </c>
      <c r="E1589" s="4">
        <f t="shared" ca="1" si="25"/>
        <v>160229.84615384613</v>
      </c>
    </row>
    <row r="1590" spans="1:5" hidden="1" x14ac:dyDescent="0.25">
      <c r="A1590">
        <v>38</v>
      </c>
      <c r="B1590">
        <v>26</v>
      </c>
      <c r="C1590" t="s">
        <v>39</v>
      </c>
      <c r="D1590" t="s">
        <v>25</v>
      </c>
      <c r="E1590" s="4">
        <f t="shared" ca="1" si="25"/>
        <v>146303.51282051281</v>
      </c>
    </row>
    <row r="1591" spans="1:5" hidden="1" x14ac:dyDescent="0.25">
      <c r="A1591">
        <v>38</v>
      </c>
      <c r="B1591">
        <v>27</v>
      </c>
      <c r="C1591" t="s">
        <v>39</v>
      </c>
      <c r="D1591" t="s">
        <v>145</v>
      </c>
      <c r="E1591" s="4">
        <f t="shared" ca="1" si="25"/>
        <v>516236.61282051279</v>
      </c>
    </row>
    <row r="1592" spans="1:5" hidden="1" x14ac:dyDescent="0.25">
      <c r="A1592">
        <v>38</v>
      </c>
      <c r="B1592">
        <v>28</v>
      </c>
      <c r="C1592" t="s">
        <v>39</v>
      </c>
      <c r="D1592" t="s">
        <v>147</v>
      </c>
      <c r="E1592" s="4">
        <f t="shared" ca="1" si="25"/>
        <v>461014.91282051284</v>
      </c>
    </row>
    <row r="1593" spans="1:5" hidden="1" x14ac:dyDescent="0.25">
      <c r="A1593">
        <v>38</v>
      </c>
      <c r="B1593">
        <v>29</v>
      </c>
      <c r="C1593" t="s">
        <v>39</v>
      </c>
      <c r="D1593" t="s">
        <v>146</v>
      </c>
      <c r="E1593" s="4">
        <f t="shared" ca="1" si="25"/>
        <v>329164.61282051285</v>
      </c>
    </row>
    <row r="1594" spans="1:5" hidden="1" x14ac:dyDescent="0.25">
      <c r="A1594">
        <v>38</v>
      </c>
      <c r="B1594">
        <v>30</v>
      </c>
      <c r="C1594" t="s">
        <v>39</v>
      </c>
      <c r="D1594" t="s">
        <v>30</v>
      </c>
      <c r="E1594" s="4">
        <f t="shared" ca="1" si="25"/>
        <v>123916.20512820513</v>
      </c>
    </row>
    <row r="1595" spans="1:5" hidden="1" x14ac:dyDescent="0.25">
      <c r="A1595">
        <v>38</v>
      </c>
      <c r="B1595">
        <v>31</v>
      </c>
      <c r="C1595" t="s">
        <v>39</v>
      </c>
      <c r="D1595" t="s">
        <v>31</v>
      </c>
      <c r="E1595" s="4">
        <f t="shared" ca="1" si="25"/>
        <v>149463.01282051281</v>
      </c>
    </row>
    <row r="1596" spans="1:5" hidden="1" x14ac:dyDescent="0.25">
      <c r="A1596">
        <v>38</v>
      </c>
      <c r="B1596">
        <v>32</v>
      </c>
      <c r="C1596" t="s">
        <v>39</v>
      </c>
      <c r="D1596" t="s">
        <v>32</v>
      </c>
      <c r="E1596" s="4">
        <f t="shared" ca="1" si="25"/>
        <v>199173.23589743592</v>
      </c>
    </row>
    <row r="1597" spans="1:5" hidden="1" x14ac:dyDescent="0.25">
      <c r="A1597">
        <v>38</v>
      </c>
      <c r="B1597">
        <v>33</v>
      </c>
      <c r="C1597" t="s">
        <v>39</v>
      </c>
      <c r="D1597" t="s">
        <v>33</v>
      </c>
      <c r="E1597" s="4">
        <f t="shared" ca="1" si="25"/>
        <v>366734.90170940181</v>
      </c>
    </row>
    <row r="1598" spans="1:5" hidden="1" x14ac:dyDescent="0.25">
      <c r="A1598">
        <v>38</v>
      </c>
      <c r="B1598">
        <v>34</v>
      </c>
      <c r="C1598" t="s">
        <v>39</v>
      </c>
      <c r="D1598" t="s">
        <v>34</v>
      </c>
      <c r="E1598" s="4">
        <f t="shared" ca="1" si="25"/>
        <v>115145.05128205132</v>
      </c>
    </row>
    <row r="1599" spans="1:5" hidden="1" x14ac:dyDescent="0.25">
      <c r="A1599">
        <v>38</v>
      </c>
      <c r="B1599">
        <v>35</v>
      </c>
      <c r="C1599" t="s">
        <v>39</v>
      </c>
      <c r="D1599" t="s">
        <v>35</v>
      </c>
      <c r="E1599" s="4">
        <f t="shared" ca="1" si="25"/>
        <v>190991.43589743593</v>
      </c>
    </row>
    <row r="1600" spans="1:5" hidden="1" x14ac:dyDescent="0.25">
      <c r="A1600">
        <v>38</v>
      </c>
      <c r="B1600">
        <v>36</v>
      </c>
      <c r="C1600" t="s">
        <v>39</v>
      </c>
      <c r="D1600" t="s">
        <v>36</v>
      </c>
      <c r="E1600" s="4">
        <f t="shared" ca="1" si="25"/>
        <v>185806.93956043952</v>
      </c>
    </row>
    <row r="1601" spans="1:5" hidden="1" x14ac:dyDescent="0.25">
      <c r="A1601">
        <v>38</v>
      </c>
      <c r="B1601">
        <v>37</v>
      </c>
      <c r="C1601" t="s">
        <v>39</v>
      </c>
      <c r="D1601" t="s">
        <v>37</v>
      </c>
      <c r="E1601" s="4">
        <f t="shared" ca="1" si="25"/>
        <v>106783.89743589745</v>
      </c>
    </row>
    <row r="1602" spans="1:5" hidden="1" x14ac:dyDescent="0.25">
      <c r="A1602">
        <v>38</v>
      </c>
      <c r="B1602">
        <v>38</v>
      </c>
      <c r="C1602" t="s">
        <v>39</v>
      </c>
      <c r="D1602" t="s">
        <v>38</v>
      </c>
      <c r="E1602" s="4">
        <f t="shared" ca="1" si="25"/>
        <v>0</v>
      </c>
    </row>
    <row r="1603" spans="1:5" hidden="1" x14ac:dyDescent="0.25">
      <c r="A1603">
        <v>38</v>
      </c>
      <c r="B1603">
        <v>39</v>
      </c>
      <c r="C1603" t="s">
        <v>39</v>
      </c>
      <c r="D1603" t="s">
        <v>39</v>
      </c>
      <c r="E1603" s="4">
        <f t="shared" ca="1" si="25"/>
        <v>172273.65567765571</v>
      </c>
    </row>
    <row r="1604" spans="1:5" hidden="1" x14ac:dyDescent="0.25">
      <c r="A1604">
        <v>38</v>
      </c>
      <c r="B1604">
        <v>40</v>
      </c>
      <c r="C1604" t="s">
        <v>39</v>
      </c>
      <c r="D1604" t="s">
        <v>40</v>
      </c>
      <c r="E1604" s="4">
        <f t="shared" ca="1" si="25"/>
        <v>120452.00549450553</v>
      </c>
    </row>
    <row r="1605" spans="1:5" hidden="1" x14ac:dyDescent="0.25">
      <c r="A1605">
        <v>39</v>
      </c>
      <c r="B1605">
        <v>1</v>
      </c>
      <c r="C1605" t="s">
        <v>40</v>
      </c>
      <c r="D1605" t="s">
        <v>0</v>
      </c>
      <c r="E1605" s="4">
        <f t="shared" ca="1" si="25"/>
        <v>115199.3461538462</v>
      </c>
    </row>
    <row r="1606" spans="1:5" hidden="1" x14ac:dyDescent="0.25">
      <c r="A1606">
        <v>39</v>
      </c>
      <c r="B1606">
        <v>2</v>
      </c>
      <c r="C1606" t="s">
        <v>40</v>
      </c>
      <c r="D1606" t="s">
        <v>1</v>
      </c>
      <c r="E1606" s="4">
        <f t="shared" ca="1" si="25"/>
        <v>105587.73076923081</v>
      </c>
    </row>
    <row r="1607" spans="1:5" hidden="1" x14ac:dyDescent="0.25">
      <c r="A1607">
        <v>39</v>
      </c>
      <c r="B1607">
        <v>3</v>
      </c>
      <c r="C1607" t="s">
        <v>40</v>
      </c>
      <c r="D1607" t="s">
        <v>2</v>
      </c>
      <c r="E1607" s="4">
        <f t="shared" ca="1" si="25"/>
        <v>108621.9615384615</v>
      </c>
    </row>
    <row r="1608" spans="1:5" hidden="1" x14ac:dyDescent="0.25">
      <c r="A1608">
        <v>39</v>
      </c>
      <c r="B1608">
        <v>4</v>
      </c>
      <c r="C1608" t="s">
        <v>40</v>
      </c>
      <c r="D1608" t="s">
        <v>3</v>
      </c>
      <c r="E1608" s="4">
        <f t="shared" ca="1" si="25"/>
        <v>97728.884615384595</v>
      </c>
    </row>
    <row r="1609" spans="1:5" hidden="1" x14ac:dyDescent="0.25">
      <c r="A1609">
        <v>39</v>
      </c>
      <c r="B1609">
        <v>5</v>
      </c>
      <c r="C1609" t="s">
        <v>40</v>
      </c>
      <c r="D1609" t="s">
        <v>4</v>
      </c>
      <c r="E1609" s="4">
        <f t="shared" ca="1" si="25"/>
        <v>129528.9615384615</v>
      </c>
    </row>
    <row r="1610" spans="1:5" hidden="1" x14ac:dyDescent="0.25">
      <c r="A1610">
        <v>39</v>
      </c>
      <c r="B1610">
        <v>6</v>
      </c>
      <c r="C1610" t="s">
        <v>40</v>
      </c>
      <c r="D1610" t="s">
        <v>5</v>
      </c>
      <c r="E1610" s="4">
        <f t="shared" ca="1" si="25"/>
        <v>195318.27289377298</v>
      </c>
    </row>
    <row r="1611" spans="1:5" hidden="1" x14ac:dyDescent="0.25">
      <c r="A1611">
        <v>39</v>
      </c>
      <c r="B1611">
        <v>7</v>
      </c>
      <c r="C1611" t="s">
        <v>40</v>
      </c>
      <c r="D1611" t="s">
        <v>6</v>
      </c>
      <c r="E1611" s="4">
        <f t="shared" ca="1" si="25"/>
        <v>128864.57692307691</v>
      </c>
    </row>
    <row r="1612" spans="1:5" hidden="1" x14ac:dyDescent="0.25">
      <c r="A1612">
        <v>39</v>
      </c>
      <c r="B1612">
        <v>8</v>
      </c>
      <c r="C1612" t="s">
        <v>40</v>
      </c>
      <c r="D1612" t="s">
        <v>7</v>
      </c>
      <c r="E1612" s="4">
        <f t="shared" ca="1" si="25"/>
        <v>186462.34615384601</v>
      </c>
    </row>
    <row r="1613" spans="1:5" hidden="1" x14ac:dyDescent="0.25">
      <c r="A1613">
        <v>39</v>
      </c>
      <c r="B1613">
        <v>9</v>
      </c>
      <c r="C1613" t="s">
        <v>40</v>
      </c>
      <c r="D1613" t="s">
        <v>148</v>
      </c>
      <c r="E1613" s="4">
        <f t="shared" ca="1" si="25"/>
        <v>636795.12179487199</v>
      </c>
    </row>
    <row r="1614" spans="1:5" hidden="1" x14ac:dyDescent="0.25">
      <c r="A1614">
        <v>39</v>
      </c>
      <c r="B1614">
        <v>10</v>
      </c>
      <c r="C1614" t="s">
        <v>40</v>
      </c>
      <c r="D1614" t="s">
        <v>9</v>
      </c>
      <c r="E1614" s="4">
        <f t="shared" ca="1" si="25"/>
        <v>161171.42307692312</v>
      </c>
    </row>
    <row r="1615" spans="1:5" hidden="1" x14ac:dyDescent="0.25">
      <c r="A1615">
        <v>39</v>
      </c>
      <c r="B1615">
        <v>11</v>
      </c>
      <c r="C1615" t="s">
        <v>40</v>
      </c>
      <c r="D1615" t="s">
        <v>10</v>
      </c>
      <c r="E1615" s="4">
        <f t="shared" ca="1" si="25"/>
        <v>163935.5</v>
      </c>
    </row>
    <row r="1616" spans="1:5" hidden="1" x14ac:dyDescent="0.25">
      <c r="A1616">
        <v>39</v>
      </c>
      <c r="B1616">
        <v>12</v>
      </c>
      <c r="C1616" t="s">
        <v>40</v>
      </c>
      <c r="D1616" t="s">
        <v>11</v>
      </c>
      <c r="E1616" s="4">
        <f t="shared" ca="1" si="25"/>
        <v>108661.57692307691</v>
      </c>
    </row>
    <row r="1617" spans="1:5" hidden="1" x14ac:dyDescent="0.25">
      <c r="A1617">
        <v>39</v>
      </c>
      <c r="B1617">
        <v>13</v>
      </c>
      <c r="C1617" t="s">
        <v>40</v>
      </c>
      <c r="D1617" t="s">
        <v>12</v>
      </c>
      <c r="E1617" s="4">
        <f t="shared" ca="1" si="25"/>
        <v>90350.038461538497</v>
      </c>
    </row>
    <row r="1618" spans="1:5" hidden="1" x14ac:dyDescent="0.25">
      <c r="A1618">
        <v>39</v>
      </c>
      <c r="B1618">
        <v>14</v>
      </c>
      <c r="C1618" t="s">
        <v>40</v>
      </c>
      <c r="D1618" t="s">
        <v>13</v>
      </c>
      <c r="E1618" s="4">
        <f t="shared" ca="1" si="25"/>
        <v>236814.26923076899</v>
      </c>
    </row>
    <row r="1619" spans="1:5" hidden="1" x14ac:dyDescent="0.25">
      <c r="A1619">
        <v>39</v>
      </c>
      <c r="B1619">
        <v>15</v>
      </c>
      <c r="C1619" t="s">
        <v>40</v>
      </c>
      <c r="D1619" t="s">
        <v>14</v>
      </c>
      <c r="E1619" s="4">
        <f t="shared" ca="1" si="25"/>
        <v>358989.96153846203</v>
      </c>
    </row>
    <row r="1620" spans="1:5" hidden="1" x14ac:dyDescent="0.25">
      <c r="A1620">
        <v>39</v>
      </c>
      <c r="B1620">
        <v>16</v>
      </c>
      <c r="C1620" t="s">
        <v>40</v>
      </c>
      <c r="D1620" t="s">
        <v>15</v>
      </c>
      <c r="E1620" s="4">
        <f t="shared" ca="1" si="25"/>
        <v>597203.19230769202</v>
      </c>
    </row>
    <row r="1621" spans="1:5" hidden="1" x14ac:dyDescent="0.25">
      <c r="A1621">
        <v>39</v>
      </c>
      <c r="B1621">
        <v>17</v>
      </c>
      <c r="C1621" t="s">
        <v>40</v>
      </c>
      <c r="D1621" t="s">
        <v>16</v>
      </c>
      <c r="E1621" s="4">
        <f t="shared" ca="1" si="25"/>
        <v>242087.038461538</v>
      </c>
    </row>
    <row r="1622" spans="1:5" hidden="1" x14ac:dyDescent="0.25">
      <c r="A1622">
        <v>39</v>
      </c>
      <c r="B1622">
        <v>18</v>
      </c>
      <c r="C1622" t="s">
        <v>40</v>
      </c>
      <c r="D1622" t="s">
        <v>17</v>
      </c>
      <c r="E1622" s="4">
        <f t="shared" ca="1" si="25"/>
        <v>119257.8846153846</v>
      </c>
    </row>
    <row r="1623" spans="1:5" hidden="1" x14ac:dyDescent="0.25">
      <c r="A1623">
        <v>39</v>
      </c>
      <c r="B1623">
        <v>19</v>
      </c>
      <c r="C1623" t="s">
        <v>40</v>
      </c>
      <c r="D1623" t="s">
        <v>18</v>
      </c>
      <c r="E1623" s="4">
        <f t="shared" ca="1" si="25"/>
        <v>157976.8846153846</v>
      </c>
    </row>
    <row r="1624" spans="1:5" hidden="1" x14ac:dyDescent="0.25">
      <c r="A1624">
        <v>39</v>
      </c>
      <c r="B1624">
        <v>20</v>
      </c>
      <c r="C1624" t="s">
        <v>40</v>
      </c>
      <c r="D1624" t="s">
        <v>19</v>
      </c>
      <c r="E1624" s="4">
        <f t="shared" ca="1" si="25"/>
        <v>129792.1666666667</v>
      </c>
    </row>
    <row r="1625" spans="1:5" hidden="1" x14ac:dyDescent="0.25">
      <c r="A1625">
        <v>39</v>
      </c>
      <c r="B1625">
        <v>21</v>
      </c>
      <c r="C1625" t="s">
        <v>40</v>
      </c>
      <c r="D1625" t="s">
        <v>20</v>
      </c>
      <c r="E1625" s="4">
        <f t="shared" ca="1" si="25"/>
        <v>173943.83333333299</v>
      </c>
    </row>
    <row r="1626" spans="1:5" hidden="1" x14ac:dyDescent="0.25">
      <c r="A1626">
        <v>39</v>
      </c>
      <c r="B1626">
        <v>22</v>
      </c>
      <c r="C1626" t="s">
        <v>40</v>
      </c>
      <c r="D1626" t="s">
        <v>21</v>
      </c>
      <c r="E1626" s="4">
        <f t="shared" ca="1" si="25"/>
        <v>193070.83333333299</v>
      </c>
    </row>
    <row r="1627" spans="1:5" hidden="1" x14ac:dyDescent="0.25">
      <c r="A1627">
        <v>39</v>
      </c>
      <c r="B1627">
        <v>23</v>
      </c>
      <c r="C1627" t="s">
        <v>40</v>
      </c>
      <c r="D1627" t="s">
        <v>22</v>
      </c>
      <c r="E1627" s="4">
        <f t="shared" ca="1" si="25"/>
        <v>176807.16666666701</v>
      </c>
    </row>
    <row r="1628" spans="1:5" hidden="1" x14ac:dyDescent="0.25">
      <c r="A1628">
        <v>39</v>
      </c>
      <c r="B1628">
        <v>24</v>
      </c>
      <c r="C1628" t="s">
        <v>40</v>
      </c>
      <c r="D1628" t="s">
        <v>23</v>
      </c>
      <c r="E1628" s="4">
        <f t="shared" ca="1" si="25"/>
        <v>134279.16666666669</v>
      </c>
    </row>
    <row r="1629" spans="1:5" hidden="1" x14ac:dyDescent="0.25">
      <c r="A1629">
        <v>39</v>
      </c>
      <c r="B1629">
        <v>25</v>
      </c>
      <c r="C1629" t="s">
        <v>40</v>
      </c>
      <c r="D1629" t="s">
        <v>24</v>
      </c>
      <c r="E1629" s="4">
        <f t="shared" ca="1" si="25"/>
        <v>127226.8333333333</v>
      </c>
    </row>
    <row r="1630" spans="1:5" hidden="1" x14ac:dyDescent="0.25">
      <c r="A1630">
        <v>39</v>
      </c>
      <c r="B1630">
        <v>26</v>
      </c>
      <c r="C1630" t="s">
        <v>40</v>
      </c>
      <c r="D1630" t="s">
        <v>25</v>
      </c>
      <c r="E1630" s="4">
        <f t="shared" ref="E1630:E1644" ca="1" si="26">OFFSET($B$2,A1630,B1630)</f>
        <v>113300.5</v>
      </c>
    </row>
    <row r="1631" spans="1:5" hidden="1" x14ac:dyDescent="0.25">
      <c r="A1631">
        <v>39</v>
      </c>
      <c r="B1631">
        <v>27</v>
      </c>
      <c r="C1631" t="s">
        <v>40</v>
      </c>
      <c r="D1631" t="s">
        <v>145</v>
      </c>
      <c r="E1631" s="4">
        <f t="shared" ca="1" si="26"/>
        <v>483233.6</v>
      </c>
    </row>
    <row r="1632" spans="1:5" hidden="1" x14ac:dyDescent="0.25">
      <c r="A1632">
        <v>39</v>
      </c>
      <c r="B1632">
        <v>28</v>
      </c>
      <c r="C1632" t="s">
        <v>40</v>
      </c>
      <c r="D1632" t="s">
        <v>147</v>
      </c>
      <c r="E1632" s="4">
        <f t="shared" ca="1" si="26"/>
        <v>428011.9</v>
      </c>
    </row>
    <row r="1633" spans="1:5" hidden="1" x14ac:dyDescent="0.25">
      <c r="A1633">
        <v>39</v>
      </c>
      <c r="B1633">
        <v>29</v>
      </c>
      <c r="C1633" t="s">
        <v>40</v>
      </c>
      <c r="D1633" t="s">
        <v>146</v>
      </c>
      <c r="E1633" s="4">
        <f t="shared" ca="1" si="26"/>
        <v>296161.59999999998</v>
      </c>
    </row>
    <row r="1634" spans="1:5" hidden="1" x14ac:dyDescent="0.25">
      <c r="A1634">
        <v>39</v>
      </c>
      <c r="B1634">
        <v>30</v>
      </c>
      <c r="C1634" t="s">
        <v>40</v>
      </c>
      <c r="D1634" t="s">
        <v>30</v>
      </c>
      <c r="E1634" s="4">
        <f t="shared" ca="1" si="26"/>
        <v>90913.192307692298</v>
      </c>
    </row>
    <row r="1635" spans="1:5" hidden="1" x14ac:dyDescent="0.25">
      <c r="A1635">
        <v>39</v>
      </c>
      <c r="B1635">
        <v>31</v>
      </c>
      <c r="C1635" t="s">
        <v>40</v>
      </c>
      <c r="D1635" t="s">
        <v>31</v>
      </c>
      <c r="E1635" s="4">
        <f t="shared" ca="1" si="26"/>
        <v>116460</v>
      </c>
    </row>
    <row r="1636" spans="1:5" hidden="1" x14ac:dyDescent="0.25">
      <c r="A1636">
        <v>39</v>
      </c>
      <c r="B1636">
        <v>32</v>
      </c>
      <c r="C1636" t="s">
        <v>40</v>
      </c>
      <c r="D1636" t="s">
        <v>32</v>
      </c>
      <c r="E1636" s="4">
        <f t="shared" ca="1" si="26"/>
        <v>166170.22307692311</v>
      </c>
    </row>
    <row r="1637" spans="1:5" hidden="1" x14ac:dyDescent="0.25">
      <c r="A1637">
        <v>39</v>
      </c>
      <c r="B1637">
        <v>33</v>
      </c>
      <c r="C1637" t="s">
        <v>40</v>
      </c>
      <c r="D1637" t="s">
        <v>33</v>
      </c>
      <c r="E1637" s="4">
        <f t="shared" ca="1" si="26"/>
        <v>333731.88888888899</v>
      </c>
    </row>
    <row r="1638" spans="1:5" hidden="1" x14ac:dyDescent="0.25">
      <c r="A1638">
        <v>39</v>
      </c>
      <c r="B1638">
        <v>34</v>
      </c>
      <c r="C1638" t="s">
        <v>40</v>
      </c>
      <c r="D1638" t="s">
        <v>34</v>
      </c>
      <c r="E1638" s="4">
        <f t="shared" ca="1" si="26"/>
        <v>82142.038461538497</v>
      </c>
    </row>
    <row r="1639" spans="1:5" hidden="1" x14ac:dyDescent="0.25">
      <c r="A1639">
        <v>39</v>
      </c>
      <c r="B1639">
        <v>35</v>
      </c>
      <c r="C1639" t="s">
        <v>40</v>
      </c>
      <c r="D1639" t="s">
        <v>35</v>
      </c>
      <c r="E1639" s="4">
        <f t="shared" ca="1" si="26"/>
        <v>157988.42307692312</v>
      </c>
    </row>
    <row r="1640" spans="1:5" hidden="1" x14ac:dyDescent="0.25">
      <c r="A1640">
        <v>39</v>
      </c>
      <c r="B1640">
        <v>36</v>
      </c>
      <c r="C1640" t="s">
        <v>40</v>
      </c>
      <c r="D1640" t="s">
        <v>36</v>
      </c>
      <c r="E1640" s="4">
        <f t="shared" ca="1" si="26"/>
        <v>152803.92673992668</v>
      </c>
    </row>
    <row r="1641" spans="1:5" hidden="1" x14ac:dyDescent="0.25">
      <c r="A1641">
        <v>39</v>
      </c>
      <c r="B1641">
        <v>37</v>
      </c>
      <c r="C1641" t="s">
        <v>40</v>
      </c>
      <c r="D1641" t="s">
        <v>37</v>
      </c>
      <c r="E1641" s="4">
        <f t="shared" ca="1" si="26"/>
        <v>73780.884615384624</v>
      </c>
    </row>
    <row r="1642" spans="1:5" hidden="1" x14ac:dyDescent="0.25">
      <c r="A1642">
        <v>39</v>
      </c>
      <c r="B1642">
        <v>38</v>
      </c>
      <c r="C1642" t="s">
        <v>40</v>
      </c>
      <c r="D1642" t="s">
        <v>38</v>
      </c>
      <c r="E1642" s="4">
        <f t="shared" ca="1" si="26"/>
        <v>157951.34249084251</v>
      </c>
    </row>
    <row r="1643" spans="1:5" hidden="1" x14ac:dyDescent="0.25">
      <c r="A1643">
        <v>39</v>
      </c>
      <c r="B1643">
        <v>39</v>
      </c>
      <c r="C1643" t="s">
        <v>40</v>
      </c>
      <c r="D1643" t="s">
        <v>39</v>
      </c>
      <c r="E1643" s="4">
        <f t="shared" ca="1" si="26"/>
        <v>0</v>
      </c>
    </row>
    <row r="1644" spans="1:5" hidden="1" x14ac:dyDescent="0.25">
      <c r="A1644">
        <v>39</v>
      </c>
      <c r="B1644">
        <v>40</v>
      </c>
      <c r="C1644" t="s">
        <v>40</v>
      </c>
      <c r="D1644" t="s">
        <v>40</v>
      </c>
      <c r="E1644" s="4">
        <f t="shared" ca="1" si="26"/>
        <v>87448.992673992703</v>
      </c>
    </row>
  </sheetData>
  <autoFilter ref="A44:E1644" xr:uid="{37B3F608-025E-4CEA-9288-C3745660A3A9}">
    <filterColumn colId="2">
      <filters>
        <filter val="PT16"/>
      </filters>
    </filterColumn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BAD4BD-B5F7-4DC0-AE88-87AD43768B75}">
  <dimension ref="A2:AP1644"/>
  <sheetViews>
    <sheetView zoomScale="85" zoomScaleNormal="85" workbookViewId="0">
      <selection activeCell="C1" sqref="C1"/>
    </sheetView>
  </sheetViews>
  <sheetFormatPr baseColWidth="10" defaultRowHeight="15" x14ac:dyDescent="0.25"/>
  <cols>
    <col min="4" max="4" width="11.85546875" bestFit="1" customWidth="1"/>
  </cols>
  <sheetData>
    <row r="2" spans="2:42" x14ac:dyDescent="0.25">
      <c r="C2" t="s">
        <v>0</v>
      </c>
      <c r="D2" t="s">
        <v>1</v>
      </c>
      <c r="E2" t="s">
        <v>2</v>
      </c>
      <c r="F2" t="s">
        <v>3</v>
      </c>
      <c r="G2" t="s">
        <v>4</v>
      </c>
      <c r="H2" t="s">
        <v>5</v>
      </c>
      <c r="I2" t="s">
        <v>6</v>
      </c>
      <c r="J2" t="s">
        <v>7</v>
      </c>
      <c r="K2" t="s">
        <v>148</v>
      </c>
      <c r="L2" t="s">
        <v>9</v>
      </c>
      <c r="M2" t="s">
        <v>10</v>
      </c>
      <c r="N2" t="s">
        <v>11</v>
      </c>
      <c r="O2" t="s">
        <v>12</v>
      </c>
      <c r="P2" t="s">
        <v>13</v>
      </c>
      <c r="Q2" t="s">
        <v>14</v>
      </c>
      <c r="R2" t="s">
        <v>15</v>
      </c>
      <c r="S2" t="s">
        <v>16</v>
      </c>
      <c r="T2" t="s">
        <v>17</v>
      </c>
      <c r="U2" t="s">
        <v>145</v>
      </c>
      <c r="V2" t="s">
        <v>146</v>
      </c>
      <c r="W2" t="s">
        <v>18</v>
      </c>
      <c r="X2" t="s">
        <v>19</v>
      </c>
      <c r="Y2" t="s">
        <v>20</v>
      </c>
      <c r="Z2" t="s">
        <v>21</v>
      </c>
      <c r="AA2" t="s">
        <v>22</v>
      </c>
      <c r="AB2" t="s">
        <v>23</v>
      </c>
      <c r="AC2" t="s">
        <v>24</v>
      </c>
      <c r="AD2" t="s">
        <v>25</v>
      </c>
      <c r="AE2" t="s">
        <v>147</v>
      </c>
      <c r="AF2" t="s">
        <v>30</v>
      </c>
      <c r="AG2" t="s">
        <v>31</v>
      </c>
      <c r="AH2" t="s">
        <v>32</v>
      </c>
      <c r="AI2" t="s">
        <v>33</v>
      </c>
      <c r="AJ2" t="s">
        <v>34</v>
      </c>
      <c r="AK2" t="s">
        <v>35</v>
      </c>
      <c r="AL2" t="s">
        <v>36</v>
      </c>
      <c r="AM2" t="s">
        <v>37</v>
      </c>
      <c r="AN2" t="s">
        <v>38</v>
      </c>
      <c r="AO2" t="s">
        <v>39</v>
      </c>
      <c r="AP2" t="s">
        <v>40</v>
      </c>
    </row>
    <row r="3" spans="2:42" x14ac:dyDescent="0.25">
      <c r="B3" t="s">
        <v>0</v>
      </c>
      <c r="C3">
        <v>0</v>
      </c>
      <c r="D3">
        <v>106839.14285714284</v>
      </c>
      <c r="E3">
        <v>102103.78571428574</v>
      </c>
      <c r="F3">
        <v>116760.14285714284</v>
      </c>
      <c r="G3">
        <v>150496.71428571432</v>
      </c>
      <c r="H3">
        <v>98824.85714285713</v>
      </c>
      <c r="I3">
        <v>90574.857142857145</v>
      </c>
      <c r="J3">
        <v>120221.92857142854</v>
      </c>
      <c r="K3">
        <v>86217.525974025979</v>
      </c>
      <c r="L3">
        <v>106700.28571428574</v>
      </c>
      <c r="M3">
        <v>106867.45604395603</v>
      </c>
      <c r="N3">
        <v>103836.07142857143</v>
      </c>
      <c r="O3">
        <v>88914.456043956059</v>
      </c>
      <c r="P3">
        <v>109539.45604395603</v>
      </c>
      <c r="Q3">
        <v>133338.84065934064</v>
      </c>
      <c r="R3">
        <v>123031.30219780223</v>
      </c>
      <c r="S3">
        <v>150090.37912087914</v>
      </c>
      <c r="T3">
        <v>109356.84065934064</v>
      </c>
      <c r="U3">
        <v>86907.994505494513</v>
      </c>
      <c r="V3">
        <v>144079.76373626373</v>
      </c>
      <c r="W3">
        <v>122924.37912087914</v>
      </c>
      <c r="X3">
        <v>107364.22527472524</v>
      </c>
      <c r="Y3">
        <v>92042.763736263747</v>
      </c>
      <c r="Z3">
        <v>93205.148351648357</v>
      </c>
      <c r="AA3">
        <v>90809.763736263747</v>
      </c>
      <c r="AB3">
        <v>89888.840659340669</v>
      </c>
      <c r="AC3">
        <v>145104.07142857142</v>
      </c>
      <c r="AD3">
        <v>122168.37142857144</v>
      </c>
      <c r="AE3">
        <v>93375.371428571438</v>
      </c>
      <c r="AF3">
        <v>88264.532967032981</v>
      </c>
      <c r="AG3">
        <v>86109.456043956045</v>
      </c>
      <c r="AH3">
        <v>149786.84065934064</v>
      </c>
      <c r="AI3">
        <v>382397.3791208794</v>
      </c>
      <c r="AJ3">
        <v>108715.68681318684</v>
      </c>
      <c r="AK3">
        <v>89339.917582417591</v>
      </c>
      <c r="AL3">
        <v>95758.917582417635</v>
      </c>
      <c r="AM3">
        <v>85727.071428571435</v>
      </c>
      <c r="AN3">
        <v>88797.456043956059</v>
      </c>
      <c r="AO3">
        <v>95343.840659340669</v>
      </c>
      <c r="AP3">
        <v>107702.76373626373</v>
      </c>
    </row>
    <row r="4" spans="2:42" x14ac:dyDescent="0.25">
      <c r="B4" t="s">
        <v>1</v>
      </c>
      <c r="C4">
        <v>98900.071428571435</v>
      </c>
      <c r="D4">
        <v>0</v>
      </c>
      <c r="E4">
        <v>22903.714285714301</v>
      </c>
      <c r="F4">
        <v>37560.071428571398</v>
      </c>
      <c r="G4">
        <v>71296.642857142899</v>
      </c>
      <c r="H4">
        <v>19624.785714285699</v>
      </c>
      <c r="I4">
        <v>11374.78571428571</v>
      </c>
      <c r="J4">
        <v>41021.857142857101</v>
      </c>
      <c r="K4">
        <v>7017.454545454545</v>
      </c>
      <c r="L4">
        <v>27500.214285714301</v>
      </c>
      <c r="M4">
        <v>27667.384615384599</v>
      </c>
      <c r="N4">
        <v>24636</v>
      </c>
      <c r="O4">
        <v>9714.3846153846207</v>
      </c>
      <c r="P4">
        <v>30339.384615384599</v>
      </c>
      <c r="Q4">
        <v>54138.769230769198</v>
      </c>
      <c r="R4">
        <v>43831.230769230802</v>
      </c>
      <c r="S4">
        <v>70890.307692307702</v>
      </c>
      <c r="T4">
        <v>30156.769230769201</v>
      </c>
      <c r="U4">
        <v>7707.9230769230799</v>
      </c>
      <c r="V4">
        <v>64879.692307692298</v>
      </c>
      <c r="W4">
        <v>43724.307692307702</v>
      </c>
      <c r="X4">
        <v>28164.1538461538</v>
      </c>
      <c r="Y4">
        <v>12842.69230769231</v>
      </c>
      <c r="Z4">
        <v>14005.07692307692</v>
      </c>
      <c r="AA4">
        <v>11609.69230769231</v>
      </c>
      <c r="AB4">
        <v>10688.76923076923</v>
      </c>
      <c r="AC4">
        <v>65904</v>
      </c>
      <c r="AD4">
        <v>42968.3</v>
      </c>
      <c r="AE4">
        <v>14175.3</v>
      </c>
      <c r="AF4">
        <v>9064.461538461539</v>
      </c>
      <c r="AG4">
        <v>6909.3846153846152</v>
      </c>
      <c r="AH4">
        <v>70586.76923076919</v>
      </c>
      <c r="AI4">
        <v>303197.30769230798</v>
      </c>
      <c r="AJ4">
        <v>29515.615384615401</v>
      </c>
      <c r="AK4">
        <v>10139.846153846151</v>
      </c>
      <c r="AL4">
        <v>16558.8461538462</v>
      </c>
      <c r="AM4">
        <v>6527</v>
      </c>
      <c r="AN4">
        <v>9597.3846153846207</v>
      </c>
      <c r="AO4">
        <v>16143.76923076923</v>
      </c>
      <c r="AP4">
        <v>28502.692307692301</v>
      </c>
    </row>
    <row r="5" spans="2:42" x14ac:dyDescent="0.25">
      <c r="B5" t="s">
        <v>2</v>
      </c>
      <c r="C5">
        <v>107457.64285714287</v>
      </c>
      <c r="D5">
        <v>36196.642857142855</v>
      </c>
      <c r="E5">
        <v>0</v>
      </c>
      <c r="F5">
        <v>46117.642857142826</v>
      </c>
      <c r="G5">
        <v>79854.214285714334</v>
      </c>
      <c r="H5">
        <v>28182.35714285713</v>
      </c>
      <c r="I5">
        <v>19932.357142857138</v>
      </c>
      <c r="J5">
        <v>49579.428571428529</v>
      </c>
      <c r="K5">
        <v>15575.025974025973</v>
      </c>
      <c r="L5">
        <v>36057.785714285732</v>
      </c>
      <c r="M5">
        <v>36224.95604395603</v>
      </c>
      <c r="N5">
        <v>33193.571428571428</v>
      </c>
      <c r="O5">
        <v>18271.956043956048</v>
      </c>
      <c r="P5">
        <v>38896.95604395603</v>
      </c>
      <c r="Q5">
        <v>62696.340659340625</v>
      </c>
      <c r="R5">
        <v>52388.80219780223</v>
      </c>
      <c r="S5">
        <v>79447.879120879137</v>
      </c>
      <c r="T5">
        <v>38714.340659340633</v>
      </c>
      <c r="U5">
        <v>16265.494505494509</v>
      </c>
      <c r="V5">
        <v>73437.263736263732</v>
      </c>
      <c r="W5">
        <v>52281.87912087913</v>
      </c>
      <c r="X5">
        <v>36721.725274725228</v>
      </c>
      <c r="Y5">
        <v>21400.26373626374</v>
      </c>
      <c r="Z5">
        <v>22562.648351648349</v>
      </c>
      <c r="AA5">
        <v>20167.26373626374</v>
      </c>
      <c r="AB5">
        <v>19246.340659340658</v>
      </c>
      <c r="AC5">
        <v>74461.571428571435</v>
      </c>
      <c r="AD5">
        <v>51525.87142857143</v>
      </c>
      <c r="AE5">
        <v>22732.87142857143</v>
      </c>
      <c r="AF5">
        <v>17622.03296703297</v>
      </c>
      <c r="AG5">
        <v>15466.956043956045</v>
      </c>
      <c r="AH5">
        <v>79144.340659340625</v>
      </c>
      <c r="AI5">
        <v>311754.8791208794</v>
      </c>
      <c r="AJ5">
        <v>38073.186813186832</v>
      </c>
      <c r="AK5">
        <v>18697.41758241758</v>
      </c>
      <c r="AL5">
        <v>25116.417582417627</v>
      </c>
      <c r="AM5">
        <v>15084.571428571429</v>
      </c>
      <c r="AN5">
        <v>18154.956043956048</v>
      </c>
      <c r="AO5">
        <v>24701.340659340662</v>
      </c>
      <c r="AP5">
        <v>37060.263736263732</v>
      </c>
    </row>
    <row r="6" spans="2:42" x14ac:dyDescent="0.25">
      <c r="B6" t="s">
        <v>3</v>
      </c>
      <c r="C6">
        <v>122097.21428571426</v>
      </c>
      <c r="D6">
        <v>50836.214285714261</v>
      </c>
      <c r="E6">
        <v>46100.857142857159</v>
      </c>
      <c r="F6">
        <v>0</v>
      </c>
      <c r="G6">
        <v>94493.785714285754</v>
      </c>
      <c r="H6">
        <v>42821.928571428558</v>
      </c>
      <c r="I6">
        <v>34571.928571428565</v>
      </c>
      <c r="J6">
        <v>64218.999999999956</v>
      </c>
      <c r="K6">
        <v>30214.597402597403</v>
      </c>
      <c r="L6">
        <v>50697.357142857159</v>
      </c>
      <c r="M6">
        <v>50864.527472527458</v>
      </c>
      <c r="N6">
        <v>47833.142857142855</v>
      </c>
      <c r="O6">
        <v>32911.527472527479</v>
      </c>
      <c r="P6">
        <v>53536.527472527458</v>
      </c>
      <c r="Q6">
        <v>77335.91208791206</v>
      </c>
      <c r="R6">
        <v>67028.373626373665</v>
      </c>
      <c r="S6">
        <v>94087.450549450557</v>
      </c>
      <c r="T6">
        <v>53353.91208791206</v>
      </c>
      <c r="U6">
        <v>30905.06593406594</v>
      </c>
      <c r="V6">
        <v>88076.835164835153</v>
      </c>
      <c r="W6">
        <v>66921.450549450557</v>
      </c>
      <c r="X6">
        <v>51361.296703296655</v>
      </c>
      <c r="Y6">
        <v>36039.835164835167</v>
      </c>
      <c r="Z6">
        <v>37202.219780219777</v>
      </c>
      <c r="AA6">
        <v>34806.835164835167</v>
      </c>
      <c r="AB6">
        <v>33885.912087912089</v>
      </c>
      <c r="AC6">
        <v>89101.142857142855</v>
      </c>
      <c r="AD6">
        <v>66165.442857142858</v>
      </c>
      <c r="AE6">
        <v>37372.442857142858</v>
      </c>
      <c r="AF6">
        <v>32261.604395604398</v>
      </c>
      <c r="AG6">
        <v>30106.527472527472</v>
      </c>
      <c r="AH6">
        <v>93783.91208791206</v>
      </c>
      <c r="AI6">
        <v>326394.45054945082</v>
      </c>
      <c r="AJ6">
        <v>52712.75824175826</v>
      </c>
      <c r="AK6">
        <v>33336.989010989011</v>
      </c>
      <c r="AL6">
        <v>39755.989010989055</v>
      </c>
      <c r="AM6">
        <v>29724.142857142859</v>
      </c>
      <c r="AN6">
        <v>32794.527472527479</v>
      </c>
      <c r="AO6">
        <v>39340.912087912089</v>
      </c>
      <c r="AP6">
        <v>51699.83516483516</v>
      </c>
    </row>
    <row r="7" spans="2:42" x14ac:dyDescent="0.25">
      <c r="B7" t="s">
        <v>4</v>
      </c>
      <c r="C7">
        <v>139023.14285714284</v>
      </c>
      <c r="D7">
        <v>67762.142857142826</v>
      </c>
      <c r="E7">
        <v>63026.785714285725</v>
      </c>
      <c r="F7">
        <v>77683.142857142826</v>
      </c>
      <c r="G7">
        <v>0</v>
      </c>
      <c r="H7">
        <v>59747.85714285713</v>
      </c>
      <c r="I7">
        <v>51497.857142857138</v>
      </c>
      <c r="J7">
        <v>81144.928571428522</v>
      </c>
      <c r="K7">
        <v>47140.525974025972</v>
      </c>
      <c r="L7">
        <v>67623.285714285725</v>
      </c>
      <c r="M7">
        <v>67790.45604395603</v>
      </c>
      <c r="N7">
        <v>64759.071428571428</v>
      </c>
      <c r="O7">
        <v>49837.456043956045</v>
      </c>
      <c r="P7">
        <v>70462.45604395603</v>
      </c>
      <c r="Q7">
        <v>94261.840659340625</v>
      </c>
      <c r="R7">
        <v>83954.30219780223</v>
      </c>
      <c r="S7">
        <v>111013.37912087914</v>
      </c>
      <c r="T7">
        <v>70279.840659340625</v>
      </c>
      <c r="U7">
        <v>47830.994505494506</v>
      </c>
      <c r="V7">
        <v>105002.76373626373</v>
      </c>
      <c r="W7">
        <v>83847.379120879137</v>
      </c>
      <c r="X7">
        <v>68287.225274725235</v>
      </c>
      <c r="Y7">
        <v>52965.76373626374</v>
      </c>
      <c r="Z7">
        <v>54128.148351648349</v>
      </c>
      <c r="AA7">
        <v>51732.76373626374</v>
      </c>
      <c r="AB7">
        <v>50811.840659340654</v>
      </c>
      <c r="AC7">
        <v>106027.07142857142</v>
      </c>
      <c r="AD7">
        <v>83091.371428571438</v>
      </c>
      <c r="AE7">
        <v>54298.37142857143</v>
      </c>
      <c r="AF7">
        <v>49187.532967032967</v>
      </c>
      <c r="AG7">
        <v>47032.456043956045</v>
      </c>
      <c r="AH7">
        <v>110709.84065934063</v>
      </c>
      <c r="AI7">
        <v>343320.3791208794</v>
      </c>
      <c r="AJ7">
        <v>69638.686813186825</v>
      </c>
      <c r="AK7">
        <v>50262.917582417576</v>
      </c>
      <c r="AL7">
        <v>56681.917582417627</v>
      </c>
      <c r="AM7">
        <v>46650.071428571428</v>
      </c>
      <c r="AN7">
        <v>49720.456043956045</v>
      </c>
      <c r="AO7">
        <v>56266.840659340654</v>
      </c>
      <c r="AP7">
        <v>68625.763736263732</v>
      </c>
    </row>
    <row r="8" spans="2:42" x14ac:dyDescent="0.25">
      <c r="B8" t="s">
        <v>5</v>
      </c>
      <c r="C8">
        <v>103988.2857142857</v>
      </c>
      <c r="D8">
        <v>32727.285714285685</v>
      </c>
      <c r="E8">
        <v>27991.928571428587</v>
      </c>
      <c r="F8">
        <v>42648.285714285681</v>
      </c>
      <c r="G8">
        <v>76384.857142857189</v>
      </c>
      <c r="H8">
        <v>0</v>
      </c>
      <c r="I8">
        <v>16462.999999999996</v>
      </c>
      <c r="J8">
        <v>46110.071428571391</v>
      </c>
      <c r="K8">
        <v>12105.66883116883</v>
      </c>
      <c r="L8">
        <v>32588.428571428587</v>
      </c>
      <c r="M8">
        <v>32755.598901098885</v>
      </c>
      <c r="N8">
        <v>29724.214285714286</v>
      </c>
      <c r="O8">
        <v>14802.598901098907</v>
      </c>
      <c r="P8">
        <v>35427.598901098885</v>
      </c>
      <c r="Q8">
        <v>59226.98351648348</v>
      </c>
      <c r="R8">
        <v>48919.445054945085</v>
      </c>
      <c r="S8">
        <v>75978.521978021992</v>
      </c>
      <c r="T8">
        <v>35244.983516483488</v>
      </c>
      <c r="U8">
        <v>12796.137362637366</v>
      </c>
      <c r="V8">
        <v>69967.906593406587</v>
      </c>
      <c r="W8">
        <v>48812.521978021992</v>
      </c>
      <c r="X8">
        <v>33252.36813186809</v>
      </c>
      <c r="Y8">
        <v>17930.906593406595</v>
      </c>
      <c r="Z8">
        <v>19093.291208791205</v>
      </c>
      <c r="AA8">
        <v>16697.906593406595</v>
      </c>
      <c r="AB8">
        <v>15776.983516483517</v>
      </c>
      <c r="AC8">
        <v>70992.21428571429</v>
      </c>
      <c r="AD8">
        <v>48056.514285714293</v>
      </c>
      <c r="AE8">
        <v>19263.514285714286</v>
      </c>
      <c r="AF8">
        <v>14152.675824175825</v>
      </c>
      <c r="AG8">
        <v>11997.598901098901</v>
      </c>
      <c r="AH8">
        <v>75674.98351648348</v>
      </c>
      <c r="AI8">
        <v>308285.52197802224</v>
      </c>
      <c r="AJ8">
        <v>34603.829670329687</v>
      </c>
      <c r="AK8">
        <v>15228.060439560437</v>
      </c>
      <c r="AL8">
        <v>21647.060439560486</v>
      </c>
      <c r="AM8">
        <v>11615.214285714286</v>
      </c>
      <c r="AN8">
        <v>14685.598901098907</v>
      </c>
      <c r="AO8">
        <v>21231.983516483517</v>
      </c>
      <c r="AP8">
        <v>33590.906593406587</v>
      </c>
    </row>
    <row r="9" spans="2:42" x14ac:dyDescent="0.25">
      <c r="B9" t="s">
        <v>6</v>
      </c>
      <c r="C9">
        <v>95283.214285714261</v>
      </c>
      <c r="D9">
        <v>24022.214285714257</v>
      </c>
      <c r="E9">
        <v>19286.857142857159</v>
      </c>
      <c r="F9">
        <v>33943.214285714253</v>
      </c>
      <c r="G9">
        <v>67679.785714285754</v>
      </c>
      <c r="H9">
        <v>16007.928571428556</v>
      </c>
      <c r="I9">
        <v>0</v>
      </c>
      <c r="J9">
        <v>37404.999999999956</v>
      </c>
      <c r="K9">
        <v>3400.5974025974024</v>
      </c>
      <c r="L9">
        <v>23883.357142857159</v>
      </c>
      <c r="M9">
        <v>24050.527472527458</v>
      </c>
      <c r="N9">
        <v>21019.142857142859</v>
      </c>
      <c r="O9">
        <v>6097.5274725274776</v>
      </c>
      <c r="P9">
        <v>26722.527472527458</v>
      </c>
      <c r="Q9">
        <v>50521.912087912053</v>
      </c>
      <c r="R9">
        <v>40214.373626373657</v>
      </c>
      <c r="S9">
        <v>67273.450549450557</v>
      </c>
      <c r="T9">
        <v>26539.91208791206</v>
      </c>
      <c r="U9">
        <v>4091.0659340659377</v>
      </c>
      <c r="V9">
        <v>61262.835164835153</v>
      </c>
      <c r="W9">
        <v>40107.450549450557</v>
      </c>
      <c r="X9">
        <v>24547.296703296659</v>
      </c>
      <c r="Y9">
        <v>9225.8351648351672</v>
      </c>
      <c r="Z9">
        <v>10388.219780219777</v>
      </c>
      <c r="AA9">
        <v>7992.8351648351672</v>
      </c>
      <c r="AB9">
        <v>7071.9120879120874</v>
      </c>
      <c r="AC9">
        <v>62287.142857142855</v>
      </c>
      <c r="AD9">
        <v>39351.442857142858</v>
      </c>
      <c r="AE9">
        <v>10558.442857142858</v>
      </c>
      <c r="AF9">
        <v>5447.6043956043977</v>
      </c>
      <c r="AG9">
        <v>3292.5274725274721</v>
      </c>
      <c r="AH9">
        <v>66969.91208791206</v>
      </c>
      <c r="AI9">
        <v>299580.45054945082</v>
      </c>
      <c r="AJ9">
        <v>25898.75824175826</v>
      </c>
      <c r="AK9">
        <v>6522.9890109890075</v>
      </c>
      <c r="AL9">
        <v>12941.989010989057</v>
      </c>
      <c r="AM9">
        <v>2910.1428571428573</v>
      </c>
      <c r="AN9">
        <v>5980.5274725274776</v>
      </c>
      <c r="AO9">
        <v>12526.912087912087</v>
      </c>
      <c r="AP9">
        <v>24885.83516483516</v>
      </c>
    </row>
    <row r="10" spans="2:42" x14ac:dyDescent="0.25">
      <c r="B10" t="s">
        <v>7</v>
      </c>
      <c r="C10">
        <v>99439.714285714261</v>
      </c>
      <c r="D10">
        <v>28178.714285714253</v>
      </c>
      <c r="E10">
        <v>23443.357142857159</v>
      </c>
      <c r="F10">
        <v>38099.714285714253</v>
      </c>
      <c r="G10">
        <v>71836.285714285754</v>
      </c>
      <c r="H10">
        <v>20164.428571428558</v>
      </c>
      <c r="I10">
        <v>11914.428571428567</v>
      </c>
      <c r="J10">
        <v>0</v>
      </c>
      <c r="K10">
        <v>7557.0974025974019</v>
      </c>
      <c r="L10">
        <v>28039.857142857159</v>
      </c>
      <c r="M10">
        <v>28207.027472527458</v>
      </c>
      <c r="N10">
        <v>25175.642857142855</v>
      </c>
      <c r="O10">
        <v>10254.027472527476</v>
      </c>
      <c r="P10">
        <v>30879.027472527458</v>
      </c>
      <c r="Q10">
        <v>54678.412087912053</v>
      </c>
      <c r="R10">
        <v>44370.873626373657</v>
      </c>
      <c r="S10">
        <v>71429.950549450557</v>
      </c>
      <c r="T10">
        <v>30696.41208791206</v>
      </c>
      <c r="U10">
        <v>8247.5659340659367</v>
      </c>
      <c r="V10">
        <v>65419.335164835153</v>
      </c>
      <c r="W10">
        <v>44263.950549450557</v>
      </c>
      <c r="X10">
        <v>28703.796703296655</v>
      </c>
      <c r="Y10">
        <v>13382.335164835167</v>
      </c>
      <c r="Z10">
        <v>14544.719780219777</v>
      </c>
      <c r="AA10">
        <v>12149.335164835167</v>
      </c>
      <c r="AB10">
        <v>11228.412087912086</v>
      </c>
      <c r="AC10">
        <v>66443.642857142855</v>
      </c>
      <c r="AD10">
        <v>43507.942857142858</v>
      </c>
      <c r="AE10">
        <v>14714.942857142858</v>
      </c>
      <c r="AF10">
        <v>9604.1043956043977</v>
      </c>
      <c r="AG10">
        <v>7449.0274725274721</v>
      </c>
      <c r="AH10">
        <v>71126.41208791206</v>
      </c>
      <c r="AI10">
        <v>303736.95054945082</v>
      </c>
      <c r="AJ10">
        <v>30055.25824175826</v>
      </c>
      <c r="AK10">
        <v>10679.489010989008</v>
      </c>
      <c r="AL10">
        <v>17098.489010989055</v>
      </c>
      <c r="AM10">
        <v>7066.6428571428569</v>
      </c>
      <c r="AN10">
        <v>10137.027472527476</v>
      </c>
      <c r="AO10">
        <v>16683.412087912089</v>
      </c>
      <c r="AP10">
        <v>29042.33516483516</v>
      </c>
    </row>
    <row r="11" spans="2:42" x14ac:dyDescent="0.25">
      <c r="B11" t="s">
        <v>148</v>
      </c>
      <c r="C11">
        <v>93397.571428571406</v>
      </c>
      <c r="D11">
        <v>22136.571428571398</v>
      </c>
      <c r="E11">
        <v>17401.214285714301</v>
      </c>
      <c r="F11">
        <v>32057.571428571398</v>
      </c>
      <c r="G11">
        <v>65794.142857142899</v>
      </c>
      <c r="H11">
        <v>14122.285714285699</v>
      </c>
      <c r="I11">
        <v>5872.2857142857101</v>
      </c>
      <c r="J11">
        <v>35519.357142857101</v>
      </c>
      <c r="K11">
        <v>0</v>
      </c>
      <c r="L11">
        <v>21997.714285714301</v>
      </c>
      <c r="M11">
        <v>22164.884615384599</v>
      </c>
      <c r="N11">
        <v>19133.5</v>
      </c>
      <c r="O11">
        <v>4211.8846153846198</v>
      </c>
      <c r="P11">
        <v>24836.884615384599</v>
      </c>
      <c r="Q11">
        <v>48636.269230769198</v>
      </c>
      <c r="R11">
        <v>38328.730769230802</v>
      </c>
      <c r="S11">
        <v>65387.807692307702</v>
      </c>
      <c r="T11">
        <v>24654.269230769201</v>
      </c>
      <c r="U11">
        <v>2205.4230769230799</v>
      </c>
      <c r="V11">
        <v>59377.192307692298</v>
      </c>
      <c r="W11">
        <v>38221.807692307702</v>
      </c>
      <c r="X11">
        <v>22661.6538461538</v>
      </c>
      <c r="Y11">
        <v>7340.1923076923104</v>
      </c>
      <c r="Z11">
        <v>8502.5769230769201</v>
      </c>
      <c r="AA11">
        <v>6107.1923076923104</v>
      </c>
      <c r="AB11">
        <v>5186.2692307692296</v>
      </c>
      <c r="AC11">
        <v>60401.5</v>
      </c>
      <c r="AD11">
        <v>37465.800000000003</v>
      </c>
      <c r="AE11">
        <v>8672.7999999999993</v>
      </c>
      <c r="AF11">
        <v>3561.9615384615399</v>
      </c>
      <c r="AG11">
        <v>1406.884615384615</v>
      </c>
      <c r="AH11">
        <v>65084.269230769198</v>
      </c>
      <c r="AI11">
        <v>297694.80769230798</v>
      </c>
      <c r="AJ11">
        <v>24013.115384615401</v>
      </c>
      <c r="AK11">
        <v>4637.3461538461506</v>
      </c>
      <c r="AL11">
        <v>11056.3461538462</v>
      </c>
      <c r="AM11">
        <v>1024.5</v>
      </c>
      <c r="AN11">
        <v>4094.8846153846198</v>
      </c>
      <c r="AO11">
        <v>10641.26923076923</v>
      </c>
      <c r="AP11">
        <v>23000.192307692301</v>
      </c>
    </row>
    <row r="12" spans="2:42" x14ac:dyDescent="0.25">
      <c r="B12" t="s">
        <v>9</v>
      </c>
      <c r="C12">
        <v>106531.64285714284</v>
      </c>
      <c r="D12">
        <v>35270.642857142826</v>
      </c>
      <c r="E12">
        <v>30535.285714285732</v>
      </c>
      <c r="F12">
        <v>45191.642857142826</v>
      </c>
      <c r="G12">
        <v>78928.214285714334</v>
      </c>
      <c r="H12">
        <v>27256.35714285713</v>
      </c>
      <c r="I12">
        <v>19006.357142857138</v>
      </c>
      <c r="J12">
        <v>48653.428571428529</v>
      </c>
      <c r="K12">
        <v>14649.025974025973</v>
      </c>
      <c r="L12">
        <v>0</v>
      </c>
      <c r="M12">
        <v>35298.95604395603</v>
      </c>
      <c r="N12">
        <v>32267.571428571428</v>
      </c>
      <c r="O12">
        <v>17345.956043956048</v>
      </c>
      <c r="P12">
        <v>37970.95604395603</v>
      </c>
      <c r="Q12">
        <v>61770.340659340625</v>
      </c>
      <c r="R12">
        <v>51462.80219780223</v>
      </c>
      <c r="S12">
        <v>78521.879120879137</v>
      </c>
      <c r="T12">
        <v>37788.340659340633</v>
      </c>
      <c r="U12">
        <v>15339.494505494509</v>
      </c>
      <c r="V12">
        <v>72511.263736263732</v>
      </c>
      <c r="W12">
        <v>51355.87912087913</v>
      </c>
      <c r="X12">
        <v>35795.725274725228</v>
      </c>
      <c r="Y12">
        <v>20474.26373626374</v>
      </c>
      <c r="Z12">
        <v>21636.648351648349</v>
      </c>
      <c r="AA12">
        <v>19241.26373626374</v>
      </c>
      <c r="AB12">
        <v>18320.340659340658</v>
      </c>
      <c r="AC12">
        <v>73535.571428571435</v>
      </c>
      <c r="AD12">
        <v>50599.87142857143</v>
      </c>
      <c r="AE12">
        <v>21806.87142857143</v>
      </c>
      <c r="AF12">
        <v>16696.03296703297</v>
      </c>
      <c r="AG12">
        <v>14540.956043956045</v>
      </c>
      <c r="AH12">
        <v>78218.340659340625</v>
      </c>
      <c r="AI12">
        <v>310828.8791208794</v>
      </c>
      <c r="AJ12">
        <v>37147.186813186832</v>
      </c>
      <c r="AK12">
        <v>17771.41758241758</v>
      </c>
      <c r="AL12">
        <v>24190.417582417627</v>
      </c>
      <c r="AM12">
        <v>14158.571428571429</v>
      </c>
      <c r="AN12">
        <v>17228.956043956048</v>
      </c>
      <c r="AO12">
        <v>23775.340659340662</v>
      </c>
      <c r="AP12">
        <v>36134.263736263732</v>
      </c>
    </row>
    <row r="13" spans="2:42" x14ac:dyDescent="0.25">
      <c r="B13" t="s">
        <v>10</v>
      </c>
      <c r="C13">
        <v>103173.84065934064</v>
      </c>
      <c r="D13">
        <v>31912.840659340629</v>
      </c>
      <c r="E13">
        <v>27177.483516483531</v>
      </c>
      <c r="F13">
        <v>41833.840659340625</v>
      </c>
      <c r="G13">
        <v>75570.412087912133</v>
      </c>
      <c r="H13">
        <v>23898.55494505493</v>
      </c>
      <c r="I13">
        <v>15648.554945054941</v>
      </c>
      <c r="J13">
        <v>45295.626373626335</v>
      </c>
      <c r="K13">
        <v>11291.223776223775</v>
      </c>
      <c r="L13">
        <v>31773.983516483531</v>
      </c>
      <c r="M13">
        <v>0</v>
      </c>
      <c r="N13">
        <v>28909.76923076923</v>
      </c>
      <c r="O13">
        <v>13988.153846153851</v>
      </c>
      <c r="P13">
        <v>34613.153846153829</v>
      </c>
      <c r="Q13">
        <v>58412.538461538425</v>
      </c>
      <c r="R13">
        <v>48105.000000000029</v>
      </c>
      <c r="S13">
        <v>75164.076923076937</v>
      </c>
      <c r="T13">
        <v>34430.538461538432</v>
      </c>
      <c r="U13">
        <v>11981.69230769231</v>
      </c>
      <c r="V13">
        <v>69153.461538461532</v>
      </c>
      <c r="W13">
        <v>47998.076923076937</v>
      </c>
      <c r="X13">
        <v>32437.923076923031</v>
      </c>
      <c r="Y13">
        <v>17116.461538461539</v>
      </c>
      <c r="Z13">
        <v>18278.846153846149</v>
      </c>
      <c r="AA13">
        <v>15883.461538461541</v>
      </c>
      <c r="AB13">
        <v>14962.538461538461</v>
      </c>
      <c r="AC13">
        <v>70177.769230769234</v>
      </c>
      <c r="AD13">
        <v>47242.069230769237</v>
      </c>
      <c r="AE13">
        <v>18449.06923076923</v>
      </c>
      <c r="AF13">
        <v>13338.23076923077</v>
      </c>
      <c r="AG13">
        <v>11183.153846153846</v>
      </c>
      <c r="AH13">
        <v>74860.538461538425</v>
      </c>
      <c r="AI13">
        <v>307471.07692307723</v>
      </c>
      <c r="AJ13">
        <v>33789.384615384632</v>
      </c>
      <c r="AK13">
        <v>14413.615384615381</v>
      </c>
      <c r="AL13">
        <v>20832.61538461543</v>
      </c>
      <c r="AM13">
        <v>10800.76923076923</v>
      </c>
      <c r="AN13">
        <v>13871.153846153851</v>
      </c>
      <c r="AO13">
        <v>20417.538461538461</v>
      </c>
      <c r="AP13">
        <v>32776.461538461532</v>
      </c>
    </row>
    <row r="14" spans="2:42" x14ac:dyDescent="0.25">
      <c r="B14" t="s">
        <v>11</v>
      </c>
      <c r="C14">
        <v>97836.456043956015</v>
      </c>
      <c r="D14">
        <v>26575.456043956015</v>
      </c>
      <c r="E14">
        <v>21840.098901098914</v>
      </c>
      <c r="F14">
        <v>36496.456043956015</v>
      </c>
      <c r="G14">
        <v>70233.027472527509</v>
      </c>
      <c r="H14">
        <v>18561.170329670313</v>
      </c>
      <c r="I14">
        <v>10311.170329670325</v>
      </c>
      <c r="J14">
        <v>39958.241758241718</v>
      </c>
      <c r="K14">
        <v>5953.8391608391603</v>
      </c>
      <c r="L14">
        <v>26436.598901098914</v>
      </c>
      <c r="M14">
        <v>26603.769230769212</v>
      </c>
      <c r="N14">
        <v>0</v>
      </c>
      <c r="O14">
        <v>8650.7692307692341</v>
      </c>
      <c r="P14">
        <v>29275.769230769212</v>
      </c>
      <c r="Q14">
        <v>53075.153846153815</v>
      </c>
      <c r="R14">
        <v>42767.615384615419</v>
      </c>
      <c r="S14">
        <v>69826.692307692312</v>
      </c>
      <c r="T14">
        <v>29093.153846153815</v>
      </c>
      <c r="U14">
        <v>6644.3076923076951</v>
      </c>
      <c r="V14">
        <v>63816.076923076915</v>
      </c>
      <c r="W14">
        <v>42660.692307692319</v>
      </c>
      <c r="X14">
        <v>27100.538461538417</v>
      </c>
      <c r="Y14">
        <v>11779.076923076926</v>
      </c>
      <c r="Z14">
        <v>12941.461538461535</v>
      </c>
      <c r="AA14">
        <v>10546.076923076926</v>
      </c>
      <c r="AB14">
        <v>9625.1538461538439</v>
      </c>
      <c r="AC14">
        <v>64840.384615384617</v>
      </c>
      <c r="AD14">
        <v>41904.68461538462</v>
      </c>
      <c r="AE14">
        <v>13111.684615384616</v>
      </c>
      <c r="AF14">
        <v>8000.8461538461552</v>
      </c>
      <c r="AG14">
        <v>5845.7692307692305</v>
      </c>
      <c r="AH14">
        <v>69523.153846153815</v>
      </c>
      <c r="AI14">
        <v>302133.6923076926</v>
      </c>
      <c r="AJ14">
        <v>28452.000000000015</v>
      </c>
      <c r="AK14">
        <v>9076.2307692307659</v>
      </c>
      <c r="AL14">
        <v>15495.230769230815</v>
      </c>
      <c r="AM14">
        <v>5463.3846153846152</v>
      </c>
      <c r="AN14">
        <v>8533.7692307692341</v>
      </c>
      <c r="AO14">
        <v>15080.153846153846</v>
      </c>
      <c r="AP14">
        <v>27439.076923076915</v>
      </c>
    </row>
    <row r="15" spans="2:42" x14ac:dyDescent="0.25">
      <c r="B15" t="s">
        <v>12</v>
      </c>
      <c r="C15">
        <v>94288.917582417562</v>
      </c>
      <c r="D15">
        <v>23027.917582417551</v>
      </c>
      <c r="E15">
        <v>18292.560439560453</v>
      </c>
      <c r="F15">
        <v>32948.917582417555</v>
      </c>
      <c r="G15">
        <v>66685.489010989055</v>
      </c>
      <c r="H15">
        <v>15013.631868131853</v>
      </c>
      <c r="I15">
        <v>6763.6318681318644</v>
      </c>
      <c r="J15">
        <v>36410.703296703257</v>
      </c>
      <c r="K15">
        <v>2406.3006993006989</v>
      </c>
      <c r="L15">
        <v>22889.060439560453</v>
      </c>
      <c r="M15">
        <v>23056.230769230751</v>
      </c>
      <c r="N15">
        <v>20024.846153846152</v>
      </c>
      <c r="O15">
        <v>0</v>
      </c>
      <c r="P15">
        <v>25728.230769230751</v>
      </c>
      <c r="Q15">
        <v>49527.615384615354</v>
      </c>
      <c r="R15">
        <v>39220.076923076958</v>
      </c>
      <c r="S15">
        <v>66279.153846153858</v>
      </c>
      <c r="T15">
        <v>25545.615384615354</v>
      </c>
      <c r="U15">
        <v>3096.7692307692341</v>
      </c>
      <c r="V15">
        <v>60268.538461538454</v>
      </c>
      <c r="W15">
        <v>39113.153846153858</v>
      </c>
      <c r="X15">
        <v>23552.999999999953</v>
      </c>
      <c r="Y15">
        <v>8231.5384615384646</v>
      </c>
      <c r="Z15">
        <v>9393.9230769230744</v>
      </c>
      <c r="AA15">
        <v>6998.5384615384646</v>
      </c>
      <c r="AB15">
        <v>6077.6153846153829</v>
      </c>
      <c r="AC15">
        <v>61292.846153846156</v>
      </c>
      <c r="AD15">
        <v>38357.146153846159</v>
      </c>
      <c r="AE15">
        <v>9564.1461538461535</v>
      </c>
      <c r="AF15">
        <v>4453.3076923076933</v>
      </c>
      <c r="AG15">
        <v>2298.2307692307686</v>
      </c>
      <c r="AH15">
        <v>65975.615384615347</v>
      </c>
      <c r="AI15">
        <v>298586.15384615411</v>
      </c>
      <c r="AJ15">
        <v>24904.461538461554</v>
      </c>
      <c r="AK15">
        <v>5528.692307692304</v>
      </c>
      <c r="AL15">
        <v>11947.692307692354</v>
      </c>
      <c r="AM15">
        <v>1915.8461538461538</v>
      </c>
      <c r="AN15">
        <v>4986.2307692307731</v>
      </c>
      <c r="AO15">
        <v>11532.615384615385</v>
      </c>
      <c r="AP15">
        <v>23891.538461538454</v>
      </c>
    </row>
    <row r="16" spans="2:42" x14ac:dyDescent="0.25">
      <c r="B16" t="s">
        <v>13</v>
      </c>
      <c r="C16">
        <v>104034.14835164833</v>
      </c>
      <c r="D16">
        <v>32773.14835164832</v>
      </c>
      <c r="E16">
        <v>28037.791208791226</v>
      </c>
      <c r="F16">
        <v>42694.14835164832</v>
      </c>
      <c r="G16">
        <v>76430.719780219821</v>
      </c>
      <c r="H16">
        <v>24758.862637362625</v>
      </c>
      <c r="I16">
        <v>16508.862637362632</v>
      </c>
      <c r="J16">
        <v>46155.934065934023</v>
      </c>
      <c r="K16">
        <v>12151.531468531468</v>
      </c>
      <c r="L16">
        <v>32634.291208791226</v>
      </c>
      <c r="M16">
        <v>32801.461538461524</v>
      </c>
      <c r="N16">
        <v>29770.076923076922</v>
      </c>
      <c r="O16">
        <v>14848.461538461543</v>
      </c>
      <c r="P16">
        <v>0</v>
      </c>
      <c r="Q16">
        <v>59272.84615384612</v>
      </c>
      <c r="R16">
        <v>48965.307692307724</v>
      </c>
      <c r="S16">
        <v>76024.384615384624</v>
      </c>
      <c r="T16">
        <v>35290.846153846127</v>
      </c>
      <c r="U16">
        <v>12842.000000000004</v>
      </c>
      <c r="V16">
        <v>70013.76923076922</v>
      </c>
      <c r="W16">
        <v>48858.384615384624</v>
      </c>
      <c r="X16">
        <v>33298.230769230722</v>
      </c>
      <c r="Y16">
        <v>17976.769230769234</v>
      </c>
      <c r="Z16">
        <v>19139.153846153844</v>
      </c>
      <c r="AA16">
        <v>16743.769230769234</v>
      </c>
      <c r="AB16">
        <v>15822.846153846152</v>
      </c>
      <c r="AC16">
        <v>71038.076923076922</v>
      </c>
      <c r="AD16">
        <v>48102.376923076925</v>
      </c>
      <c r="AE16">
        <v>19309.376923076925</v>
      </c>
      <c r="AF16">
        <v>14198.538461538465</v>
      </c>
      <c r="AG16">
        <v>12043.461538461539</v>
      </c>
      <c r="AH16">
        <v>75720.846153846127</v>
      </c>
      <c r="AI16">
        <v>308331.38461538492</v>
      </c>
      <c r="AJ16">
        <v>34649.692307692327</v>
      </c>
      <c r="AK16">
        <v>15273.923076923074</v>
      </c>
      <c r="AL16">
        <v>21692.923076923122</v>
      </c>
      <c r="AM16">
        <v>11661.076923076924</v>
      </c>
      <c r="AN16">
        <v>14731.461538461543</v>
      </c>
      <c r="AO16">
        <v>21277.846153846156</v>
      </c>
      <c r="AP16">
        <v>33636.769230769227</v>
      </c>
    </row>
    <row r="17" spans="2:42" x14ac:dyDescent="0.25">
      <c r="B17" t="s">
        <v>14</v>
      </c>
      <c r="C17">
        <v>118743.84065934064</v>
      </c>
      <c r="D17">
        <v>47482.840659340625</v>
      </c>
      <c r="E17">
        <v>42747.483516483531</v>
      </c>
      <c r="F17">
        <v>57403.840659340625</v>
      </c>
      <c r="G17">
        <v>91140.412087912133</v>
      </c>
      <c r="H17">
        <v>39468.55494505493</v>
      </c>
      <c r="I17">
        <v>31218.554945054941</v>
      </c>
      <c r="J17">
        <v>60865.626373626335</v>
      </c>
      <c r="K17">
        <v>26861.223776223775</v>
      </c>
      <c r="L17">
        <v>47343.983516483531</v>
      </c>
      <c r="M17">
        <v>47511.153846153829</v>
      </c>
      <c r="N17">
        <v>44479.769230769234</v>
      </c>
      <c r="O17">
        <v>29558.153846153851</v>
      </c>
      <c r="P17">
        <v>50183.153846153829</v>
      </c>
      <c r="Q17">
        <v>0</v>
      </c>
      <c r="R17">
        <v>63675.000000000029</v>
      </c>
      <c r="S17">
        <v>90734.076923076937</v>
      </c>
      <c r="T17">
        <v>50000.538461538432</v>
      </c>
      <c r="U17">
        <v>27551.692307692312</v>
      </c>
      <c r="V17">
        <v>84723.461538461532</v>
      </c>
      <c r="W17">
        <v>63568.076923076937</v>
      </c>
      <c r="X17">
        <v>48007.923076923034</v>
      </c>
      <c r="Y17">
        <v>32686.461538461539</v>
      </c>
      <c r="Z17">
        <v>33848.846153846149</v>
      </c>
      <c r="AA17">
        <v>31453.461538461539</v>
      </c>
      <c r="AB17">
        <v>30532.538461538461</v>
      </c>
      <c r="AC17">
        <v>85747.769230769234</v>
      </c>
      <c r="AD17">
        <v>62812.069230769237</v>
      </c>
      <c r="AE17">
        <v>34019.06923076923</v>
      </c>
      <c r="AF17">
        <v>28908.23076923077</v>
      </c>
      <c r="AG17">
        <v>26753.153846153844</v>
      </c>
      <c r="AH17">
        <v>90430.538461538425</v>
      </c>
      <c r="AI17">
        <v>323041.07692307723</v>
      </c>
      <c r="AJ17">
        <v>49359.384615384632</v>
      </c>
      <c r="AK17">
        <v>29983.615384615379</v>
      </c>
      <c r="AL17">
        <v>36402.615384615434</v>
      </c>
      <c r="AM17">
        <v>26370.76923076923</v>
      </c>
      <c r="AN17">
        <v>29441.153846153851</v>
      </c>
      <c r="AO17">
        <v>35987.538461538461</v>
      </c>
      <c r="AP17">
        <v>48346.461538461532</v>
      </c>
    </row>
    <row r="18" spans="2:42" x14ac:dyDescent="0.25">
      <c r="B18" t="s">
        <v>15</v>
      </c>
      <c r="C18">
        <v>127798.53296703295</v>
      </c>
      <c r="D18">
        <v>56537.532967032937</v>
      </c>
      <c r="E18">
        <v>51802.175824175836</v>
      </c>
      <c r="F18">
        <v>66458.532967032937</v>
      </c>
      <c r="G18">
        <v>100195.10439560443</v>
      </c>
      <c r="H18">
        <v>48523.247252747242</v>
      </c>
      <c r="I18">
        <v>40273.247252747249</v>
      </c>
      <c r="J18">
        <v>69920.318681318633</v>
      </c>
      <c r="K18">
        <v>35915.916083916083</v>
      </c>
      <c r="L18">
        <v>56398.675824175836</v>
      </c>
      <c r="M18">
        <v>56565.846153846142</v>
      </c>
      <c r="N18">
        <v>53534.461538461539</v>
      </c>
      <c r="O18">
        <v>38612.846153846156</v>
      </c>
      <c r="P18">
        <v>59237.846153846142</v>
      </c>
      <c r="Q18">
        <v>83037.230769230737</v>
      </c>
      <c r="R18">
        <v>0</v>
      </c>
      <c r="S18">
        <v>99788.769230769249</v>
      </c>
      <c r="T18">
        <v>59055.230769230737</v>
      </c>
      <c r="U18">
        <v>36606.384615384617</v>
      </c>
      <c r="V18">
        <v>93778.153846153844</v>
      </c>
      <c r="W18">
        <v>72622.769230769249</v>
      </c>
      <c r="X18">
        <v>57062.615384615339</v>
      </c>
      <c r="Y18">
        <v>41741.153846153851</v>
      </c>
      <c r="Z18">
        <v>42903.538461538461</v>
      </c>
      <c r="AA18">
        <v>40508.153846153851</v>
      </c>
      <c r="AB18">
        <v>39587.230769230766</v>
      </c>
      <c r="AC18">
        <v>94802.461538461532</v>
      </c>
      <c r="AD18">
        <v>71866.761538461549</v>
      </c>
      <c r="AE18">
        <v>43073.761538461542</v>
      </c>
      <c r="AF18">
        <v>37962.923076923078</v>
      </c>
      <c r="AG18">
        <v>35807.846153846156</v>
      </c>
      <c r="AH18">
        <v>99485.230769230737</v>
      </c>
      <c r="AI18">
        <v>332095.76923076954</v>
      </c>
      <c r="AJ18">
        <v>58414.076923076937</v>
      </c>
      <c r="AK18">
        <v>39038.307692307688</v>
      </c>
      <c r="AL18">
        <v>45457.307692307739</v>
      </c>
      <c r="AM18">
        <v>35425.461538461539</v>
      </c>
      <c r="AN18">
        <v>38495.846153846156</v>
      </c>
      <c r="AO18">
        <v>45042.230769230766</v>
      </c>
      <c r="AP18">
        <v>57401.153846153844</v>
      </c>
    </row>
    <row r="19" spans="2:42" x14ac:dyDescent="0.25">
      <c r="B19" t="s">
        <v>16</v>
      </c>
      <c r="C19">
        <v>146692.91758241755</v>
      </c>
      <c r="D19">
        <v>75431.917582417547</v>
      </c>
      <c r="E19">
        <v>70696.560439560461</v>
      </c>
      <c r="F19">
        <v>85352.917582417547</v>
      </c>
      <c r="G19">
        <v>119089.48901098905</v>
      </c>
      <c r="H19">
        <v>67417.631868131852</v>
      </c>
      <c r="I19">
        <v>59167.631868131866</v>
      </c>
      <c r="J19">
        <v>88814.703296703257</v>
      </c>
      <c r="K19">
        <v>54810.3006993007</v>
      </c>
      <c r="L19">
        <v>75293.060439560461</v>
      </c>
      <c r="M19">
        <v>75460.230769230751</v>
      </c>
      <c r="N19">
        <v>72428.846153846156</v>
      </c>
      <c r="O19">
        <v>57507.230769230773</v>
      </c>
      <c r="P19">
        <v>78132.230769230751</v>
      </c>
      <c r="Q19">
        <v>101931.61538461535</v>
      </c>
      <c r="R19">
        <v>91624.076923076966</v>
      </c>
      <c r="S19">
        <v>0</v>
      </c>
      <c r="T19">
        <v>77949.615384615361</v>
      </c>
      <c r="U19">
        <v>55500.769230769234</v>
      </c>
      <c r="V19">
        <v>112672.53846153845</v>
      </c>
      <c r="W19">
        <v>91517.153846153858</v>
      </c>
      <c r="X19">
        <v>75956.999999999956</v>
      </c>
      <c r="Y19">
        <v>60635.538461538468</v>
      </c>
      <c r="Z19">
        <v>61797.923076923078</v>
      </c>
      <c r="AA19">
        <v>59402.538461538468</v>
      </c>
      <c r="AB19">
        <v>58481.615384615383</v>
      </c>
      <c r="AC19">
        <v>113696.84615384616</v>
      </c>
      <c r="AD19">
        <v>90761.146153846159</v>
      </c>
      <c r="AE19">
        <v>61968.146153846159</v>
      </c>
      <c r="AF19">
        <v>56857.307692307695</v>
      </c>
      <c r="AG19">
        <v>54702.230769230773</v>
      </c>
      <c r="AH19">
        <v>118379.61538461535</v>
      </c>
      <c r="AI19">
        <v>350990.15384615411</v>
      </c>
      <c r="AJ19">
        <v>77308.461538461561</v>
      </c>
      <c r="AK19">
        <v>57932.692307692305</v>
      </c>
      <c r="AL19">
        <v>64351.692307692356</v>
      </c>
      <c r="AM19">
        <v>54319.846153846156</v>
      </c>
      <c r="AN19">
        <v>57390.230769230773</v>
      </c>
      <c r="AO19">
        <v>63936.61538461539</v>
      </c>
      <c r="AP19">
        <v>76295.538461538454</v>
      </c>
    </row>
    <row r="20" spans="2:42" x14ac:dyDescent="0.25">
      <c r="B20" t="s">
        <v>17</v>
      </c>
      <c r="C20">
        <v>99207.686813186796</v>
      </c>
      <c r="D20">
        <v>27946.686813186781</v>
      </c>
      <c r="E20">
        <v>23211.329670329687</v>
      </c>
      <c r="F20">
        <v>37867.686813186781</v>
      </c>
      <c r="G20">
        <v>71604.258241758289</v>
      </c>
      <c r="H20">
        <v>19932.401098901086</v>
      </c>
      <c r="I20">
        <v>11682.401098901095</v>
      </c>
      <c r="J20">
        <v>41329.472527472484</v>
      </c>
      <c r="K20">
        <v>7325.0699300699298</v>
      </c>
      <c r="L20">
        <v>27807.829670329687</v>
      </c>
      <c r="M20">
        <v>27974.999999999985</v>
      </c>
      <c r="N20">
        <v>24943.615384615383</v>
      </c>
      <c r="O20">
        <v>10022.000000000004</v>
      </c>
      <c r="P20">
        <v>30646.999999999985</v>
      </c>
      <c r="Q20">
        <v>54446.384615384581</v>
      </c>
      <c r="R20">
        <v>44138.846153846185</v>
      </c>
      <c r="S20">
        <v>71197.923076923093</v>
      </c>
      <c r="T20">
        <v>6834.6153846153848</v>
      </c>
      <c r="U20">
        <v>8015.5384615384646</v>
      </c>
      <c r="V20">
        <v>65187.307692307681</v>
      </c>
      <c r="W20">
        <v>44031.923076923085</v>
      </c>
      <c r="X20">
        <v>28471.769230769183</v>
      </c>
      <c r="Y20">
        <v>13150.307692307695</v>
      </c>
      <c r="Z20">
        <v>14312.692307692305</v>
      </c>
      <c r="AA20">
        <v>11917.307692307695</v>
      </c>
      <c r="AB20">
        <v>10996.384615384613</v>
      </c>
      <c r="AC20">
        <v>66211.61538461539</v>
      </c>
      <c r="AD20">
        <v>43275.915384615386</v>
      </c>
      <c r="AE20">
        <v>14482.915384615386</v>
      </c>
      <c r="AF20">
        <v>9372.0769230769256</v>
      </c>
      <c r="AG20">
        <v>7217</v>
      </c>
      <c r="AH20">
        <v>70894.384615384581</v>
      </c>
      <c r="AI20">
        <v>303504.92307692335</v>
      </c>
      <c r="AJ20">
        <v>29823.230769230788</v>
      </c>
      <c r="AK20">
        <v>10447.461538461535</v>
      </c>
      <c r="AL20">
        <v>16866.461538461583</v>
      </c>
      <c r="AM20">
        <v>6834.6153846153848</v>
      </c>
      <c r="AN20">
        <v>9905.0000000000036</v>
      </c>
      <c r="AO20">
        <v>16451.384615384617</v>
      </c>
      <c r="AP20">
        <v>28810.307692307688</v>
      </c>
    </row>
    <row r="21" spans="2:42" x14ac:dyDescent="0.25">
      <c r="B21" t="s">
        <v>145</v>
      </c>
      <c r="C21">
        <v>94287.994505494484</v>
      </c>
      <c r="D21">
        <v>23026.994505494476</v>
      </c>
      <c r="E21">
        <v>18291.637362637379</v>
      </c>
      <c r="F21">
        <v>32947.994505494476</v>
      </c>
      <c r="G21">
        <v>66684.565934065977</v>
      </c>
      <c r="H21">
        <v>15012.708791208775</v>
      </c>
      <c r="I21">
        <v>6762.7087912087873</v>
      </c>
      <c r="J21">
        <v>36409.780219780179</v>
      </c>
      <c r="K21">
        <v>2405.3776223776217</v>
      </c>
      <c r="L21">
        <v>22888.137362637379</v>
      </c>
      <c r="M21">
        <v>23055.307692307677</v>
      </c>
      <c r="N21">
        <v>20023.923076923078</v>
      </c>
      <c r="O21">
        <v>5102.3076923076969</v>
      </c>
      <c r="P21">
        <v>25727.307692307677</v>
      </c>
      <c r="Q21">
        <v>49526.692307692276</v>
      </c>
      <c r="R21">
        <v>39219.15384615388</v>
      </c>
      <c r="S21">
        <v>66278.23076923078</v>
      </c>
      <c r="T21">
        <v>25544.692307692279</v>
      </c>
      <c r="U21">
        <v>0</v>
      </c>
      <c r="V21">
        <v>60267.615384615376</v>
      </c>
      <c r="W21">
        <v>39112.23076923078</v>
      </c>
      <c r="X21">
        <v>23552.076923076878</v>
      </c>
      <c r="Y21">
        <v>8230.6153846153866</v>
      </c>
      <c r="Z21">
        <v>9392.9999999999964</v>
      </c>
      <c r="AA21">
        <v>6997.6153846153875</v>
      </c>
      <c r="AB21">
        <v>6076.6923076923067</v>
      </c>
      <c r="AC21">
        <v>61291.923076923078</v>
      </c>
      <c r="AD21">
        <v>38356.223076923081</v>
      </c>
      <c r="AE21">
        <v>9563.2230769230773</v>
      </c>
      <c r="AF21">
        <v>4452.3846153846171</v>
      </c>
      <c r="AG21">
        <v>2297.3076923076919</v>
      </c>
      <c r="AH21">
        <v>65974.692307692269</v>
      </c>
      <c r="AI21">
        <v>298585.23076923104</v>
      </c>
      <c r="AJ21">
        <v>24903.538461538479</v>
      </c>
      <c r="AK21">
        <v>5527.7692307692269</v>
      </c>
      <c r="AL21">
        <v>11946.769230769276</v>
      </c>
      <c r="AM21">
        <v>1914.9230769230769</v>
      </c>
      <c r="AN21">
        <v>4985.3076923076969</v>
      </c>
      <c r="AO21">
        <v>11531.692307692307</v>
      </c>
      <c r="AP21">
        <v>23890.615384615379</v>
      </c>
    </row>
    <row r="22" spans="2:42" x14ac:dyDescent="0.25">
      <c r="B22" t="s">
        <v>146</v>
      </c>
      <c r="C22">
        <v>124450.84065934064</v>
      </c>
      <c r="D22">
        <v>53189.840659340625</v>
      </c>
      <c r="E22">
        <v>48454.483516483531</v>
      </c>
      <c r="F22">
        <v>63110.840659340625</v>
      </c>
      <c r="G22">
        <v>96847.412087912133</v>
      </c>
      <c r="H22">
        <v>45175.55494505493</v>
      </c>
      <c r="I22">
        <v>36925.554945054944</v>
      </c>
      <c r="J22">
        <v>66572.626373626335</v>
      </c>
      <c r="K22">
        <v>32568.223776223775</v>
      </c>
      <c r="L22">
        <v>53050.983516483531</v>
      </c>
      <c r="M22">
        <v>53218.153846153829</v>
      </c>
      <c r="N22">
        <v>50186.769230769234</v>
      </c>
      <c r="O22">
        <v>35265.153846153851</v>
      </c>
      <c r="P22">
        <v>55890.153846153829</v>
      </c>
      <c r="Q22">
        <v>79689.538461538425</v>
      </c>
      <c r="R22">
        <v>69382.000000000029</v>
      </c>
      <c r="S22">
        <v>96441.076923076937</v>
      </c>
      <c r="T22">
        <v>55707.538461538432</v>
      </c>
      <c r="U22">
        <v>33258.692307692312</v>
      </c>
      <c r="V22">
        <v>32077.76923076923</v>
      </c>
      <c r="W22">
        <v>69275.076923076937</v>
      </c>
      <c r="X22">
        <v>53714.923076923034</v>
      </c>
      <c r="Y22">
        <v>38393.461538461539</v>
      </c>
      <c r="Z22">
        <v>39555.846153846149</v>
      </c>
      <c r="AA22">
        <v>37160.461538461539</v>
      </c>
      <c r="AB22">
        <v>36239.538461538461</v>
      </c>
      <c r="AC22">
        <v>91454.769230769234</v>
      </c>
      <c r="AD22">
        <v>68519.069230769237</v>
      </c>
      <c r="AE22">
        <v>39726.06923076923</v>
      </c>
      <c r="AF22">
        <v>34615.230769230773</v>
      </c>
      <c r="AG22">
        <v>32460.153846153844</v>
      </c>
      <c r="AH22">
        <v>96137.538461538425</v>
      </c>
      <c r="AI22">
        <v>328748.07692307723</v>
      </c>
      <c r="AJ22">
        <v>55066.384615384632</v>
      </c>
      <c r="AK22">
        <v>35690.615384615383</v>
      </c>
      <c r="AL22">
        <v>42109.615384615434</v>
      </c>
      <c r="AM22">
        <v>32077.76923076923</v>
      </c>
      <c r="AN22">
        <v>35148.153846153851</v>
      </c>
      <c r="AO22">
        <v>41694.538461538461</v>
      </c>
      <c r="AP22">
        <v>54053.461538461532</v>
      </c>
    </row>
    <row r="23" spans="2:42" x14ac:dyDescent="0.25">
      <c r="B23" t="s">
        <v>18</v>
      </c>
      <c r="C23">
        <v>115669.60989010986</v>
      </c>
      <c r="D23">
        <v>44408.609890109859</v>
      </c>
      <c r="E23">
        <v>39673.252747252758</v>
      </c>
      <c r="F23">
        <v>54329.609890109859</v>
      </c>
      <c r="G23">
        <v>88066.181318681367</v>
      </c>
      <c r="H23">
        <v>36394.324175824164</v>
      </c>
      <c r="I23">
        <v>28144.324175824171</v>
      </c>
      <c r="J23">
        <v>57791.395604395562</v>
      </c>
      <c r="K23">
        <v>23786.993006993005</v>
      </c>
      <c r="L23">
        <v>44269.752747252758</v>
      </c>
      <c r="M23">
        <v>44436.923076923063</v>
      </c>
      <c r="N23">
        <v>41405.538461538461</v>
      </c>
      <c r="O23">
        <v>26483.923076923082</v>
      </c>
      <c r="P23">
        <v>47108.923076923063</v>
      </c>
      <c r="Q23">
        <v>70908.307692307659</v>
      </c>
      <c r="R23">
        <v>60600.769230769263</v>
      </c>
      <c r="S23">
        <v>87659.846153846156</v>
      </c>
      <c r="T23">
        <v>46926.307692307659</v>
      </c>
      <c r="U23">
        <v>24477.461538461543</v>
      </c>
      <c r="V23">
        <v>81649.230769230751</v>
      </c>
      <c r="W23">
        <v>0</v>
      </c>
      <c r="X23">
        <v>44933.692307692261</v>
      </c>
      <c r="Y23">
        <v>29612.230769230773</v>
      </c>
      <c r="Z23">
        <v>30774.615384615383</v>
      </c>
      <c r="AA23">
        <v>28379.230769230773</v>
      </c>
      <c r="AB23">
        <v>27458.307692307691</v>
      </c>
      <c r="AC23">
        <v>82673.538461538468</v>
      </c>
      <c r="AD23">
        <v>59737.838461538464</v>
      </c>
      <c r="AE23">
        <v>30944.83846153846</v>
      </c>
      <c r="AF23">
        <v>25834</v>
      </c>
      <c r="AG23">
        <v>23678.923076923074</v>
      </c>
      <c r="AH23">
        <v>87356.307692307659</v>
      </c>
      <c r="AI23">
        <v>319966.84615384642</v>
      </c>
      <c r="AJ23">
        <v>46285.153846153858</v>
      </c>
      <c r="AK23">
        <v>26909.38461538461</v>
      </c>
      <c r="AL23">
        <v>33328.384615384661</v>
      </c>
      <c r="AM23">
        <v>23296.538461538461</v>
      </c>
      <c r="AN23">
        <v>26366.923076923082</v>
      </c>
      <c r="AO23">
        <v>32913.307692307688</v>
      </c>
      <c r="AP23">
        <v>45272.230769230766</v>
      </c>
    </row>
    <row r="24" spans="2:42" x14ac:dyDescent="0.25">
      <c r="B24" t="s">
        <v>19</v>
      </c>
      <c r="C24">
        <v>101144.60989010986</v>
      </c>
      <c r="D24">
        <v>29883.609890109859</v>
      </c>
      <c r="E24">
        <v>25148.252747252762</v>
      </c>
      <c r="F24">
        <v>39804.609890109859</v>
      </c>
      <c r="G24">
        <v>73541.181318681367</v>
      </c>
      <c r="H24">
        <v>21869.32417582416</v>
      </c>
      <c r="I24">
        <v>13619.324175824171</v>
      </c>
      <c r="J24">
        <v>43266.395604395562</v>
      </c>
      <c r="K24">
        <v>9261.9930069930051</v>
      </c>
      <c r="L24">
        <v>29744.752747252762</v>
      </c>
      <c r="M24">
        <v>29911.92307692306</v>
      </c>
      <c r="N24">
        <v>26880.538461538461</v>
      </c>
      <c r="O24">
        <v>11958.923076923082</v>
      </c>
      <c r="P24">
        <v>32583.92307692306</v>
      </c>
      <c r="Q24">
        <v>56383.307692307659</v>
      </c>
      <c r="R24">
        <v>46075.769230769263</v>
      </c>
      <c r="S24">
        <v>73134.846153846156</v>
      </c>
      <c r="T24">
        <v>32401.307692307662</v>
      </c>
      <c r="U24">
        <v>9952.4615384615408</v>
      </c>
      <c r="V24">
        <v>67124.230769230751</v>
      </c>
      <c r="W24">
        <v>45968.846153846163</v>
      </c>
      <c r="X24">
        <v>0</v>
      </c>
      <c r="Y24">
        <v>15087.230769230771</v>
      </c>
      <c r="Z24">
        <v>16249.615384615381</v>
      </c>
      <c r="AA24">
        <v>13854.230769230771</v>
      </c>
      <c r="AB24">
        <v>12933.307692307691</v>
      </c>
      <c r="AC24">
        <v>68148.538461538468</v>
      </c>
      <c r="AD24">
        <v>45212.838461538464</v>
      </c>
      <c r="AE24">
        <v>16419.83846153846</v>
      </c>
      <c r="AF24">
        <v>11309</v>
      </c>
      <c r="AG24">
        <v>9153.9230769230762</v>
      </c>
      <c r="AH24">
        <v>72831.307692307659</v>
      </c>
      <c r="AI24">
        <v>305441.84615384642</v>
      </c>
      <c r="AJ24">
        <v>31760.153846153862</v>
      </c>
      <c r="AK24">
        <v>12384.384615384612</v>
      </c>
      <c r="AL24">
        <v>18803.384615384661</v>
      </c>
      <c r="AM24">
        <v>8771.538461538461</v>
      </c>
      <c r="AN24">
        <v>11841.923076923082</v>
      </c>
      <c r="AO24">
        <v>18388.307692307691</v>
      </c>
      <c r="AP24">
        <v>30747.230769230762</v>
      </c>
    </row>
    <row r="25" spans="2:42" x14ac:dyDescent="0.25">
      <c r="B25" t="s">
        <v>20</v>
      </c>
      <c r="C25">
        <v>93286.609890109874</v>
      </c>
      <c r="D25">
        <v>22025.609890109859</v>
      </c>
      <c r="E25">
        <v>17290.252747252762</v>
      </c>
      <c r="F25">
        <v>31946.609890109859</v>
      </c>
      <c r="G25">
        <v>65683.181318681367</v>
      </c>
      <c r="H25">
        <v>14011.32417582416</v>
      </c>
      <c r="I25">
        <v>5761.324175824172</v>
      </c>
      <c r="J25">
        <v>35408.395604395562</v>
      </c>
      <c r="K25">
        <v>1403.9930069930065</v>
      </c>
      <c r="L25">
        <v>21886.752747252762</v>
      </c>
      <c r="M25">
        <v>22053.92307692306</v>
      </c>
      <c r="N25">
        <v>19022.538461538461</v>
      </c>
      <c r="O25">
        <v>4100.9230769230817</v>
      </c>
      <c r="P25">
        <v>24725.92307692306</v>
      </c>
      <c r="Q25">
        <v>48525.307692307659</v>
      </c>
      <c r="R25">
        <v>38217.769230769263</v>
      </c>
      <c r="S25">
        <v>65276.846153846163</v>
      </c>
      <c r="T25">
        <v>24543.307692307662</v>
      </c>
      <c r="U25">
        <v>2094.4615384615417</v>
      </c>
      <c r="V25">
        <v>59266.230769230759</v>
      </c>
      <c r="W25">
        <v>38110.846153846163</v>
      </c>
      <c r="X25">
        <v>22550.692307692261</v>
      </c>
      <c r="Y25">
        <v>0</v>
      </c>
      <c r="Z25">
        <v>8391.6153846153811</v>
      </c>
      <c r="AA25">
        <v>5996.2307692307722</v>
      </c>
      <c r="AB25">
        <v>5075.3076923076915</v>
      </c>
      <c r="AC25">
        <v>60290.538461538461</v>
      </c>
      <c r="AD25">
        <v>37354.838461538464</v>
      </c>
      <c r="AE25">
        <v>8561.8384615384621</v>
      </c>
      <c r="AF25">
        <v>3451.0000000000014</v>
      </c>
      <c r="AG25">
        <v>1295.9230769230767</v>
      </c>
      <c r="AH25">
        <v>64973.307692307659</v>
      </c>
      <c r="AI25">
        <v>297583.84615384642</v>
      </c>
      <c r="AJ25">
        <v>23902.153846153862</v>
      </c>
      <c r="AK25">
        <v>4526.3846153846116</v>
      </c>
      <c r="AL25">
        <v>10945.384615384661</v>
      </c>
      <c r="AM25">
        <v>913.53846153846155</v>
      </c>
      <c r="AN25">
        <v>3983.9230769230812</v>
      </c>
      <c r="AO25">
        <v>10530.307692307691</v>
      </c>
      <c r="AP25">
        <v>22889.230769230762</v>
      </c>
    </row>
    <row r="26" spans="2:42" x14ac:dyDescent="0.25">
      <c r="B26" t="s">
        <v>21</v>
      </c>
      <c r="C26">
        <v>96218.532967032937</v>
      </c>
      <c r="D26">
        <v>24957.532967032937</v>
      </c>
      <c r="E26">
        <v>20222.17582417584</v>
      </c>
      <c r="F26">
        <v>34878.532967032937</v>
      </c>
      <c r="G26">
        <v>68615.10439560443</v>
      </c>
      <c r="H26">
        <v>16943.247252747238</v>
      </c>
      <c r="I26">
        <v>8693.2472527472491</v>
      </c>
      <c r="J26">
        <v>38340.31868131864</v>
      </c>
      <c r="K26">
        <v>4335.9160839160832</v>
      </c>
      <c r="L26">
        <v>24818.67582417584</v>
      </c>
      <c r="M26">
        <v>24985.846153846138</v>
      </c>
      <c r="N26">
        <v>21954.461538461539</v>
      </c>
      <c r="O26">
        <v>7032.8461538461579</v>
      </c>
      <c r="P26">
        <v>27657.846153846138</v>
      </c>
      <c r="Q26">
        <v>51457.230769230737</v>
      </c>
      <c r="R26">
        <v>41149.692307692341</v>
      </c>
      <c r="S26">
        <v>68208.769230769234</v>
      </c>
      <c r="T26">
        <v>27475.23076923074</v>
      </c>
      <c r="U26">
        <v>5026.3846153846189</v>
      </c>
      <c r="V26">
        <v>62198.153846153837</v>
      </c>
      <c r="W26">
        <v>41042.769230769241</v>
      </c>
      <c r="X26">
        <v>25482.615384615339</v>
      </c>
      <c r="Y26">
        <v>10161.153846153849</v>
      </c>
      <c r="Z26">
        <v>0</v>
      </c>
      <c r="AA26">
        <v>8928.1538461538494</v>
      </c>
      <c r="AB26">
        <v>8007.2307692307677</v>
      </c>
      <c r="AC26">
        <v>63222.461538461539</v>
      </c>
      <c r="AD26">
        <v>40286.761538461542</v>
      </c>
      <c r="AE26">
        <v>11493.761538461538</v>
      </c>
      <c r="AF26">
        <v>6382.923076923078</v>
      </c>
      <c r="AG26">
        <v>4227.8461538461534</v>
      </c>
      <c r="AH26">
        <v>67905.230769230737</v>
      </c>
      <c r="AI26">
        <v>300515.76923076954</v>
      </c>
      <c r="AJ26">
        <v>26834.07692307694</v>
      </c>
      <c r="AK26">
        <v>7458.3076923076887</v>
      </c>
      <c r="AL26">
        <v>13877.307692307739</v>
      </c>
      <c r="AM26">
        <v>3845.4615384615386</v>
      </c>
      <c r="AN26">
        <v>6915.8461538461579</v>
      </c>
      <c r="AO26">
        <v>13462.23076923077</v>
      </c>
      <c r="AP26">
        <v>25821.15384615384</v>
      </c>
    </row>
    <row r="27" spans="2:42" x14ac:dyDescent="0.25">
      <c r="B27" t="s">
        <v>22</v>
      </c>
      <c r="C27">
        <v>96180.379120879094</v>
      </c>
      <c r="D27">
        <v>24919.37912087909</v>
      </c>
      <c r="E27">
        <v>20184.021978021992</v>
      </c>
      <c r="F27">
        <v>34840.379120879094</v>
      </c>
      <c r="G27">
        <v>68576.950549450587</v>
      </c>
      <c r="H27">
        <v>16905.093406593391</v>
      </c>
      <c r="I27">
        <v>8655.0934065934016</v>
      </c>
      <c r="J27">
        <v>38302.164835164796</v>
      </c>
      <c r="K27">
        <v>4297.7622377622374</v>
      </c>
      <c r="L27">
        <v>24780.521978021992</v>
      </c>
      <c r="M27">
        <v>24947.69230769229</v>
      </c>
      <c r="N27">
        <v>21916.307692307691</v>
      </c>
      <c r="O27">
        <v>6994.6923076923122</v>
      </c>
      <c r="P27">
        <v>27619.69230769229</v>
      </c>
      <c r="Q27">
        <v>51419.076923076893</v>
      </c>
      <c r="R27">
        <v>41111.538461538497</v>
      </c>
      <c r="S27">
        <v>68170.61538461539</v>
      </c>
      <c r="T27">
        <v>27437.076923076893</v>
      </c>
      <c r="U27">
        <v>4988.2307692307722</v>
      </c>
      <c r="V27">
        <v>62159.999999999993</v>
      </c>
      <c r="W27">
        <v>41004.615384615397</v>
      </c>
      <c r="X27">
        <v>25444.461538461492</v>
      </c>
      <c r="Y27">
        <v>10123.000000000004</v>
      </c>
      <c r="Z27">
        <v>11285.384615384613</v>
      </c>
      <c r="AA27">
        <v>0</v>
      </c>
      <c r="AB27">
        <v>7969.076923076922</v>
      </c>
      <c r="AC27">
        <v>63184.307692307695</v>
      </c>
      <c r="AD27">
        <v>40248.607692307698</v>
      </c>
      <c r="AE27">
        <v>11455.607692307693</v>
      </c>
      <c r="AF27">
        <v>6344.7692307692323</v>
      </c>
      <c r="AG27">
        <v>4189.6923076923076</v>
      </c>
      <c r="AH27">
        <v>67867.076923076893</v>
      </c>
      <c r="AI27">
        <v>300477.61538461567</v>
      </c>
      <c r="AJ27">
        <v>26795.923076923093</v>
      </c>
      <c r="AK27">
        <v>7420.1538461538421</v>
      </c>
      <c r="AL27">
        <v>13839.153846153891</v>
      </c>
      <c r="AM27">
        <v>3807.3076923076924</v>
      </c>
      <c r="AN27">
        <v>6877.6923076923122</v>
      </c>
      <c r="AO27">
        <v>13424.076923076922</v>
      </c>
      <c r="AP27">
        <v>25782.999999999993</v>
      </c>
    </row>
    <row r="28" spans="2:42" x14ac:dyDescent="0.25">
      <c r="B28" t="s">
        <v>23</v>
      </c>
      <c r="C28">
        <v>93649.379120879094</v>
      </c>
      <c r="D28">
        <v>22388.37912087909</v>
      </c>
      <c r="E28">
        <v>17653.021978021992</v>
      </c>
      <c r="F28">
        <v>32309.37912087909</v>
      </c>
      <c r="G28">
        <v>66045.950549450587</v>
      </c>
      <c r="H28">
        <v>14374.093406593391</v>
      </c>
      <c r="I28">
        <v>6124.0934065934025</v>
      </c>
      <c r="J28">
        <v>35771.164835164796</v>
      </c>
      <c r="K28">
        <v>1766.7622377622374</v>
      </c>
      <c r="L28">
        <v>22249.521978021992</v>
      </c>
      <c r="M28">
        <v>22416.69230769229</v>
      </c>
      <c r="N28">
        <v>19385.307692307691</v>
      </c>
      <c r="O28">
        <v>4463.6923076923122</v>
      </c>
      <c r="P28">
        <v>25088.69230769229</v>
      </c>
      <c r="Q28">
        <v>48888.076923076893</v>
      </c>
      <c r="R28">
        <v>38580.538461538497</v>
      </c>
      <c r="S28">
        <v>65639.61538461539</v>
      </c>
      <c r="T28">
        <v>24906.076923076893</v>
      </c>
      <c r="U28">
        <v>2457.2307692307722</v>
      </c>
      <c r="V28">
        <v>59628.999999999993</v>
      </c>
      <c r="W28">
        <v>38473.615384615397</v>
      </c>
      <c r="X28">
        <v>22913.461538461492</v>
      </c>
      <c r="Y28">
        <v>7592.0000000000027</v>
      </c>
      <c r="Z28">
        <v>8754.3846153846134</v>
      </c>
      <c r="AA28">
        <v>6359.0000000000027</v>
      </c>
      <c r="AB28">
        <v>0</v>
      </c>
      <c r="AC28">
        <v>60653.307692307695</v>
      </c>
      <c r="AD28">
        <v>37717.607692307698</v>
      </c>
      <c r="AE28">
        <v>8924.6076923076926</v>
      </c>
      <c r="AF28">
        <v>3813.7692307692323</v>
      </c>
      <c r="AG28">
        <v>1658.6923076923074</v>
      </c>
      <c r="AH28">
        <v>65336.076923076893</v>
      </c>
      <c r="AI28">
        <v>297946.61538461567</v>
      </c>
      <c r="AJ28">
        <v>24264.923076923093</v>
      </c>
      <c r="AK28">
        <v>4889.1538461538421</v>
      </c>
      <c r="AL28">
        <v>11308.153846153891</v>
      </c>
      <c r="AM28">
        <v>1276.3076923076924</v>
      </c>
      <c r="AN28">
        <v>4346.6923076923122</v>
      </c>
      <c r="AO28">
        <v>10893.076923076922</v>
      </c>
      <c r="AP28">
        <v>23251.999999999993</v>
      </c>
    </row>
    <row r="29" spans="2:42" x14ac:dyDescent="0.25">
      <c r="B29" t="s">
        <v>24</v>
      </c>
      <c r="C29">
        <v>125745.07142857141</v>
      </c>
      <c r="D29">
        <v>54484.071428571398</v>
      </c>
      <c r="E29">
        <v>49748.714285714304</v>
      </c>
      <c r="F29">
        <v>64405.071428571398</v>
      </c>
      <c r="G29">
        <v>98141.642857142899</v>
      </c>
      <c r="H29">
        <v>46469.785714285696</v>
      </c>
      <c r="I29">
        <v>38219.78571428571</v>
      </c>
      <c r="J29">
        <v>67866.857142857101</v>
      </c>
      <c r="K29">
        <v>33862.454545454544</v>
      </c>
      <c r="L29">
        <v>54345.214285714304</v>
      </c>
      <c r="M29">
        <v>54512.384615384595</v>
      </c>
      <c r="N29">
        <v>51481</v>
      </c>
      <c r="O29">
        <v>36559.384615384617</v>
      </c>
      <c r="P29">
        <v>57184.384615384595</v>
      </c>
      <c r="Q29">
        <v>80983.76923076919</v>
      </c>
      <c r="R29">
        <v>70676.23076923081</v>
      </c>
      <c r="S29">
        <v>97735.307692307702</v>
      </c>
      <c r="T29">
        <v>57001.769230769205</v>
      </c>
      <c r="U29">
        <v>34552.923076923078</v>
      </c>
      <c r="V29">
        <v>91724.692307692298</v>
      </c>
      <c r="W29">
        <v>70569.307692307702</v>
      </c>
      <c r="X29">
        <v>55009.1538461538</v>
      </c>
      <c r="Y29">
        <v>39687.692307692312</v>
      </c>
      <c r="Z29">
        <v>40850.076923076922</v>
      </c>
      <c r="AA29">
        <v>38454.692307692312</v>
      </c>
      <c r="AB29">
        <v>37533.769230769227</v>
      </c>
      <c r="AC29">
        <v>0</v>
      </c>
      <c r="AD29">
        <v>69813.3</v>
      </c>
      <c r="AE29">
        <v>41020.300000000003</v>
      </c>
      <c r="AF29">
        <v>35909.461538461539</v>
      </c>
      <c r="AG29">
        <v>33754.384615384617</v>
      </c>
      <c r="AH29">
        <v>97431.76923076919</v>
      </c>
      <c r="AI29">
        <v>330042.30769230798</v>
      </c>
      <c r="AJ29">
        <v>56360.615384615405</v>
      </c>
      <c r="AK29">
        <v>36984.846153846149</v>
      </c>
      <c r="AL29">
        <v>43403.8461538462</v>
      </c>
      <c r="AM29">
        <v>33372</v>
      </c>
      <c r="AN29">
        <v>36442.384615384617</v>
      </c>
      <c r="AO29">
        <v>42988.769230769234</v>
      </c>
      <c r="AP29">
        <v>55347.692307692298</v>
      </c>
    </row>
    <row r="30" spans="2:42" x14ac:dyDescent="0.25">
      <c r="B30" t="s">
        <v>25</v>
      </c>
      <c r="C30">
        <v>115757.87142857141</v>
      </c>
      <c r="D30">
        <v>44496.871428571394</v>
      </c>
      <c r="E30">
        <v>39761.5142857143</v>
      </c>
      <c r="F30">
        <v>54417.871428571394</v>
      </c>
      <c r="G30">
        <v>88154.442857142902</v>
      </c>
      <c r="H30">
        <v>36482.585714285698</v>
      </c>
      <c r="I30">
        <v>28232.585714285709</v>
      </c>
      <c r="J30">
        <v>57879.657142857104</v>
      </c>
      <c r="K30">
        <v>23875.254545454543</v>
      </c>
      <c r="L30">
        <v>44358.0142857143</v>
      </c>
      <c r="M30">
        <v>44525.184615384598</v>
      </c>
      <c r="N30">
        <v>41493.800000000003</v>
      </c>
      <c r="O30">
        <v>26572.18461538462</v>
      </c>
      <c r="P30">
        <v>47197.184615384598</v>
      </c>
      <c r="Q30">
        <v>70996.569230769193</v>
      </c>
      <c r="R30">
        <v>60689.030769230798</v>
      </c>
      <c r="S30">
        <v>87748.107692307705</v>
      </c>
      <c r="T30">
        <v>47014.569230769201</v>
      </c>
      <c r="U30">
        <v>24565.723076923081</v>
      </c>
      <c r="V30">
        <v>81737.492307692301</v>
      </c>
      <c r="W30">
        <v>60582.107692307705</v>
      </c>
      <c r="X30">
        <v>45021.953846153803</v>
      </c>
      <c r="Y30">
        <v>29700.492307692308</v>
      </c>
      <c r="Z30">
        <v>30862.876923076918</v>
      </c>
      <c r="AA30">
        <v>28467.492307692308</v>
      </c>
      <c r="AB30">
        <v>27546.56923076923</v>
      </c>
      <c r="AC30">
        <v>82761.8</v>
      </c>
      <c r="AD30">
        <v>0</v>
      </c>
      <c r="AE30">
        <v>31033.1</v>
      </c>
      <c r="AF30">
        <v>25922.261538461538</v>
      </c>
      <c r="AG30">
        <v>23767.184615384613</v>
      </c>
      <c r="AH30">
        <v>87444.569230769193</v>
      </c>
      <c r="AI30">
        <v>320055.10769230797</v>
      </c>
      <c r="AJ30">
        <v>46373.4153846154</v>
      </c>
      <c r="AK30">
        <v>26997.646153846148</v>
      </c>
      <c r="AL30">
        <v>33416.646153846203</v>
      </c>
      <c r="AM30">
        <v>23384.799999999999</v>
      </c>
      <c r="AN30">
        <v>26455.18461538462</v>
      </c>
      <c r="AO30">
        <v>33001.56923076923</v>
      </c>
      <c r="AP30">
        <v>45360.492307692301</v>
      </c>
    </row>
    <row r="31" spans="2:42" x14ac:dyDescent="0.25">
      <c r="B31" t="s">
        <v>147</v>
      </c>
      <c r="C31">
        <v>96498.4714285714</v>
      </c>
      <c r="D31">
        <v>23054.37912087909</v>
      </c>
      <c r="E31">
        <v>18319.021978021992</v>
      </c>
      <c r="F31">
        <v>32975.379120879094</v>
      </c>
      <c r="G31">
        <v>66711.950549450587</v>
      </c>
      <c r="H31">
        <v>15040.093406593391</v>
      </c>
      <c r="I31">
        <v>6790.0934065934025</v>
      </c>
      <c r="J31">
        <v>36437.164835164796</v>
      </c>
      <c r="K31">
        <v>2432.7622377622374</v>
      </c>
      <c r="L31">
        <v>22915.521978021992</v>
      </c>
      <c r="M31">
        <v>23082.69230769229</v>
      </c>
      <c r="N31">
        <v>20051.307692307691</v>
      </c>
      <c r="O31">
        <v>5129.6923076923122</v>
      </c>
      <c r="P31">
        <v>25754.69230769229</v>
      </c>
      <c r="Q31">
        <v>49554.076923076893</v>
      </c>
      <c r="R31">
        <v>39246.538461538497</v>
      </c>
      <c r="S31">
        <v>66305.61538461539</v>
      </c>
      <c r="T31">
        <v>25572.076923076893</v>
      </c>
      <c r="U31">
        <v>3123.2307692307722</v>
      </c>
      <c r="V31">
        <v>60294.999999999993</v>
      </c>
      <c r="W31">
        <v>39139.615384615397</v>
      </c>
      <c r="X31">
        <v>23579.461538461492</v>
      </c>
      <c r="Y31">
        <v>8258.0000000000036</v>
      </c>
      <c r="Z31">
        <v>9420.3846153846134</v>
      </c>
      <c r="AA31">
        <v>7025.0000000000027</v>
      </c>
      <c r="AB31">
        <v>6104.076923076922</v>
      </c>
      <c r="AC31">
        <v>61319.307692307695</v>
      </c>
      <c r="AD31">
        <v>38383.607692307698</v>
      </c>
      <c r="AE31">
        <v>0</v>
      </c>
      <c r="AF31">
        <v>4479.7692307692323</v>
      </c>
      <c r="AG31">
        <v>2324.6923076923076</v>
      </c>
      <c r="AH31">
        <v>66002.076923076893</v>
      </c>
      <c r="AI31">
        <v>298612.61538461567</v>
      </c>
      <c r="AJ31">
        <v>24930.923076923093</v>
      </c>
      <c r="AK31">
        <v>5555.1538461538421</v>
      </c>
      <c r="AL31">
        <v>11974.153846153891</v>
      </c>
      <c r="AM31">
        <v>1942.3076923076924</v>
      </c>
      <c r="AN31">
        <v>5012.6923076923122</v>
      </c>
      <c r="AO31">
        <v>11559.076923076922</v>
      </c>
      <c r="AP31">
        <v>23917.999999999993</v>
      </c>
    </row>
    <row r="32" spans="2:42" x14ac:dyDescent="0.25">
      <c r="B32" t="s">
        <v>30</v>
      </c>
      <c r="C32">
        <v>94315.379120879094</v>
      </c>
      <c r="D32">
        <v>23054.37912087909</v>
      </c>
      <c r="E32">
        <v>18319.021978021992</v>
      </c>
      <c r="F32">
        <v>32975.379120879094</v>
      </c>
      <c r="G32">
        <v>66711.950549450587</v>
      </c>
      <c r="H32">
        <v>15040.093406593391</v>
      </c>
      <c r="I32">
        <v>6790.0934065934025</v>
      </c>
      <c r="J32">
        <v>36437.164835164796</v>
      </c>
      <c r="K32">
        <v>2432.7622377622374</v>
      </c>
      <c r="L32">
        <v>22915.521978021992</v>
      </c>
      <c r="M32">
        <v>23082.69230769229</v>
      </c>
      <c r="N32">
        <v>20051.307692307691</v>
      </c>
      <c r="O32">
        <v>5129.6923076923122</v>
      </c>
      <c r="P32">
        <v>25754.69230769229</v>
      </c>
      <c r="Q32">
        <v>49554.076923076893</v>
      </c>
      <c r="R32">
        <v>39246.538461538497</v>
      </c>
      <c r="S32">
        <v>66305.61538461539</v>
      </c>
      <c r="T32">
        <v>25572.076923076893</v>
      </c>
      <c r="U32">
        <v>3123.2307692307722</v>
      </c>
      <c r="V32">
        <v>60294.999999999993</v>
      </c>
      <c r="W32">
        <v>39139.615384615397</v>
      </c>
      <c r="X32">
        <v>23579.461538461492</v>
      </c>
      <c r="Y32">
        <v>8258.0000000000036</v>
      </c>
      <c r="Z32">
        <v>9420.3846153846134</v>
      </c>
      <c r="AA32">
        <v>7025.0000000000027</v>
      </c>
      <c r="AB32">
        <v>6104.076923076922</v>
      </c>
      <c r="AC32">
        <v>61319.307692307695</v>
      </c>
      <c r="AD32">
        <v>38383.607692307698</v>
      </c>
      <c r="AE32">
        <v>9590.6076923076926</v>
      </c>
      <c r="AF32">
        <v>0</v>
      </c>
      <c r="AG32">
        <v>2324.6923076923076</v>
      </c>
      <c r="AH32">
        <v>66002.076923076893</v>
      </c>
      <c r="AI32">
        <v>298612.61538461567</v>
      </c>
      <c r="AJ32">
        <v>24930.923076923093</v>
      </c>
      <c r="AK32">
        <v>5555.1538461538421</v>
      </c>
      <c r="AL32">
        <v>11974.153846153891</v>
      </c>
      <c r="AM32">
        <v>1942.3076923076924</v>
      </c>
      <c r="AN32">
        <v>5012.6923076923122</v>
      </c>
      <c r="AO32">
        <v>11559.076923076922</v>
      </c>
      <c r="AP32">
        <v>23917.999999999993</v>
      </c>
    </row>
    <row r="33" spans="1:42" x14ac:dyDescent="0.25">
      <c r="B33" t="s">
        <v>31</v>
      </c>
      <c r="C33">
        <v>92587.148351648328</v>
      </c>
      <c r="D33">
        <v>21326.14835164832</v>
      </c>
      <c r="E33">
        <v>16590.791208791223</v>
      </c>
      <c r="F33">
        <v>31247.14835164832</v>
      </c>
      <c r="G33">
        <v>64983.719780219821</v>
      </c>
      <c r="H33">
        <v>13311.862637362623</v>
      </c>
      <c r="I33">
        <v>5061.862637362633</v>
      </c>
      <c r="J33">
        <v>34708.934065934023</v>
      </c>
      <c r="K33">
        <v>704.53146853146802</v>
      </c>
      <c r="L33">
        <v>21187.291208791223</v>
      </c>
      <c r="M33">
        <v>21354.461538461521</v>
      </c>
      <c r="N33">
        <v>18323.076923076922</v>
      </c>
      <c r="O33">
        <v>3401.4615384615427</v>
      </c>
      <c r="P33">
        <v>24026.461538461521</v>
      </c>
      <c r="Q33">
        <v>47825.84615384612</v>
      </c>
      <c r="R33">
        <v>37518.307692307724</v>
      </c>
      <c r="S33">
        <v>64577.384615384624</v>
      </c>
      <c r="T33">
        <v>23843.846153846123</v>
      </c>
      <c r="U33">
        <v>1395.0000000000032</v>
      </c>
      <c r="V33">
        <v>58566.76923076922</v>
      </c>
      <c r="W33">
        <v>37411.384615384624</v>
      </c>
      <c r="X33">
        <v>21851.230769230722</v>
      </c>
      <c r="Y33">
        <v>6529.7692307692332</v>
      </c>
      <c r="Z33">
        <v>7692.153846153843</v>
      </c>
      <c r="AA33">
        <v>5296.7692307692332</v>
      </c>
      <c r="AB33">
        <v>4375.8461538461524</v>
      </c>
      <c r="AC33">
        <v>59591.076923076922</v>
      </c>
      <c r="AD33">
        <v>36655.376923076925</v>
      </c>
      <c r="AE33">
        <v>7862.376923076923</v>
      </c>
      <c r="AF33">
        <v>2751.5384615384628</v>
      </c>
      <c r="AG33">
        <v>0</v>
      </c>
      <c r="AH33">
        <v>64273.84615384612</v>
      </c>
      <c r="AI33">
        <v>296884.38461538492</v>
      </c>
      <c r="AJ33">
        <v>23202.692307692323</v>
      </c>
      <c r="AK33">
        <v>3826.923076923073</v>
      </c>
      <c r="AL33">
        <v>10245.923076923124</v>
      </c>
      <c r="AM33">
        <v>214.07692307692307</v>
      </c>
      <c r="AN33">
        <v>3284.4615384615427</v>
      </c>
      <c r="AO33">
        <v>9830.8461538461543</v>
      </c>
      <c r="AP33">
        <v>22189.769230769223</v>
      </c>
    </row>
    <row r="34" spans="1:42" x14ac:dyDescent="0.25">
      <c r="B34" t="s">
        <v>32</v>
      </c>
      <c r="C34">
        <v>122636.6868131868</v>
      </c>
      <c r="D34">
        <v>51375.686813186781</v>
      </c>
      <c r="E34">
        <v>46640.32967032968</v>
      </c>
      <c r="F34">
        <v>61296.686813186781</v>
      </c>
      <c r="G34">
        <v>95033.258241758274</v>
      </c>
      <c r="H34">
        <v>43361.401098901086</v>
      </c>
      <c r="I34">
        <v>35111.401098901093</v>
      </c>
      <c r="J34">
        <v>64758.472527472484</v>
      </c>
      <c r="K34">
        <v>30754.069930069927</v>
      </c>
      <c r="L34">
        <v>51236.82967032968</v>
      </c>
      <c r="M34">
        <v>51403.999999999985</v>
      </c>
      <c r="N34">
        <v>48372.615384615383</v>
      </c>
      <c r="O34">
        <v>33451</v>
      </c>
      <c r="P34">
        <v>54075.999999999985</v>
      </c>
      <c r="Q34">
        <v>77875.384615384581</v>
      </c>
      <c r="R34">
        <v>67567.846153846185</v>
      </c>
      <c r="S34">
        <v>94626.923076923093</v>
      </c>
      <c r="T34">
        <v>53893.384615384581</v>
      </c>
      <c r="U34">
        <v>31444.538461538465</v>
      </c>
      <c r="V34">
        <v>88616.307692307688</v>
      </c>
      <c r="W34">
        <v>67460.923076923093</v>
      </c>
      <c r="X34">
        <v>51900.769230769183</v>
      </c>
      <c r="Y34">
        <v>36579.307692307695</v>
      </c>
      <c r="Z34">
        <v>37741.692307692305</v>
      </c>
      <c r="AA34">
        <v>35346.307692307695</v>
      </c>
      <c r="AB34">
        <v>34425.38461538461</v>
      </c>
      <c r="AC34">
        <v>89640.615384615376</v>
      </c>
      <c r="AD34">
        <v>66704.915384615393</v>
      </c>
      <c r="AE34">
        <v>37911.915384615386</v>
      </c>
      <c r="AF34">
        <v>32801.076923076922</v>
      </c>
      <c r="AG34">
        <v>30645.999999999996</v>
      </c>
      <c r="AH34">
        <v>0</v>
      </c>
      <c r="AI34">
        <v>326933.92307692335</v>
      </c>
      <c r="AJ34">
        <v>53252.23076923078</v>
      </c>
      <c r="AK34">
        <v>33876.461538461532</v>
      </c>
      <c r="AL34">
        <v>40295.461538461583</v>
      </c>
      <c r="AM34">
        <v>30263.615384615383</v>
      </c>
      <c r="AN34">
        <v>33334</v>
      </c>
      <c r="AO34">
        <v>39880.38461538461</v>
      </c>
      <c r="AP34">
        <v>52239.307692307688</v>
      </c>
    </row>
    <row r="35" spans="1:42" x14ac:dyDescent="0.25">
      <c r="B35" t="s">
        <v>33</v>
      </c>
      <c r="C35">
        <v>217152.84065934064</v>
      </c>
      <c r="D35">
        <v>145891.84065934064</v>
      </c>
      <c r="E35">
        <v>141156.48351648354</v>
      </c>
      <c r="F35">
        <v>155812.84065934064</v>
      </c>
      <c r="G35">
        <v>189549.41208791215</v>
      </c>
      <c r="H35">
        <v>137877.55494505493</v>
      </c>
      <c r="I35">
        <v>129627.55494505494</v>
      </c>
      <c r="J35">
        <v>159274.62637362635</v>
      </c>
      <c r="K35">
        <v>125270.22377622378</v>
      </c>
      <c r="L35">
        <v>145752.98351648354</v>
      </c>
      <c r="M35">
        <v>145920.15384615384</v>
      </c>
      <c r="N35">
        <v>142888.76923076925</v>
      </c>
      <c r="O35">
        <v>127967.15384615386</v>
      </c>
      <c r="P35">
        <v>148592.15384615384</v>
      </c>
      <c r="Q35">
        <v>172391.53846153844</v>
      </c>
      <c r="R35">
        <v>162084.00000000003</v>
      </c>
      <c r="S35">
        <v>189143.07692307694</v>
      </c>
      <c r="T35">
        <v>148409.53846153844</v>
      </c>
      <c r="U35">
        <v>125960.69230769231</v>
      </c>
      <c r="V35">
        <v>183132.46153846153</v>
      </c>
      <c r="W35">
        <v>161977.07692307694</v>
      </c>
      <c r="X35">
        <v>146416.92307692303</v>
      </c>
      <c r="Y35">
        <v>131095.46153846153</v>
      </c>
      <c r="Z35">
        <v>132257.84615384616</v>
      </c>
      <c r="AA35">
        <v>129862.46153846155</v>
      </c>
      <c r="AB35">
        <v>128941.53846153847</v>
      </c>
      <c r="AC35">
        <v>184156.76923076925</v>
      </c>
      <c r="AD35">
        <v>161221.06923076924</v>
      </c>
      <c r="AE35">
        <v>132428.06923076924</v>
      </c>
      <c r="AF35">
        <v>127317.23076923078</v>
      </c>
      <c r="AG35">
        <v>125162.15384615384</v>
      </c>
      <c r="AH35">
        <v>188839.53846153844</v>
      </c>
      <c r="AI35">
        <v>0</v>
      </c>
      <c r="AJ35">
        <v>147768.38461538462</v>
      </c>
      <c r="AK35">
        <v>128392.61538461539</v>
      </c>
      <c r="AL35">
        <v>134811.61538461543</v>
      </c>
      <c r="AM35">
        <v>124779.76923076923</v>
      </c>
      <c r="AN35">
        <v>127850.15384615386</v>
      </c>
      <c r="AO35">
        <v>134396.53846153847</v>
      </c>
      <c r="AP35">
        <v>146755.46153846153</v>
      </c>
    </row>
    <row r="36" spans="1:42" x14ac:dyDescent="0.25">
      <c r="B36" t="s">
        <v>34</v>
      </c>
      <c r="C36">
        <v>12224.379120879092</v>
      </c>
      <c r="D36">
        <v>30963.37912087909</v>
      </c>
      <c r="E36">
        <v>26228.021978021992</v>
      </c>
      <c r="F36">
        <v>40884.379120879094</v>
      </c>
      <c r="G36">
        <v>74620.950549450587</v>
      </c>
      <c r="H36">
        <v>22949.093406593391</v>
      </c>
      <c r="I36">
        <v>14699.093406593402</v>
      </c>
      <c r="J36">
        <v>44346.164835164789</v>
      </c>
      <c r="K36">
        <v>10341.762237762236</v>
      </c>
      <c r="L36">
        <v>30824.521978021992</v>
      </c>
      <c r="M36">
        <v>30991.69230769229</v>
      </c>
      <c r="N36">
        <v>27960.307692307691</v>
      </c>
      <c r="O36">
        <v>13038.692307692312</v>
      </c>
      <c r="P36">
        <v>33663.69230769229</v>
      </c>
      <c r="Q36">
        <v>57463.076923076893</v>
      </c>
      <c r="R36">
        <v>47155.538461538497</v>
      </c>
      <c r="S36">
        <v>74214.61538461539</v>
      </c>
      <c r="T36">
        <v>33481.076923076893</v>
      </c>
      <c r="U36">
        <v>11032.230769230771</v>
      </c>
      <c r="V36">
        <v>68203.999999999985</v>
      </c>
      <c r="W36">
        <v>47048.61538461539</v>
      </c>
      <c r="X36">
        <v>31488.461538461492</v>
      </c>
      <c r="Y36">
        <v>16167.000000000002</v>
      </c>
      <c r="Z36">
        <v>17329.38461538461</v>
      </c>
      <c r="AA36">
        <v>14934.000000000002</v>
      </c>
      <c r="AB36">
        <v>14013.076923076922</v>
      </c>
      <c r="AC36">
        <v>69228.307692307688</v>
      </c>
      <c r="AD36">
        <v>46292.607692307691</v>
      </c>
      <c r="AE36">
        <v>17499.607692307691</v>
      </c>
      <c r="AF36">
        <v>12388.76923076923</v>
      </c>
      <c r="AG36">
        <v>10233.692307692307</v>
      </c>
      <c r="AH36">
        <v>73911.076923076893</v>
      </c>
      <c r="AI36">
        <v>306521.61538461567</v>
      </c>
      <c r="AJ36">
        <v>0</v>
      </c>
      <c r="AK36">
        <v>13464.153846153842</v>
      </c>
      <c r="AL36">
        <v>19883.153846153891</v>
      </c>
      <c r="AM36">
        <v>9851.3076923076915</v>
      </c>
      <c r="AN36">
        <v>12921.692307692312</v>
      </c>
      <c r="AO36">
        <v>19468.076923076922</v>
      </c>
      <c r="AP36">
        <v>31826.999999999993</v>
      </c>
    </row>
    <row r="37" spans="1:42" x14ac:dyDescent="0.25">
      <c r="B37" t="s">
        <v>35</v>
      </c>
      <c r="C37">
        <v>94588.302197802172</v>
      </c>
      <c r="D37">
        <v>23327.302197802168</v>
      </c>
      <c r="E37">
        <v>18591.94505494507</v>
      </c>
      <c r="F37">
        <v>33248.302197802164</v>
      </c>
      <c r="G37">
        <v>66984.873626373665</v>
      </c>
      <c r="H37">
        <v>15313.016483516469</v>
      </c>
      <c r="I37">
        <v>7063.0164835164796</v>
      </c>
      <c r="J37">
        <v>36710.087912087867</v>
      </c>
      <c r="K37">
        <v>2705.6853146853141</v>
      </c>
      <c r="L37">
        <v>23188.44505494507</v>
      </c>
      <c r="M37">
        <v>23355.615384615368</v>
      </c>
      <c r="N37">
        <v>20324.23076923077</v>
      </c>
      <c r="O37">
        <v>5402.6153846153884</v>
      </c>
      <c r="P37">
        <v>26027.615384615368</v>
      </c>
      <c r="Q37">
        <v>49826.999999999964</v>
      </c>
      <c r="R37">
        <v>39519.461538461568</v>
      </c>
      <c r="S37">
        <v>66578.538461538468</v>
      </c>
      <c r="T37">
        <v>25844.999999999971</v>
      </c>
      <c r="U37">
        <v>3396.1538461538494</v>
      </c>
      <c r="V37">
        <v>60567.923076923063</v>
      </c>
      <c r="W37">
        <v>39412.538461538468</v>
      </c>
      <c r="X37">
        <v>23852.38461538457</v>
      </c>
      <c r="Y37">
        <v>8530.9230769230799</v>
      </c>
      <c r="Z37">
        <v>9693.3076923076896</v>
      </c>
      <c r="AA37">
        <v>7297.9230769230799</v>
      </c>
      <c r="AB37">
        <v>6376.9999999999982</v>
      </c>
      <c r="AC37">
        <v>61592.230769230766</v>
      </c>
      <c r="AD37">
        <v>38656.530769230769</v>
      </c>
      <c r="AE37">
        <v>9863.5307692307688</v>
      </c>
      <c r="AF37">
        <v>4752.6923076923085</v>
      </c>
      <c r="AG37">
        <v>2597.6153846153838</v>
      </c>
      <c r="AH37">
        <v>66274.999999999971</v>
      </c>
      <c r="AI37">
        <v>298885.53846153873</v>
      </c>
      <c r="AJ37">
        <v>25203.846153846171</v>
      </c>
      <c r="AK37">
        <v>0</v>
      </c>
      <c r="AL37">
        <v>12247.076923076969</v>
      </c>
      <c r="AM37">
        <v>2215.2307692307691</v>
      </c>
      <c r="AN37">
        <v>5285.6153846153884</v>
      </c>
      <c r="AO37">
        <v>11832</v>
      </c>
      <c r="AP37">
        <v>24190.923076923071</v>
      </c>
    </row>
    <row r="38" spans="1:42" x14ac:dyDescent="0.25">
      <c r="B38" t="s">
        <v>36</v>
      </c>
      <c r="C38">
        <v>98077.22527472525</v>
      </c>
      <c r="D38">
        <v>26816.225274725242</v>
      </c>
      <c r="E38">
        <v>22080.868131868148</v>
      </c>
      <c r="F38">
        <v>36737.225274725242</v>
      </c>
      <c r="G38">
        <v>70473.796703296743</v>
      </c>
      <c r="H38">
        <v>18801.939560439547</v>
      </c>
      <c r="I38">
        <v>10551.939560439556</v>
      </c>
      <c r="J38">
        <v>40199.010989010945</v>
      </c>
      <c r="K38">
        <v>6194.6083916083908</v>
      </c>
      <c r="L38">
        <v>26677.368131868148</v>
      </c>
      <c r="M38">
        <v>26844.538461538446</v>
      </c>
      <c r="N38">
        <v>23813.153846153844</v>
      </c>
      <c r="O38">
        <v>8891.5384615384646</v>
      </c>
      <c r="P38">
        <v>29516.538461538446</v>
      </c>
      <c r="Q38">
        <v>53315.923076923042</v>
      </c>
      <c r="R38">
        <v>43008.384615384646</v>
      </c>
      <c r="S38">
        <v>70067.461538461546</v>
      </c>
      <c r="T38">
        <v>29333.923076923049</v>
      </c>
      <c r="U38">
        <v>6885.0769230769256</v>
      </c>
      <c r="V38">
        <v>64056.846153846142</v>
      </c>
      <c r="W38">
        <v>42901.461538461546</v>
      </c>
      <c r="X38">
        <v>27341.307692307644</v>
      </c>
      <c r="Y38">
        <v>12019.846153846156</v>
      </c>
      <c r="Z38">
        <v>13182.230769230766</v>
      </c>
      <c r="AA38">
        <v>10786.846153846156</v>
      </c>
      <c r="AB38">
        <v>9865.9230769230744</v>
      </c>
      <c r="AC38">
        <v>65081.153846153844</v>
      </c>
      <c r="AD38">
        <v>42145.453846153847</v>
      </c>
      <c r="AE38">
        <v>13352.453846153847</v>
      </c>
      <c r="AF38">
        <v>8241.6153846153866</v>
      </c>
      <c r="AG38">
        <v>6086.538461538461</v>
      </c>
      <c r="AH38">
        <v>69763.923076923049</v>
      </c>
      <c r="AI38">
        <v>302374.46153846185</v>
      </c>
      <c r="AJ38">
        <v>28692.769230769249</v>
      </c>
      <c r="AK38">
        <v>9316.9999999999964</v>
      </c>
      <c r="AL38">
        <v>0</v>
      </c>
      <c r="AM38">
        <v>5704.1538461538457</v>
      </c>
      <c r="AN38">
        <v>8774.5384615384646</v>
      </c>
      <c r="AO38">
        <v>15320.923076923076</v>
      </c>
      <c r="AP38">
        <v>27679.846153846149</v>
      </c>
    </row>
    <row r="39" spans="1:42" x14ac:dyDescent="0.25">
      <c r="B39" t="s">
        <v>37</v>
      </c>
      <c r="C39">
        <v>92502.071428571406</v>
      </c>
      <c r="D39">
        <v>21241.071428571398</v>
      </c>
      <c r="E39">
        <v>16505.714285714301</v>
      </c>
      <c r="F39">
        <v>31162.071428571398</v>
      </c>
      <c r="G39">
        <v>64898.642857142899</v>
      </c>
      <c r="H39">
        <v>13226.785714285699</v>
      </c>
      <c r="I39">
        <v>4976.7857142857101</v>
      </c>
      <c r="J39">
        <v>34623.857142857101</v>
      </c>
      <c r="K39">
        <v>619.45454545454504</v>
      </c>
      <c r="L39">
        <v>21102.214285714301</v>
      </c>
      <c r="M39">
        <v>21269.384615384599</v>
      </c>
      <c r="N39">
        <v>18238</v>
      </c>
      <c r="O39">
        <v>3316.3846153846198</v>
      </c>
      <c r="P39">
        <v>23941.384615384599</v>
      </c>
      <c r="Q39">
        <v>47740.769230769198</v>
      </c>
      <c r="R39">
        <v>37433.230769230802</v>
      </c>
      <c r="S39">
        <v>64492.307692307702</v>
      </c>
      <c r="T39">
        <v>23758.769230769201</v>
      </c>
      <c r="U39">
        <v>1309.9230769230801</v>
      </c>
      <c r="V39">
        <v>58481.692307692298</v>
      </c>
      <c r="W39">
        <v>37326.307692307702</v>
      </c>
      <c r="X39">
        <v>21766.1538461538</v>
      </c>
      <c r="Y39">
        <v>6444.6923076923104</v>
      </c>
      <c r="Z39">
        <v>7607.0769230769201</v>
      </c>
      <c r="AA39">
        <v>5211.6923076923104</v>
      </c>
      <c r="AB39">
        <v>4290.7692307692296</v>
      </c>
      <c r="AC39">
        <v>59506</v>
      </c>
      <c r="AD39">
        <v>36570.300000000003</v>
      </c>
      <c r="AE39">
        <v>7777.3</v>
      </c>
      <c r="AF39">
        <v>2666.4615384615399</v>
      </c>
      <c r="AG39">
        <v>511.38461538461502</v>
      </c>
      <c r="AH39">
        <v>64188.769230769198</v>
      </c>
      <c r="AI39">
        <v>296799.30769230798</v>
      </c>
      <c r="AJ39">
        <v>23117.615384615401</v>
      </c>
      <c r="AK39">
        <v>3741.8461538461502</v>
      </c>
      <c r="AL39">
        <v>10160.8461538462</v>
      </c>
      <c r="AM39">
        <v>0</v>
      </c>
      <c r="AN39">
        <v>3199.3846153846198</v>
      </c>
      <c r="AO39">
        <v>9745.7692307692305</v>
      </c>
      <c r="AP39">
        <v>22104.692307692301</v>
      </c>
    </row>
    <row r="40" spans="1:42" x14ac:dyDescent="0.25">
      <c r="B40" t="s">
        <v>38</v>
      </c>
      <c r="C40">
        <v>95182.994505494484</v>
      </c>
      <c r="D40">
        <v>23921.994505494476</v>
      </c>
      <c r="E40">
        <v>19186.637362637379</v>
      </c>
      <c r="F40">
        <v>33842.994505494476</v>
      </c>
      <c r="G40">
        <v>67579.565934065977</v>
      </c>
      <c r="H40">
        <v>15907.708791208777</v>
      </c>
      <c r="I40">
        <v>7657.7087912087873</v>
      </c>
      <c r="J40">
        <v>37304.780219780179</v>
      </c>
      <c r="K40">
        <v>3300.3776223776222</v>
      </c>
      <c r="L40">
        <v>23783.137362637379</v>
      </c>
      <c r="M40">
        <v>23950.307692307677</v>
      </c>
      <c r="N40">
        <v>20918.923076923078</v>
      </c>
      <c r="O40">
        <v>5997.3076923076969</v>
      </c>
      <c r="P40">
        <v>26622.307692307677</v>
      </c>
      <c r="Q40">
        <v>50421.692307692276</v>
      </c>
      <c r="R40">
        <v>40114.15384615388</v>
      </c>
      <c r="S40">
        <v>67173.23076923078</v>
      </c>
      <c r="T40">
        <v>26439.692307692279</v>
      </c>
      <c r="U40">
        <v>3990.846153846157</v>
      </c>
      <c r="V40">
        <v>61162.615384615376</v>
      </c>
      <c r="W40">
        <v>40007.23076923078</v>
      </c>
      <c r="X40">
        <v>24447.076923076878</v>
      </c>
      <c r="Y40">
        <v>9125.6153846153866</v>
      </c>
      <c r="Z40">
        <v>10287.999999999996</v>
      </c>
      <c r="AA40">
        <v>7892.6153846153875</v>
      </c>
      <c r="AB40">
        <v>6971.6923076923067</v>
      </c>
      <c r="AC40">
        <v>62186.923076923078</v>
      </c>
      <c r="AD40">
        <v>39251.223076923081</v>
      </c>
      <c r="AE40">
        <v>10458.223076923077</v>
      </c>
      <c r="AF40">
        <v>5347.3846153846171</v>
      </c>
      <c r="AG40">
        <v>3192.3076923076924</v>
      </c>
      <c r="AH40">
        <v>66869.692307692269</v>
      </c>
      <c r="AI40">
        <v>299480.23076923104</v>
      </c>
      <c r="AJ40">
        <v>25798.538461538479</v>
      </c>
      <c r="AK40">
        <v>6422.7692307692269</v>
      </c>
      <c r="AL40">
        <v>12841.769230769278</v>
      </c>
      <c r="AM40">
        <v>2809.9230769230771</v>
      </c>
      <c r="AN40">
        <v>0</v>
      </c>
      <c r="AO40">
        <v>12426.692307692309</v>
      </c>
      <c r="AP40">
        <v>24785.615384615379</v>
      </c>
    </row>
    <row r="41" spans="1:42" x14ac:dyDescent="0.25">
      <c r="B41" t="s">
        <v>39</v>
      </c>
      <c r="C41">
        <v>100159.22527472525</v>
      </c>
      <c r="D41">
        <v>28898.225274725242</v>
      </c>
      <c r="E41">
        <v>24162.868131868148</v>
      </c>
      <c r="F41">
        <v>38819.225274725242</v>
      </c>
      <c r="G41">
        <v>72555.796703296743</v>
      </c>
      <c r="H41">
        <v>20883.939560439547</v>
      </c>
      <c r="I41">
        <v>12633.939560439556</v>
      </c>
      <c r="J41">
        <v>42281.010989010945</v>
      </c>
      <c r="K41">
        <v>8276.6083916083899</v>
      </c>
      <c r="L41">
        <v>28759.368131868148</v>
      </c>
      <c r="M41">
        <v>28926.538461538446</v>
      </c>
      <c r="N41">
        <v>25895.153846153844</v>
      </c>
      <c r="O41">
        <v>10973.538461538465</v>
      </c>
      <c r="P41">
        <v>31598.538461538446</v>
      </c>
      <c r="Q41">
        <v>55397.923076923042</v>
      </c>
      <c r="R41">
        <v>45090.384615384646</v>
      </c>
      <c r="S41">
        <v>72149.461538461546</v>
      </c>
      <c r="T41">
        <v>31415.923076923049</v>
      </c>
      <c r="U41">
        <v>8967.0769230769256</v>
      </c>
      <c r="V41">
        <v>66138.846153846142</v>
      </c>
      <c r="W41">
        <v>44983.461538461546</v>
      </c>
      <c r="X41">
        <v>29423.307692307644</v>
      </c>
      <c r="Y41">
        <v>14101.846153846156</v>
      </c>
      <c r="Z41">
        <v>15264.230769230766</v>
      </c>
      <c r="AA41">
        <v>12868.846153846156</v>
      </c>
      <c r="AB41">
        <v>11947.923076923074</v>
      </c>
      <c r="AC41">
        <v>67163.153846153844</v>
      </c>
      <c r="AD41">
        <v>44227.453846153847</v>
      </c>
      <c r="AE41">
        <v>15434.453846153847</v>
      </c>
      <c r="AF41">
        <v>10323.615384615387</v>
      </c>
      <c r="AG41">
        <v>8168.538461538461</v>
      </c>
      <c r="AH41">
        <v>71845.923076923049</v>
      </c>
      <c r="AI41">
        <v>304456.46153846185</v>
      </c>
      <c r="AJ41">
        <v>30774.769230769249</v>
      </c>
      <c r="AK41">
        <v>11398.999999999996</v>
      </c>
      <c r="AL41">
        <v>17818.000000000044</v>
      </c>
      <c r="AM41">
        <v>7786.1538461538457</v>
      </c>
      <c r="AN41">
        <v>10856.538461538465</v>
      </c>
      <c r="AO41">
        <v>0</v>
      </c>
      <c r="AP41">
        <v>29761.846153846149</v>
      </c>
    </row>
    <row r="42" spans="1:42" x14ac:dyDescent="0.25">
      <c r="B42" t="s">
        <v>40</v>
      </c>
      <c r="C42">
        <v>104243.30219780217</v>
      </c>
      <c r="D42">
        <v>32982.302197802172</v>
      </c>
      <c r="E42">
        <v>28246.94505494507</v>
      </c>
      <c r="F42">
        <v>42903.302197802172</v>
      </c>
      <c r="G42">
        <v>76639.873626373665</v>
      </c>
      <c r="H42">
        <v>24968.016483516469</v>
      </c>
      <c r="I42">
        <v>16718.01648351648</v>
      </c>
      <c r="J42">
        <v>46365.087912087867</v>
      </c>
      <c r="K42">
        <v>12360.685314685314</v>
      </c>
      <c r="L42">
        <v>32843.44505494507</v>
      </c>
      <c r="M42">
        <v>33010.615384615368</v>
      </c>
      <c r="N42">
        <v>29979.23076923077</v>
      </c>
      <c r="O42">
        <v>15057.61538461539</v>
      </c>
      <c r="P42">
        <v>35682.615384615368</v>
      </c>
      <c r="Q42">
        <v>59481.999999999971</v>
      </c>
      <c r="R42">
        <v>49174.461538461575</v>
      </c>
      <c r="S42">
        <v>76233.538461538468</v>
      </c>
      <c r="T42">
        <v>35499.999999999971</v>
      </c>
      <c r="U42">
        <v>13051.153846153849</v>
      </c>
      <c r="V42">
        <v>70222.923076923063</v>
      </c>
      <c r="W42">
        <v>49067.538461538468</v>
      </c>
      <c r="X42">
        <v>33507.384615384566</v>
      </c>
      <c r="Y42">
        <v>18185.923076923078</v>
      </c>
      <c r="Z42">
        <v>19348.307692307688</v>
      </c>
      <c r="AA42">
        <v>16952.923076923078</v>
      </c>
      <c r="AB42">
        <v>16032</v>
      </c>
      <c r="AC42">
        <v>71247.230769230766</v>
      </c>
      <c r="AD42">
        <v>48311.530769230769</v>
      </c>
      <c r="AE42">
        <v>19518.530769230769</v>
      </c>
      <c r="AF42">
        <v>14407.692307692309</v>
      </c>
      <c r="AG42">
        <v>12252.615384615385</v>
      </c>
      <c r="AH42">
        <v>75929.999999999971</v>
      </c>
      <c r="AI42">
        <v>308540.53846153873</v>
      </c>
      <c r="AJ42">
        <v>34858.846153846171</v>
      </c>
      <c r="AK42">
        <v>15483.07692307692</v>
      </c>
      <c r="AL42">
        <v>21902.076923076969</v>
      </c>
      <c r="AM42">
        <v>11870.23076923077</v>
      </c>
      <c r="AN42">
        <v>14940.61538461539</v>
      </c>
      <c r="AO42">
        <v>21487</v>
      </c>
      <c r="AP42">
        <v>0</v>
      </c>
    </row>
    <row r="44" spans="1:42" x14ac:dyDescent="0.25">
      <c r="A44" t="s">
        <v>117</v>
      </c>
      <c r="B44" t="s">
        <v>118</v>
      </c>
      <c r="C44" t="s">
        <v>119</v>
      </c>
      <c r="D44" t="s">
        <v>120</v>
      </c>
      <c r="E44" t="s">
        <v>116</v>
      </c>
    </row>
    <row r="45" spans="1:42" x14ac:dyDescent="0.25">
      <c r="A45">
        <v>1</v>
      </c>
      <c r="B45">
        <v>1</v>
      </c>
      <c r="C45" t="s">
        <v>0</v>
      </c>
      <c r="D45" t="s">
        <v>0</v>
      </c>
      <c r="E45">
        <f ca="1">OFFSET($B$2,A45,B45)</f>
        <v>0</v>
      </c>
      <c r="H45">
        <v>1</v>
      </c>
      <c r="I45" t="s">
        <v>0</v>
      </c>
    </row>
    <row r="46" spans="1:42" x14ac:dyDescent="0.25">
      <c r="A46">
        <v>1</v>
      </c>
      <c r="B46">
        <v>2</v>
      </c>
      <c r="C46" t="s">
        <v>0</v>
      </c>
      <c r="D46" t="s">
        <v>1</v>
      </c>
      <c r="E46">
        <f t="shared" ref="E46:E108" ca="1" si="0">OFFSET($B$2,A46,B46)</f>
        <v>106839.14285714284</v>
      </c>
      <c r="H46">
        <v>2</v>
      </c>
      <c r="I46" t="s">
        <v>1</v>
      </c>
    </row>
    <row r="47" spans="1:42" x14ac:dyDescent="0.25">
      <c r="A47">
        <v>1</v>
      </c>
      <c r="B47">
        <v>3</v>
      </c>
      <c r="C47" t="s">
        <v>0</v>
      </c>
      <c r="D47" t="s">
        <v>2</v>
      </c>
      <c r="E47">
        <f t="shared" ca="1" si="0"/>
        <v>102103.78571428574</v>
      </c>
      <c r="H47">
        <v>3</v>
      </c>
      <c r="I47" t="s">
        <v>2</v>
      </c>
    </row>
    <row r="48" spans="1:42" x14ac:dyDescent="0.25">
      <c r="A48">
        <v>1</v>
      </c>
      <c r="B48">
        <v>4</v>
      </c>
      <c r="C48" t="s">
        <v>0</v>
      </c>
      <c r="D48" t="s">
        <v>3</v>
      </c>
      <c r="E48">
        <f t="shared" ca="1" si="0"/>
        <v>116760.14285714284</v>
      </c>
      <c r="H48">
        <v>4</v>
      </c>
      <c r="I48" t="s">
        <v>3</v>
      </c>
    </row>
    <row r="49" spans="1:9" x14ac:dyDescent="0.25">
      <c r="A49">
        <v>1</v>
      </c>
      <c r="B49">
        <v>5</v>
      </c>
      <c r="C49" t="s">
        <v>0</v>
      </c>
      <c r="D49" t="s">
        <v>4</v>
      </c>
      <c r="E49">
        <f t="shared" ca="1" si="0"/>
        <v>150496.71428571432</v>
      </c>
      <c r="H49">
        <v>5</v>
      </c>
      <c r="I49" t="s">
        <v>4</v>
      </c>
    </row>
    <row r="50" spans="1:9" x14ac:dyDescent="0.25">
      <c r="A50">
        <v>1</v>
      </c>
      <c r="B50">
        <v>6</v>
      </c>
      <c r="C50" t="s">
        <v>0</v>
      </c>
      <c r="D50" t="s">
        <v>5</v>
      </c>
      <c r="E50">
        <f t="shared" ca="1" si="0"/>
        <v>98824.85714285713</v>
      </c>
      <c r="H50">
        <v>6</v>
      </c>
      <c r="I50" t="s">
        <v>5</v>
      </c>
    </row>
    <row r="51" spans="1:9" x14ac:dyDescent="0.25">
      <c r="A51">
        <v>1</v>
      </c>
      <c r="B51">
        <v>7</v>
      </c>
      <c r="C51" t="s">
        <v>0</v>
      </c>
      <c r="D51" t="s">
        <v>6</v>
      </c>
      <c r="E51">
        <f t="shared" ca="1" si="0"/>
        <v>90574.857142857145</v>
      </c>
      <c r="H51">
        <v>7</v>
      </c>
      <c r="I51" t="s">
        <v>6</v>
      </c>
    </row>
    <row r="52" spans="1:9" x14ac:dyDescent="0.25">
      <c r="A52">
        <v>1</v>
      </c>
      <c r="B52">
        <v>8</v>
      </c>
      <c r="C52" t="s">
        <v>0</v>
      </c>
      <c r="D52" t="s">
        <v>7</v>
      </c>
      <c r="E52">
        <f t="shared" ca="1" si="0"/>
        <v>120221.92857142854</v>
      </c>
      <c r="H52">
        <v>8</v>
      </c>
      <c r="I52" t="s">
        <v>7</v>
      </c>
    </row>
    <row r="53" spans="1:9" x14ac:dyDescent="0.25">
      <c r="A53">
        <v>1</v>
      </c>
      <c r="B53">
        <v>9</v>
      </c>
      <c r="C53" t="s">
        <v>0</v>
      </c>
      <c r="D53" t="s">
        <v>148</v>
      </c>
      <c r="E53">
        <f t="shared" ca="1" si="0"/>
        <v>86217.525974025979</v>
      </c>
      <c r="H53">
        <v>9</v>
      </c>
      <c r="I53" t="s">
        <v>148</v>
      </c>
    </row>
    <row r="54" spans="1:9" x14ac:dyDescent="0.25">
      <c r="A54">
        <v>1</v>
      </c>
      <c r="B54">
        <v>10</v>
      </c>
      <c r="C54" t="s">
        <v>0</v>
      </c>
      <c r="D54" t="s">
        <v>9</v>
      </c>
      <c r="E54">
        <f t="shared" ca="1" si="0"/>
        <v>106700.28571428574</v>
      </c>
      <c r="H54">
        <v>10</v>
      </c>
      <c r="I54" t="s">
        <v>9</v>
      </c>
    </row>
    <row r="55" spans="1:9" x14ac:dyDescent="0.25">
      <c r="A55">
        <v>1</v>
      </c>
      <c r="B55">
        <v>11</v>
      </c>
      <c r="C55" t="s">
        <v>0</v>
      </c>
      <c r="D55" t="s">
        <v>10</v>
      </c>
      <c r="E55">
        <f t="shared" ca="1" si="0"/>
        <v>106867.45604395603</v>
      </c>
      <c r="H55">
        <v>11</v>
      </c>
      <c r="I55" t="s">
        <v>10</v>
      </c>
    </row>
    <row r="56" spans="1:9" x14ac:dyDescent="0.25">
      <c r="A56">
        <v>1</v>
      </c>
      <c r="B56">
        <v>12</v>
      </c>
      <c r="C56" t="s">
        <v>0</v>
      </c>
      <c r="D56" t="s">
        <v>11</v>
      </c>
      <c r="E56">
        <f t="shared" ca="1" si="0"/>
        <v>103836.07142857143</v>
      </c>
      <c r="H56">
        <v>12</v>
      </c>
      <c r="I56" t="s">
        <v>11</v>
      </c>
    </row>
    <row r="57" spans="1:9" x14ac:dyDescent="0.25">
      <c r="A57">
        <v>1</v>
      </c>
      <c r="B57">
        <v>13</v>
      </c>
      <c r="C57" t="s">
        <v>0</v>
      </c>
      <c r="D57" t="s">
        <v>12</v>
      </c>
      <c r="E57">
        <f t="shared" ca="1" si="0"/>
        <v>88914.456043956059</v>
      </c>
      <c r="H57">
        <v>13</v>
      </c>
      <c r="I57" t="s">
        <v>12</v>
      </c>
    </row>
    <row r="58" spans="1:9" x14ac:dyDescent="0.25">
      <c r="A58">
        <v>1</v>
      </c>
      <c r="B58">
        <v>14</v>
      </c>
      <c r="C58" t="s">
        <v>0</v>
      </c>
      <c r="D58" t="s">
        <v>13</v>
      </c>
      <c r="E58">
        <f t="shared" ca="1" si="0"/>
        <v>109539.45604395603</v>
      </c>
      <c r="H58">
        <v>14</v>
      </c>
      <c r="I58" t="s">
        <v>13</v>
      </c>
    </row>
    <row r="59" spans="1:9" x14ac:dyDescent="0.25">
      <c r="A59">
        <v>1</v>
      </c>
      <c r="B59">
        <v>15</v>
      </c>
      <c r="C59" t="s">
        <v>0</v>
      </c>
      <c r="D59" t="s">
        <v>14</v>
      </c>
      <c r="E59">
        <f t="shared" ca="1" si="0"/>
        <v>133338.84065934064</v>
      </c>
      <c r="H59">
        <v>15</v>
      </c>
      <c r="I59" t="s">
        <v>14</v>
      </c>
    </row>
    <row r="60" spans="1:9" x14ac:dyDescent="0.25">
      <c r="A60">
        <v>1</v>
      </c>
      <c r="B60">
        <v>16</v>
      </c>
      <c r="C60" t="s">
        <v>0</v>
      </c>
      <c r="D60" t="s">
        <v>15</v>
      </c>
      <c r="E60">
        <f t="shared" ca="1" si="0"/>
        <v>123031.30219780223</v>
      </c>
      <c r="H60">
        <v>16</v>
      </c>
      <c r="I60" t="s">
        <v>15</v>
      </c>
    </row>
    <row r="61" spans="1:9" x14ac:dyDescent="0.25">
      <c r="A61">
        <v>1</v>
      </c>
      <c r="B61">
        <v>17</v>
      </c>
      <c r="C61" t="s">
        <v>0</v>
      </c>
      <c r="D61" t="s">
        <v>16</v>
      </c>
      <c r="E61">
        <f t="shared" ca="1" si="0"/>
        <v>150090.37912087914</v>
      </c>
      <c r="H61">
        <v>17</v>
      </c>
      <c r="I61" t="s">
        <v>16</v>
      </c>
    </row>
    <row r="62" spans="1:9" x14ac:dyDescent="0.25">
      <c r="A62">
        <v>1</v>
      </c>
      <c r="B62">
        <v>18</v>
      </c>
      <c r="C62" t="s">
        <v>0</v>
      </c>
      <c r="D62" t="s">
        <v>17</v>
      </c>
      <c r="E62">
        <f t="shared" ca="1" si="0"/>
        <v>109356.84065934064</v>
      </c>
      <c r="H62">
        <v>18</v>
      </c>
      <c r="I62" t="s">
        <v>17</v>
      </c>
    </row>
    <row r="63" spans="1:9" x14ac:dyDescent="0.25">
      <c r="A63">
        <v>1</v>
      </c>
      <c r="B63">
        <v>19</v>
      </c>
      <c r="C63" t="s">
        <v>0</v>
      </c>
      <c r="D63" t="s">
        <v>18</v>
      </c>
      <c r="E63">
        <f t="shared" ca="1" si="0"/>
        <v>86907.994505494513</v>
      </c>
      <c r="H63">
        <v>19</v>
      </c>
      <c r="I63" t="s">
        <v>18</v>
      </c>
    </row>
    <row r="64" spans="1:9" x14ac:dyDescent="0.25">
      <c r="A64">
        <v>1</v>
      </c>
      <c r="B64">
        <v>20</v>
      </c>
      <c r="C64" t="s">
        <v>0</v>
      </c>
      <c r="D64" t="s">
        <v>19</v>
      </c>
      <c r="E64">
        <f t="shared" ca="1" si="0"/>
        <v>144079.76373626373</v>
      </c>
      <c r="H64">
        <v>20</v>
      </c>
      <c r="I64" t="s">
        <v>19</v>
      </c>
    </row>
    <row r="65" spans="1:9" x14ac:dyDescent="0.25">
      <c r="A65">
        <v>1</v>
      </c>
      <c r="B65">
        <v>21</v>
      </c>
      <c r="C65" t="s">
        <v>0</v>
      </c>
      <c r="D65" t="s">
        <v>20</v>
      </c>
      <c r="E65">
        <f t="shared" ca="1" si="0"/>
        <v>122924.37912087914</v>
      </c>
      <c r="H65">
        <v>21</v>
      </c>
      <c r="I65" t="s">
        <v>20</v>
      </c>
    </row>
    <row r="66" spans="1:9" x14ac:dyDescent="0.25">
      <c r="A66">
        <v>1</v>
      </c>
      <c r="B66">
        <v>22</v>
      </c>
      <c r="C66" t="s">
        <v>0</v>
      </c>
      <c r="D66" t="s">
        <v>21</v>
      </c>
      <c r="E66">
        <f t="shared" ca="1" si="0"/>
        <v>107364.22527472524</v>
      </c>
      <c r="H66">
        <v>22</v>
      </c>
      <c r="I66" t="s">
        <v>21</v>
      </c>
    </row>
    <row r="67" spans="1:9" x14ac:dyDescent="0.25">
      <c r="A67">
        <v>1</v>
      </c>
      <c r="B67">
        <v>23</v>
      </c>
      <c r="C67" t="s">
        <v>0</v>
      </c>
      <c r="D67" t="s">
        <v>22</v>
      </c>
      <c r="E67">
        <f t="shared" ca="1" si="0"/>
        <v>92042.763736263747</v>
      </c>
      <c r="H67">
        <v>23</v>
      </c>
      <c r="I67" t="s">
        <v>22</v>
      </c>
    </row>
    <row r="68" spans="1:9" x14ac:dyDescent="0.25">
      <c r="A68">
        <v>1</v>
      </c>
      <c r="B68">
        <v>24</v>
      </c>
      <c r="C68" t="s">
        <v>0</v>
      </c>
      <c r="D68" t="s">
        <v>23</v>
      </c>
      <c r="E68">
        <f t="shared" ca="1" si="0"/>
        <v>93205.148351648357</v>
      </c>
      <c r="H68">
        <v>24</v>
      </c>
      <c r="I68" t="s">
        <v>23</v>
      </c>
    </row>
    <row r="69" spans="1:9" x14ac:dyDescent="0.25">
      <c r="A69">
        <v>1</v>
      </c>
      <c r="B69">
        <v>25</v>
      </c>
      <c r="C69" t="s">
        <v>0</v>
      </c>
      <c r="D69" t="s">
        <v>24</v>
      </c>
      <c r="E69">
        <f t="shared" ca="1" si="0"/>
        <v>90809.763736263747</v>
      </c>
      <c r="H69">
        <v>25</v>
      </c>
      <c r="I69" t="s">
        <v>24</v>
      </c>
    </row>
    <row r="70" spans="1:9" x14ac:dyDescent="0.25">
      <c r="A70">
        <v>1</v>
      </c>
      <c r="B70">
        <v>26</v>
      </c>
      <c r="C70" t="s">
        <v>0</v>
      </c>
      <c r="D70" t="s">
        <v>25</v>
      </c>
      <c r="E70">
        <f t="shared" ca="1" si="0"/>
        <v>89888.840659340669</v>
      </c>
      <c r="H70">
        <v>26</v>
      </c>
      <c r="I70" t="s">
        <v>25</v>
      </c>
    </row>
    <row r="71" spans="1:9" x14ac:dyDescent="0.25">
      <c r="A71">
        <v>1</v>
      </c>
      <c r="B71">
        <v>27</v>
      </c>
      <c r="C71" t="s">
        <v>0</v>
      </c>
      <c r="D71" t="s">
        <v>145</v>
      </c>
      <c r="E71">
        <f t="shared" ca="1" si="0"/>
        <v>145104.07142857142</v>
      </c>
      <c r="H71">
        <v>27</v>
      </c>
      <c r="I71" t="s">
        <v>145</v>
      </c>
    </row>
    <row r="72" spans="1:9" x14ac:dyDescent="0.25">
      <c r="A72">
        <v>1</v>
      </c>
      <c r="B72">
        <v>28</v>
      </c>
      <c r="C72" t="s">
        <v>0</v>
      </c>
      <c r="D72" t="s">
        <v>147</v>
      </c>
      <c r="E72">
        <f t="shared" ca="1" si="0"/>
        <v>122168.37142857144</v>
      </c>
      <c r="H72">
        <v>29</v>
      </c>
      <c r="I72" t="s">
        <v>147</v>
      </c>
    </row>
    <row r="73" spans="1:9" x14ac:dyDescent="0.25">
      <c r="A73">
        <v>1</v>
      </c>
      <c r="B73">
        <v>29</v>
      </c>
      <c r="C73" t="s">
        <v>0</v>
      </c>
      <c r="D73" t="s">
        <v>146</v>
      </c>
      <c r="E73">
        <f t="shared" ca="1" si="0"/>
        <v>93375.371428571438</v>
      </c>
      <c r="H73">
        <v>30</v>
      </c>
      <c r="I73" t="s">
        <v>146</v>
      </c>
    </row>
    <row r="74" spans="1:9" x14ac:dyDescent="0.25">
      <c r="A74">
        <v>1</v>
      </c>
      <c r="B74">
        <v>30</v>
      </c>
      <c r="C74" t="s">
        <v>0</v>
      </c>
      <c r="D74" t="s">
        <v>30</v>
      </c>
      <c r="E74">
        <f t="shared" ca="1" si="0"/>
        <v>88264.532967032981</v>
      </c>
      <c r="H74">
        <v>31</v>
      </c>
      <c r="I74" t="s">
        <v>30</v>
      </c>
    </row>
    <row r="75" spans="1:9" x14ac:dyDescent="0.25">
      <c r="A75">
        <v>1</v>
      </c>
      <c r="B75">
        <v>31</v>
      </c>
      <c r="C75" t="s">
        <v>0</v>
      </c>
      <c r="D75" t="s">
        <v>31</v>
      </c>
      <c r="E75">
        <f t="shared" ca="1" si="0"/>
        <v>86109.456043956045</v>
      </c>
      <c r="H75">
        <v>32</v>
      </c>
      <c r="I75" t="s">
        <v>31</v>
      </c>
    </row>
    <row r="76" spans="1:9" x14ac:dyDescent="0.25">
      <c r="A76">
        <v>1</v>
      </c>
      <c r="B76">
        <v>32</v>
      </c>
      <c r="C76" t="s">
        <v>0</v>
      </c>
      <c r="D76" t="s">
        <v>32</v>
      </c>
      <c r="E76">
        <f t="shared" ca="1" si="0"/>
        <v>149786.84065934064</v>
      </c>
      <c r="H76">
        <v>33</v>
      </c>
      <c r="I76" t="s">
        <v>32</v>
      </c>
    </row>
    <row r="77" spans="1:9" x14ac:dyDescent="0.25">
      <c r="A77">
        <v>1</v>
      </c>
      <c r="B77">
        <v>33</v>
      </c>
      <c r="C77" t="s">
        <v>0</v>
      </c>
      <c r="D77" t="s">
        <v>33</v>
      </c>
      <c r="E77">
        <f t="shared" ca="1" si="0"/>
        <v>382397.3791208794</v>
      </c>
      <c r="H77">
        <v>34</v>
      </c>
      <c r="I77" t="s">
        <v>33</v>
      </c>
    </row>
    <row r="78" spans="1:9" x14ac:dyDescent="0.25">
      <c r="A78">
        <v>1</v>
      </c>
      <c r="B78">
        <v>34</v>
      </c>
      <c r="C78" t="s">
        <v>0</v>
      </c>
      <c r="D78" t="s">
        <v>34</v>
      </c>
      <c r="E78">
        <f t="shared" ca="1" si="0"/>
        <v>108715.68681318684</v>
      </c>
      <c r="H78">
        <v>35</v>
      </c>
      <c r="I78" t="s">
        <v>34</v>
      </c>
    </row>
    <row r="79" spans="1:9" x14ac:dyDescent="0.25">
      <c r="A79">
        <v>1</v>
      </c>
      <c r="B79">
        <v>35</v>
      </c>
      <c r="C79" t="s">
        <v>0</v>
      </c>
      <c r="D79" t="s">
        <v>35</v>
      </c>
      <c r="E79">
        <f t="shared" ca="1" si="0"/>
        <v>89339.917582417591</v>
      </c>
      <c r="H79">
        <v>36</v>
      </c>
      <c r="I79" t="s">
        <v>35</v>
      </c>
    </row>
    <row r="80" spans="1:9" x14ac:dyDescent="0.25">
      <c r="A80">
        <v>1</v>
      </c>
      <c r="B80">
        <v>36</v>
      </c>
      <c r="C80" t="s">
        <v>0</v>
      </c>
      <c r="D80" t="s">
        <v>36</v>
      </c>
      <c r="E80">
        <f t="shared" ca="1" si="0"/>
        <v>95758.917582417635</v>
      </c>
      <c r="H80">
        <v>37</v>
      </c>
      <c r="I80" t="s">
        <v>36</v>
      </c>
    </row>
    <row r="81" spans="1:9" x14ac:dyDescent="0.25">
      <c r="A81">
        <v>1</v>
      </c>
      <c r="B81">
        <v>37</v>
      </c>
      <c r="C81" t="s">
        <v>0</v>
      </c>
      <c r="D81" t="s">
        <v>37</v>
      </c>
      <c r="E81">
        <f t="shared" ca="1" si="0"/>
        <v>85727.071428571435</v>
      </c>
      <c r="H81">
        <v>38</v>
      </c>
      <c r="I81" t="s">
        <v>37</v>
      </c>
    </row>
    <row r="82" spans="1:9" x14ac:dyDescent="0.25">
      <c r="A82">
        <v>1</v>
      </c>
      <c r="B82">
        <v>38</v>
      </c>
      <c r="C82" t="s">
        <v>0</v>
      </c>
      <c r="D82" t="s">
        <v>38</v>
      </c>
      <c r="E82">
        <f t="shared" ca="1" si="0"/>
        <v>88797.456043956059</v>
      </c>
      <c r="H82">
        <v>39</v>
      </c>
      <c r="I82" t="s">
        <v>38</v>
      </c>
    </row>
    <row r="83" spans="1:9" x14ac:dyDescent="0.25">
      <c r="A83">
        <v>1</v>
      </c>
      <c r="B83">
        <v>39</v>
      </c>
      <c r="C83" t="s">
        <v>0</v>
      </c>
      <c r="D83" t="s">
        <v>39</v>
      </c>
      <c r="E83">
        <f t="shared" ca="1" si="0"/>
        <v>95343.840659340669</v>
      </c>
      <c r="H83">
        <v>40</v>
      </c>
      <c r="I83" t="s">
        <v>39</v>
      </c>
    </row>
    <row r="84" spans="1:9" x14ac:dyDescent="0.25">
      <c r="A84">
        <v>1</v>
      </c>
      <c r="B84">
        <v>40</v>
      </c>
      <c r="C84" t="s">
        <v>0</v>
      </c>
      <c r="D84" t="s">
        <v>40</v>
      </c>
      <c r="E84">
        <f t="shared" ca="1" si="0"/>
        <v>107702.76373626373</v>
      </c>
      <c r="H84">
        <v>41</v>
      </c>
      <c r="I84" t="s">
        <v>40</v>
      </c>
    </row>
    <row r="85" spans="1:9" x14ac:dyDescent="0.25">
      <c r="A85">
        <v>2</v>
      </c>
      <c r="B85">
        <v>1</v>
      </c>
      <c r="C85" t="s">
        <v>1</v>
      </c>
      <c r="D85" t="s">
        <v>0</v>
      </c>
      <c r="E85">
        <f t="shared" ca="1" si="0"/>
        <v>98900.071428571435</v>
      </c>
    </row>
    <row r="86" spans="1:9" x14ac:dyDescent="0.25">
      <c r="A86">
        <v>2</v>
      </c>
      <c r="B86">
        <v>2</v>
      </c>
      <c r="C86" t="s">
        <v>1</v>
      </c>
      <c r="D86" t="s">
        <v>1</v>
      </c>
      <c r="E86">
        <f t="shared" ca="1" si="0"/>
        <v>0</v>
      </c>
    </row>
    <row r="87" spans="1:9" x14ac:dyDescent="0.25">
      <c r="A87">
        <v>2</v>
      </c>
      <c r="B87">
        <v>3</v>
      </c>
      <c r="C87" t="s">
        <v>1</v>
      </c>
      <c r="D87" t="s">
        <v>2</v>
      </c>
      <c r="E87">
        <f t="shared" ca="1" si="0"/>
        <v>22903.714285714301</v>
      </c>
    </row>
    <row r="88" spans="1:9" x14ac:dyDescent="0.25">
      <c r="A88">
        <v>2</v>
      </c>
      <c r="B88">
        <v>4</v>
      </c>
      <c r="C88" t="s">
        <v>1</v>
      </c>
      <c r="D88" t="s">
        <v>3</v>
      </c>
      <c r="E88">
        <f t="shared" ca="1" si="0"/>
        <v>37560.071428571398</v>
      </c>
    </row>
    <row r="89" spans="1:9" x14ac:dyDescent="0.25">
      <c r="A89">
        <v>2</v>
      </c>
      <c r="B89">
        <v>5</v>
      </c>
      <c r="C89" t="s">
        <v>1</v>
      </c>
      <c r="D89" t="s">
        <v>4</v>
      </c>
      <c r="E89">
        <f t="shared" ca="1" si="0"/>
        <v>71296.642857142899</v>
      </c>
    </row>
    <row r="90" spans="1:9" x14ac:dyDescent="0.25">
      <c r="A90">
        <v>2</v>
      </c>
      <c r="B90">
        <v>6</v>
      </c>
      <c r="C90" t="s">
        <v>1</v>
      </c>
      <c r="D90" t="s">
        <v>5</v>
      </c>
      <c r="E90">
        <f t="shared" ca="1" si="0"/>
        <v>19624.785714285699</v>
      </c>
    </row>
    <row r="91" spans="1:9" x14ac:dyDescent="0.25">
      <c r="A91">
        <v>2</v>
      </c>
      <c r="B91">
        <v>7</v>
      </c>
      <c r="C91" t="s">
        <v>1</v>
      </c>
      <c r="D91" t="s">
        <v>6</v>
      </c>
      <c r="E91">
        <f t="shared" ca="1" si="0"/>
        <v>11374.78571428571</v>
      </c>
    </row>
    <row r="92" spans="1:9" x14ac:dyDescent="0.25">
      <c r="A92">
        <v>2</v>
      </c>
      <c r="B92">
        <v>8</v>
      </c>
      <c r="C92" t="s">
        <v>1</v>
      </c>
      <c r="D92" t="s">
        <v>7</v>
      </c>
      <c r="E92">
        <f t="shared" ca="1" si="0"/>
        <v>41021.857142857101</v>
      </c>
    </row>
    <row r="93" spans="1:9" x14ac:dyDescent="0.25">
      <c r="A93">
        <v>2</v>
      </c>
      <c r="B93">
        <v>9</v>
      </c>
      <c r="C93" t="s">
        <v>1</v>
      </c>
      <c r="D93" t="s">
        <v>148</v>
      </c>
      <c r="E93">
        <f t="shared" ca="1" si="0"/>
        <v>7017.454545454545</v>
      </c>
    </row>
    <row r="94" spans="1:9" x14ac:dyDescent="0.25">
      <c r="A94">
        <v>2</v>
      </c>
      <c r="B94">
        <v>10</v>
      </c>
      <c r="C94" t="s">
        <v>1</v>
      </c>
      <c r="D94" t="s">
        <v>9</v>
      </c>
      <c r="E94">
        <f t="shared" ca="1" si="0"/>
        <v>27500.214285714301</v>
      </c>
    </row>
    <row r="95" spans="1:9" x14ac:dyDescent="0.25">
      <c r="A95">
        <v>2</v>
      </c>
      <c r="B95">
        <v>11</v>
      </c>
      <c r="C95" t="s">
        <v>1</v>
      </c>
      <c r="D95" t="s">
        <v>10</v>
      </c>
      <c r="E95">
        <f t="shared" ca="1" si="0"/>
        <v>27667.384615384599</v>
      </c>
    </row>
    <row r="96" spans="1:9" x14ac:dyDescent="0.25">
      <c r="A96">
        <v>2</v>
      </c>
      <c r="B96">
        <v>12</v>
      </c>
      <c r="C96" t="s">
        <v>1</v>
      </c>
      <c r="D96" t="s">
        <v>11</v>
      </c>
      <c r="E96">
        <f t="shared" ca="1" si="0"/>
        <v>24636</v>
      </c>
    </row>
    <row r="97" spans="1:5" x14ac:dyDescent="0.25">
      <c r="A97">
        <v>2</v>
      </c>
      <c r="B97">
        <v>13</v>
      </c>
      <c r="C97" t="s">
        <v>1</v>
      </c>
      <c r="D97" t="s">
        <v>12</v>
      </c>
      <c r="E97">
        <f t="shared" ca="1" si="0"/>
        <v>9714.3846153846207</v>
      </c>
    </row>
    <row r="98" spans="1:5" x14ac:dyDescent="0.25">
      <c r="A98">
        <v>2</v>
      </c>
      <c r="B98">
        <v>14</v>
      </c>
      <c r="C98" t="s">
        <v>1</v>
      </c>
      <c r="D98" t="s">
        <v>13</v>
      </c>
      <c r="E98">
        <f t="shared" ca="1" si="0"/>
        <v>30339.384615384599</v>
      </c>
    </row>
    <row r="99" spans="1:5" x14ac:dyDescent="0.25">
      <c r="A99">
        <v>2</v>
      </c>
      <c r="B99">
        <v>15</v>
      </c>
      <c r="C99" t="s">
        <v>1</v>
      </c>
      <c r="D99" t="s">
        <v>14</v>
      </c>
      <c r="E99">
        <f t="shared" ca="1" si="0"/>
        <v>54138.769230769198</v>
      </c>
    </row>
    <row r="100" spans="1:5" x14ac:dyDescent="0.25">
      <c r="A100">
        <v>2</v>
      </c>
      <c r="B100">
        <v>16</v>
      </c>
      <c r="C100" t="s">
        <v>1</v>
      </c>
      <c r="D100" t="s">
        <v>15</v>
      </c>
      <c r="E100">
        <f t="shared" ca="1" si="0"/>
        <v>43831.230769230802</v>
      </c>
    </row>
    <row r="101" spans="1:5" x14ac:dyDescent="0.25">
      <c r="A101">
        <v>2</v>
      </c>
      <c r="B101">
        <v>17</v>
      </c>
      <c r="C101" t="s">
        <v>1</v>
      </c>
      <c r="D101" t="s">
        <v>16</v>
      </c>
      <c r="E101">
        <f t="shared" ca="1" si="0"/>
        <v>70890.307692307702</v>
      </c>
    </row>
    <row r="102" spans="1:5" x14ac:dyDescent="0.25">
      <c r="A102">
        <v>2</v>
      </c>
      <c r="B102">
        <v>18</v>
      </c>
      <c r="C102" t="s">
        <v>1</v>
      </c>
      <c r="D102" t="s">
        <v>17</v>
      </c>
      <c r="E102">
        <f t="shared" ca="1" si="0"/>
        <v>30156.769230769201</v>
      </c>
    </row>
    <row r="103" spans="1:5" x14ac:dyDescent="0.25">
      <c r="A103">
        <v>2</v>
      </c>
      <c r="B103">
        <v>19</v>
      </c>
      <c r="C103" t="s">
        <v>1</v>
      </c>
      <c r="D103" t="s">
        <v>18</v>
      </c>
      <c r="E103">
        <f t="shared" ca="1" si="0"/>
        <v>7707.9230769230799</v>
      </c>
    </row>
    <row r="104" spans="1:5" x14ac:dyDescent="0.25">
      <c r="A104">
        <v>2</v>
      </c>
      <c r="B104">
        <v>20</v>
      </c>
      <c r="C104" t="s">
        <v>1</v>
      </c>
      <c r="D104" t="s">
        <v>19</v>
      </c>
      <c r="E104">
        <f t="shared" ca="1" si="0"/>
        <v>64879.692307692298</v>
      </c>
    </row>
    <row r="105" spans="1:5" x14ac:dyDescent="0.25">
      <c r="A105">
        <v>2</v>
      </c>
      <c r="B105">
        <v>21</v>
      </c>
      <c r="C105" t="s">
        <v>1</v>
      </c>
      <c r="D105" t="s">
        <v>20</v>
      </c>
      <c r="E105">
        <f t="shared" ca="1" si="0"/>
        <v>43724.307692307702</v>
      </c>
    </row>
    <row r="106" spans="1:5" x14ac:dyDescent="0.25">
      <c r="A106">
        <v>2</v>
      </c>
      <c r="B106">
        <v>22</v>
      </c>
      <c r="C106" t="s">
        <v>1</v>
      </c>
      <c r="D106" t="s">
        <v>21</v>
      </c>
      <c r="E106">
        <f t="shared" ca="1" si="0"/>
        <v>28164.1538461538</v>
      </c>
    </row>
    <row r="107" spans="1:5" x14ac:dyDescent="0.25">
      <c r="A107">
        <v>2</v>
      </c>
      <c r="B107">
        <v>23</v>
      </c>
      <c r="C107" t="s">
        <v>1</v>
      </c>
      <c r="D107" t="s">
        <v>22</v>
      </c>
      <c r="E107">
        <f t="shared" ca="1" si="0"/>
        <v>12842.69230769231</v>
      </c>
    </row>
    <row r="108" spans="1:5" x14ac:dyDescent="0.25">
      <c r="A108">
        <v>2</v>
      </c>
      <c r="B108">
        <v>24</v>
      </c>
      <c r="C108" t="s">
        <v>1</v>
      </c>
      <c r="D108" t="s">
        <v>23</v>
      </c>
      <c r="E108">
        <f t="shared" ca="1" si="0"/>
        <v>14005.07692307692</v>
      </c>
    </row>
    <row r="109" spans="1:5" x14ac:dyDescent="0.25">
      <c r="A109">
        <v>2</v>
      </c>
      <c r="B109">
        <v>25</v>
      </c>
      <c r="C109" t="s">
        <v>1</v>
      </c>
      <c r="D109" t="s">
        <v>24</v>
      </c>
      <c r="E109">
        <f t="shared" ref="E109:E170" ca="1" si="1">OFFSET($B$2,A109,B109)</f>
        <v>11609.69230769231</v>
      </c>
    </row>
    <row r="110" spans="1:5" x14ac:dyDescent="0.25">
      <c r="A110">
        <v>2</v>
      </c>
      <c r="B110">
        <v>26</v>
      </c>
      <c r="C110" t="s">
        <v>1</v>
      </c>
      <c r="D110" t="s">
        <v>25</v>
      </c>
      <c r="E110">
        <f t="shared" ca="1" si="1"/>
        <v>10688.76923076923</v>
      </c>
    </row>
    <row r="111" spans="1:5" x14ac:dyDescent="0.25">
      <c r="A111">
        <v>2</v>
      </c>
      <c r="B111">
        <v>27</v>
      </c>
      <c r="C111" t="s">
        <v>1</v>
      </c>
      <c r="D111" t="s">
        <v>145</v>
      </c>
      <c r="E111">
        <f t="shared" ca="1" si="1"/>
        <v>65904</v>
      </c>
    </row>
    <row r="112" spans="1:5" x14ac:dyDescent="0.25">
      <c r="A112">
        <v>2</v>
      </c>
      <c r="B112">
        <v>28</v>
      </c>
      <c r="C112" t="s">
        <v>1</v>
      </c>
      <c r="D112" t="s">
        <v>147</v>
      </c>
      <c r="E112">
        <f t="shared" ca="1" si="1"/>
        <v>42968.3</v>
      </c>
    </row>
    <row r="113" spans="1:5" x14ac:dyDescent="0.25">
      <c r="A113">
        <v>2</v>
      </c>
      <c r="B113">
        <v>29</v>
      </c>
      <c r="C113" t="s">
        <v>1</v>
      </c>
      <c r="D113" t="s">
        <v>146</v>
      </c>
      <c r="E113">
        <f t="shared" ca="1" si="1"/>
        <v>14175.3</v>
      </c>
    </row>
    <row r="114" spans="1:5" x14ac:dyDescent="0.25">
      <c r="A114">
        <v>2</v>
      </c>
      <c r="B114">
        <v>30</v>
      </c>
      <c r="C114" t="s">
        <v>1</v>
      </c>
      <c r="D114" t="s">
        <v>30</v>
      </c>
      <c r="E114">
        <f t="shared" ca="1" si="1"/>
        <v>9064.461538461539</v>
      </c>
    </row>
    <row r="115" spans="1:5" x14ac:dyDescent="0.25">
      <c r="A115">
        <v>2</v>
      </c>
      <c r="B115">
        <v>31</v>
      </c>
      <c r="C115" t="s">
        <v>1</v>
      </c>
      <c r="D115" t="s">
        <v>31</v>
      </c>
      <c r="E115">
        <f t="shared" ca="1" si="1"/>
        <v>6909.3846153846152</v>
      </c>
    </row>
    <row r="116" spans="1:5" x14ac:dyDescent="0.25">
      <c r="A116">
        <v>2</v>
      </c>
      <c r="B116">
        <v>32</v>
      </c>
      <c r="C116" t="s">
        <v>1</v>
      </c>
      <c r="D116" t="s">
        <v>32</v>
      </c>
      <c r="E116">
        <f t="shared" ca="1" si="1"/>
        <v>70586.76923076919</v>
      </c>
    </row>
    <row r="117" spans="1:5" x14ac:dyDescent="0.25">
      <c r="A117">
        <v>2</v>
      </c>
      <c r="B117">
        <v>33</v>
      </c>
      <c r="C117" t="s">
        <v>1</v>
      </c>
      <c r="D117" t="s">
        <v>33</v>
      </c>
      <c r="E117">
        <f t="shared" ca="1" si="1"/>
        <v>303197.30769230798</v>
      </c>
    </row>
    <row r="118" spans="1:5" x14ac:dyDescent="0.25">
      <c r="A118">
        <v>2</v>
      </c>
      <c r="B118">
        <v>34</v>
      </c>
      <c r="C118" t="s">
        <v>1</v>
      </c>
      <c r="D118" t="s">
        <v>34</v>
      </c>
      <c r="E118">
        <f t="shared" ca="1" si="1"/>
        <v>29515.615384615401</v>
      </c>
    </row>
    <row r="119" spans="1:5" x14ac:dyDescent="0.25">
      <c r="A119">
        <v>2</v>
      </c>
      <c r="B119">
        <v>35</v>
      </c>
      <c r="C119" t="s">
        <v>1</v>
      </c>
      <c r="D119" t="s">
        <v>35</v>
      </c>
      <c r="E119">
        <f t="shared" ca="1" si="1"/>
        <v>10139.846153846151</v>
      </c>
    </row>
    <row r="120" spans="1:5" x14ac:dyDescent="0.25">
      <c r="A120">
        <v>2</v>
      </c>
      <c r="B120">
        <v>36</v>
      </c>
      <c r="C120" t="s">
        <v>1</v>
      </c>
      <c r="D120" t="s">
        <v>36</v>
      </c>
      <c r="E120">
        <f t="shared" ca="1" si="1"/>
        <v>16558.8461538462</v>
      </c>
    </row>
    <row r="121" spans="1:5" x14ac:dyDescent="0.25">
      <c r="A121">
        <v>2</v>
      </c>
      <c r="B121">
        <v>37</v>
      </c>
      <c r="C121" t="s">
        <v>1</v>
      </c>
      <c r="D121" t="s">
        <v>37</v>
      </c>
      <c r="E121">
        <f t="shared" ca="1" si="1"/>
        <v>6527</v>
      </c>
    </row>
    <row r="122" spans="1:5" x14ac:dyDescent="0.25">
      <c r="A122">
        <v>2</v>
      </c>
      <c r="B122">
        <v>38</v>
      </c>
      <c r="C122" t="s">
        <v>1</v>
      </c>
      <c r="D122" t="s">
        <v>38</v>
      </c>
      <c r="E122">
        <f t="shared" ca="1" si="1"/>
        <v>9597.3846153846207</v>
      </c>
    </row>
    <row r="123" spans="1:5" x14ac:dyDescent="0.25">
      <c r="A123">
        <v>2</v>
      </c>
      <c r="B123">
        <v>39</v>
      </c>
      <c r="C123" t="s">
        <v>1</v>
      </c>
      <c r="D123" t="s">
        <v>39</v>
      </c>
      <c r="E123">
        <f t="shared" ca="1" si="1"/>
        <v>16143.76923076923</v>
      </c>
    </row>
    <row r="124" spans="1:5" x14ac:dyDescent="0.25">
      <c r="A124">
        <v>2</v>
      </c>
      <c r="B124">
        <v>40</v>
      </c>
      <c r="C124" t="s">
        <v>1</v>
      </c>
      <c r="D124" t="s">
        <v>40</v>
      </c>
      <c r="E124">
        <f t="shared" ca="1" si="1"/>
        <v>28502.692307692301</v>
      </c>
    </row>
    <row r="125" spans="1:5" x14ac:dyDescent="0.25">
      <c r="A125">
        <v>3</v>
      </c>
      <c r="B125">
        <v>1</v>
      </c>
      <c r="C125" t="s">
        <v>2</v>
      </c>
      <c r="D125" t="s">
        <v>0</v>
      </c>
      <c r="E125">
        <f t="shared" ca="1" si="1"/>
        <v>107457.64285714287</v>
      </c>
    </row>
    <row r="126" spans="1:5" x14ac:dyDescent="0.25">
      <c r="A126">
        <v>3</v>
      </c>
      <c r="B126">
        <v>2</v>
      </c>
      <c r="C126" t="s">
        <v>2</v>
      </c>
      <c r="D126" t="s">
        <v>1</v>
      </c>
      <c r="E126">
        <f t="shared" ca="1" si="1"/>
        <v>36196.642857142855</v>
      </c>
    </row>
    <row r="127" spans="1:5" x14ac:dyDescent="0.25">
      <c r="A127">
        <v>3</v>
      </c>
      <c r="B127">
        <v>3</v>
      </c>
      <c r="C127" t="s">
        <v>2</v>
      </c>
      <c r="D127" t="s">
        <v>2</v>
      </c>
      <c r="E127">
        <f t="shared" ca="1" si="1"/>
        <v>0</v>
      </c>
    </row>
    <row r="128" spans="1:5" x14ac:dyDescent="0.25">
      <c r="A128">
        <v>3</v>
      </c>
      <c r="B128">
        <v>4</v>
      </c>
      <c r="C128" t="s">
        <v>2</v>
      </c>
      <c r="D128" t="s">
        <v>3</v>
      </c>
      <c r="E128">
        <f t="shared" ca="1" si="1"/>
        <v>46117.642857142826</v>
      </c>
    </row>
    <row r="129" spans="1:5" x14ac:dyDescent="0.25">
      <c r="A129">
        <v>3</v>
      </c>
      <c r="B129">
        <v>5</v>
      </c>
      <c r="C129" t="s">
        <v>2</v>
      </c>
      <c r="D129" t="s">
        <v>4</v>
      </c>
      <c r="E129">
        <f t="shared" ca="1" si="1"/>
        <v>79854.214285714334</v>
      </c>
    </row>
    <row r="130" spans="1:5" x14ac:dyDescent="0.25">
      <c r="A130">
        <v>3</v>
      </c>
      <c r="B130">
        <v>6</v>
      </c>
      <c r="C130" t="s">
        <v>2</v>
      </c>
      <c r="D130" t="s">
        <v>5</v>
      </c>
      <c r="E130">
        <f t="shared" ca="1" si="1"/>
        <v>28182.35714285713</v>
      </c>
    </row>
    <row r="131" spans="1:5" x14ac:dyDescent="0.25">
      <c r="A131">
        <v>3</v>
      </c>
      <c r="B131">
        <v>7</v>
      </c>
      <c r="C131" t="s">
        <v>2</v>
      </c>
      <c r="D131" t="s">
        <v>6</v>
      </c>
      <c r="E131">
        <f t="shared" ca="1" si="1"/>
        <v>19932.357142857138</v>
      </c>
    </row>
    <row r="132" spans="1:5" x14ac:dyDescent="0.25">
      <c r="A132">
        <v>3</v>
      </c>
      <c r="B132">
        <v>8</v>
      </c>
      <c r="C132" t="s">
        <v>2</v>
      </c>
      <c r="D132" t="s">
        <v>7</v>
      </c>
      <c r="E132">
        <f t="shared" ca="1" si="1"/>
        <v>49579.428571428529</v>
      </c>
    </row>
    <row r="133" spans="1:5" x14ac:dyDescent="0.25">
      <c r="A133">
        <v>3</v>
      </c>
      <c r="B133">
        <v>9</v>
      </c>
      <c r="C133" t="s">
        <v>2</v>
      </c>
      <c r="D133" t="s">
        <v>148</v>
      </c>
      <c r="E133">
        <f t="shared" ca="1" si="1"/>
        <v>15575.025974025973</v>
      </c>
    </row>
    <row r="134" spans="1:5" x14ac:dyDescent="0.25">
      <c r="A134">
        <v>3</v>
      </c>
      <c r="B134">
        <v>10</v>
      </c>
      <c r="C134" t="s">
        <v>2</v>
      </c>
      <c r="D134" t="s">
        <v>9</v>
      </c>
      <c r="E134">
        <f t="shared" ca="1" si="1"/>
        <v>36057.785714285732</v>
      </c>
    </row>
    <row r="135" spans="1:5" x14ac:dyDescent="0.25">
      <c r="A135">
        <v>3</v>
      </c>
      <c r="B135">
        <v>11</v>
      </c>
      <c r="C135" t="s">
        <v>2</v>
      </c>
      <c r="D135" t="s">
        <v>10</v>
      </c>
      <c r="E135">
        <f t="shared" ca="1" si="1"/>
        <v>36224.95604395603</v>
      </c>
    </row>
    <row r="136" spans="1:5" x14ac:dyDescent="0.25">
      <c r="A136">
        <v>3</v>
      </c>
      <c r="B136">
        <v>12</v>
      </c>
      <c r="C136" t="s">
        <v>2</v>
      </c>
      <c r="D136" t="s">
        <v>11</v>
      </c>
      <c r="E136">
        <f t="shared" ca="1" si="1"/>
        <v>33193.571428571428</v>
      </c>
    </row>
    <row r="137" spans="1:5" x14ac:dyDescent="0.25">
      <c r="A137">
        <v>3</v>
      </c>
      <c r="B137">
        <v>13</v>
      </c>
      <c r="C137" t="s">
        <v>2</v>
      </c>
      <c r="D137" t="s">
        <v>12</v>
      </c>
      <c r="E137">
        <f t="shared" ca="1" si="1"/>
        <v>18271.956043956048</v>
      </c>
    </row>
    <row r="138" spans="1:5" x14ac:dyDescent="0.25">
      <c r="A138">
        <v>3</v>
      </c>
      <c r="B138">
        <v>14</v>
      </c>
      <c r="C138" t="s">
        <v>2</v>
      </c>
      <c r="D138" t="s">
        <v>13</v>
      </c>
      <c r="E138">
        <f t="shared" ca="1" si="1"/>
        <v>38896.95604395603</v>
      </c>
    </row>
    <row r="139" spans="1:5" x14ac:dyDescent="0.25">
      <c r="A139">
        <v>3</v>
      </c>
      <c r="B139">
        <v>15</v>
      </c>
      <c r="C139" t="s">
        <v>2</v>
      </c>
      <c r="D139" t="s">
        <v>14</v>
      </c>
      <c r="E139">
        <f t="shared" ca="1" si="1"/>
        <v>62696.340659340625</v>
      </c>
    </row>
    <row r="140" spans="1:5" x14ac:dyDescent="0.25">
      <c r="A140">
        <v>3</v>
      </c>
      <c r="B140">
        <v>16</v>
      </c>
      <c r="C140" t="s">
        <v>2</v>
      </c>
      <c r="D140" t="s">
        <v>15</v>
      </c>
      <c r="E140">
        <f t="shared" ca="1" si="1"/>
        <v>52388.80219780223</v>
      </c>
    </row>
    <row r="141" spans="1:5" x14ac:dyDescent="0.25">
      <c r="A141">
        <v>3</v>
      </c>
      <c r="B141">
        <v>17</v>
      </c>
      <c r="C141" t="s">
        <v>2</v>
      </c>
      <c r="D141" t="s">
        <v>16</v>
      </c>
      <c r="E141">
        <f t="shared" ca="1" si="1"/>
        <v>79447.879120879137</v>
      </c>
    </row>
    <row r="142" spans="1:5" x14ac:dyDescent="0.25">
      <c r="A142">
        <v>3</v>
      </c>
      <c r="B142">
        <v>18</v>
      </c>
      <c r="C142" t="s">
        <v>2</v>
      </c>
      <c r="D142" t="s">
        <v>17</v>
      </c>
      <c r="E142">
        <f t="shared" ca="1" si="1"/>
        <v>38714.340659340633</v>
      </c>
    </row>
    <row r="143" spans="1:5" x14ac:dyDescent="0.25">
      <c r="A143">
        <v>3</v>
      </c>
      <c r="B143">
        <v>19</v>
      </c>
      <c r="C143" t="s">
        <v>2</v>
      </c>
      <c r="D143" t="s">
        <v>18</v>
      </c>
      <c r="E143">
        <f t="shared" ca="1" si="1"/>
        <v>16265.494505494509</v>
      </c>
    </row>
    <row r="144" spans="1:5" x14ac:dyDescent="0.25">
      <c r="A144">
        <v>3</v>
      </c>
      <c r="B144">
        <v>20</v>
      </c>
      <c r="C144" t="s">
        <v>2</v>
      </c>
      <c r="D144" t="s">
        <v>19</v>
      </c>
      <c r="E144">
        <f t="shared" ca="1" si="1"/>
        <v>73437.263736263732</v>
      </c>
    </row>
    <row r="145" spans="1:5" x14ac:dyDescent="0.25">
      <c r="A145">
        <v>3</v>
      </c>
      <c r="B145">
        <v>21</v>
      </c>
      <c r="C145" t="s">
        <v>2</v>
      </c>
      <c r="D145" t="s">
        <v>20</v>
      </c>
      <c r="E145">
        <f t="shared" ca="1" si="1"/>
        <v>52281.87912087913</v>
      </c>
    </row>
    <row r="146" spans="1:5" x14ac:dyDescent="0.25">
      <c r="A146">
        <v>3</v>
      </c>
      <c r="B146">
        <v>22</v>
      </c>
      <c r="C146" t="s">
        <v>2</v>
      </c>
      <c r="D146" t="s">
        <v>21</v>
      </c>
      <c r="E146">
        <f t="shared" ca="1" si="1"/>
        <v>36721.725274725228</v>
      </c>
    </row>
    <row r="147" spans="1:5" x14ac:dyDescent="0.25">
      <c r="A147">
        <v>3</v>
      </c>
      <c r="B147">
        <v>23</v>
      </c>
      <c r="C147" t="s">
        <v>2</v>
      </c>
      <c r="D147" t="s">
        <v>22</v>
      </c>
      <c r="E147">
        <f t="shared" ca="1" si="1"/>
        <v>21400.26373626374</v>
      </c>
    </row>
    <row r="148" spans="1:5" x14ac:dyDescent="0.25">
      <c r="A148">
        <v>3</v>
      </c>
      <c r="B148">
        <v>24</v>
      </c>
      <c r="C148" t="s">
        <v>2</v>
      </c>
      <c r="D148" t="s">
        <v>23</v>
      </c>
      <c r="E148">
        <f t="shared" ca="1" si="1"/>
        <v>22562.648351648349</v>
      </c>
    </row>
    <row r="149" spans="1:5" x14ac:dyDescent="0.25">
      <c r="A149">
        <v>3</v>
      </c>
      <c r="B149">
        <v>25</v>
      </c>
      <c r="C149" t="s">
        <v>2</v>
      </c>
      <c r="D149" t="s">
        <v>24</v>
      </c>
      <c r="E149">
        <f t="shared" ca="1" si="1"/>
        <v>20167.26373626374</v>
      </c>
    </row>
    <row r="150" spans="1:5" x14ac:dyDescent="0.25">
      <c r="A150">
        <v>3</v>
      </c>
      <c r="B150">
        <v>26</v>
      </c>
      <c r="C150" t="s">
        <v>2</v>
      </c>
      <c r="D150" t="s">
        <v>25</v>
      </c>
      <c r="E150">
        <f t="shared" ca="1" si="1"/>
        <v>19246.340659340658</v>
      </c>
    </row>
    <row r="151" spans="1:5" x14ac:dyDescent="0.25">
      <c r="A151">
        <v>3</v>
      </c>
      <c r="B151">
        <v>27</v>
      </c>
      <c r="C151" t="s">
        <v>2</v>
      </c>
      <c r="D151" t="s">
        <v>145</v>
      </c>
      <c r="E151">
        <f t="shared" ca="1" si="1"/>
        <v>74461.571428571435</v>
      </c>
    </row>
    <row r="152" spans="1:5" x14ac:dyDescent="0.25">
      <c r="A152">
        <v>3</v>
      </c>
      <c r="B152">
        <v>28</v>
      </c>
      <c r="C152" t="s">
        <v>2</v>
      </c>
      <c r="D152" t="s">
        <v>147</v>
      </c>
      <c r="E152">
        <f t="shared" ca="1" si="1"/>
        <v>51525.87142857143</v>
      </c>
    </row>
    <row r="153" spans="1:5" x14ac:dyDescent="0.25">
      <c r="A153">
        <v>3</v>
      </c>
      <c r="B153">
        <v>29</v>
      </c>
      <c r="C153" t="s">
        <v>2</v>
      </c>
      <c r="D153" t="s">
        <v>146</v>
      </c>
      <c r="E153">
        <f t="shared" ca="1" si="1"/>
        <v>22732.87142857143</v>
      </c>
    </row>
    <row r="154" spans="1:5" x14ac:dyDescent="0.25">
      <c r="A154">
        <v>3</v>
      </c>
      <c r="B154">
        <v>30</v>
      </c>
      <c r="C154" t="s">
        <v>2</v>
      </c>
      <c r="D154" t="s">
        <v>30</v>
      </c>
      <c r="E154">
        <f t="shared" ca="1" si="1"/>
        <v>17622.03296703297</v>
      </c>
    </row>
    <row r="155" spans="1:5" x14ac:dyDescent="0.25">
      <c r="A155">
        <v>3</v>
      </c>
      <c r="B155">
        <v>31</v>
      </c>
      <c r="C155" t="s">
        <v>2</v>
      </c>
      <c r="D155" t="s">
        <v>31</v>
      </c>
      <c r="E155">
        <f t="shared" ca="1" si="1"/>
        <v>15466.956043956045</v>
      </c>
    </row>
    <row r="156" spans="1:5" x14ac:dyDescent="0.25">
      <c r="A156">
        <v>3</v>
      </c>
      <c r="B156">
        <v>32</v>
      </c>
      <c r="C156" t="s">
        <v>2</v>
      </c>
      <c r="D156" t="s">
        <v>32</v>
      </c>
      <c r="E156">
        <f t="shared" ca="1" si="1"/>
        <v>79144.340659340625</v>
      </c>
    </row>
    <row r="157" spans="1:5" x14ac:dyDescent="0.25">
      <c r="A157">
        <v>3</v>
      </c>
      <c r="B157">
        <v>33</v>
      </c>
      <c r="C157" t="s">
        <v>2</v>
      </c>
      <c r="D157" t="s">
        <v>33</v>
      </c>
      <c r="E157">
        <f t="shared" ca="1" si="1"/>
        <v>311754.8791208794</v>
      </c>
    </row>
    <row r="158" spans="1:5" x14ac:dyDescent="0.25">
      <c r="A158">
        <v>3</v>
      </c>
      <c r="B158">
        <v>34</v>
      </c>
      <c r="C158" t="s">
        <v>2</v>
      </c>
      <c r="D158" t="s">
        <v>34</v>
      </c>
      <c r="E158">
        <f t="shared" ca="1" si="1"/>
        <v>38073.186813186832</v>
      </c>
    </row>
    <row r="159" spans="1:5" x14ac:dyDescent="0.25">
      <c r="A159">
        <v>3</v>
      </c>
      <c r="B159">
        <v>35</v>
      </c>
      <c r="C159" t="s">
        <v>2</v>
      </c>
      <c r="D159" t="s">
        <v>35</v>
      </c>
      <c r="E159">
        <f t="shared" ca="1" si="1"/>
        <v>18697.41758241758</v>
      </c>
    </row>
    <row r="160" spans="1:5" x14ac:dyDescent="0.25">
      <c r="A160">
        <v>3</v>
      </c>
      <c r="B160">
        <v>36</v>
      </c>
      <c r="C160" t="s">
        <v>2</v>
      </c>
      <c r="D160" t="s">
        <v>36</v>
      </c>
      <c r="E160">
        <f t="shared" ca="1" si="1"/>
        <v>25116.417582417627</v>
      </c>
    </row>
    <row r="161" spans="1:5" x14ac:dyDescent="0.25">
      <c r="A161">
        <v>3</v>
      </c>
      <c r="B161">
        <v>37</v>
      </c>
      <c r="C161" t="s">
        <v>2</v>
      </c>
      <c r="D161" t="s">
        <v>37</v>
      </c>
      <c r="E161">
        <f t="shared" ca="1" si="1"/>
        <v>15084.571428571429</v>
      </c>
    </row>
    <row r="162" spans="1:5" x14ac:dyDescent="0.25">
      <c r="A162">
        <v>3</v>
      </c>
      <c r="B162">
        <v>38</v>
      </c>
      <c r="C162" t="s">
        <v>2</v>
      </c>
      <c r="D162" t="s">
        <v>38</v>
      </c>
      <c r="E162">
        <f t="shared" ca="1" si="1"/>
        <v>18154.956043956048</v>
      </c>
    </row>
    <row r="163" spans="1:5" x14ac:dyDescent="0.25">
      <c r="A163">
        <v>3</v>
      </c>
      <c r="B163">
        <v>39</v>
      </c>
      <c r="C163" t="s">
        <v>2</v>
      </c>
      <c r="D163" t="s">
        <v>39</v>
      </c>
      <c r="E163">
        <f t="shared" ca="1" si="1"/>
        <v>24701.340659340662</v>
      </c>
    </row>
    <row r="164" spans="1:5" x14ac:dyDescent="0.25">
      <c r="A164">
        <v>3</v>
      </c>
      <c r="B164">
        <v>40</v>
      </c>
      <c r="C164" t="s">
        <v>2</v>
      </c>
      <c r="D164" t="s">
        <v>40</v>
      </c>
      <c r="E164">
        <f t="shared" ca="1" si="1"/>
        <v>37060.263736263732</v>
      </c>
    </row>
    <row r="165" spans="1:5" x14ac:dyDescent="0.25">
      <c r="A165">
        <v>4</v>
      </c>
      <c r="B165">
        <v>1</v>
      </c>
      <c r="C165" t="s">
        <v>3</v>
      </c>
      <c r="D165" t="s">
        <v>0</v>
      </c>
      <c r="E165">
        <f t="shared" ca="1" si="1"/>
        <v>122097.21428571426</v>
      </c>
    </row>
    <row r="166" spans="1:5" x14ac:dyDescent="0.25">
      <c r="A166">
        <v>4</v>
      </c>
      <c r="B166">
        <v>2</v>
      </c>
      <c r="C166" t="s">
        <v>3</v>
      </c>
      <c r="D166" t="s">
        <v>1</v>
      </c>
      <c r="E166">
        <f t="shared" ca="1" si="1"/>
        <v>50836.214285714261</v>
      </c>
    </row>
    <row r="167" spans="1:5" x14ac:dyDescent="0.25">
      <c r="A167">
        <v>4</v>
      </c>
      <c r="B167">
        <v>3</v>
      </c>
      <c r="C167" t="s">
        <v>3</v>
      </c>
      <c r="D167" t="s">
        <v>2</v>
      </c>
      <c r="E167">
        <f t="shared" ca="1" si="1"/>
        <v>46100.857142857159</v>
      </c>
    </row>
    <row r="168" spans="1:5" x14ac:dyDescent="0.25">
      <c r="A168">
        <v>4</v>
      </c>
      <c r="B168">
        <v>4</v>
      </c>
      <c r="C168" t="s">
        <v>3</v>
      </c>
      <c r="D168" t="s">
        <v>3</v>
      </c>
      <c r="E168">
        <f t="shared" ca="1" si="1"/>
        <v>0</v>
      </c>
    </row>
    <row r="169" spans="1:5" x14ac:dyDescent="0.25">
      <c r="A169">
        <v>4</v>
      </c>
      <c r="B169">
        <v>5</v>
      </c>
      <c r="C169" t="s">
        <v>3</v>
      </c>
      <c r="D169" t="s">
        <v>4</v>
      </c>
      <c r="E169">
        <f t="shared" ca="1" si="1"/>
        <v>94493.785714285754</v>
      </c>
    </row>
    <row r="170" spans="1:5" x14ac:dyDescent="0.25">
      <c r="A170">
        <v>4</v>
      </c>
      <c r="B170">
        <v>6</v>
      </c>
      <c r="C170" t="s">
        <v>3</v>
      </c>
      <c r="D170" t="s">
        <v>5</v>
      </c>
      <c r="E170">
        <f t="shared" ca="1" si="1"/>
        <v>42821.928571428558</v>
      </c>
    </row>
    <row r="171" spans="1:5" x14ac:dyDescent="0.25">
      <c r="A171">
        <v>4</v>
      </c>
      <c r="B171">
        <v>7</v>
      </c>
      <c r="C171" t="s">
        <v>3</v>
      </c>
      <c r="D171" t="s">
        <v>6</v>
      </c>
      <c r="E171">
        <f t="shared" ref="E171:E232" ca="1" si="2">OFFSET($B$2,A171,B171)</f>
        <v>34571.928571428565</v>
      </c>
    </row>
    <row r="172" spans="1:5" x14ac:dyDescent="0.25">
      <c r="A172">
        <v>4</v>
      </c>
      <c r="B172">
        <v>8</v>
      </c>
      <c r="C172" t="s">
        <v>3</v>
      </c>
      <c r="D172" t="s">
        <v>7</v>
      </c>
      <c r="E172">
        <f t="shared" ca="1" si="2"/>
        <v>64218.999999999956</v>
      </c>
    </row>
    <row r="173" spans="1:5" x14ac:dyDescent="0.25">
      <c r="A173">
        <v>4</v>
      </c>
      <c r="B173">
        <v>9</v>
      </c>
      <c r="C173" t="s">
        <v>3</v>
      </c>
      <c r="D173" t="s">
        <v>148</v>
      </c>
      <c r="E173">
        <f t="shared" ca="1" si="2"/>
        <v>30214.597402597403</v>
      </c>
    </row>
    <row r="174" spans="1:5" x14ac:dyDescent="0.25">
      <c r="A174">
        <v>4</v>
      </c>
      <c r="B174">
        <v>10</v>
      </c>
      <c r="C174" t="s">
        <v>3</v>
      </c>
      <c r="D174" t="s">
        <v>9</v>
      </c>
      <c r="E174">
        <f t="shared" ca="1" si="2"/>
        <v>50697.357142857159</v>
      </c>
    </row>
    <row r="175" spans="1:5" x14ac:dyDescent="0.25">
      <c r="A175">
        <v>4</v>
      </c>
      <c r="B175">
        <v>11</v>
      </c>
      <c r="C175" t="s">
        <v>3</v>
      </c>
      <c r="D175" t="s">
        <v>10</v>
      </c>
      <c r="E175">
        <f t="shared" ca="1" si="2"/>
        <v>50864.527472527458</v>
      </c>
    </row>
    <row r="176" spans="1:5" x14ac:dyDescent="0.25">
      <c r="A176">
        <v>4</v>
      </c>
      <c r="B176">
        <v>12</v>
      </c>
      <c r="C176" t="s">
        <v>3</v>
      </c>
      <c r="D176" t="s">
        <v>11</v>
      </c>
      <c r="E176">
        <f t="shared" ca="1" si="2"/>
        <v>47833.142857142855</v>
      </c>
    </row>
    <row r="177" spans="1:5" x14ac:dyDescent="0.25">
      <c r="A177">
        <v>4</v>
      </c>
      <c r="B177">
        <v>13</v>
      </c>
      <c r="C177" t="s">
        <v>3</v>
      </c>
      <c r="D177" t="s">
        <v>12</v>
      </c>
      <c r="E177">
        <f t="shared" ca="1" si="2"/>
        <v>32911.527472527479</v>
      </c>
    </row>
    <row r="178" spans="1:5" x14ac:dyDescent="0.25">
      <c r="A178">
        <v>4</v>
      </c>
      <c r="B178">
        <v>14</v>
      </c>
      <c r="C178" t="s">
        <v>3</v>
      </c>
      <c r="D178" t="s">
        <v>13</v>
      </c>
      <c r="E178">
        <f t="shared" ca="1" si="2"/>
        <v>53536.527472527458</v>
      </c>
    </row>
    <row r="179" spans="1:5" x14ac:dyDescent="0.25">
      <c r="A179">
        <v>4</v>
      </c>
      <c r="B179">
        <v>15</v>
      </c>
      <c r="C179" t="s">
        <v>3</v>
      </c>
      <c r="D179" t="s">
        <v>14</v>
      </c>
      <c r="E179">
        <f t="shared" ca="1" si="2"/>
        <v>77335.91208791206</v>
      </c>
    </row>
    <row r="180" spans="1:5" x14ac:dyDescent="0.25">
      <c r="A180">
        <v>4</v>
      </c>
      <c r="B180">
        <v>16</v>
      </c>
      <c r="C180" t="s">
        <v>3</v>
      </c>
      <c r="D180" t="s">
        <v>15</v>
      </c>
      <c r="E180">
        <f t="shared" ca="1" si="2"/>
        <v>67028.373626373665</v>
      </c>
    </row>
    <row r="181" spans="1:5" x14ac:dyDescent="0.25">
      <c r="A181">
        <v>4</v>
      </c>
      <c r="B181">
        <v>17</v>
      </c>
      <c r="C181" t="s">
        <v>3</v>
      </c>
      <c r="D181" t="s">
        <v>16</v>
      </c>
      <c r="E181">
        <f t="shared" ca="1" si="2"/>
        <v>94087.450549450557</v>
      </c>
    </row>
    <row r="182" spans="1:5" x14ac:dyDescent="0.25">
      <c r="A182">
        <v>4</v>
      </c>
      <c r="B182">
        <v>18</v>
      </c>
      <c r="C182" t="s">
        <v>3</v>
      </c>
      <c r="D182" t="s">
        <v>17</v>
      </c>
      <c r="E182">
        <f t="shared" ca="1" si="2"/>
        <v>53353.91208791206</v>
      </c>
    </row>
    <row r="183" spans="1:5" x14ac:dyDescent="0.25">
      <c r="A183">
        <v>4</v>
      </c>
      <c r="B183">
        <v>19</v>
      </c>
      <c r="C183" t="s">
        <v>3</v>
      </c>
      <c r="D183" t="s">
        <v>18</v>
      </c>
      <c r="E183">
        <f t="shared" ca="1" si="2"/>
        <v>30905.06593406594</v>
      </c>
    </row>
    <row r="184" spans="1:5" x14ac:dyDescent="0.25">
      <c r="A184">
        <v>4</v>
      </c>
      <c r="B184">
        <v>20</v>
      </c>
      <c r="C184" t="s">
        <v>3</v>
      </c>
      <c r="D184" t="s">
        <v>19</v>
      </c>
      <c r="E184">
        <f t="shared" ca="1" si="2"/>
        <v>88076.835164835153</v>
      </c>
    </row>
    <row r="185" spans="1:5" x14ac:dyDescent="0.25">
      <c r="A185">
        <v>4</v>
      </c>
      <c r="B185">
        <v>21</v>
      </c>
      <c r="C185" t="s">
        <v>3</v>
      </c>
      <c r="D185" t="s">
        <v>20</v>
      </c>
      <c r="E185">
        <f t="shared" ca="1" si="2"/>
        <v>66921.450549450557</v>
      </c>
    </row>
    <row r="186" spans="1:5" x14ac:dyDescent="0.25">
      <c r="A186">
        <v>4</v>
      </c>
      <c r="B186">
        <v>22</v>
      </c>
      <c r="C186" t="s">
        <v>3</v>
      </c>
      <c r="D186" t="s">
        <v>21</v>
      </c>
      <c r="E186">
        <f t="shared" ca="1" si="2"/>
        <v>51361.296703296655</v>
      </c>
    </row>
    <row r="187" spans="1:5" x14ac:dyDescent="0.25">
      <c r="A187">
        <v>4</v>
      </c>
      <c r="B187">
        <v>23</v>
      </c>
      <c r="C187" t="s">
        <v>3</v>
      </c>
      <c r="D187" t="s">
        <v>22</v>
      </c>
      <c r="E187">
        <f t="shared" ca="1" si="2"/>
        <v>36039.835164835167</v>
      </c>
    </row>
    <row r="188" spans="1:5" x14ac:dyDescent="0.25">
      <c r="A188">
        <v>4</v>
      </c>
      <c r="B188">
        <v>24</v>
      </c>
      <c r="C188" t="s">
        <v>3</v>
      </c>
      <c r="D188" t="s">
        <v>23</v>
      </c>
      <c r="E188">
        <f t="shared" ca="1" si="2"/>
        <v>37202.219780219777</v>
      </c>
    </row>
    <row r="189" spans="1:5" x14ac:dyDescent="0.25">
      <c r="A189">
        <v>4</v>
      </c>
      <c r="B189">
        <v>25</v>
      </c>
      <c r="C189" t="s">
        <v>3</v>
      </c>
      <c r="D189" t="s">
        <v>24</v>
      </c>
      <c r="E189">
        <f t="shared" ca="1" si="2"/>
        <v>34806.835164835167</v>
      </c>
    </row>
    <row r="190" spans="1:5" x14ac:dyDescent="0.25">
      <c r="A190">
        <v>4</v>
      </c>
      <c r="B190">
        <v>26</v>
      </c>
      <c r="C190" t="s">
        <v>3</v>
      </c>
      <c r="D190" t="s">
        <v>25</v>
      </c>
      <c r="E190">
        <f t="shared" ca="1" si="2"/>
        <v>33885.912087912089</v>
      </c>
    </row>
    <row r="191" spans="1:5" x14ac:dyDescent="0.25">
      <c r="A191">
        <v>4</v>
      </c>
      <c r="B191">
        <v>27</v>
      </c>
      <c r="C191" t="s">
        <v>3</v>
      </c>
      <c r="D191" t="s">
        <v>145</v>
      </c>
      <c r="E191">
        <f t="shared" ca="1" si="2"/>
        <v>89101.142857142855</v>
      </c>
    </row>
    <row r="192" spans="1:5" x14ac:dyDescent="0.25">
      <c r="A192">
        <v>4</v>
      </c>
      <c r="B192">
        <v>28</v>
      </c>
      <c r="C192" t="s">
        <v>3</v>
      </c>
      <c r="D192" t="s">
        <v>147</v>
      </c>
      <c r="E192">
        <f t="shared" ca="1" si="2"/>
        <v>66165.442857142858</v>
      </c>
    </row>
    <row r="193" spans="1:5" x14ac:dyDescent="0.25">
      <c r="A193">
        <v>4</v>
      </c>
      <c r="B193">
        <v>29</v>
      </c>
      <c r="C193" t="s">
        <v>3</v>
      </c>
      <c r="D193" t="s">
        <v>146</v>
      </c>
      <c r="E193">
        <f t="shared" ca="1" si="2"/>
        <v>37372.442857142858</v>
      </c>
    </row>
    <row r="194" spans="1:5" x14ac:dyDescent="0.25">
      <c r="A194">
        <v>4</v>
      </c>
      <c r="B194">
        <v>30</v>
      </c>
      <c r="C194" t="s">
        <v>3</v>
      </c>
      <c r="D194" t="s">
        <v>30</v>
      </c>
      <c r="E194">
        <f t="shared" ca="1" si="2"/>
        <v>32261.604395604398</v>
      </c>
    </row>
    <row r="195" spans="1:5" x14ac:dyDescent="0.25">
      <c r="A195">
        <v>4</v>
      </c>
      <c r="B195">
        <v>31</v>
      </c>
      <c r="C195" t="s">
        <v>3</v>
      </c>
      <c r="D195" t="s">
        <v>31</v>
      </c>
      <c r="E195">
        <f t="shared" ca="1" si="2"/>
        <v>30106.527472527472</v>
      </c>
    </row>
    <row r="196" spans="1:5" x14ac:dyDescent="0.25">
      <c r="A196">
        <v>4</v>
      </c>
      <c r="B196">
        <v>32</v>
      </c>
      <c r="C196" t="s">
        <v>3</v>
      </c>
      <c r="D196" t="s">
        <v>32</v>
      </c>
      <c r="E196">
        <f t="shared" ca="1" si="2"/>
        <v>93783.91208791206</v>
      </c>
    </row>
    <row r="197" spans="1:5" x14ac:dyDescent="0.25">
      <c r="A197">
        <v>4</v>
      </c>
      <c r="B197">
        <v>33</v>
      </c>
      <c r="C197" t="s">
        <v>3</v>
      </c>
      <c r="D197" t="s">
        <v>33</v>
      </c>
      <c r="E197">
        <f t="shared" ca="1" si="2"/>
        <v>326394.45054945082</v>
      </c>
    </row>
    <row r="198" spans="1:5" x14ac:dyDescent="0.25">
      <c r="A198">
        <v>4</v>
      </c>
      <c r="B198">
        <v>34</v>
      </c>
      <c r="C198" t="s">
        <v>3</v>
      </c>
      <c r="D198" t="s">
        <v>34</v>
      </c>
      <c r="E198">
        <f t="shared" ca="1" si="2"/>
        <v>52712.75824175826</v>
      </c>
    </row>
    <row r="199" spans="1:5" x14ac:dyDescent="0.25">
      <c r="A199">
        <v>4</v>
      </c>
      <c r="B199">
        <v>35</v>
      </c>
      <c r="C199" t="s">
        <v>3</v>
      </c>
      <c r="D199" t="s">
        <v>35</v>
      </c>
      <c r="E199">
        <f t="shared" ca="1" si="2"/>
        <v>33336.989010989011</v>
      </c>
    </row>
    <row r="200" spans="1:5" x14ac:dyDescent="0.25">
      <c r="A200">
        <v>4</v>
      </c>
      <c r="B200">
        <v>36</v>
      </c>
      <c r="C200" t="s">
        <v>3</v>
      </c>
      <c r="D200" t="s">
        <v>36</v>
      </c>
      <c r="E200">
        <f t="shared" ca="1" si="2"/>
        <v>39755.989010989055</v>
      </c>
    </row>
    <row r="201" spans="1:5" x14ac:dyDescent="0.25">
      <c r="A201">
        <v>4</v>
      </c>
      <c r="B201">
        <v>37</v>
      </c>
      <c r="C201" t="s">
        <v>3</v>
      </c>
      <c r="D201" t="s">
        <v>37</v>
      </c>
      <c r="E201">
        <f t="shared" ca="1" si="2"/>
        <v>29724.142857142859</v>
      </c>
    </row>
    <row r="202" spans="1:5" x14ac:dyDescent="0.25">
      <c r="A202">
        <v>4</v>
      </c>
      <c r="B202">
        <v>38</v>
      </c>
      <c r="C202" t="s">
        <v>3</v>
      </c>
      <c r="D202" t="s">
        <v>38</v>
      </c>
      <c r="E202">
        <f t="shared" ca="1" si="2"/>
        <v>32794.527472527479</v>
      </c>
    </row>
    <row r="203" spans="1:5" x14ac:dyDescent="0.25">
      <c r="A203">
        <v>4</v>
      </c>
      <c r="B203">
        <v>39</v>
      </c>
      <c r="C203" t="s">
        <v>3</v>
      </c>
      <c r="D203" t="s">
        <v>39</v>
      </c>
      <c r="E203">
        <f t="shared" ca="1" si="2"/>
        <v>39340.912087912089</v>
      </c>
    </row>
    <row r="204" spans="1:5" x14ac:dyDescent="0.25">
      <c r="A204">
        <v>4</v>
      </c>
      <c r="B204">
        <v>40</v>
      </c>
      <c r="C204" t="s">
        <v>3</v>
      </c>
      <c r="D204" t="s">
        <v>40</v>
      </c>
      <c r="E204">
        <f t="shared" ca="1" si="2"/>
        <v>51699.83516483516</v>
      </c>
    </row>
    <row r="205" spans="1:5" x14ac:dyDescent="0.25">
      <c r="A205">
        <v>5</v>
      </c>
      <c r="B205">
        <v>1</v>
      </c>
      <c r="C205" t="s">
        <v>4</v>
      </c>
      <c r="D205" t="s">
        <v>0</v>
      </c>
      <c r="E205">
        <f t="shared" ca="1" si="2"/>
        <v>139023.14285714284</v>
      </c>
    </row>
    <row r="206" spans="1:5" x14ac:dyDescent="0.25">
      <c r="A206">
        <v>5</v>
      </c>
      <c r="B206">
        <v>2</v>
      </c>
      <c r="C206" t="s">
        <v>4</v>
      </c>
      <c r="D206" t="s">
        <v>1</v>
      </c>
      <c r="E206">
        <f t="shared" ca="1" si="2"/>
        <v>67762.142857142826</v>
      </c>
    </row>
    <row r="207" spans="1:5" x14ac:dyDescent="0.25">
      <c r="A207">
        <v>5</v>
      </c>
      <c r="B207">
        <v>3</v>
      </c>
      <c r="C207" t="s">
        <v>4</v>
      </c>
      <c r="D207" t="s">
        <v>2</v>
      </c>
      <c r="E207">
        <f t="shared" ca="1" si="2"/>
        <v>63026.785714285725</v>
      </c>
    </row>
    <row r="208" spans="1:5" x14ac:dyDescent="0.25">
      <c r="A208">
        <v>5</v>
      </c>
      <c r="B208">
        <v>4</v>
      </c>
      <c r="C208" t="s">
        <v>4</v>
      </c>
      <c r="D208" t="s">
        <v>3</v>
      </c>
      <c r="E208">
        <f t="shared" ca="1" si="2"/>
        <v>77683.142857142826</v>
      </c>
    </row>
    <row r="209" spans="1:5" x14ac:dyDescent="0.25">
      <c r="A209">
        <v>5</v>
      </c>
      <c r="B209">
        <v>5</v>
      </c>
      <c r="C209" t="s">
        <v>4</v>
      </c>
      <c r="D209" t="s">
        <v>4</v>
      </c>
      <c r="E209">
        <f t="shared" ca="1" si="2"/>
        <v>0</v>
      </c>
    </row>
    <row r="210" spans="1:5" x14ac:dyDescent="0.25">
      <c r="A210">
        <v>5</v>
      </c>
      <c r="B210">
        <v>6</v>
      </c>
      <c r="C210" t="s">
        <v>4</v>
      </c>
      <c r="D210" t="s">
        <v>5</v>
      </c>
      <c r="E210">
        <f t="shared" ca="1" si="2"/>
        <v>59747.85714285713</v>
      </c>
    </row>
    <row r="211" spans="1:5" x14ac:dyDescent="0.25">
      <c r="A211">
        <v>5</v>
      </c>
      <c r="B211">
        <v>7</v>
      </c>
      <c r="C211" t="s">
        <v>4</v>
      </c>
      <c r="D211" t="s">
        <v>6</v>
      </c>
      <c r="E211">
        <f t="shared" ca="1" si="2"/>
        <v>51497.857142857138</v>
      </c>
    </row>
    <row r="212" spans="1:5" x14ac:dyDescent="0.25">
      <c r="A212">
        <v>5</v>
      </c>
      <c r="B212">
        <v>8</v>
      </c>
      <c r="C212" t="s">
        <v>4</v>
      </c>
      <c r="D212" t="s">
        <v>7</v>
      </c>
      <c r="E212">
        <f t="shared" ca="1" si="2"/>
        <v>81144.928571428522</v>
      </c>
    </row>
    <row r="213" spans="1:5" x14ac:dyDescent="0.25">
      <c r="A213">
        <v>5</v>
      </c>
      <c r="B213">
        <v>9</v>
      </c>
      <c r="C213" t="s">
        <v>4</v>
      </c>
      <c r="D213" t="s">
        <v>148</v>
      </c>
      <c r="E213">
        <f t="shared" ca="1" si="2"/>
        <v>47140.525974025972</v>
      </c>
    </row>
    <row r="214" spans="1:5" x14ac:dyDescent="0.25">
      <c r="A214">
        <v>5</v>
      </c>
      <c r="B214">
        <v>10</v>
      </c>
      <c r="C214" t="s">
        <v>4</v>
      </c>
      <c r="D214" t="s">
        <v>9</v>
      </c>
      <c r="E214">
        <f t="shared" ca="1" si="2"/>
        <v>67623.285714285725</v>
      </c>
    </row>
    <row r="215" spans="1:5" x14ac:dyDescent="0.25">
      <c r="A215">
        <v>5</v>
      </c>
      <c r="B215">
        <v>11</v>
      </c>
      <c r="C215" t="s">
        <v>4</v>
      </c>
      <c r="D215" t="s">
        <v>10</v>
      </c>
      <c r="E215">
        <f t="shared" ca="1" si="2"/>
        <v>67790.45604395603</v>
      </c>
    </row>
    <row r="216" spans="1:5" x14ac:dyDescent="0.25">
      <c r="A216">
        <v>5</v>
      </c>
      <c r="B216">
        <v>12</v>
      </c>
      <c r="C216" t="s">
        <v>4</v>
      </c>
      <c r="D216" t="s">
        <v>11</v>
      </c>
      <c r="E216">
        <f t="shared" ca="1" si="2"/>
        <v>64759.071428571428</v>
      </c>
    </row>
    <row r="217" spans="1:5" x14ac:dyDescent="0.25">
      <c r="A217">
        <v>5</v>
      </c>
      <c r="B217">
        <v>13</v>
      </c>
      <c r="C217" t="s">
        <v>4</v>
      </c>
      <c r="D217" t="s">
        <v>12</v>
      </c>
      <c r="E217">
        <f t="shared" ca="1" si="2"/>
        <v>49837.456043956045</v>
      </c>
    </row>
    <row r="218" spans="1:5" x14ac:dyDescent="0.25">
      <c r="A218">
        <v>5</v>
      </c>
      <c r="B218">
        <v>14</v>
      </c>
      <c r="C218" t="s">
        <v>4</v>
      </c>
      <c r="D218" t="s">
        <v>13</v>
      </c>
      <c r="E218">
        <f t="shared" ca="1" si="2"/>
        <v>70462.45604395603</v>
      </c>
    </row>
    <row r="219" spans="1:5" x14ac:dyDescent="0.25">
      <c r="A219">
        <v>5</v>
      </c>
      <c r="B219">
        <v>15</v>
      </c>
      <c r="C219" t="s">
        <v>4</v>
      </c>
      <c r="D219" t="s">
        <v>14</v>
      </c>
      <c r="E219">
        <f t="shared" ca="1" si="2"/>
        <v>94261.840659340625</v>
      </c>
    </row>
    <row r="220" spans="1:5" x14ac:dyDescent="0.25">
      <c r="A220">
        <v>5</v>
      </c>
      <c r="B220">
        <v>16</v>
      </c>
      <c r="C220" t="s">
        <v>4</v>
      </c>
      <c r="D220" t="s">
        <v>15</v>
      </c>
      <c r="E220">
        <f t="shared" ca="1" si="2"/>
        <v>83954.30219780223</v>
      </c>
    </row>
    <row r="221" spans="1:5" x14ac:dyDescent="0.25">
      <c r="A221">
        <v>5</v>
      </c>
      <c r="B221">
        <v>17</v>
      </c>
      <c r="C221" t="s">
        <v>4</v>
      </c>
      <c r="D221" t="s">
        <v>16</v>
      </c>
      <c r="E221">
        <f t="shared" ca="1" si="2"/>
        <v>111013.37912087914</v>
      </c>
    </row>
    <row r="222" spans="1:5" x14ac:dyDescent="0.25">
      <c r="A222">
        <v>5</v>
      </c>
      <c r="B222">
        <v>18</v>
      </c>
      <c r="C222" t="s">
        <v>4</v>
      </c>
      <c r="D222" t="s">
        <v>17</v>
      </c>
      <c r="E222">
        <f t="shared" ca="1" si="2"/>
        <v>70279.840659340625</v>
      </c>
    </row>
    <row r="223" spans="1:5" x14ac:dyDescent="0.25">
      <c r="A223">
        <v>5</v>
      </c>
      <c r="B223">
        <v>19</v>
      </c>
      <c r="C223" t="s">
        <v>4</v>
      </c>
      <c r="D223" t="s">
        <v>18</v>
      </c>
      <c r="E223">
        <f t="shared" ca="1" si="2"/>
        <v>47830.994505494506</v>
      </c>
    </row>
    <row r="224" spans="1:5" x14ac:dyDescent="0.25">
      <c r="A224">
        <v>5</v>
      </c>
      <c r="B224">
        <v>20</v>
      </c>
      <c r="C224" t="s">
        <v>4</v>
      </c>
      <c r="D224" t="s">
        <v>19</v>
      </c>
      <c r="E224">
        <f t="shared" ca="1" si="2"/>
        <v>105002.76373626373</v>
      </c>
    </row>
    <row r="225" spans="1:5" x14ac:dyDescent="0.25">
      <c r="A225">
        <v>5</v>
      </c>
      <c r="B225">
        <v>21</v>
      </c>
      <c r="C225" t="s">
        <v>4</v>
      </c>
      <c r="D225" t="s">
        <v>20</v>
      </c>
      <c r="E225">
        <f t="shared" ca="1" si="2"/>
        <v>83847.379120879137</v>
      </c>
    </row>
    <row r="226" spans="1:5" x14ac:dyDescent="0.25">
      <c r="A226">
        <v>5</v>
      </c>
      <c r="B226">
        <v>22</v>
      </c>
      <c r="C226" t="s">
        <v>4</v>
      </c>
      <c r="D226" t="s">
        <v>21</v>
      </c>
      <c r="E226">
        <f t="shared" ca="1" si="2"/>
        <v>68287.225274725235</v>
      </c>
    </row>
    <row r="227" spans="1:5" x14ac:dyDescent="0.25">
      <c r="A227">
        <v>5</v>
      </c>
      <c r="B227">
        <v>23</v>
      </c>
      <c r="C227" t="s">
        <v>4</v>
      </c>
      <c r="D227" t="s">
        <v>22</v>
      </c>
      <c r="E227">
        <f t="shared" ca="1" si="2"/>
        <v>52965.76373626374</v>
      </c>
    </row>
    <row r="228" spans="1:5" x14ac:dyDescent="0.25">
      <c r="A228">
        <v>5</v>
      </c>
      <c r="B228">
        <v>24</v>
      </c>
      <c r="C228" t="s">
        <v>4</v>
      </c>
      <c r="D228" t="s">
        <v>23</v>
      </c>
      <c r="E228">
        <f t="shared" ca="1" si="2"/>
        <v>54128.148351648349</v>
      </c>
    </row>
    <row r="229" spans="1:5" x14ac:dyDescent="0.25">
      <c r="A229">
        <v>5</v>
      </c>
      <c r="B229">
        <v>25</v>
      </c>
      <c r="C229" t="s">
        <v>4</v>
      </c>
      <c r="D229" t="s">
        <v>24</v>
      </c>
      <c r="E229">
        <f t="shared" ca="1" si="2"/>
        <v>51732.76373626374</v>
      </c>
    </row>
    <row r="230" spans="1:5" x14ac:dyDescent="0.25">
      <c r="A230">
        <v>5</v>
      </c>
      <c r="B230">
        <v>26</v>
      </c>
      <c r="C230" t="s">
        <v>4</v>
      </c>
      <c r="D230" t="s">
        <v>25</v>
      </c>
      <c r="E230">
        <f t="shared" ca="1" si="2"/>
        <v>50811.840659340654</v>
      </c>
    </row>
    <row r="231" spans="1:5" x14ac:dyDescent="0.25">
      <c r="A231">
        <v>5</v>
      </c>
      <c r="B231">
        <v>27</v>
      </c>
      <c r="C231" t="s">
        <v>4</v>
      </c>
      <c r="D231" t="s">
        <v>145</v>
      </c>
      <c r="E231">
        <f t="shared" ca="1" si="2"/>
        <v>106027.07142857142</v>
      </c>
    </row>
    <row r="232" spans="1:5" x14ac:dyDescent="0.25">
      <c r="A232">
        <v>5</v>
      </c>
      <c r="B232">
        <v>28</v>
      </c>
      <c r="C232" t="s">
        <v>4</v>
      </c>
      <c r="D232" t="s">
        <v>147</v>
      </c>
      <c r="E232">
        <f t="shared" ca="1" si="2"/>
        <v>83091.371428571438</v>
      </c>
    </row>
    <row r="233" spans="1:5" x14ac:dyDescent="0.25">
      <c r="A233">
        <v>5</v>
      </c>
      <c r="B233">
        <v>29</v>
      </c>
      <c r="C233" t="s">
        <v>4</v>
      </c>
      <c r="D233" t="s">
        <v>146</v>
      </c>
      <c r="E233">
        <f t="shared" ref="E233:E295" ca="1" si="3">OFFSET($B$2,A233,B233)</f>
        <v>54298.37142857143</v>
      </c>
    </row>
    <row r="234" spans="1:5" x14ac:dyDescent="0.25">
      <c r="A234">
        <v>5</v>
      </c>
      <c r="B234">
        <v>30</v>
      </c>
      <c r="C234" t="s">
        <v>4</v>
      </c>
      <c r="D234" t="s">
        <v>30</v>
      </c>
      <c r="E234">
        <f t="shared" ca="1" si="3"/>
        <v>49187.532967032967</v>
      </c>
    </row>
    <row r="235" spans="1:5" x14ac:dyDescent="0.25">
      <c r="A235">
        <v>5</v>
      </c>
      <c r="B235">
        <v>31</v>
      </c>
      <c r="C235" t="s">
        <v>4</v>
      </c>
      <c r="D235" t="s">
        <v>31</v>
      </c>
      <c r="E235">
        <f t="shared" ca="1" si="3"/>
        <v>47032.456043956045</v>
      </c>
    </row>
    <row r="236" spans="1:5" x14ac:dyDescent="0.25">
      <c r="A236">
        <v>5</v>
      </c>
      <c r="B236">
        <v>32</v>
      </c>
      <c r="C236" t="s">
        <v>4</v>
      </c>
      <c r="D236" t="s">
        <v>32</v>
      </c>
      <c r="E236">
        <f t="shared" ca="1" si="3"/>
        <v>110709.84065934063</v>
      </c>
    </row>
    <row r="237" spans="1:5" x14ac:dyDescent="0.25">
      <c r="A237">
        <v>5</v>
      </c>
      <c r="B237">
        <v>33</v>
      </c>
      <c r="C237" t="s">
        <v>4</v>
      </c>
      <c r="D237" t="s">
        <v>33</v>
      </c>
      <c r="E237">
        <f t="shared" ca="1" si="3"/>
        <v>343320.3791208794</v>
      </c>
    </row>
    <row r="238" spans="1:5" x14ac:dyDescent="0.25">
      <c r="A238">
        <v>5</v>
      </c>
      <c r="B238">
        <v>34</v>
      </c>
      <c r="C238" t="s">
        <v>4</v>
      </c>
      <c r="D238" t="s">
        <v>34</v>
      </c>
      <c r="E238">
        <f t="shared" ca="1" si="3"/>
        <v>69638.686813186825</v>
      </c>
    </row>
    <row r="239" spans="1:5" x14ac:dyDescent="0.25">
      <c r="A239">
        <v>5</v>
      </c>
      <c r="B239">
        <v>35</v>
      </c>
      <c r="C239" t="s">
        <v>4</v>
      </c>
      <c r="D239" t="s">
        <v>35</v>
      </c>
      <c r="E239">
        <f t="shared" ca="1" si="3"/>
        <v>50262.917582417576</v>
      </c>
    </row>
    <row r="240" spans="1:5" x14ac:dyDescent="0.25">
      <c r="A240">
        <v>5</v>
      </c>
      <c r="B240">
        <v>36</v>
      </c>
      <c r="C240" t="s">
        <v>4</v>
      </c>
      <c r="D240" t="s">
        <v>36</v>
      </c>
      <c r="E240">
        <f t="shared" ca="1" si="3"/>
        <v>56681.917582417627</v>
      </c>
    </row>
    <row r="241" spans="1:5" x14ac:dyDescent="0.25">
      <c r="A241">
        <v>5</v>
      </c>
      <c r="B241">
        <v>37</v>
      </c>
      <c r="C241" t="s">
        <v>4</v>
      </c>
      <c r="D241" t="s">
        <v>37</v>
      </c>
      <c r="E241">
        <f t="shared" ca="1" si="3"/>
        <v>46650.071428571428</v>
      </c>
    </row>
    <row r="242" spans="1:5" x14ac:dyDescent="0.25">
      <c r="A242">
        <v>5</v>
      </c>
      <c r="B242">
        <v>38</v>
      </c>
      <c r="C242" t="s">
        <v>4</v>
      </c>
      <c r="D242" t="s">
        <v>38</v>
      </c>
      <c r="E242">
        <f t="shared" ca="1" si="3"/>
        <v>49720.456043956045</v>
      </c>
    </row>
    <row r="243" spans="1:5" x14ac:dyDescent="0.25">
      <c r="A243">
        <v>5</v>
      </c>
      <c r="B243">
        <v>39</v>
      </c>
      <c r="C243" t="s">
        <v>4</v>
      </c>
      <c r="D243" t="s">
        <v>39</v>
      </c>
      <c r="E243">
        <f t="shared" ca="1" si="3"/>
        <v>56266.840659340654</v>
      </c>
    </row>
    <row r="244" spans="1:5" x14ac:dyDescent="0.25">
      <c r="A244">
        <v>5</v>
      </c>
      <c r="B244">
        <v>40</v>
      </c>
      <c r="C244" t="s">
        <v>4</v>
      </c>
      <c r="D244" t="s">
        <v>40</v>
      </c>
      <c r="E244">
        <f t="shared" ca="1" si="3"/>
        <v>68625.763736263732</v>
      </c>
    </row>
    <row r="245" spans="1:5" x14ac:dyDescent="0.25">
      <c r="A245">
        <v>6</v>
      </c>
      <c r="B245">
        <v>1</v>
      </c>
      <c r="C245" t="s">
        <v>5</v>
      </c>
      <c r="D245" t="s">
        <v>0</v>
      </c>
      <c r="E245">
        <f t="shared" ca="1" si="3"/>
        <v>103988.2857142857</v>
      </c>
    </row>
    <row r="246" spans="1:5" x14ac:dyDescent="0.25">
      <c r="A246">
        <v>6</v>
      </c>
      <c r="B246">
        <v>2</v>
      </c>
      <c r="C246" t="s">
        <v>5</v>
      </c>
      <c r="D246" t="s">
        <v>1</v>
      </c>
      <c r="E246">
        <f t="shared" ca="1" si="3"/>
        <v>32727.285714285685</v>
      </c>
    </row>
    <row r="247" spans="1:5" x14ac:dyDescent="0.25">
      <c r="A247">
        <v>6</v>
      </c>
      <c r="B247">
        <v>3</v>
      </c>
      <c r="C247" t="s">
        <v>5</v>
      </c>
      <c r="D247" t="s">
        <v>2</v>
      </c>
      <c r="E247">
        <f t="shared" ca="1" si="3"/>
        <v>27991.928571428587</v>
      </c>
    </row>
    <row r="248" spans="1:5" x14ac:dyDescent="0.25">
      <c r="A248">
        <v>6</v>
      </c>
      <c r="B248">
        <v>4</v>
      </c>
      <c r="C248" t="s">
        <v>5</v>
      </c>
      <c r="D248" t="s">
        <v>3</v>
      </c>
      <c r="E248">
        <f t="shared" ca="1" si="3"/>
        <v>42648.285714285681</v>
      </c>
    </row>
    <row r="249" spans="1:5" x14ac:dyDescent="0.25">
      <c r="A249">
        <v>6</v>
      </c>
      <c r="B249">
        <v>5</v>
      </c>
      <c r="C249" t="s">
        <v>5</v>
      </c>
      <c r="D249" t="s">
        <v>4</v>
      </c>
      <c r="E249">
        <f t="shared" ca="1" si="3"/>
        <v>76384.857142857189</v>
      </c>
    </row>
    <row r="250" spans="1:5" x14ac:dyDescent="0.25">
      <c r="A250">
        <v>6</v>
      </c>
      <c r="B250">
        <v>6</v>
      </c>
      <c r="C250" t="s">
        <v>5</v>
      </c>
      <c r="D250" t="s">
        <v>5</v>
      </c>
      <c r="E250">
        <f t="shared" ca="1" si="3"/>
        <v>0</v>
      </c>
    </row>
    <row r="251" spans="1:5" x14ac:dyDescent="0.25">
      <c r="A251">
        <v>6</v>
      </c>
      <c r="B251">
        <v>7</v>
      </c>
      <c r="C251" t="s">
        <v>5</v>
      </c>
      <c r="D251" t="s">
        <v>6</v>
      </c>
      <c r="E251">
        <f t="shared" ca="1" si="3"/>
        <v>16462.999999999996</v>
      </c>
    </row>
    <row r="252" spans="1:5" x14ac:dyDescent="0.25">
      <c r="A252">
        <v>6</v>
      </c>
      <c r="B252">
        <v>8</v>
      </c>
      <c r="C252" t="s">
        <v>5</v>
      </c>
      <c r="D252" t="s">
        <v>7</v>
      </c>
      <c r="E252">
        <f t="shared" ca="1" si="3"/>
        <v>46110.071428571391</v>
      </c>
    </row>
    <row r="253" spans="1:5" x14ac:dyDescent="0.25">
      <c r="A253">
        <v>6</v>
      </c>
      <c r="B253">
        <v>9</v>
      </c>
      <c r="C253" t="s">
        <v>5</v>
      </c>
      <c r="D253" t="s">
        <v>148</v>
      </c>
      <c r="E253">
        <f t="shared" ca="1" si="3"/>
        <v>12105.66883116883</v>
      </c>
    </row>
    <row r="254" spans="1:5" x14ac:dyDescent="0.25">
      <c r="A254">
        <v>6</v>
      </c>
      <c r="B254">
        <v>10</v>
      </c>
      <c r="C254" t="s">
        <v>5</v>
      </c>
      <c r="D254" t="s">
        <v>9</v>
      </c>
      <c r="E254">
        <f t="shared" ca="1" si="3"/>
        <v>32588.428571428587</v>
      </c>
    </row>
    <row r="255" spans="1:5" x14ac:dyDescent="0.25">
      <c r="A255">
        <v>6</v>
      </c>
      <c r="B255">
        <v>11</v>
      </c>
      <c r="C255" t="s">
        <v>5</v>
      </c>
      <c r="D255" t="s">
        <v>10</v>
      </c>
      <c r="E255">
        <f t="shared" ca="1" si="3"/>
        <v>32755.598901098885</v>
      </c>
    </row>
    <row r="256" spans="1:5" x14ac:dyDescent="0.25">
      <c r="A256">
        <v>6</v>
      </c>
      <c r="B256">
        <v>12</v>
      </c>
      <c r="C256" t="s">
        <v>5</v>
      </c>
      <c r="D256" t="s">
        <v>11</v>
      </c>
      <c r="E256">
        <f t="shared" ca="1" si="3"/>
        <v>29724.214285714286</v>
      </c>
    </row>
    <row r="257" spans="1:5" x14ac:dyDescent="0.25">
      <c r="A257">
        <v>6</v>
      </c>
      <c r="B257">
        <v>13</v>
      </c>
      <c r="C257" t="s">
        <v>5</v>
      </c>
      <c r="D257" t="s">
        <v>12</v>
      </c>
      <c r="E257">
        <f t="shared" ca="1" si="3"/>
        <v>14802.598901098907</v>
      </c>
    </row>
    <row r="258" spans="1:5" x14ac:dyDescent="0.25">
      <c r="A258">
        <v>6</v>
      </c>
      <c r="B258">
        <v>14</v>
      </c>
      <c r="C258" t="s">
        <v>5</v>
      </c>
      <c r="D258" t="s">
        <v>13</v>
      </c>
      <c r="E258">
        <f t="shared" ca="1" si="3"/>
        <v>35427.598901098885</v>
      </c>
    </row>
    <row r="259" spans="1:5" x14ac:dyDescent="0.25">
      <c r="A259">
        <v>6</v>
      </c>
      <c r="B259">
        <v>15</v>
      </c>
      <c r="C259" t="s">
        <v>5</v>
      </c>
      <c r="D259" t="s">
        <v>14</v>
      </c>
      <c r="E259">
        <f t="shared" ca="1" si="3"/>
        <v>59226.98351648348</v>
      </c>
    </row>
    <row r="260" spans="1:5" x14ac:dyDescent="0.25">
      <c r="A260">
        <v>6</v>
      </c>
      <c r="B260">
        <v>16</v>
      </c>
      <c r="C260" t="s">
        <v>5</v>
      </c>
      <c r="D260" t="s">
        <v>15</v>
      </c>
      <c r="E260">
        <f t="shared" ca="1" si="3"/>
        <v>48919.445054945085</v>
      </c>
    </row>
    <row r="261" spans="1:5" x14ac:dyDescent="0.25">
      <c r="A261">
        <v>6</v>
      </c>
      <c r="B261">
        <v>17</v>
      </c>
      <c r="C261" t="s">
        <v>5</v>
      </c>
      <c r="D261" t="s">
        <v>16</v>
      </c>
      <c r="E261">
        <f t="shared" ca="1" si="3"/>
        <v>75978.521978021992</v>
      </c>
    </row>
    <row r="262" spans="1:5" x14ac:dyDescent="0.25">
      <c r="A262">
        <v>6</v>
      </c>
      <c r="B262">
        <v>18</v>
      </c>
      <c r="C262" t="s">
        <v>5</v>
      </c>
      <c r="D262" t="s">
        <v>17</v>
      </c>
      <c r="E262">
        <f t="shared" ca="1" si="3"/>
        <v>35244.983516483488</v>
      </c>
    </row>
    <row r="263" spans="1:5" x14ac:dyDescent="0.25">
      <c r="A263">
        <v>6</v>
      </c>
      <c r="B263">
        <v>19</v>
      </c>
      <c r="C263" t="s">
        <v>5</v>
      </c>
      <c r="D263" t="s">
        <v>18</v>
      </c>
      <c r="E263">
        <f t="shared" ca="1" si="3"/>
        <v>12796.137362637366</v>
      </c>
    </row>
    <row r="264" spans="1:5" x14ac:dyDescent="0.25">
      <c r="A264">
        <v>6</v>
      </c>
      <c r="B264">
        <v>20</v>
      </c>
      <c r="C264" t="s">
        <v>5</v>
      </c>
      <c r="D264" t="s">
        <v>19</v>
      </c>
      <c r="E264">
        <f t="shared" ca="1" si="3"/>
        <v>69967.906593406587</v>
      </c>
    </row>
    <row r="265" spans="1:5" x14ac:dyDescent="0.25">
      <c r="A265">
        <v>6</v>
      </c>
      <c r="B265">
        <v>21</v>
      </c>
      <c r="C265" t="s">
        <v>5</v>
      </c>
      <c r="D265" t="s">
        <v>20</v>
      </c>
      <c r="E265">
        <f t="shared" ca="1" si="3"/>
        <v>48812.521978021992</v>
      </c>
    </row>
    <row r="266" spans="1:5" x14ac:dyDescent="0.25">
      <c r="A266">
        <v>6</v>
      </c>
      <c r="B266">
        <v>22</v>
      </c>
      <c r="C266" t="s">
        <v>5</v>
      </c>
      <c r="D266" t="s">
        <v>21</v>
      </c>
      <c r="E266">
        <f t="shared" ca="1" si="3"/>
        <v>33252.36813186809</v>
      </c>
    </row>
    <row r="267" spans="1:5" x14ac:dyDescent="0.25">
      <c r="A267">
        <v>6</v>
      </c>
      <c r="B267">
        <v>23</v>
      </c>
      <c r="C267" t="s">
        <v>5</v>
      </c>
      <c r="D267" t="s">
        <v>22</v>
      </c>
      <c r="E267">
        <f t="shared" ca="1" si="3"/>
        <v>17930.906593406595</v>
      </c>
    </row>
    <row r="268" spans="1:5" x14ac:dyDescent="0.25">
      <c r="A268">
        <v>6</v>
      </c>
      <c r="B268">
        <v>24</v>
      </c>
      <c r="C268" t="s">
        <v>5</v>
      </c>
      <c r="D268" t="s">
        <v>23</v>
      </c>
      <c r="E268">
        <f t="shared" ca="1" si="3"/>
        <v>19093.291208791205</v>
      </c>
    </row>
    <row r="269" spans="1:5" x14ac:dyDescent="0.25">
      <c r="A269">
        <v>6</v>
      </c>
      <c r="B269">
        <v>25</v>
      </c>
      <c r="C269" t="s">
        <v>5</v>
      </c>
      <c r="D269" t="s">
        <v>24</v>
      </c>
      <c r="E269">
        <f t="shared" ca="1" si="3"/>
        <v>16697.906593406595</v>
      </c>
    </row>
    <row r="270" spans="1:5" x14ac:dyDescent="0.25">
      <c r="A270">
        <v>6</v>
      </c>
      <c r="B270">
        <v>26</v>
      </c>
      <c r="C270" t="s">
        <v>5</v>
      </c>
      <c r="D270" t="s">
        <v>25</v>
      </c>
      <c r="E270">
        <f t="shared" ca="1" si="3"/>
        <v>15776.983516483517</v>
      </c>
    </row>
    <row r="271" spans="1:5" x14ac:dyDescent="0.25">
      <c r="A271">
        <v>6</v>
      </c>
      <c r="B271">
        <v>27</v>
      </c>
      <c r="C271" t="s">
        <v>5</v>
      </c>
      <c r="D271" t="s">
        <v>145</v>
      </c>
      <c r="E271">
        <f t="shared" ca="1" si="3"/>
        <v>70992.21428571429</v>
      </c>
    </row>
    <row r="272" spans="1:5" x14ac:dyDescent="0.25">
      <c r="A272">
        <v>6</v>
      </c>
      <c r="B272">
        <v>28</v>
      </c>
      <c r="C272" t="s">
        <v>5</v>
      </c>
      <c r="D272" t="s">
        <v>147</v>
      </c>
      <c r="E272">
        <f t="shared" ca="1" si="3"/>
        <v>48056.514285714293</v>
      </c>
    </row>
    <row r="273" spans="1:5" x14ac:dyDescent="0.25">
      <c r="A273">
        <v>6</v>
      </c>
      <c r="B273">
        <v>29</v>
      </c>
      <c r="C273" t="s">
        <v>5</v>
      </c>
      <c r="D273" t="s">
        <v>146</v>
      </c>
      <c r="E273">
        <f t="shared" ca="1" si="3"/>
        <v>19263.514285714286</v>
      </c>
    </row>
    <row r="274" spans="1:5" x14ac:dyDescent="0.25">
      <c r="A274">
        <v>6</v>
      </c>
      <c r="B274">
        <v>30</v>
      </c>
      <c r="C274" t="s">
        <v>5</v>
      </c>
      <c r="D274" t="s">
        <v>30</v>
      </c>
      <c r="E274">
        <f t="shared" ca="1" si="3"/>
        <v>14152.675824175825</v>
      </c>
    </row>
    <row r="275" spans="1:5" x14ac:dyDescent="0.25">
      <c r="A275">
        <v>6</v>
      </c>
      <c r="B275">
        <v>31</v>
      </c>
      <c r="C275" t="s">
        <v>5</v>
      </c>
      <c r="D275" t="s">
        <v>31</v>
      </c>
      <c r="E275">
        <f t="shared" ca="1" si="3"/>
        <v>11997.598901098901</v>
      </c>
    </row>
    <row r="276" spans="1:5" x14ac:dyDescent="0.25">
      <c r="A276">
        <v>6</v>
      </c>
      <c r="B276">
        <v>32</v>
      </c>
      <c r="C276" t="s">
        <v>5</v>
      </c>
      <c r="D276" t="s">
        <v>32</v>
      </c>
      <c r="E276">
        <f t="shared" ca="1" si="3"/>
        <v>75674.98351648348</v>
      </c>
    </row>
    <row r="277" spans="1:5" x14ac:dyDescent="0.25">
      <c r="A277">
        <v>6</v>
      </c>
      <c r="B277">
        <v>33</v>
      </c>
      <c r="C277" t="s">
        <v>5</v>
      </c>
      <c r="D277" t="s">
        <v>33</v>
      </c>
      <c r="E277">
        <f t="shared" ca="1" si="3"/>
        <v>308285.52197802224</v>
      </c>
    </row>
    <row r="278" spans="1:5" x14ac:dyDescent="0.25">
      <c r="A278">
        <v>6</v>
      </c>
      <c r="B278">
        <v>34</v>
      </c>
      <c r="C278" t="s">
        <v>5</v>
      </c>
      <c r="D278" t="s">
        <v>34</v>
      </c>
      <c r="E278">
        <f t="shared" ca="1" si="3"/>
        <v>34603.829670329687</v>
      </c>
    </row>
    <row r="279" spans="1:5" x14ac:dyDescent="0.25">
      <c r="A279">
        <v>6</v>
      </c>
      <c r="B279">
        <v>35</v>
      </c>
      <c r="C279" t="s">
        <v>5</v>
      </c>
      <c r="D279" t="s">
        <v>35</v>
      </c>
      <c r="E279">
        <f t="shared" ca="1" si="3"/>
        <v>15228.060439560437</v>
      </c>
    </row>
    <row r="280" spans="1:5" x14ac:dyDescent="0.25">
      <c r="A280">
        <v>6</v>
      </c>
      <c r="B280">
        <v>36</v>
      </c>
      <c r="C280" t="s">
        <v>5</v>
      </c>
      <c r="D280" t="s">
        <v>36</v>
      </c>
      <c r="E280">
        <f t="shared" ca="1" si="3"/>
        <v>21647.060439560486</v>
      </c>
    </row>
    <row r="281" spans="1:5" x14ac:dyDescent="0.25">
      <c r="A281">
        <v>6</v>
      </c>
      <c r="B281">
        <v>37</v>
      </c>
      <c r="C281" t="s">
        <v>5</v>
      </c>
      <c r="D281" t="s">
        <v>37</v>
      </c>
      <c r="E281">
        <f t="shared" ca="1" si="3"/>
        <v>11615.214285714286</v>
      </c>
    </row>
    <row r="282" spans="1:5" x14ac:dyDescent="0.25">
      <c r="A282">
        <v>6</v>
      </c>
      <c r="B282">
        <v>38</v>
      </c>
      <c r="C282" t="s">
        <v>5</v>
      </c>
      <c r="D282" t="s">
        <v>38</v>
      </c>
      <c r="E282">
        <f t="shared" ca="1" si="3"/>
        <v>14685.598901098907</v>
      </c>
    </row>
    <row r="283" spans="1:5" x14ac:dyDescent="0.25">
      <c r="A283">
        <v>6</v>
      </c>
      <c r="B283">
        <v>39</v>
      </c>
      <c r="C283" t="s">
        <v>5</v>
      </c>
      <c r="D283" t="s">
        <v>39</v>
      </c>
      <c r="E283">
        <f t="shared" ca="1" si="3"/>
        <v>21231.983516483517</v>
      </c>
    </row>
    <row r="284" spans="1:5" x14ac:dyDescent="0.25">
      <c r="A284">
        <v>6</v>
      </c>
      <c r="B284">
        <v>40</v>
      </c>
      <c r="C284" t="s">
        <v>5</v>
      </c>
      <c r="D284" t="s">
        <v>40</v>
      </c>
      <c r="E284">
        <f t="shared" ca="1" si="3"/>
        <v>33590.906593406587</v>
      </c>
    </row>
    <row r="285" spans="1:5" x14ac:dyDescent="0.25">
      <c r="A285">
        <v>7</v>
      </c>
      <c r="B285">
        <v>1</v>
      </c>
      <c r="C285" t="s">
        <v>6</v>
      </c>
      <c r="D285" t="s">
        <v>0</v>
      </c>
      <c r="E285">
        <f t="shared" ca="1" si="3"/>
        <v>95283.214285714261</v>
      </c>
    </row>
    <row r="286" spans="1:5" x14ac:dyDescent="0.25">
      <c r="A286">
        <v>7</v>
      </c>
      <c r="B286">
        <v>2</v>
      </c>
      <c r="C286" t="s">
        <v>6</v>
      </c>
      <c r="D286" t="s">
        <v>1</v>
      </c>
      <c r="E286">
        <f t="shared" ca="1" si="3"/>
        <v>24022.214285714257</v>
      </c>
    </row>
    <row r="287" spans="1:5" x14ac:dyDescent="0.25">
      <c r="A287">
        <v>7</v>
      </c>
      <c r="B287">
        <v>3</v>
      </c>
      <c r="C287" t="s">
        <v>6</v>
      </c>
      <c r="D287" t="s">
        <v>2</v>
      </c>
      <c r="E287">
        <f t="shared" ca="1" si="3"/>
        <v>19286.857142857159</v>
      </c>
    </row>
    <row r="288" spans="1:5" x14ac:dyDescent="0.25">
      <c r="A288">
        <v>7</v>
      </c>
      <c r="B288">
        <v>4</v>
      </c>
      <c r="C288" t="s">
        <v>6</v>
      </c>
      <c r="D288" t="s">
        <v>3</v>
      </c>
      <c r="E288">
        <f t="shared" ca="1" si="3"/>
        <v>33943.214285714253</v>
      </c>
    </row>
    <row r="289" spans="1:5" x14ac:dyDescent="0.25">
      <c r="A289">
        <v>7</v>
      </c>
      <c r="B289">
        <v>5</v>
      </c>
      <c r="C289" t="s">
        <v>6</v>
      </c>
      <c r="D289" t="s">
        <v>4</v>
      </c>
      <c r="E289">
        <f t="shared" ca="1" si="3"/>
        <v>67679.785714285754</v>
      </c>
    </row>
    <row r="290" spans="1:5" x14ac:dyDescent="0.25">
      <c r="A290">
        <v>7</v>
      </c>
      <c r="B290">
        <v>6</v>
      </c>
      <c r="C290" t="s">
        <v>6</v>
      </c>
      <c r="D290" t="s">
        <v>5</v>
      </c>
      <c r="E290">
        <f t="shared" ca="1" si="3"/>
        <v>16007.928571428556</v>
      </c>
    </row>
    <row r="291" spans="1:5" x14ac:dyDescent="0.25">
      <c r="A291">
        <v>7</v>
      </c>
      <c r="B291">
        <v>7</v>
      </c>
      <c r="C291" t="s">
        <v>6</v>
      </c>
      <c r="D291" t="s">
        <v>6</v>
      </c>
      <c r="E291">
        <f t="shared" ca="1" si="3"/>
        <v>0</v>
      </c>
    </row>
    <row r="292" spans="1:5" x14ac:dyDescent="0.25">
      <c r="A292">
        <v>7</v>
      </c>
      <c r="B292">
        <v>8</v>
      </c>
      <c r="C292" t="s">
        <v>6</v>
      </c>
      <c r="D292" t="s">
        <v>7</v>
      </c>
      <c r="E292">
        <f t="shared" ca="1" si="3"/>
        <v>37404.999999999956</v>
      </c>
    </row>
    <row r="293" spans="1:5" x14ac:dyDescent="0.25">
      <c r="A293">
        <v>7</v>
      </c>
      <c r="B293">
        <v>9</v>
      </c>
      <c r="C293" t="s">
        <v>6</v>
      </c>
      <c r="D293" t="s">
        <v>148</v>
      </c>
      <c r="E293">
        <f t="shared" ca="1" si="3"/>
        <v>3400.5974025974024</v>
      </c>
    </row>
    <row r="294" spans="1:5" x14ac:dyDescent="0.25">
      <c r="A294">
        <v>7</v>
      </c>
      <c r="B294">
        <v>10</v>
      </c>
      <c r="C294" t="s">
        <v>6</v>
      </c>
      <c r="D294" t="s">
        <v>9</v>
      </c>
      <c r="E294">
        <f t="shared" ca="1" si="3"/>
        <v>23883.357142857159</v>
      </c>
    </row>
    <row r="295" spans="1:5" x14ac:dyDescent="0.25">
      <c r="A295">
        <v>7</v>
      </c>
      <c r="B295">
        <v>11</v>
      </c>
      <c r="C295" t="s">
        <v>6</v>
      </c>
      <c r="D295" t="s">
        <v>10</v>
      </c>
      <c r="E295">
        <f t="shared" ca="1" si="3"/>
        <v>24050.527472527458</v>
      </c>
    </row>
    <row r="296" spans="1:5" x14ac:dyDescent="0.25">
      <c r="A296">
        <v>7</v>
      </c>
      <c r="B296">
        <v>12</v>
      </c>
      <c r="C296" t="s">
        <v>6</v>
      </c>
      <c r="D296" t="s">
        <v>11</v>
      </c>
      <c r="E296">
        <f t="shared" ref="E296:E357" ca="1" si="4">OFFSET($B$2,A296,B296)</f>
        <v>21019.142857142859</v>
      </c>
    </row>
    <row r="297" spans="1:5" x14ac:dyDescent="0.25">
      <c r="A297">
        <v>7</v>
      </c>
      <c r="B297">
        <v>13</v>
      </c>
      <c r="C297" t="s">
        <v>6</v>
      </c>
      <c r="D297" t="s">
        <v>12</v>
      </c>
      <c r="E297">
        <f t="shared" ca="1" si="4"/>
        <v>6097.5274725274776</v>
      </c>
    </row>
    <row r="298" spans="1:5" x14ac:dyDescent="0.25">
      <c r="A298">
        <v>7</v>
      </c>
      <c r="B298">
        <v>14</v>
      </c>
      <c r="C298" t="s">
        <v>6</v>
      </c>
      <c r="D298" t="s">
        <v>13</v>
      </c>
      <c r="E298">
        <f t="shared" ca="1" si="4"/>
        <v>26722.527472527458</v>
      </c>
    </row>
    <row r="299" spans="1:5" x14ac:dyDescent="0.25">
      <c r="A299">
        <v>7</v>
      </c>
      <c r="B299">
        <v>15</v>
      </c>
      <c r="C299" t="s">
        <v>6</v>
      </c>
      <c r="D299" t="s">
        <v>14</v>
      </c>
      <c r="E299">
        <f t="shared" ca="1" si="4"/>
        <v>50521.912087912053</v>
      </c>
    </row>
    <row r="300" spans="1:5" x14ac:dyDescent="0.25">
      <c r="A300">
        <v>7</v>
      </c>
      <c r="B300">
        <v>16</v>
      </c>
      <c r="C300" t="s">
        <v>6</v>
      </c>
      <c r="D300" t="s">
        <v>15</v>
      </c>
      <c r="E300">
        <f t="shared" ca="1" si="4"/>
        <v>40214.373626373657</v>
      </c>
    </row>
    <row r="301" spans="1:5" x14ac:dyDescent="0.25">
      <c r="A301">
        <v>7</v>
      </c>
      <c r="B301">
        <v>17</v>
      </c>
      <c r="C301" t="s">
        <v>6</v>
      </c>
      <c r="D301" t="s">
        <v>16</v>
      </c>
      <c r="E301">
        <f t="shared" ca="1" si="4"/>
        <v>67273.450549450557</v>
      </c>
    </row>
    <row r="302" spans="1:5" x14ac:dyDescent="0.25">
      <c r="A302">
        <v>7</v>
      </c>
      <c r="B302">
        <v>18</v>
      </c>
      <c r="C302" t="s">
        <v>6</v>
      </c>
      <c r="D302" t="s">
        <v>17</v>
      </c>
      <c r="E302">
        <f t="shared" ca="1" si="4"/>
        <v>26539.91208791206</v>
      </c>
    </row>
    <row r="303" spans="1:5" x14ac:dyDescent="0.25">
      <c r="A303">
        <v>7</v>
      </c>
      <c r="B303">
        <v>19</v>
      </c>
      <c r="C303" t="s">
        <v>6</v>
      </c>
      <c r="D303" t="s">
        <v>18</v>
      </c>
      <c r="E303">
        <f t="shared" ca="1" si="4"/>
        <v>4091.0659340659377</v>
      </c>
    </row>
    <row r="304" spans="1:5" x14ac:dyDescent="0.25">
      <c r="A304">
        <v>7</v>
      </c>
      <c r="B304">
        <v>20</v>
      </c>
      <c r="C304" t="s">
        <v>6</v>
      </c>
      <c r="D304" t="s">
        <v>19</v>
      </c>
      <c r="E304">
        <f t="shared" ca="1" si="4"/>
        <v>61262.835164835153</v>
      </c>
    </row>
    <row r="305" spans="1:5" x14ac:dyDescent="0.25">
      <c r="A305">
        <v>7</v>
      </c>
      <c r="B305">
        <v>21</v>
      </c>
      <c r="C305" t="s">
        <v>6</v>
      </c>
      <c r="D305" t="s">
        <v>20</v>
      </c>
      <c r="E305">
        <f t="shared" ca="1" si="4"/>
        <v>40107.450549450557</v>
      </c>
    </row>
    <row r="306" spans="1:5" x14ac:dyDescent="0.25">
      <c r="A306">
        <v>7</v>
      </c>
      <c r="B306">
        <v>22</v>
      </c>
      <c r="C306" t="s">
        <v>6</v>
      </c>
      <c r="D306" t="s">
        <v>21</v>
      </c>
      <c r="E306">
        <f t="shared" ca="1" si="4"/>
        <v>24547.296703296659</v>
      </c>
    </row>
    <row r="307" spans="1:5" x14ac:dyDescent="0.25">
      <c r="A307">
        <v>7</v>
      </c>
      <c r="B307">
        <v>23</v>
      </c>
      <c r="C307" t="s">
        <v>6</v>
      </c>
      <c r="D307" t="s">
        <v>22</v>
      </c>
      <c r="E307">
        <f t="shared" ca="1" si="4"/>
        <v>9225.8351648351672</v>
      </c>
    </row>
    <row r="308" spans="1:5" x14ac:dyDescent="0.25">
      <c r="A308">
        <v>7</v>
      </c>
      <c r="B308">
        <v>24</v>
      </c>
      <c r="C308" t="s">
        <v>6</v>
      </c>
      <c r="D308" t="s">
        <v>23</v>
      </c>
      <c r="E308">
        <f t="shared" ca="1" si="4"/>
        <v>10388.219780219777</v>
      </c>
    </row>
    <row r="309" spans="1:5" x14ac:dyDescent="0.25">
      <c r="A309">
        <v>7</v>
      </c>
      <c r="B309">
        <v>25</v>
      </c>
      <c r="C309" t="s">
        <v>6</v>
      </c>
      <c r="D309" t="s">
        <v>24</v>
      </c>
      <c r="E309">
        <f t="shared" ca="1" si="4"/>
        <v>7992.8351648351672</v>
      </c>
    </row>
    <row r="310" spans="1:5" x14ac:dyDescent="0.25">
      <c r="A310">
        <v>7</v>
      </c>
      <c r="B310">
        <v>26</v>
      </c>
      <c r="C310" t="s">
        <v>6</v>
      </c>
      <c r="D310" t="s">
        <v>25</v>
      </c>
      <c r="E310">
        <f t="shared" ca="1" si="4"/>
        <v>7071.9120879120874</v>
      </c>
    </row>
    <row r="311" spans="1:5" x14ac:dyDescent="0.25">
      <c r="A311">
        <v>7</v>
      </c>
      <c r="B311">
        <v>27</v>
      </c>
      <c r="C311" t="s">
        <v>6</v>
      </c>
      <c r="D311" t="s">
        <v>145</v>
      </c>
      <c r="E311">
        <f t="shared" ca="1" si="4"/>
        <v>62287.142857142855</v>
      </c>
    </row>
    <row r="312" spans="1:5" x14ac:dyDescent="0.25">
      <c r="A312">
        <v>7</v>
      </c>
      <c r="B312">
        <v>28</v>
      </c>
      <c r="C312" t="s">
        <v>6</v>
      </c>
      <c r="D312" t="s">
        <v>147</v>
      </c>
      <c r="E312">
        <f t="shared" ca="1" si="4"/>
        <v>39351.442857142858</v>
      </c>
    </row>
    <row r="313" spans="1:5" x14ac:dyDescent="0.25">
      <c r="A313">
        <v>7</v>
      </c>
      <c r="B313">
        <v>29</v>
      </c>
      <c r="C313" t="s">
        <v>6</v>
      </c>
      <c r="D313" t="s">
        <v>146</v>
      </c>
      <c r="E313">
        <f t="shared" ca="1" si="4"/>
        <v>10558.442857142858</v>
      </c>
    </row>
    <row r="314" spans="1:5" x14ac:dyDescent="0.25">
      <c r="A314">
        <v>7</v>
      </c>
      <c r="B314">
        <v>30</v>
      </c>
      <c r="C314" t="s">
        <v>6</v>
      </c>
      <c r="D314" t="s">
        <v>30</v>
      </c>
      <c r="E314">
        <f t="shared" ca="1" si="4"/>
        <v>5447.6043956043977</v>
      </c>
    </row>
    <row r="315" spans="1:5" x14ac:dyDescent="0.25">
      <c r="A315">
        <v>7</v>
      </c>
      <c r="B315">
        <v>31</v>
      </c>
      <c r="C315" t="s">
        <v>6</v>
      </c>
      <c r="D315" t="s">
        <v>31</v>
      </c>
      <c r="E315">
        <f t="shared" ca="1" si="4"/>
        <v>3292.5274725274721</v>
      </c>
    </row>
    <row r="316" spans="1:5" x14ac:dyDescent="0.25">
      <c r="A316">
        <v>7</v>
      </c>
      <c r="B316">
        <v>32</v>
      </c>
      <c r="C316" t="s">
        <v>6</v>
      </c>
      <c r="D316" t="s">
        <v>32</v>
      </c>
      <c r="E316">
        <f t="shared" ca="1" si="4"/>
        <v>66969.91208791206</v>
      </c>
    </row>
    <row r="317" spans="1:5" x14ac:dyDescent="0.25">
      <c r="A317">
        <v>7</v>
      </c>
      <c r="B317">
        <v>33</v>
      </c>
      <c r="C317" t="s">
        <v>6</v>
      </c>
      <c r="D317" t="s">
        <v>33</v>
      </c>
      <c r="E317">
        <f t="shared" ca="1" si="4"/>
        <v>299580.45054945082</v>
      </c>
    </row>
    <row r="318" spans="1:5" x14ac:dyDescent="0.25">
      <c r="A318">
        <v>7</v>
      </c>
      <c r="B318">
        <v>34</v>
      </c>
      <c r="C318" t="s">
        <v>6</v>
      </c>
      <c r="D318" t="s">
        <v>34</v>
      </c>
      <c r="E318">
        <f t="shared" ca="1" si="4"/>
        <v>25898.75824175826</v>
      </c>
    </row>
    <row r="319" spans="1:5" x14ac:dyDescent="0.25">
      <c r="A319">
        <v>7</v>
      </c>
      <c r="B319">
        <v>35</v>
      </c>
      <c r="C319" t="s">
        <v>6</v>
      </c>
      <c r="D319" t="s">
        <v>35</v>
      </c>
      <c r="E319">
        <f t="shared" ca="1" si="4"/>
        <v>6522.9890109890075</v>
      </c>
    </row>
    <row r="320" spans="1:5" x14ac:dyDescent="0.25">
      <c r="A320">
        <v>7</v>
      </c>
      <c r="B320">
        <v>36</v>
      </c>
      <c r="C320" t="s">
        <v>6</v>
      </c>
      <c r="D320" t="s">
        <v>36</v>
      </c>
      <c r="E320">
        <f t="shared" ca="1" si="4"/>
        <v>12941.989010989057</v>
      </c>
    </row>
    <row r="321" spans="1:5" x14ac:dyDescent="0.25">
      <c r="A321">
        <v>7</v>
      </c>
      <c r="B321">
        <v>37</v>
      </c>
      <c r="C321" t="s">
        <v>6</v>
      </c>
      <c r="D321" t="s">
        <v>37</v>
      </c>
      <c r="E321">
        <f t="shared" ca="1" si="4"/>
        <v>2910.1428571428573</v>
      </c>
    </row>
    <row r="322" spans="1:5" x14ac:dyDescent="0.25">
      <c r="A322">
        <v>7</v>
      </c>
      <c r="B322">
        <v>38</v>
      </c>
      <c r="C322" t="s">
        <v>6</v>
      </c>
      <c r="D322" t="s">
        <v>38</v>
      </c>
      <c r="E322">
        <f t="shared" ca="1" si="4"/>
        <v>5980.5274725274776</v>
      </c>
    </row>
    <row r="323" spans="1:5" x14ac:dyDescent="0.25">
      <c r="A323">
        <v>7</v>
      </c>
      <c r="B323">
        <v>39</v>
      </c>
      <c r="C323" t="s">
        <v>6</v>
      </c>
      <c r="D323" t="s">
        <v>39</v>
      </c>
      <c r="E323">
        <f t="shared" ca="1" si="4"/>
        <v>12526.912087912087</v>
      </c>
    </row>
    <row r="324" spans="1:5" x14ac:dyDescent="0.25">
      <c r="A324">
        <v>7</v>
      </c>
      <c r="B324">
        <v>40</v>
      </c>
      <c r="C324" t="s">
        <v>6</v>
      </c>
      <c r="D324" t="s">
        <v>40</v>
      </c>
      <c r="E324">
        <f t="shared" ca="1" si="4"/>
        <v>24885.83516483516</v>
      </c>
    </row>
    <row r="325" spans="1:5" x14ac:dyDescent="0.25">
      <c r="A325">
        <v>8</v>
      </c>
      <c r="B325">
        <v>1</v>
      </c>
      <c r="C325" t="s">
        <v>7</v>
      </c>
      <c r="D325" t="s">
        <v>0</v>
      </c>
      <c r="E325">
        <f t="shared" ca="1" si="4"/>
        <v>99439.714285714261</v>
      </c>
    </row>
    <row r="326" spans="1:5" x14ac:dyDescent="0.25">
      <c r="A326">
        <v>8</v>
      </c>
      <c r="B326">
        <v>2</v>
      </c>
      <c r="C326" t="s">
        <v>7</v>
      </c>
      <c r="D326" t="s">
        <v>1</v>
      </c>
      <c r="E326">
        <f t="shared" ca="1" si="4"/>
        <v>28178.714285714253</v>
      </c>
    </row>
    <row r="327" spans="1:5" x14ac:dyDescent="0.25">
      <c r="A327">
        <v>8</v>
      </c>
      <c r="B327">
        <v>3</v>
      </c>
      <c r="C327" t="s">
        <v>7</v>
      </c>
      <c r="D327" t="s">
        <v>2</v>
      </c>
      <c r="E327">
        <f t="shared" ca="1" si="4"/>
        <v>23443.357142857159</v>
      </c>
    </row>
    <row r="328" spans="1:5" x14ac:dyDescent="0.25">
      <c r="A328">
        <v>8</v>
      </c>
      <c r="B328">
        <v>4</v>
      </c>
      <c r="C328" t="s">
        <v>7</v>
      </c>
      <c r="D328" t="s">
        <v>3</v>
      </c>
      <c r="E328">
        <f t="shared" ca="1" si="4"/>
        <v>38099.714285714253</v>
      </c>
    </row>
    <row r="329" spans="1:5" x14ac:dyDescent="0.25">
      <c r="A329">
        <v>8</v>
      </c>
      <c r="B329">
        <v>5</v>
      </c>
      <c r="C329" t="s">
        <v>7</v>
      </c>
      <c r="D329" t="s">
        <v>4</v>
      </c>
      <c r="E329">
        <f t="shared" ca="1" si="4"/>
        <v>71836.285714285754</v>
      </c>
    </row>
    <row r="330" spans="1:5" x14ac:dyDescent="0.25">
      <c r="A330">
        <v>8</v>
      </c>
      <c r="B330">
        <v>6</v>
      </c>
      <c r="C330" t="s">
        <v>7</v>
      </c>
      <c r="D330" t="s">
        <v>5</v>
      </c>
      <c r="E330">
        <f t="shared" ca="1" si="4"/>
        <v>20164.428571428558</v>
      </c>
    </row>
    <row r="331" spans="1:5" x14ac:dyDescent="0.25">
      <c r="A331">
        <v>8</v>
      </c>
      <c r="B331">
        <v>7</v>
      </c>
      <c r="C331" t="s">
        <v>7</v>
      </c>
      <c r="D331" t="s">
        <v>6</v>
      </c>
      <c r="E331">
        <f t="shared" ca="1" si="4"/>
        <v>11914.428571428567</v>
      </c>
    </row>
    <row r="332" spans="1:5" x14ac:dyDescent="0.25">
      <c r="A332">
        <v>8</v>
      </c>
      <c r="B332">
        <v>8</v>
      </c>
      <c r="C332" t="s">
        <v>7</v>
      </c>
      <c r="D332" t="s">
        <v>7</v>
      </c>
      <c r="E332">
        <f t="shared" ca="1" si="4"/>
        <v>0</v>
      </c>
    </row>
    <row r="333" spans="1:5" x14ac:dyDescent="0.25">
      <c r="A333">
        <v>8</v>
      </c>
      <c r="B333">
        <v>9</v>
      </c>
      <c r="C333" t="s">
        <v>7</v>
      </c>
      <c r="D333" t="s">
        <v>148</v>
      </c>
      <c r="E333">
        <f t="shared" ca="1" si="4"/>
        <v>7557.0974025974019</v>
      </c>
    </row>
    <row r="334" spans="1:5" x14ac:dyDescent="0.25">
      <c r="A334">
        <v>8</v>
      </c>
      <c r="B334">
        <v>10</v>
      </c>
      <c r="C334" t="s">
        <v>7</v>
      </c>
      <c r="D334" t="s">
        <v>9</v>
      </c>
      <c r="E334">
        <f t="shared" ca="1" si="4"/>
        <v>28039.857142857159</v>
      </c>
    </row>
    <row r="335" spans="1:5" x14ac:dyDescent="0.25">
      <c r="A335">
        <v>8</v>
      </c>
      <c r="B335">
        <v>11</v>
      </c>
      <c r="C335" t="s">
        <v>7</v>
      </c>
      <c r="D335" t="s">
        <v>10</v>
      </c>
      <c r="E335">
        <f t="shared" ca="1" si="4"/>
        <v>28207.027472527458</v>
      </c>
    </row>
    <row r="336" spans="1:5" x14ac:dyDescent="0.25">
      <c r="A336">
        <v>8</v>
      </c>
      <c r="B336">
        <v>12</v>
      </c>
      <c r="C336" t="s">
        <v>7</v>
      </c>
      <c r="D336" t="s">
        <v>11</v>
      </c>
      <c r="E336">
        <f t="shared" ca="1" si="4"/>
        <v>25175.642857142855</v>
      </c>
    </row>
    <row r="337" spans="1:5" x14ac:dyDescent="0.25">
      <c r="A337">
        <v>8</v>
      </c>
      <c r="B337">
        <v>13</v>
      </c>
      <c r="C337" t="s">
        <v>7</v>
      </c>
      <c r="D337" t="s">
        <v>12</v>
      </c>
      <c r="E337">
        <f t="shared" ca="1" si="4"/>
        <v>10254.027472527476</v>
      </c>
    </row>
    <row r="338" spans="1:5" x14ac:dyDescent="0.25">
      <c r="A338">
        <v>8</v>
      </c>
      <c r="B338">
        <v>14</v>
      </c>
      <c r="C338" t="s">
        <v>7</v>
      </c>
      <c r="D338" t="s">
        <v>13</v>
      </c>
      <c r="E338">
        <f t="shared" ca="1" si="4"/>
        <v>30879.027472527458</v>
      </c>
    </row>
    <row r="339" spans="1:5" x14ac:dyDescent="0.25">
      <c r="A339">
        <v>8</v>
      </c>
      <c r="B339">
        <v>15</v>
      </c>
      <c r="C339" t="s">
        <v>7</v>
      </c>
      <c r="D339" t="s">
        <v>14</v>
      </c>
      <c r="E339">
        <f t="shared" ca="1" si="4"/>
        <v>54678.412087912053</v>
      </c>
    </row>
    <row r="340" spans="1:5" x14ac:dyDescent="0.25">
      <c r="A340">
        <v>8</v>
      </c>
      <c r="B340">
        <v>16</v>
      </c>
      <c r="C340" t="s">
        <v>7</v>
      </c>
      <c r="D340" t="s">
        <v>15</v>
      </c>
      <c r="E340">
        <f t="shared" ca="1" si="4"/>
        <v>44370.873626373657</v>
      </c>
    </row>
    <row r="341" spans="1:5" x14ac:dyDescent="0.25">
      <c r="A341">
        <v>8</v>
      </c>
      <c r="B341">
        <v>17</v>
      </c>
      <c r="C341" t="s">
        <v>7</v>
      </c>
      <c r="D341" t="s">
        <v>16</v>
      </c>
      <c r="E341">
        <f t="shared" ca="1" si="4"/>
        <v>71429.950549450557</v>
      </c>
    </row>
    <row r="342" spans="1:5" x14ac:dyDescent="0.25">
      <c r="A342">
        <v>8</v>
      </c>
      <c r="B342">
        <v>18</v>
      </c>
      <c r="C342" t="s">
        <v>7</v>
      </c>
      <c r="D342" t="s">
        <v>17</v>
      </c>
      <c r="E342">
        <f t="shared" ca="1" si="4"/>
        <v>30696.41208791206</v>
      </c>
    </row>
    <row r="343" spans="1:5" x14ac:dyDescent="0.25">
      <c r="A343">
        <v>8</v>
      </c>
      <c r="B343">
        <v>19</v>
      </c>
      <c r="C343" t="s">
        <v>7</v>
      </c>
      <c r="D343" t="s">
        <v>18</v>
      </c>
      <c r="E343">
        <f t="shared" ca="1" si="4"/>
        <v>8247.5659340659367</v>
      </c>
    </row>
    <row r="344" spans="1:5" x14ac:dyDescent="0.25">
      <c r="A344">
        <v>8</v>
      </c>
      <c r="B344">
        <v>20</v>
      </c>
      <c r="C344" t="s">
        <v>7</v>
      </c>
      <c r="D344" t="s">
        <v>19</v>
      </c>
      <c r="E344">
        <f t="shared" ca="1" si="4"/>
        <v>65419.335164835153</v>
      </c>
    </row>
    <row r="345" spans="1:5" x14ac:dyDescent="0.25">
      <c r="A345">
        <v>8</v>
      </c>
      <c r="B345">
        <v>21</v>
      </c>
      <c r="C345" t="s">
        <v>7</v>
      </c>
      <c r="D345" t="s">
        <v>20</v>
      </c>
      <c r="E345">
        <f t="shared" ca="1" si="4"/>
        <v>44263.950549450557</v>
      </c>
    </row>
    <row r="346" spans="1:5" x14ac:dyDescent="0.25">
      <c r="A346">
        <v>8</v>
      </c>
      <c r="B346">
        <v>22</v>
      </c>
      <c r="C346" t="s">
        <v>7</v>
      </c>
      <c r="D346" t="s">
        <v>21</v>
      </c>
      <c r="E346">
        <f t="shared" ca="1" si="4"/>
        <v>28703.796703296655</v>
      </c>
    </row>
    <row r="347" spans="1:5" x14ac:dyDescent="0.25">
      <c r="A347">
        <v>8</v>
      </c>
      <c r="B347">
        <v>23</v>
      </c>
      <c r="C347" t="s">
        <v>7</v>
      </c>
      <c r="D347" t="s">
        <v>22</v>
      </c>
      <c r="E347">
        <f t="shared" ca="1" si="4"/>
        <v>13382.335164835167</v>
      </c>
    </row>
    <row r="348" spans="1:5" x14ac:dyDescent="0.25">
      <c r="A348">
        <v>8</v>
      </c>
      <c r="B348">
        <v>24</v>
      </c>
      <c r="C348" t="s">
        <v>7</v>
      </c>
      <c r="D348" t="s">
        <v>23</v>
      </c>
      <c r="E348">
        <f t="shared" ca="1" si="4"/>
        <v>14544.719780219777</v>
      </c>
    </row>
    <row r="349" spans="1:5" x14ac:dyDescent="0.25">
      <c r="A349">
        <v>8</v>
      </c>
      <c r="B349">
        <v>25</v>
      </c>
      <c r="C349" t="s">
        <v>7</v>
      </c>
      <c r="D349" t="s">
        <v>24</v>
      </c>
      <c r="E349">
        <f t="shared" ca="1" si="4"/>
        <v>12149.335164835167</v>
      </c>
    </row>
    <row r="350" spans="1:5" x14ac:dyDescent="0.25">
      <c r="A350">
        <v>8</v>
      </c>
      <c r="B350">
        <v>26</v>
      </c>
      <c r="C350" t="s">
        <v>7</v>
      </c>
      <c r="D350" t="s">
        <v>25</v>
      </c>
      <c r="E350">
        <f t="shared" ca="1" si="4"/>
        <v>11228.412087912086</v>
      </c>
    </row>
    <row r="351" spans="1:5" x14ac:dyDescent="0.25">
      <c r="A351">
        <v>8</v>
      </c>
      <c r="B351">
        <v>27</v>
      </c>
      <c r="C351" t="s">
        <v>7</v>
      </c>
      <c r="D351" t="s">
        <v>145</v>
      </c>
      <c r="E351">
        <f t="shared" ca="1" si="4"/>
        <v>66443.642857142855</v>
      </c>
    </row>
    <row r="352" spans="1:5" x14ac:dyDescent="0.25">
      <c r="A352">
        <v>8</v>
      </c>
      <c r="B352">
        <v>28</v>
      </c>
      <c r="C352" t="s">
        <v>7</v>
      </c>
      <c r="D352" t="s">
        <v>147</v>
      </c>
      <c r="E352">
        <f t="shared" ca="1" si="4"/>
        <v>43507.942857142858</v>
      </c>
    </row>
    <row r="353" spans="1:5" x14ac:dyDescent="0.25">
      <c r="A353">
        <v>8</v>
      </c>
      <c r="B353">
        <v>29</v>
      </c>
      <c r="C353" t="s">
        <v>7</v>
      </c>
      <c r="D353" t="s">
        <v>146</v>
      </c>
      <c r="E353">
        <f t="shared" ca="1" si="4"/>
        <v>14714.942857142858</v>
      </c>
    </row>
    <row r="354" spans="1:5" x14ac:dyDescent="0.25">
      <c r="A354">
        <v>8</v>
      </c>
      <c r="B354">
        <v>30</v>
      </c>
      <c r="C354" t="s">
        <v>7</v>
      </c>
      <c r="D354" t="s">
        <v>30</v>
      </c>
      <c r="E354">
        <f t="shared" ca="1" si="4"/>
        <v>9604.1043956043977</v>
      </c>
    </row>
    <row r="355" spans="1:5" x14ac:dyDescent="0.25">
      <c r="A355">
        <v>8</v>
      </c>
      <c r="B355">
        <v>31</v>
      </c>
      <c r="C355" t="s">
        <v>7</v>
      </c>
      <c r="D355" t="s">
        <v>31</v>
      </c>
      <c r="E355">
        <f t="shared" ca="1" si="4"/>
        <v>7449.0274725274721</v>
      </c>
    </row>
    <row r="356" spans="1:5" x14ac:dyDescent="0.25">
      <c r="A356">
        <v>8</v>
      </c>
      <c r="B356">
        <v>32</v>
      </c>
      <c r="C356" t="s">
        <v>7</v>
      </c>
      <c r="D356" t="s">
        <v>32</v>
      </c>
      <c r="E356">
        <f t="shared" ca="1" si="4"/>
        <v>71126.41208791206</v>
      </c>
    </row>
    <row r="357" spans="1:5" x14ac:dyDescent="0.25">
      <c r="A357">
        <v>8</v>
      </c>
      <c r="B357">
        <v>33</v>
      </c>
      <c r="C357" t="s">
        <v>7</v>
      </c>
      <c r="D357" t="s">
        <v>33</v>
      </c>
      <c r="E357">
        <f t="shared" ca="1" si="4"/>
        <v>303736.95054945082</v>
      </c>
    </row>
    <row r="358" spans="1:5" x14ac:dyDescent="0.25">
      <c r="A358">
        <v>8</v>
      </c>
      <c r="B358">
        <v>34</v>
      </c>
      <c r="C358" t="s">
        <v>7</v>
      </c>
      <c r="D358" t="s">
        <v>34</v>
      </c>
      <c r="E358">
        <f t="shared" ref="E358:E420" ca="1" si="5">OFFSET($B$2,A358,B358)</f>
        <v>30055.25824175826</v>
      </c>
    </row>
    <row r="359" spans="1:5" x14ac:dyDescent="0.25">
      <c r="A359">
        <v>8</v>
      </c>
      <c r="B359">
        <v>35</v>
      </c>
      <c r="C359" t="s">
        <v>7</v>
      </c>
      <c r="D359" t="s">
        <v>35</v>
      </c>
      <c r="E359">
        <f t="shared" ca="1" si="5"/>
        <v>10679.489010989008</v>
      </c>
    </row>
    <row r="360" spans="1:5" x14ac:dyDescent="0.25">
      <c r="A360">
        <v>8</v>
      </c>
      <c r="B360">
        <v>36</v>
      </c>
      <c r="C360" t="s">
        <v>7</v>
      </c>
      <c r="D360" t="s">
        <v>36</v>
      </c>
      <c r="E360">
        <f t="shared" ca="1" si="5"/>
        <v>17098.489010989055</v>
      </c>
    </row>
    <row r="361" spans="1:5" x14ac:dyDescent="0.25">
      <c r="A361">
        <v>8</v>
      </c>
      <c r="B361">
        <v>37</v>
      </c>
      <c r="C361" t="s">
        <v>7</v>
      </c>
      <c r="D361" t="s">
        <v>37</v>
      </c>
      <c r="E361">
        <f t="shared" ca="1" si="5"/>
        <v>7066.6428571428569</v>
      </c>
    </row>
    <row r="362" spans="1:5" x14ac:dyDescent="0.25">
      <c r="A362">
        <v>8</v>
      </c>
      <c r="B362">
        <v>38</v>
      </c>
      <c r="C362" t="s">
        <v>7</v>
      </c>
      <c r="D362" t="s">
        <v>38</v>
      </c>
      <c r="E362">
        <f t="shared" ca="1" si="5"/>
        <v>10137.027472527476</v>
      </c>
    </row>
    <row r="363" spans="1:5" x14ac:dyDescent="0.25">
      <c r="A363">
        <v>8</v>
      </c>
      <c r="B363">
        <v>39</v>
      </c>
      <c r="C363" t="s">
        <v>7</v>
      </c>
      <c r="D363" t="s">
        <v>39</v>
      </c>
      <c r="E363">
        <f t="shared" ca="1" si="5"/>
        <v>16683.412087912089</v>
      </c>
    </row>
    <row r="364" spans="1:5" x14ac:dyDescent="0.25">
      <c r="A364">
        <v>8</v>
      </c>
      <c r="B364">
        <v>40</v>
      </c>
      <c r="C364" t="s">
        <v>7</v>
      </c>
      <c r="D364" t="s">
        <v>40</v>
      </c>
      <c r="E364">
        <f t="shared" ca="1" si="5"/>
        <v>29042.33516483516</v>
      </c>
    </row>
    <row r="365" spans="1:5" x14ac:dyDescent="0.25">
      <c r="A365">
        <v>9</v>
      </c>
      <c r="B365">
        <v>1</v>
      </c>
      <c r="C365" t="s">
        <v>148</v>
      </c>
      <c r="D365" t="s">
        <v>0</v>
      </c>
      <c r="E365">
        <f t="shared" ca="1" si="5"/>
        <v>93397.571428571406</v>
      </c>
    </row>
    <row r="366" spans="1:5" x14ac:dyDescent="0.25">
      <c r="A366">
        <v>9</v>
      </c>
      <c r="B366">
        <v>2</v>
      </c>
      <c r="C366" t="s">
        <v>148</v>
      </c>
      <c r="D366" t="s">
        <v>1</v>
      </c>
      <c r="E366">
        <f t="shared" ca="1" si="5"/>
        <v>22136.571428571398</v>
      </c>
    </row>
    <row r="367" spans="1:5" x14ac:dyDescent="0.25">
      <c r="A367">
        <v>9</v>
      </c>
      <c r="B367">
        <v>3</v>
      </c>
      <c r="C367" t="s">
        <v>148</v>
      </c>
      <c r="D367" t="s">
        <v>2</v>
      </c>
      <c r="E367">
        <f t="shared" ca="1" si="5"/>
        <v>17401.214285714301</v>
      </c>
    </row>
    <row r="368" spans="1:5" x14ac:dyDescent="0.25">
      <c r="A368">
        <v>9</v>
      </c>
      <c r="B368">
        <v>4</v>
      </c>
      <c r="C368" t="s">
        <v>148</v>
      </c>
      <c r="D368" t="s">
        <v>3</v>
      </c>
      <c r="E368">
        <f t="shared" ca="1" si="5"/>
        <v>32057.571428571398</v>
      </c>
    </row>
    <row r="369" spans="1:5" x14ac:dyDescent="0.25">
      <c r="A369">
        <v>9</v>
      </c>
      <c r="B369">
        <v>5</v>
      </c>
      <c r="C369" t="s">
        <v>148</v>
      </c>
      <c r="D369" t="s">
        <v>4</v>
      </c>
      <c r="E369">
        <f t="shared" ca="1" si="5"/>
        <v>65794.142857142899</v>
      </c>
    </row>
    <row r="370" spans="1:5" x14ac:dyDescent="0.25">
      <c r="A370">
        <v>9</v>
      </c>
      <c r="B370">
        <v>6</v>
      </c>
      <c r="C370" t="s">
        <v>148</v>
      </c>
      <c r="D370" t="s">
        <v>5</v>
      </c>
      <c r="E370">
        <f t="shared" ca="1" si="5"/>
        <v>14122.285714285699</v>
      </c>
    </row>
    <row r="371" spans="1:5" x14ac:dyDescent="0.25">
      <c r="A371">
        <v>9</v>
      </c>
      <c r="B371">
        <v>7</v>
      </c>
      <c r="C371" t="s">
        <v>148</v>
      </c>
      <c r="D371" t="s">
        <v>6</v>
      </c>
      <c r="E371">
        <f t="shared" ca="1" si="5"/>
        <v>5872.2857142857101</v>
      </c>
    </row>
    <row r="372" spans="1:5" x14ac:dyDescent="0.25">
      <c r="A372">
        <v>9</v>
      </c>
      <c r="B372">
        <v>8</v>
      </c>
      <c r="C372" t="s">
        <v>148</v>
      </c>
      <c r="D372" t="s">
        <v>7</v>
      </c>
      <c r="E372">
        <f t="shared" ca="1" si="5"/>
        <v>35519.357142857101</v>
      </c>
    </row>
    <row r="373" spans="1:5" x14ac:dyDescent="0.25">
      <c r="A373">
        <v>9</v>
      </c>
      <c r="B373">
        <v>9</v>
      </c>
      <c r="C373" t="s">
        <v>148</v>
      </c>
      <c r="D373" t="s">
        <v>148</v>
      </c>
      <c r="E373">
        <f t="shared" ca="1" si="5"/>
        <v>0</v>
      </c>
    </row>
    <row r="374" spans="1:5" x14ac:dyDescent="0.25">
      <c r="A374">
        <v>9</v>
      </c>
      <c r="B374">
        <v>10</v>
      </c>
      <c r="C374" t="s">
        <v>148</v>
      </c>
      <c r="D374" t="s">
        <v>9</v>
      </c>
      <c r="E374">
        <f t="shared" ca="1" si="5"/>
        <v>21997.714285714301</v>
      </c>
    </row>
    <row r="375" spans="1:5" x14ac:dyDescent="0.25">
      <c r="A375">
        <v>9</v>
      </c>
      <c r="B375">
        <v>11</v>
      </c>
      <c r="C375" t="s">
        <v>148</v>
      </c>
      <c r="D375" t="s">
        <v>10</v>
      </c>
      <c r="E375">
        <f t="shared" ca="1" si="5"/>
        <v>22164.884615384599</v>
      </c>
    </row>
    <row r="376" spans="1:5" x14ac:dyDescent="0.25">
      <c r="A376">
        <v>9</v>
      </c>
      <c r="B376">
        <v>12</v>
      </c>
      <c r="C376" t="s">
        <v>148</v>
      </c>
      <c r="D376" t="s">
        <v>11</v>
      </c>
      <c r="E376">
        <f t="shared" ca="1" si="5"/>
        <v>19133.5</v>
      </c>
    </row>
    <row r="377" spans="1:5" x14ac:dyDescent="0.25">
      <c r="A377">
        <v>9</v>
      </c>
      <c r="B377">
        <v>13</v>
      </c>
      <c r="C377" t="s">
        <v>148</v>
      </c>
      <c r="D377" t="s">
        <v>12</v>
      </c>
      <c r="E377">
        <f t="shared" ca="1" si="5"/>
        <v>4211.8846153846198</v>
      </c>
    </row>
    <row r="378" spans="1:5" x14ac:dyDescent="0.25">
      <c r="A378">
        <v>9</v>
      </c>
      <c r="B378">
        <v>14</v>
      </c>
      <c r="C378" t="s">
        <v>148</v>
      </c>
      <c r="D378" t="s">
        <v>13</v>
      </c>
      <c r="E378">
        <f t="shared" ca="1" si="5"/>
        <v>24836.884615384599</v>
      </c>
    </row>
    <row r="379" spans="1:5" x14ac:dyDescent="0.25">
      <c r="A379">
        <v>9</v>
      </c>
      <c r="B379">
        <v>15</v>
      </c>
      <c r="C379" t="s">
        <v>148</v>
      </c>
      <c r="D379" t="s">
        <v>14</v>
      </c>
      <c r="E379">
        <f t="shared" ca="1" si="5"/>
        <v>48636.269230769198</v>
      </c>
    </row>
    <row r="380" spans="1:5" x14ac:dyDescent="0.25">
      <c r="A380">
        <v>9</v>
      </c>
      <c r="B380">
        <v>16</v>
      </c>
      <c r="C380" t="s">
        <v>148</v>
      </c>
      <c r="D380" t="s">
        <v>15</v>
      </c>
      <c r="E380">
        <f t="shared" ca="1" si="5"/>
        <v>38328.730769230802</v>
      </c>
    </row>
    <row r="381" spans="1:5" x14ac:dyDescent="0.25">
      <c r="A381">
        <v>9</v>
      </c>
      <c r="B381">
        <v>17</v>
      </c>
      <c r="C381" t="s">
        <v>148</v>
      </c>
      <c r="D381" t="s">
        <v>16</v>
      </c>
      <c r="E381">
        <f t="shared" ca="1" si="5"/>
        <v>65387.807692307702</v>
      </c>
    </row>
    <row r="382" spans="1:5" x14ac:dyDescent="0.25">
      <c r="A382">
        <v>9</v>
      </c>
      <c r="B382">
        <v>18</v>
      </c>
      <c r="C382" t="s">
        <v>148</v>
      </c>
      <c r="D382" t="s">
        <v>17</v>
      </c>
      <c r="E382">
        <f t="shared" ca="1" si="5"/>
        <v>24654.269230769201</v>
      </c>
    </row>
    <row r="383" spans="1:5" x14ac:dyDescent="0.25">
      <c r="A383">
        <v>9</v>
      </c>
      <c r="B383">
        <v>19</v>
      </c>
      <c r="C383" t="s">
        <v>148</v>
      </c>
      <c r="D383" t="s">
        <v>18</v>
      </c>
      <c r="E383">
        <f t="shared" ca="1" si="5"/>
        <v>2205.4230769230799</v>
      </c>
    </row>
    <row r="384" spans="1:5" x14ac:dyDescent="0.25">
      <c r="A384">
        <v>9</v>
      </c>
      <c r="B384">
        <v>20</v>
      </c>
      <c r="C384" t="s">
        <v>148</v>
      </c>
      <c r="D384" t="s">
        <v>19</v>
      </c>
      <c r="E384">
        <f t="shared" ca="1" si="5"/>
        <v>59377.192307692298</v>
      </c>
    </row>
    <row r="385" spans="1:5" x14ac:dyDescent="0.25">
      <c r="A385">
        <v>9</v>
      </c>
      <c r="B385">
        <v>21</v>
      </c>
      <c r="C385" t="s">
        <v>148</v>
      </c>
      <c r="D385" t="s">
        <v>20</v>
      </c>
      <c r="E385">
        <f t="shared" ca="1" si="5"/>
        <v>38221.807692307702</v>
      </c>
    </row>
    <row r="386" spans="1:5" x14ac:dyDescent="0.25">
      <c r="A386">
        <v>9</v>
      </c>
      <c r="B386">
        <v>22</v>
      </c>
      <c r="C386" t="s">
        <v>148</v>
      </c>
      <c r="D386" t="s">
        <v>21</v>
      </c>
      <c r="E386">
        <f t="shared" ca="1" si="5"/>
        <v>22661.6538461538</v>
      </c>
    </row>
    <row r="387" spans="1:5" x14ac:dyDescent="0.25">
      <c r="A387">
        <v>9</v>
      </c>
      <c r="B387">
        <v>23</v>
      </c>
      <c r="C387" t="s">
        <v>148</v>
      </c>
      <c r="D387" t="s">
        <v>22</v>
      </c>
      <c r="E387">
        <f t="shared" ca="1" si="5"/>
        <v>7340.1923076923104</v>
      </c>
    </row>
    <row r="388" spans="1:5" x14ac:dyDescent="0.25">
      <c r="A388">
        <v>9</v>
      </c>
      <c r="B388">
        <v>24</v>
      </c>
      <c r="C388" t="s">
        <v>148</v>
      </c>
      <c r="D388" t="s">
        <v>23</v>
      </c>
      <c r="E388">
        <f t="shared" ca="1" si="5"/>
        <v>8502.5769230769201</v>
      </c>
    </row>
    <row r="389" spans="1:5" x14ac:dyDescent="0.25">
      <c r="A389">
        <v>9</v>
      </c>
      <c r="B389">
        <v>25</v>
      </c>
      <c r="C389" t="s">
        <v>148</v>
      </c>
      <c r="D389" t="s">
        <v>24</v>
      </c>
      <c r="E389">
        <f t="shared" ca="1" si="5"/>
        <v>6107.1923076923104</v>
      </c>
    </row>
    <row r="390" spans="1:5" x14ac:dyDescent="0.25">
      <c r="A390">
        <v>9</v>
      </c>
      <c r="B390">
        <v>26</v>
      </c>
      <c r="C390" t="s">
        <v>148</v>
      </c>
      <c r="D390" t="s">
        <v>25</v>
      </c>
      <c r="E390">
        <f t="shared" ca="1" si="5"/>
        <v>5186.2692307692296</v>
      </c>
    </row>
    <row r="391" spans="1:5" x14ac:dyDescent="0.25">
      <c r="A391">
        <v>9</v>
      </c>
      <c r="B391">
        <v>27</v>
      </c>
      <c r="C391" t="s">
        <v>148</v>
      </c>
      <c r="D391" t="s">
        <v>145</v>
      </c>
      <c r="E391">
        <f t="shared" ca="1" si="5"/>
        <v>60401.5</v>
      </c>
    </row>
    <row r="392" spans="1:5" x14ac:dyDescent="0.25">
      <c r="A392">
        <v>9</v>
      </c>
      <c r="B392">
        <v>28</v>
      </c>
      <c r="C392" t="s">
        <v>148</v>
      </c>
      <c r="D392" t="s">
        <v>147</v>
      </c>
      <c r="E392">
        <f t="shared" ca="1" si="5"/>
        <v>37465.800000000003</v>
      </c>
    </row>
    <row r="393" spans="1:5" x14ac:dyDescent="0.25">
      <c r="A393">
        <v>9</v>
      </c>
      <c r="B393">
        <v>29</v>
      </c>
      <c r="C393" t="s">
        <v>148</v>
      </c>
      <c r="D393" t="s">
        <v>146</v>
      </c>
      <c r="E393">
        <f t="shared" ca="1" si="5"/>
        <v>8672.7999999999993</v>
      </c>
    </row>
    <row r="394" spans="1:5" x14ac:dyDescent="0.25">
      <c r="A394">
        <v>9</v>
      </c>
      <c r="B394">
        <v>30</v>
      </c>
      <c r="C394" t="s">
        <v>148</v>
      </c>
      <c r="D394" t="s">
        <v>30</v>
      </c>
      <c r="E394">
        <f t="shared" ca="1" si="5"/>
        <v>3561.9615384615399</v>
      </c>
    </row>
    <row r="395" spans="1:5" x14ac:dyDescent="0.25">
      <c r="A395">
        <v>9</v>
      </c>
      <c r="B395">
        <v>31</v>
      </c>
      <c r="C395" t="s">
        <v>148</v>
      </c>
      <c r="D395" t="s">
        <v>31</v>
      </c>
      <c r="E395">
        <f t="shared" ca="1" si="5"/>
        <v>1406.884615384615</v>
      </c>
    </row>
    <row r="396" spans="1:5" x14ac:dyDescent="0.25">
      <c r="A396">
        <v>9</v>
      </c>
      <c r="B396">
        <v>32</v>
      </c>
      <c r="C396" t="s">
        <v>148</v>
      </c>
      <c r="D396" t="s">
        <v>32</v>
      </c>
      <c r="E396">
        <f t="shared" ca="1" si="5"/>
        <v>65084.269230769198</v>
      </c>
    </row>
    <row r="397" spans="1:5" x14ac:dyDescent="0.25">
      <c r="A397">
        <v>9</v>
      </c>
      <c r="B397">
        <v>33</v>
      </c>
      <c r="C397" t="s">
        <v>148</v>
      </c>
      <c r="D397" t="s">
        <v>33</v>
      </c>
      <c r="E397">
        <f t="shared" ca="1" si="5"/>
        <v>297694.80769230798</v>
      </c>
    </row>
    <row r="398" spans="1:5" x14ac:dyDescent="0.25">
      <c r="A398">
        <v>9</v>
      </c>
      <c r="B398">
        <v>34</v>
      </c>
      <c r="C398" t="s">
        <v>148</v>
      </c>
      <c r="D398" t="s">
        <v>34</v>
      </c>
      <c r="E398">
        <f t="shared" ca="1" si="5"/>
        <v>24013.115384615401</v>
      </c>
    </row>
    <row r="399" spans="1:5" x14ac:dyDescent="0.25">
      <c r="A399">
        <v>9</v>
      </c>
      <c r="B399">
        <v>35</v>
      </c>
      <c r="C399" t="s">
        <v>148</v>
      </c>
      <c r="D399" t="s">
        <v>35</v>
      </c>
      <c r="E399">
        <f t="shared" ca="1" si="5"/>
        <v>4637.3461538461506</v>
      </c>
    </row>
    <row r="400" spans="1:5" x14ac:dyDescent="0.25">
      <c r="A400">
        <v>9</v>
      </c>
      <c r="B400">
        <v>36</v>
      </c>
      <c r="C400" t="s">
        <v>148</v>
      </c>
      <c r="D400" t="s">
        <v>36</v>
      </c>
      <c r="E400">
        <f t="shared" ca="1" si="5"/>
        <v>11056.3461538462</v>
      </c>
    </row>
    <row r="401" spans="1:5" x14ac:dyDescent="0.25">
      <c r="A401">
        <v>9</v>
      </c>
      <c r="B401">
        <v>37</v>
      </c>
      <c r="C401" t="s">
        <v>148</v>
      </c>
      <c r="D401" t="s">
        <v>37</v>
      </c>
      <c r="E401">
        <f t="shared" ca="1" si="5"/>
        <v>1024.5</v>
      </c>
    </row>
    <row r="402" spans="1:5" x14ac:dyDescent="0.25">
      <c r="A402">
        <v>9</v>
      </c>
      <c r="B402">
        <v>38</v>
      </c>
      <c r="C402" t="s">
        <v>148</v>
      </c>
      <c r="D402" t="s">
        <v>38</v>
      </c>
      <c r="E402">
        <f t="shared" ca="1" si="5"/>
        <v>4094.8846153846198</v>
      </c>
    </row>
    <row r="403" spans="1:5" x14ac:dyDescent="0.25">
      <c r="A403">
        <v>9</v>
      </c>
      <c r="B403">
        <v>39</v>
      </c>
      <c r="C403" t="s">
        <v>148</v>
      </c>
      <c r="D403" t="s">
        <v>39</v>
      </c>
      <c r="E403">
        <f t="shared" ca="1" si="5"/>
        <v>10641.26923076923</v>
      </c>
    </row>
    <row r="404" spans="1:5" x14ac:dyDescent="0.25">
      <c r="A404">
        <v>9</v>
      </c>
      <c r="B404">
        <v>40</v>
      </c>
      <c r="C404" t="s">
        <v>148</v>
      </c>
      <c r="D404" t="s">
        <v>40</v>
      </c>
      <c r="E404">
        <f t="shared" ca="1" si="5"/>
        <v>23000.192307692301</v>
      </c>
    </row>
    <row r="405" spans="1:5" x14ac:dyDescent="0.25">
      <c r="A405">
        <v>10</v>
      </c>
      <c r="B405">
        <v>1</v>
      </c>
      <c r="C405" t="s">
        <v>9</v>
      </c>
      <c r="D405" t="s">
        <v>0</v>
      </c>
      <c r="E405">
        <f t="shared" ca="1" si="5"/>
        <v>106531.64285714284</v>
      </c>
    </row>
    <row r="406" spans="1:5" x14ac:dyDescent="0.25">
      <c r="A406">
        <v>10</v>
      </c>
      <c r="B406">
        <v>2</v>
      </c>
      <c r="C406" t="s">
        <v>9</v>
      </c>
      <c r="D406" t="s">
        <v>1</v>
      </c>
      <c r="E406">
        <f t="shared" ca="1" si="5"/>
        <v>35270.642857142826</v>
      </c>
    </row>
    <row r="407" spans="1:5" x14ac:dyDescent="0.25">
      <c r="A407">
        <v>10</v>
      </c>
      <c r="B407">
        <v>3</v>
      </c>
      <c r="C407" t="s">
        <v>9</v>
      </c>
      <c r="D407" t="s">
        <v>2</v>
      </c>
      <c r="E407">
        <f t="shared" ca="1" si="5"/>
        <v>30535.285714285732</v>
      </c>
    </row>
    <row r="408" spans="1:5" x14ac:dyDescent="0.25">
      <c r="A408">
        <v>10</v>
      </c>
      <c r="B408">
        <v>4</v>
      </c>
      <c r="C408" t="s">
        <v>9</v>
      </c>
      <c r="D408" t="s">
        <v>3</v>
      </c>
      <c r="E408">
        <f t="shared" ca="1" si="5"/>
        <v>45191.642857142826</v>
      </c>
    </row>
    <row r="409" spans="1:5" x14ac:dyDescent="0.25">
      <c r="A409">
        <v>10</v>
      </c>
      <c r="B409">
        <v>5</v>
      </c>
      <c r="C409" t="s">
        <v>9</v>
      </c>
      <c r="D409" t="s">
        <v>4</v>
      </c>
      <c r="E409">
        <f t="shared" ca="1" si="5"/>
        <v>78928.214285714334</v>
      </c>
    </row>
    <row r="410" spans="1:5" x14ac:dyDescent="0.25">
      <c r="A410">
        <v>10</v>
      </c>
      <c r="B410">
        <v>6</v>
      </c>
      <c r="C410" t="s">
        <v>9</v>
      </c>
      <c r="D410" t="s">
        <v>5</v>
      </c>
      <c r="E410">
        <f t="shared" ca="1" si="5"/>
        <v>27256.35714285713</v>
      </c>
    </row>
    <row r="411" spans="1:5" x14ac:dyDescent="0.25">
      <c r="A411">
        <v>10</v>
      </c>
      <c r="B411">
        <v>7</v>
      </c>
      <c r="C411" t="s">
        <v>9</v>
      </c>
      <c r="D411" t="s">
        <v>6</v>
      </c>
      <c r="E411">
        <f t="shared" ca="1" si="5"/>
        <v>19006.357142857138</v>
      </c>
    </row>
    <row r="412" spans="1:5" x14ac:dyDescent="0.25">
      <c r="A412">
        <v>10</v>
      </c>
      <c r="B412">
        <v>8</v>
      </c>
      <c r="C412" t="s">
        <v>9</v>
      </c>
      <c r="D412" t="s">
        <v>7</v>
      </c>
      <c r="E412">
        <f t="shared" ca="1" si="5"/>
        <v>48653.428571428529</v>
      </c>
    </row>
    <row r="413" spans="1:5" x14ac:dyDescent="0.25">
      <c r="A413">
        <v>10</v>
      </c>
      <c r="B413">
        <v>9</v>
      </c>
      <c r="C413" t="s">
        <v>9</v>
      </c>
      <c r="D413" t="s">
        <v>148</v>
      </c>
      <c r="E413">
        <f t="shared" ca="1" si="5"/>
        <v>14649.025974025973</v>
      </c>
    </row>
    <row r="414" spans="1:5" x14ac:dyDescent="0.25">
      <c r="A414">
        <v>10</v>
      </c>
      <c r="B414">
        <v>10</v>
      </c>
      <c r="C414" t="s">
        <v>9</v>
      </c>
      <c r="D414" t="s">
        <v>9</v>
      </c>
      <c r="E414">
        <f t="shared" ca="1" si="5"/>
        <v>0</v>
      </c>
    </row>
    <row r="415" spans="1:5" x14ac:dyDescent="0.25">
      <c r="A415">
        <v>10</v>
      </c>
      <c r="B415">
        <v>11</v>
      </c>
      <c r="C415" t="s">
        <v>9</v>
      </c>
      <c r="D415" t="s">
        <v>10</v>
      </c>
      <c r="E415">
        <f t="shared" ca="1" si="5"/>
        <v>35298.95604395603</v>
      </c>
    </row>
    <row r="416" spans="1:5" x14ac:dyDescent="0.25">
      <c r="A416">
        <v>10</v>
      </c>
      <c r="B416">
        <v>12</v>
      </c>
      <c r="C416" t="s">
        <v>9</v>
      </c>
      <c r="D416" t="s">
        <v>11</v>
      </c>
      <c r="E416">
        <f t="shared" ca="1" si="5"/>
        <v>32267.571428571428</v>
      </c>
    </row>
    <row r="417" spans="1:5" x14ac:dyDescent="0.25">
      <c r="A417">
        <v>10</v>
      </c>
      <c r="B417">
        <v>13</v>
      </c>
      <c r="C417" t="s">
        <v>9</v>
      </c>
      <c r="D417" t="s">
        <v>12</v>
      </c>
      <c r="E417">
        <f t="shared" ca="1" si="5"/>
        <v>17345.956043956048</v>
      </c>
    </row>
    <row r="418" spans="1:5" x14ac:dyDescent="0.25">
      <c r="A418">
        <v>10</v>
      </c>
      <c r="B418">
        <v>14</v>
      </c>
      <c r="C418" t="s">
        <v>9</v>
      </c>
      <c r="D418" t="s">
        <v>13</v>
      </c>
      <c r="E418">
        <f t="shared" ca="1" si="5"/>
        <v>37970.95604395603</v>
      </c>
    </row>
    <row r="419" spans="1:5" x14ac:dyDescent="0.25">
      <c r="A419">
        <v>10</v>
      </c>
      <c r="B419">
        <v>15</v>
      </c>
      <c r="C419" t="s">
        <v>9</v>
      </c>
      <c r="D419" t="s">
        <v>14</v>
      </c>
      <c r="E419">
        <f t="shared" ca="1" si="5"/>
        <v>61770.340659340625</v>
      </c>
    </row>
    <row r="420" spans="1:5" x14ac:dyDescent="0.25">
      <c r="A420">
        <v>10</v>
      </c>
      <c r="B420">
        <v>16</v>
      </c>
      <c r="C420" t="s">
        <v>9</v>
      </c>
      <c r="D420" t="s">
        <v>15</v>
      </c>
      <c r="E420">
        <f t="shared" ca="1" si="5"/>
        <v>51462.80219780223</v>
      </c>
    </row>
    <row r="421" spans="1:5" x14ac:dyDescent="0.25">
      <c r="A421">
        <v>10</v>
      </c>
      <c r="B421">
        <v>17</v>
      </c>
      <c r="C421" t="s">
        <v>9</v>
      </c>
      <c r="D421" t="s">
        <v>16</v>
      </c>
      <c r="E421">
        <f t="shared" ref="E421:E482" ca="1" si="6">OFFSET($B$2,A421,B421)</f>
        <v>78521.879120879137</v>
      </c>
    </row>
    <row r="422" spans="1:5" x14ac:dyDescent="0.25">
      <c r="A422">
        <v>10</v>
      </c>
      <c r="B422">
        <v>18</v>
      </c>
      <c r="C422" t="s">
        <v>9</v>
      </c>
      <c r="D422" t="s">
        <v>17</v>
      </c>
      <c r="E422">
        <f t="shared" ca="1" si="6"/>
        <v>37788.340659340633</v>
      </c>
    </row>
    <row r="423" spans="1:5" x14ac:dyDescent="0.25">
      <c r="A423">
        <v>10</v>
      </c>
      <c r="B423">
        <v>19</v>
      </c>
      <c r="C423" t="s">
        <v>9</v>
      </c>
      <c r="D423" t="s">
        <v>18</v>
      </c>
      <c r="E423">
        <f t="shared" ca="1" si="6"/>
        <v>15339.494505494509</v>
      </c>
    </row>
    <row r="424" spans="1:5" x14ac:dyDescent="0.25">
      <c r="A424">
        <v>10</v>
      </c>
      <c r="B424">
        <v>20</v>
      </c>
      <c r="C424" t="s">
        <v>9</v>
      </c>
      <c r="D424" t="s">
        <v>19</v>
      </c>
      <c r="E424">
        <f t="shared" ca="1" si="6"/>
        <v>72511.263736263732</v>
      </c>
    </row>
    <row r="425" spans="1:5" x14ac:dyDescent="0.25">
      <c r="A425">
        <v>10</v>
      </c>
      <c r="B425">
        <v>21</v>
      </c>
      <c r="C425" t="s">
        <v>9</v>
      </c>
      <c r="D425" t="s">
        <v>20</v>
      </c>
      <c r="E425">
        <f t="shared" ca="1" si="6"/>
        <v>51355.87912087913</v>
      </c>
    </row>
    <row r="426" spans="1:5" x14ac:dyDescent="0.25">
      <c r="A426">
        <v>10</v>
      </c>
      <c r="B426">
        <v>22</v>
      </c>
      <c r="C426" t="s">
        <v>9</v>
      </c>
      <c r="D426" t="s">
        <v>21</v>
      </c>
      <c r="E426">
        <f t="shared" ca="1" si="6"/>
        <v>35795.725274725228</v>
      </c>
    </row>
    <row r="427" spans="1:5" x14ac:dyDescent="0.25">
      <c r="A427">
        <v>10</v>
      </c>
      <c r="B427">
        <v>23</v>
      </c>
      <c r="C427" t="s">
        <v>9</v>
      </c>
      <c r="D427" t="s">
        <v>22</v>
      </c>
      <c r="E427">
        <f t="shared" ca="1" si="6"/>
        <v>20474.26373626374</v>
      </c>
    </row>
    <row r="428" spans="1:5" x14ac:dyDescent="0.25">
      <c r="A428">
        <v>10</v>
      </c>
      <c r="B428">
        <v>24</v>
      </c>
      <c r="C428" t="s">
        <v>9</v>
      </c>
      <c r="D428" t="s">
        <v>23</v>
      </c>
      <c r="E428">
        <f t="shared" ca="1" si="6"/>
        <v>21636.648351648349</v>
      </c>
    </row>
    <row r="429" spans="1:5" x14ac:dyDescent="0.25">
      <c r="A429">
        <v>10</v>
      </c>
      <c r="B429">
        <v>25</v>
      </c>
      <c r="C429" t="s">
        <v>9</v>
      </c>
      <c r="D429" t="s">
        <v>24</v>
      </c>
      <c r="E429">
        <f t="shared" ca="1" si="6"/>
        <v>19241.26373626374</v>
      </c>
    </row>
    <row r="430" spans="1:5" x14ac:dyDescent="0.25">
      <c r="A430">
        <v>10</v>
      </c>
      <c r="B430">
        <v>26</v>
      </c>
      <c r="C430" t="s">
        <v>9</v>
      </c>
      <c r="D430" t="s">
        <v>25</v>
      </c>
      <c r="E430">
        <f t="shared" ca="1" si="6"/>
        <v>18320.340659340658</v>
      </c>
    </row>
    <row r="431" spans="1:5" x14ac:dyDescent="0.25">
      <c r="A431">
        <v>10</v>
      </c>
      <c r="B431">
        <v>27</v>
      </c>
      <c r="C431" t="s">
        <v>9</v>
      </c>
      <c r="D431" t="s">
        <v>145</v>
      </c>
      <c r="E431">
        <f t="shared" ca="1" si="6"/>
        <v>73535.571428571435</v>
      </c>
    </row>
    <row r="432" spans="1:5" x14ac:dyDescent="0.25">
      <c r="A432">
        <v>10</v>
      </c>
      <c r="B432">
        <v>28</v>
      </c>
      <c r="C432" t="s">
        <v>9</v>
      </c>
      <c r="D432" t="s">
        <v>147</v>
      </c>
      <c r="E432">
        <f t="shared" ca="1" si="6"/>
        <v>50599.87142857143</v>
      </c>
    </row>
    <row r="433" spans="1:5" x14ac:dyDescent="0.25">
      <c r="A433">
        <v>10</v>
      </c>
      <c r="B433">
        <v>29</v>
      </c>
      <c r="C433" t="s">
        <v>9</v>
      </c>
      <c r="D433" t="s">
        <v>146</v>
      </c>
      <c r="E433">
        <f t="shared" ca="1" si="6"/>
        <v>21806.87142857143</v>
      </c>
    </row>
    <row r="434" spans="1:5" x14ac:dyDescent="0.25">
      <c r="A434">
        <v>10</v>
      </c>
      <c r="B434">
        <v>30</v>
      </c>
      <c r="C434" t="s">
        <v>9</v>
      </c>
      <c r="D434" t="s">
        <v>30</v>
      </c>
      <c r="E434">
        <f t="shared" ca="1" si="6"/>
        <v>16696.03296703297</v>
      </c>
    </row>
    <row r="435" spans="1:5" x14ac:dyDescent="0.25">
      <c r="A435">
        <v>10</v>
      </c>
      <c r="B435">
        <v>31</v>
      </c>
      <c r="C435" t="s">
        <v>9</v>
      </c>
      <c r="D435" t="s">
        <v>31</v>
      </c>
      <c r="E435">
        <f t="shared" ca="1" si="6"/>
        <v>14540.956043956045</v>
      </c>
    </row>
    <row r="436" spans="1:5" x14ac:dyDescent="0.25">
      <c r="A436">
        <v>10</v>
      </c>
      <c r="B436">
        <v>32</v>
      </c>
      <c r="C436" t="s">
        <v>9</v>
      </c>
      <c r="D436" t="s">
        <v>32</v>
      </c>
      <c r="E436">
        <f t="shared" ca="1" si="6"/>
        <v>78218.340659340625</v>
      </c>
    </row>
    <row r="437" spans="1:5" x14ac:dyDescent="0.25">
      <c r="A437">
        <v>10</v>
      </c>
      <c r="B437">
        <v>33</v>
      </c>
      <c r="C437" t="s">
        <v>9</v>
      </c>
      <c r="D437" t="s">
        <v>33</v>
      </c>
      <c r="E437">
        <f t="shared" ca="1" si="6"/>
        <v>310828.8791208794</v>
      </c>
    </row>
    <row r="438" spans="1:5" x14ac:dyDescent="0.25">
      <c r="A438">
        <v>10</v>
      </c>
      <c r="B438">
        <v>34</v>
      </c>
      <c r="C438" t="s">
        <v>9</v>
      </c>
      <c r="D438" t="s">
        <v>34</v>
      </c>
      <c r="E438">
        <f t="shared" ca="1" si="6"/>
        <v>37147.186813186832</v>
      </c>
    </row>
    <row r="439" spans="1:5" x14ac:dyDescent="0.25">
      <c r="A439">
        <v>10</v>
      </c>
      <c r="B439">
        <v>35</v>
      </c>
      <c r="C439" t="s">
        <v>9</v>
      </c>
      <c r="D439" t="s">
        <v>35</v>
      </c>
      <c r="E439">
        <f t="shared" ca="1" si="6"/>
        <v>17771.41758241758</v>
      </c>
    </row>
    <row r="440" spans="1:5" x14ac:dyDescent="0.25">
      <c r="A440">
        <v>10</v>
      </c>
      <c r="B440">
        <v>36</v>
      </c>
      <c r="C440" t="s">
        <v>9</v>
      </c>
      <c r="D440" t="s">
        <v>36</v>
      </c>
      <c r="E440">
        <f t="shared" ca="1" si="6"/>
        <v>24190.417582417627</v>
      </c>
    </row>
    <row r="441" spans="1:5" x14ac:dyDescent="0.25">
      <c r="A441">
        <v>10</v>
      </c>
      <c r="B441">
        <v>37</v>
      </c>
      <c r="C441" t="s">
        <v>9</v>
      </c>
      <c r="D441" t="s">
        <v>37</v>
      </c>
      <c r="E441">
        <f t="shared" ca="1" si="6"/>
        <v>14158.571428571429</v>
      </c>
    </row>
    <row r="442" spans="1:5" x14ac:dyDescent="0.25">
      <c r="A442">
        <v>10</v>
      </c>
      <c r="B442">
        <v>38</v>
      </c>
      <c r="C442" t="s">
        <v>9</v>
      </c>
      <c r="D442" t="s">
        <v>38</v>
      </c>
      <c r="E442">
        <f t="shared" ca="1" si="6"/>
        <v>17228.956043956048</v>
      </c>
    </row>
    <row r="443" spans="1:5" x14ac:dyDescent="0.25">
      <c r="A443">
        <v>10</v>
      </c>
      <c r="B443">
        <v>39</v>
      </c>
      <c r="C443" t="s">
        <v>9</v>
      </c>
      <c r="D443" t="s">
        <v>39</v>
      </c>
      <c r="E443">
        <f t="shared" ca="1" si="6"/>
        <v>23775.340659340662</v>
      </c>
    </row>
    <row r="444" spans="1:5" x14ac:dyDescent="0.25">
      <c r="A444">
        <v>10</v>
      </c>
      <c r="B444">
        <v>40</v>
      </c>
      <c r="C444" t="s">
        <v>9</v>
      </c>
      <c r="D444" t="s">
        <v>40</v>
      </c>
      <c r="E444">
        <f t="shared" ca="1" si="6"/>
        <v>36134.263736263732</v>
      </c>
    </row>
    <row r="445" spans="1:5" x14ac:dyDescent="0.25">
      <c r="A445">
        <v>11</v>
      </c>
      <c r="B445">
        <v>1</v>
      </c>
      <c r="C445" t="s">
        <v>10</v>
      </c>
      <c r="D445" t="s">
        <v>0</v>
      </c>
      <c r="E445">
        <f t="shared" ca="1" si="6"/>
        <v>103173.84065934064</v>
      </c>
    </row>
    <row r="446" spans="1:5" x14ac:dyDescent="0.25">
      <c r="A446">
        <v>11</v>
      </c>
      <c r="B446">
        <v>2</v>
      </c>
      <c r="C446" t="s">
        <v>10</v>
      </c>
      <c r="D446" t="s">
        <v>1</v>
      </c>
      <c r="E446">
        <f t="shared" ca="1" si="6"/>
        <v>31912.840659340629</v>
      </c>
    </row>
    <row r="447" spans="1:5" x14ac:dyDescent="0.25">
      <c r="A447">
        <v>11</v>
      </c>
      <c r="B447">
        <v>3</v>
      </c>
      <c r="C447" t="s">
        <v>10</v>
      </c>
      <c r="D447" t="s">
        <v>2</v>
      </c>
      <c r="E447">
        <f t="shared" ca="1" si="6"/>
        <v>27177.483516483531</v>
      </c>
    </row>
    <row r="448" spans="1:5" x14ac:dyDescent="0.25">
      <c r="A448">
        <v>11</v>
      </c>
      <c r="B448">
        <v>4</v>
      </c>
      <c r="C448" t="s">
        <v>10</v>
      </c>
      <c r="D448" t="s">
        <v>3</v>
      </c>
      <c r="E448">
        <f t="shared" ca="1" si="6"/>
        <v>41833.840659340625</v>
      </c>
    </row>
    <row r="449" spans="1:5" x14ac:dyDescent="0.25">
      <c r="A449">
        <v>11</v>
      </c>
      <c r="B449">
        <v>5</v>
      </c>
      <c r="C449" t="s">
        <v>10</v>
      </c>
      <c r="D449" t="s">
        <v>4</v>
      </c>
      <c r="E449">
        <f t="shared" ca="1" si="6"/>
        <v>75570.412087912133</v>
      </c>
    </row>
    <row r="450" spans="1:5" x14ac:dyDescent="0.25">
      <c r="A450">
        <v>11</v>
      </c>
      <c r="B450">
        <v>6</v>
      </c>
      <c r="C450" t="s">
        <v>10</v>
      </c>
      <c r="D450" t="s">
        <v>5</v>
      </c>
      <c r="E450">
        <f t="shared" ca="1" si="6"/>
        <v>23898.55494505493</v>
      </c>
    </row>
    <row r="451" spans="1:5" x14ac:dyDescent="0.25">
      <c r="A451">
        <v>11</v>
      </c>
      <c r="B451">
        <v>7</v>
      </c>
      <c r="C451" t="s">
        <v>10</v>
      </c>
      <c r="D451" t="s">
        <v>6</v>
      </c>
      <c r="E451">
        <f t="shared" ca="1" si="6"/>
        <v>15648.554945054941</v>
      </c>
    </row>
    <row r="452" spans="1:5" x14ac:dyDescent="0.25">
      <c r="A452">
        <v>11</v>
      </c>
      <c r="B452">
        <v>8</v>
      </c>
      <c r="C452" t="s">
        <v>10</v>
      </c>
      <c r="D452" t="s">
        <v>7</v>
      </c>
      <c r="E452">
        <f t="shared" ca="1" si="6"/>
        <v>45295.626373626335</v>
      </c>
    </row>
    <row r="453" spans="1:5" x14ac:dyDescent="0.25">
      <c r="A453">
        <v>11</v>
      </c>
      <c r="B453">
        <v>9</v>
      </c>
      <c r="C453" t="s">
        <v>10</v>
      </c>
      <c r="D453" t="s">
        <v>148</v>
      </c>
      <c r="E453">
        <f t="shared" ca="1" si="6"/>
        <v>11291.223776223775</v>
      </c>
    </row>
    <row r="454" spans="1:5" x14ac:dyDescent="0.25">
      <c r="A454">
        <v>11</v>
      </c>
      <c r="B454">
        <v>10</v>
      </c>
      <c r="C454" t="s">
        <v>10</v>
      </c>
      <c r="D454" t="s">
        <v>9</v>
      </c>
      <c r="E454">
        <f t="shared" ca="1" si="6"/>
        <v>31773.983516483531</v>
      </c>
    </row>
    <row r="455" spans="1:5" x14ac:dyDescent="0.25">
      <c r="A455">
        <v>11</v>
      </c>
      <c r="B455">
        <v>11</v>
      </c>
      <c r="C455" t="s">
        <v>10</v>
      </c>
      <c r="D455" t="s">
        <v>10</v>
      </c>
      <c r="E455">
        <f t="shared" ca="1" si="6"/>
        <v>0</v>
      </c>
    </row>
    <row r="456" spans="1:5" x14ac:dyDescent="0.25">
      <c r="A456">
        <v>11</v>
      </c>
      <c r="B456">
        <v>12</v>
      </c>
      <c r="C456" t="s">
        <v>10</v>
      </c>
      <c r="D456" t="s">
        <v>11</v>
      </c>
      <c r="E456">
        <f t="shared" ca="1" si="6"/>
        <v>28909.76923076923</v>
      </c>
    </row>
    <row r="457" spans="1:5" x14ac:dyDescent="0.25">
      <c r="A457">
        <v>11</v>
      </c>
      <c r="B457">
        <v>13</v>
      </c>
      <c r="C457" t="s">
        <v>10</v>
      </c>
      <c r="D457" t="s">
        <v>12</v>
      </c>
      <c r="E457">
        <f t="shared" ca="1" si="6"/>
        <v>13988.153846153851</v>
      </c>
    </row>
    <row r="458" spans="1:5" x14ac:dyDescent="0.25">
      <c r="A458">
        <v>11</v>
      </c>
      <c r="B458">
        <v>14</v>
      </c>
      <c r="C458" t="s">
        <v>10</v>
      </c>
      <c r="D458" t="s">
        <v>13</v>
      </c>
      <c r="E458">
        <f t="shared" ca="1" si="6"/>
        <v>34613.153846153829</v>
      </c>
    </row>
    <row r="459" spans="1:5" x14ac:dyDescent="0.25">
      <c r="A459">
        <v>11</v>
      </c>
      <c r="B459">
        <v>15</v>
      </c>
      <c r="C459" t="s">
        <v>10</v>
      </c>
      <c r="D459" t="s">
        <v>14</v>
      </c>
      <c r="E459">
        <f t="shared" ca="1" si="6"/>
        <v>58412.538461538425</v>
      </c>
    </row>
    <row r="460" spans="1:5" x14ac:dyDescent="0.25">
      <c r="A460">
        <v>11</v>
      </c>
      <c r="B460">
        <v>16</v>
      </c>
      <c r="C460" t="s">
        <v>10</v>
      </c>
      <c r="D460" t="s">
        <v>15</v>
      </c>
      <c r="E460">
        <f t="shared" ca="1" si="6"/>
        <v>48105.000000000029</v>
      </c>
    </row>
    <row r="461" spans="1:5" x14ac:dyDescent="0.25">
      <c r="A461">
        <v>11</v>
      </c>
      <c r="B461">
        <v>17</v>
      </c>
      <c r="C461" t="s">
        <v>10</v>
      </c>
      <c r="D461" t="s">
        <v>16</v>
      </c>
      <c r="E461">
        <f t="shared" ca="1" si="6"/>
        <v>75164.076923076937</v>
      </c>
    </row>
    <row r="462" spans="1:5" x14ac:dyDescent="0.25">
      <c r="A462">
        <v>11</v>
      </c>
      <c r="B462">
        <v>18</v>
      </c>
      <c r="C462" t="s">
        <v>10</v>
      </c>
      <c r="D462" t="s">
        <v>17</v>
      </c>
      <c r="E462">
        <f t="shared" ca="1" si="6"/>
        <v>34430.538461538432</v>
      </c>
    </row>
    <row r="463" spans="1:5" x14ac:dyDescent="0.25">
      <c r="A463">
        <v>11</v>
      </c>
      <c r="B463">
        <v>19</v>
      </c>
      <c r="C463" t="s">
        <v>10</v>
      </c>
      <c r="D463" t="s">
        <v>18</v>
      </c>
      <c r="E463">
        <f t="shared" ca="1" si="6"/>
        <v>11981.69230769231</v>
      </c>
    </row>
    <row r="464" spans="1:5" x14ac:dyDescent="0.25">
      <c r="A464">
        <v>11</v>
      </c>
      <c r="B464">
        <v>20</v>
      </c>
      <c r="C464" t="s">
        <v>10</v>
      </c>
      <c r="D464" t="s">
        <v>19</v>
      </c>
      <c r="E464">
        <f t="shared" ca="1" si="6"/>
        <v>69153.461538461532</v>
      </c>
    </row>
    <row r="465" spans="1:5" x14ac:dyDescent="0.25">
      <c r="A465">
        <v>11</v>
      </c>
      <c r="B465">
        <v>21</v>
      </c>
      <c r="C465" t="s">
        <v>10</v>
      </c>
      <c r="D465" t="s">
        <v>20</v>
      </c>
      <c r="E465">
        <f t="shared" ca="1" si="6"/>
        <v>47998.076923076937</v>
      </c>
    </row>
    <row r="466" spans="1:5" x14ac:dyDescent="0.25">
      <c r="A466">
        <v>11</v>
      </c>
      <c r="B466">
        <v>22</v>
      </c>
      <c r="C466" t="s">
        <v>10</v>
      </c>
      <c r="D466" t="s">
        <v>21</v>
      </c>
      <c r="E466">
        <f t="shared" ca="1" si="6"/>
        <v>32437.923076923031</v>
      </c>
    </row>
    <row r="467" spans="1:5" x14ac:dyDescent="0.25">
      <c r="A467">
        <v>11</v>
      </c>
      <c r="B467">
        <v>23</v>
      </c>
      <c r="C467" t="s">
        <v>10</v>
      </c>
      <c r="D467" t="s">
        <v>22</v>
      </c>
      <c r="E467">
        <f t="shared" ca="1" si="6"/>
        <v>17116.461538461539</v>
      </c>
    </row>
    <row r="468" spans="1:5" x14ac:dyDescent="0.25">
      <c r="A468">
        <v>11</v>
      </c>
      <c r="B468">
        <v>24</v>
      </c>
      <c r="C468" t="s">
        <v>10</v>
      </c>
      <c r="D468" t="s">
        <v>23</v>
      </c>
      <c r="E468">
        <f t="shared" ca="1" si="6"/>
        <v>18278.846153846149</v>
      </c>
    </row>
    <row r="469" spans="1:5" x14ac:dyDescent="0.25">
      <c r="A469">
        <v>11</v>
      </c>
      <c r="B469">
        <v>25</v>
      </c>
      <c r="C469" t="s">
        <v>10</v>
      </c>
      <c r="D469" t="s">
        <v>24</v>
      </c>
      <c r="E469">
        <f t="shared" ca="1" si="6"/>
        <v>15883.461538461541</v>
      </c>
    </row>
    <row r="470" spans="1:5" x14ac:dyDescent="0.25">
      <c r="A470">
        <v>11</v>
      </c>
      <c r="B470">
        <v>26</v>
      </c>
      <c r="C470" t="s">
        <v>10</v>
      </c>
      <c r="D470" t="s">
        <v>25</v>
      </c>
      <c r="E470">
        <f t="shared" ca="1" si="6"/>
        <v>14962.538461538461</v>
      </c>
    </row>
    <row r="471" spans="1:5" x14ac:dyDescent="0.25">
      <c r="A471">
        <v>11</v>
      </c>
      <c r="B471">
        <v>27</v>
      </c>
      <c r="C471" t="s">
        <v>10</v>
      </c>
      <c r="D471" t="s">
        <v>145</v>
      </c>
      <c r="E471">
        <f t="shared" ca="1" si="6"/>
        <v>70177.769230769234</v>
      </c>
    </row>
    <row r="472" spans="1:5" x14ac:dyDescent="0.25">
      <c r="A472">
        <v>11</v>
      </c>
      <c r="B472">
        <v>28</v>
      </c>
      <c r="C472" t="s">
        <v>10</v>
      </c>
      <c r="D472" t="s">
        <v>147</v>
      </c>
      <c r="E472">
        <f t="shared" ca="1" si="6"/>
        <v>47242.069230769237</v>
      </c>
    </row>
    <row r="473" spans="1:5" x14ac:dyDescent="0.25">
      <c r="A473">
        <v>11</v>
      </c>
      <c r="B473">
        <v>29</v>
      </c>
      <c r="C473" t="s">
        <v>10</v>
      </c>
      <c r="D473" t="s">
        <v>146</v>
      </c>
      <c r="E473">
        <f t="shared" ca="1" si="6"/>
        <v>18449.06923076923</v>
      </c>
    </row>
    <row r="474" spans="1:5" x14ac:dyDescent="0.25">
      <c r="A474">
        <v>11</v>
      </c>
      <c r="B474">
        <v>30</v>
      </c>
      <c r="C474" t="s">
        <v>10</v>
      </c>
      <c r="D474" t="s">
        <v>30</v>
      </c>
      <c r="E474">
        <f t="shared" ca="1" si="6"/>
        <v>13338.23076923077</v>
      </c>
    </row>
    <row r="475" spans="1:5" x14ac:dyDescent="0.25">
      <c r="A475">
        <v>11</v>
      </c>
      <c r="B475">
        <v>31</v>
      </c>
      <c r="C475" t="s">
        <v>10</v>
      </c>
      <c r="D475" t="s">
        <v>31</v>
      </c>
      <c r="E475">
        <f t="shared" ca="1" si="6"/>
        <v>11183.153846153846</v>
      </c>
    </row>
    <row r="476" spans="1:5" x14ac:dyDescent="0.25">
      <c r="A476">
        <v>11</v>
      </c>
      <c r="B476">
        <v>32</v>
      </c>
      <c r="C476" t="s">
        <v>10</v>
      </c>
      <c r="D476" t="s">
        <v>32</v>
      </c>
      <c r="E476">
        <f t="shared" ca="1" si="6"/>
        <v>74860.538461538425</v>
      </c>
    </row>
    <row r="477" spans="1:5" x14ac:dyDescent="0.25">
      <c r="A477">
        <v>11</v>
      </c>
      <c r="B477">
        <v>33</v>
      </c>
      <c r="C477" t="s">
        <v>10</v>
      </c>
      <c r="D477" t="s">
        <v>33</v>
      </c>
      <c r="E477">
        <f t="shared" ca="1" si="6"/>
        <v>307471.07692307723</v>
      </c>
    </row>
    <row r="478" spans="1:5" x14ac:dyDescent="0.25">
      <c r="A478">
        <v>11</v>
      </c>
      <c r="B478">
        <v>34</v>
      </c>
      <c r="C478" t="s">
        <v>10</v>
      </c>
      <c r="D478" t="s">
        <v>34</v>
      </c>
      <c r="E478">
        <f t="shared" ca="1" si="6"/>
        <v>33789.384615384632</v>
      </c>
    </row>
    <row r="479" spans="1:5" x14ac:dyDescent="0.25">
      <c r="A479">
        <v>11</v>
      </c>
      <c r="B479">
        <v>35</v>
      </c>
      <c r="C479" t="s">
        <v>10</v>
      </c>
      <c r="D479" t="s">
        <v>35</v>
      </c>
      <c r="E479">
        <f t="shared" ca="1" si="6"/>
        <v>14413.615384615381</v>
      </c>
    </row>
    <row r="480" spans="1:5" x14ac:dyDescent="0.25">
      <c r="A480">
        <v>11</v>
      </c>
      <c r="B480">
        <v>36</v>
      </c>
      <c r="C480" t="s">
        <v>10</v>
      </c>
      <c r="D480" t="s">
        <v>36</v>
      </c>
      <c r="E480">
        <f t="shared" ca="1" si="6"/>
        <v>20832.61538461543</v>
      </c>
    </row>
    <row r="481" spans="1:5" x14ac:dyDescent="0.25">
      <c r="A481">
        <v>11</v>
      </c>
      <c r="B481">
        <v>37</v>
      </c>
      <c r="C481" t="s">
        <v>10</v>
      </c>
      <c r="D481" t="s">
        <v>37</v>
      </c>
      <c r="E481">
        <f t="shared" ca="1" si="6"/>
        <v>10800.76923076923</v>
      </c>
    </row>
    <row r="482" spans="1:5" x14ac:dyDescent="0.25">
      <c r="A482">
        <v>11</v>
      </c>
      <c r="B482">
        <v>38</v>
      </c>
      <c r="C482" t="s">
        <v>10</v>
      </c>
      <c r="D482" t="s">
        <v>38</v>
      </c>
      <c r="E482">
        <f t="shared" ca="1" si="6"/>
        <v>13871.153846153851</v>
      </c>
    </row>
    <row r="483" spans="1:5" x14ac:dyDescent="0.25">
      <c r="A483">
        <v>11</v>
      </c>
      <c r="B483">
        <v>39</v>
      </c>
      <c r="C483" t="s">
        <v>10</v>
      </c>
      <c r="D483" t="s">
        <v>39</v>
      </c>
      <c r="E483">
        <f t="shared" ref="E483:E545" ca="1" si="7">OFFSET($B$2,A483,B483)</f>
        <v>20417.538461538461</v>
      </c>
    </row>
    <row r="484" spans="1:5" x14ac:dyDescent="0.25">
      <c r="A484">
        <v>11</v>
      </c>
      <c r="B484">
        <v>40</v>
      </c>
      <c r="C484" t="s">
        <v>10</v>
      </c>
      <c r="D484" t="s">
        <v>40</v>
      </c>
      <c r="E484">
        <f t="shared" ca="1" si="7"/>
        <v>32776.461538461532</v>
      </c>
    </row>
    <row r="485" spans="1:5" x14ac:dyDescent="0.25">
      <c r="A485">
        <v>12</v>
      </c>
      <c r="B485">
        <v>1</v>
      </c>
      <c r="C485" t="s">
        <v>11</v>
      </c>
      <c r="D485" t="s">
        <v>0</v>
      </c>
      <c r="E485">
        <f t="shared" ca="1" si="7"/>
        <v>97836.456043956015</v>
      </c>
    </row>
    <row r="486" spans="1:5" x14ac:dyDescent="0.25">
      <c r="A486">
        <v>12</v>
      </c>
      <c r="B486">
        <v>2</v>
      </c>
      <c r="C486" t="s">
        <v>11</v>
      </c>
      <c r="D486" t="s">
        <v>1</v>
      </c>
      <c r="E486">
        <f t="shared" ca="1" si="7"/>
        <v>26575.456043956015</v>
      </c>
    </row>
    <row r="487" spans="1:5" x14ac:dyDescent="0.25">
      <c r="A487">
        <v>12</v>
      </c>
      <c r="B487">
        <v>3</v>
      </c>
      <c r="C487" t="s">
        <v>11</v>
      </c>
      <c r="D487" t="s">
        <v>2</v>
      </c>
      <c r="E487">
        <f t="shared" ca="1" si="7"/>
        <v>21840.098901098914</v>
      </c>
    </row>
    <row r="488" spans="1:5" x14ac:dyDescent="0.25">
      <c r="A488">
        <v>12</v>
      </c>
      <c r="B488">
        <v>4</v>
      </c>
      <c r="C488" t="s">
        <v>11</v>
      </c>
      <c r="D488" t="s">
        <v>3</v>
      </c>
      <c r="E488">
        <f t="shared" ca="1" si="7"/>
        <v>36496.456043956015</v>
      </c>
    </row>
    <row r="489" spans="1:5" x14ac:dyDescent="0.25">
      <c r="A489">
        <v>12</v>
      </c>
      <c r="B489">
        <v>5</v>
      </c>
      <c r="C489" t="s">
        <v>11</v>
      </c>
      <c r="D489" t="s">
        <v>4</v>
      </c>
      <c r="E489">
        <f t="shared" ca="1" si="7"/>
        <v>70233.027472527509</v>
      </c>
    </row>
    <row r="490" spans="1:5" x14ac:dyDescent="0.25">
      <c r="A490">
        <v>12</v>
      </c>
      <c r="B490">
        <v>6</v>
      </c>
      <c r="C490" t="s">
        <v>11</v>
      </c>
      <c r="D490" t="s">
        <v>5</v>
      </c>
      <c r="E490">
        <f t="shared" ca="1" si="7"/>
        <v>18561.170329670313</v>
      </c>
    </row>
    <row r="491" spans="1:5" x14ac:dyDescent="0.25">
      <c r="A491">
        <v>12</v>
      </c>
      <c r="B491">
        <v>7</v>
      </c>
      <c r="C491" t="s">
        <v>11</v>
      </c>
      <c r="D491" t="s">
        <v>6</v>
      </c>
      <c r="E491">
        <f t="shared" ca="1" si="7"/>
        <v>10311.170329670325</v>
      </c>
    </row>
    <row r="492" spans="1:5" x14ac:dyDescent="0.25">
      <c r="A492">
        <v>12</v>
      </c>
      <c r="B492">
        <v>8</v>
      </c>
      <c r="C492" t="s">
        <v>11</v>
      </c>
      <c r="D492" t="s">
        <v>7</v>
      </c>
      <c r="E492">
        <f t="shared" ca="1" si="7"/>
        <v>39958.241758241718</v>
      </c>
    </row>
    <row r="493" spans="1:5" x14ac:dyDescent="0.25">
      <c r="A493">
        <v>12</v>
      </c>
      <c r="B493">
        <v>9</v>
      </c>
      <c r="C493" t="s">
        <v>11</v>
      </c>
      <c r="D493" t="s">
        <v>148</v>
      </c>
      <c r="E493">
        <f t="shared" ca="1" si="7"/>
        <v>5953.8391608391603</v>
      </c>
    </row>
    <row r="494" spans="1:5" x14ac:dyDescent="0.25">
      <c r="A494">
        <v>12</v>
      </c>
      <c r="B494">
        <v>10</v>
      </c>
      <c r="C494" t="s">
        <v>11</v>
      </c>
      <c r="D494" t="s">
        <v>9</v>
      </c>
      <c r="E494">
        <f t="shared" ca="1" si="7"/>
        <v>26436.598901098914</v>
      </c>
    </row>
    <row r="495" spans="1:5" x14ac:dyDescent="0.25">
      <c r="A495">
        <v>12</v>
      </c>
      <c r="B495">
        <v>11</v>
      </c>
      <c r="C495" t="s">
        <v>11</v>
      </c>
      <c r="D495" t="s">
        <v>10</v>
      </c>
      <c r="E495">
        <f t="shared" ca="1" si="7"/>
        <v>26603.769230769212</v>
      </c>
    </row>
    <row r="496" spans="1:5" x14ac:dyDescent="0.25">
      <c r="A496">
        <v>12</v>
      </c>
      <c r="B496">
        <v>12</v>
      </c>
      <c r="C496" t="s">
        <v>11</v>
      </c>
      <c r="D496" t="s">
        <v>11</v>
      </c>
      <c r="E496">
        <f t="shared" ca="1" si="7"/>
        <v>0</v>
      </c>
    </row>
    <row r="497" spans="1:5" x14ac:dyDescent="0.25">
      <c r="A497">
        <v>12</v>
      </c>
      <c r="B497">
        <v>13</v>
      </c>
      <c r="C497" t="s">
        <v>11</v>
      </c>
      <c r="D497" t="s">
        <v>12</v>
      </c>
      <c r="E497">
        <f t="shared" ca="1" si="7"/>
        <v>8650.7692307692341</v>
      </c>
    </row>
    <row r="498" spans="1:5" x14ac:dyDescent="0.25">
      <c r="A498">
        <v>12</v>
      </c>
      <c r="B498">
        <v>14</v>
      </c>
      <c r="C498" t="s">
        <v>11</v>
      </c>
      <c r="D498" t="s">
        <v>13</v>
      </c>
      <c r="E498">
        <f t="shared" ca="1" si="7"/>
        <v>29275.769230769212</v>
      </c>
    </row>
    <row r="499" spans="1:5" x14ac:dyDescent="0.25">
      <c r="A499">
        <v>12</v>
      </c>
      <c r="B499">
        <v>15</v>
      </c>
      <c r="C499" t="s">
        <v>11</v>
      </c>
      <c r="D499" t="s">
        <v>14</v>
      </c>
      <c r="E499">
        <f t="shared" ca="1" si="7"/>
        <v>53075.153846153815</v>
      </c>
    </row>
    <row r="500" spans="1:5" x14ac:dyDescent="0.25">
      <c r="A500">
        <v>12</v>
      </c>
      <c r="B500">
        <v>16</v>
      </c>
      <c r="C500" t="s">
        <v>11</v>
      </c>
      <c r="D500" t="s">
        <v>15</v>
      </c>
      <c r="E500">
        <f t="shared" ca="1" si="7"/>
        <v>42767.615384615419</v>
      </c>
    </row>
    <row r="501" spans="1:5" x14ac:dyDescent="0.25">
      <c r="A501">
        <v>12</v>
      </c>
      <c r="B501">
        <v>17</v>
      </c>
      <c r="C501" t="s">
        <v>11</v>
      </c>
      <c r="D501" t="s">
        <v>16</v>
      </c>
      <c r="E501">
        <f t="shared" ca="1" si="7"/>
        <v>69826.692307692312</v>
      </c>
    </row>
    <row r="502" spans="1:5" x14ac:dyDescent="0.25">
      <c r="A502">
        <v>12</v>
      </c>
      <c r="B502">
        <v>18</v>
      </c>
      <c r="C502" t="s">
        <v>11</v>
      </c>
      <c r="D502" t="s">
        <v>17</v>
      </c>
      <c r="E502">
        <f t="shared" ca="1" si="7"/>
        <v>29093.153846153815</v>
      </c>
    </row>
    <row r="503" spans="1:5" x14ac:dyDescent="0.25">
      <c r="A503">
        <v>12</v>
      </c>
      <c r="B503">
        <v>19</v>
      </c>
      <c r="C503" t="s">
        <v>11</v>
      </c>
      <c r="D503" t="s">
        <v>18</v>
      </c>
      <c r="E503">
        <f t="shared" ca="1" si="7"/>
        <v>6644.3076923076951</v>
      </c>
    </row>
    <row r="504" spans="1:5" x14ac:dyDescent="0.25">
      <c r="A504">
        <v>12</v>
      </c>
      <c r="B504">
        <v>20</v>
      </c>
      <c r="C504" t="s">
        <v>11</v>
      </c>
      <c r="D504" t="s">
        <v>19</v>
      </c>
      <c r="E504">
        <f t="shared" ca="1" si="7"/>
        <v>63816.076923076915</v>
      </c>
    </row>
    <row r="505" spans="1:5" x14ac:dyDescent="0.25">
      <c r="A505">
        <v>12</v>
      </c>
      <c r="B505">
        <v>21</v>
      </c>
      <c r="C505" t="s">
        <v>11</v>
      </c>
      <c r="D505" t="s">
        <v>20</v>
      </c>
      <c r="E505">
        <f t="shared" ca="1" si="7"/>
        <v>42660.692307692319</v>
      </c>
    </row>
    <row r="506" spans="1:5" x14ac:dyDescent="0.25">
      <c r="A506">
        <v>12</v>
      </c>
      <c r="B506">
        <v>22</v>
      </c>
      <c r="C506" t="s">
        <v>11</v>
      </c>
      <c r="D506" t="s">
        <v>21</v>
      </c>
      <c r="E506">
        <f t="shared" ca="1" si="7"/>
        <v>27100.538461538417</v>
      </c>
    </row>
    <row r="507" spans="1:5" x14ac:dyDescent="0.25">
      <c r="A507">
        <v>12</v>
      </c>
      <c r="B507">
        <v>23</v>
      </c>
      <c r="C507" t="s">
        <v>11</v>
      </c>
      <c r="D507" t="s">
        <v>22</v>
      </c>
      <c r="E507">
        <f t="shared" ca="1" si="7"/>
        <v>11779.076923076926</v>
      </c>
    </row>
    <row r="508" spans="1:5" x14ac:dyDescent="0.25">
      <c r="A508">
        <v>12</v>
      </c>
      <c r="B508">
        <v>24</v>
      </c>
      <c r="C508" t="s">
        <v>11</v>
      </c>
      <c r="D508" t="s">
        <v>23</v>
      </c>
      <c r="E508">
        <f t="shared" ca="1" si="7"/>
        <v>12941.461538461535</v>
      </c>
    </row>
    <row r="509" spans="1:5" x14ac:dyDescent="0.25">
      <c r="A509">
        <v>12</v>
      </c>
      <c r="B509">
        <v>25</v>
      </c>
      <c r="C509" t="s">
        <v>11</v>
      </c>
      <c r="D509" t="s">
        <v>24</v>
      </c>
      <c r="E509">
        <f t="shared" ca="1" si="7"/>
        <v>10546.076923076926</v>
      </c>
    </row>
    <row r="510" spans="1:5" x14ac:dyDescent="0.25">
      <c r="A510">
        <v>12</v>
      </c>
      <c r="B510">
        <v>26</v>
      </c>
      <c r="C510" t="s">
        <v>11</v>
      </c>
      <c r="D510" t="s">
        <v>25</v>
      </c>
      <c r="E510">
        <f t="shared" ca="1" si="7"/>
        <v>9625.1538461538439</v>
      </c>
    </row>
    <row r="511" spans="1:5" x14ac:dyDescent="0.25">
      <c r="A511">
        <v>12</v>
      </c>
      <c r="B511">
        <v>27</v>
      </c>
      <c r="C511" t="s">
        <v>11</v>
      </c>
      <c r="D511" t="s">
        <v>145</v>
      </c>
      <c r="E511">
        <f t="shared" ca="1" si="7"/>
        <v>64840.384615384617</v>
      </c>
    </row>
    <row r="512" spans="1:5" x14ac:dyDescent="0.25">
      <c r="A512">
        <v>12</v>
      </c>
      <c r="B512">
        <v>28</v>
      </c>
      <c r="C512" t="s">
        <v>11</v>
      </c>
      <c r="D512" t="s">
        <v>147</v>
      </c>
      <c r="E512">
        <f t="shared" ca="1" si="7"/>
        <v>41904.68461538462</v>
      </c>
    </row>
    <row r="513" spans="1:5" x14ac:dyDescent="0.25">
      <c r="A513">
        <v>12</v>
      </c>
      <c r="B513">
        <v>29</v>
      </c>
      <c r="C513" t="s">
        <v>11</v>
      </c>
      <c r="D513" t="s">
        <v>146</v>
      </c>
      <c r="E513">
        <f t="shared" ca="1" si="7"/>
        <v>13111.684615384616</v>
      </c>
    </row>
    <row r="514" spans="1:5" x14ac:dyDescent="0.25">
      <c r="A514">
        <v>12</v>
      </c>
      <c r="B514">
        <v>30</v>
      </c>
      <c r="C514" t="s">
        <v>11</v>
      </c>
      <c r="D514" t="s">
        <v>30</v>
      </c>
      <c r="E514">
        <f t="shared" ca="1" si="7"/>
        <v>8000.8461538461552</v>
      </c>
    </row>
    <row r="515" spans="1:5" x14ac:dyDescent="0.25">
      <c r="A515">
        <v>12</v>
      </c>
      <c r="B515">
        <v>31</v>
      </c>
      <c r="C515" t="s">
        <v>11</v>
      </c>
      <c r="D515" t="s">
        <v>31</v>
      </c>
      <c r="E515">
        <f t="shared" ca="1" si="7"/>
        <v>5845.7692307692305</v>
      </c>
    </row>
    <row r="516" spans="1:5" x14ac:dyDescent="0.25">
      <c r="A516">
        <v>12</v>
      </c>
      <c r="B516">
        <v>32</v>
      </c>
      <c r="C516" t="s">
        <v>11</v>
      </c>
      <c r="D516" t="s">
        <v>32</v>
      </c>
      <c r="E516">
        <f t="shared" ca="1" si="7"/>
        <v>69523.153846153815</v>
      </c>
    </row>
    <row r="517" spans="1:5" x14ac:dyDescent="0.25">
      <c r="A517">
        <v>12</v>
      </c>
      <c r="B517">
        <v>33</v>
      </c>
      <c r="C517" t="s">
        <v>11</v>
      </c>
      <c r="D517" t="s">
        <v>33</v>
      </c>
      <c r="E517">
        <f t="shared" ca="1" si="7"/>
        <v>302133.6923076926</v>
      </c>
    </row>
    <row r="518" spans="1:5" x14ac:dyDescent="0.25">
      <c r="A518">
        <v>12</v>
      </c>
      <c r="B518">
        <v>34</v>
      </c>
      <c r="C518" t="s">
        <v>11</v>
      </c>
      <c r="D518" t="s">
        <v>34</v>
      </c>
      <c r="E518">
        <f t="shared" ca="1" si="7"/>
        <v>28452.000000000015</v>
      </c>
    </row>
    <row r="519" spans="1:5" x14ac:dyDescent="0.25">
      <c r="A519">
        <v>12</v>
      </c>
      <c r="B519">
        <v>35</v>
      </c>
      <c r="C519" t="s">
        <v>11</v>
      </c>
      <c r="D519" t="s">
        <v>35</v>
      </c>
      <c r="E519">
        <f t="shared" ca="1" si="7"/>
        <v>9076.2307692307659</v>
      </c>
    </row>
    <row r="520" spans="1:5" x14ac:dyDescent="0.25">
      <c r="A520">
        <v>12</v>
      </c>
      <c r="B520">
        <v>36</v>
      </c>
      <c r="C520" t="s">
        <v>11</v>
      </c>
      <c r="D520" t="s">
        <v>36</v>
      </c>
      <c r="E520">
        <f t="shared" ca="1" si="7"/>
        <v>15495.230769230815</v>
      </c>
    </row>
    <row r="521" spans="1:5" x14ac:dyDescent="0.25">
      <c r="A521">
        <v>12</v>
      </c>
      <c r="B521">
        <v>37</v>
      </c>
      <c r="C521" t="s">
        <v>11</v>
      </c>
      <c r="D521" t="s">
        <v>37</v>
      </c>
      <c r="E521">
        <f t="shared" ca="1" si="7"/>
        <v>5463.3846153846152</v>
      </c>
    </row>
    <row r="522" spans="1:5" x14ac:dyDescent="0.25">
      <c r="A522">
        <v>12</v>
      </c>
      <c r="B522">
        <v>38</v>
      </c>
      <c r="C522" t="s">
        <v>11</v>
      </c>
      <c r="D522" t="s">
        <v>38</v>
      </c>
      <c r="E522">
        <f t="shared" ca="1" si="7"/>
        <v>8533.7692307692341</v>
      </c>
    </row>
    <row r="523" spans="1:5" x14ac:dyDescent="0.25">
      <c r="A523">
        <v>12</v>
      </c>
      <c r="B523">
        <v>39</v>
      </c>
      <c r="C523" t="s">
        <v>11</v>
      </c>
      <c r="D523" t="s">
        <v>39</v>
      </c>
      <c r="E523">
        <f t="shared" ca="1" si="7"/>
        <v>15080.153846153846</v>
      </c>
    </row>
    <row r="524" spans="1:5" x14ac:dyDescent="0.25">
      <c r="A524">
        <v>12</v>
      </c>
      <c r="B524">
        <v>40</v>
      </c>
      <c r="C524" t="s">
        <v>11</v>
      </c>
      <c r="D524" t="s">
        <v>40</v>
      </c>
      <c r="E524">
        <f t="shared" ca="1" si="7"/>
        <v>27439.076923076915</v>
      </c>
    </row>
    <row r="525" spans="1:5" x14ac:dyDescent="0.25">
      <c r="A525">
        <v>13</v>
      </c>
      <c r="B525">
        <v>1</v>
      </c>
      <c r="C525" t="s">
        <v>12</v>
      </c>
      <c r="D525" t="s">
        <v>0</v>
      </c>
      <c r="E525">
        <f t="shared" ca="1" si="7"/>
        <v>94288.917582417562</v>
      </c>
    </row>
    <row r="526" spans="1:5" x14ac:dyDescent="0.25">
      <c r="A526">
        <v>13</v>
      </c>
      <c r="B526">
        <v>2</v>
      </c>
      <c r="C526" t="s">
        <v>12</v>
      </c>
      <c r="D526" t="s">
        <v>1</v>
      </c>
      <c r="E526">
        <f t="shared" ca="1" si="7"/>
        <v>23027.917582417551</v>
      </c>
    </row>
    <row r="527" spans="1:5" x14ac:dyDescent="0.25">
      <c r="A527">
        <v>13</v>
      </c>
      <c r="B527">
        <v>3</v>
      </c>
      <c r="C527" t="s">
        <v>12</v>
      </c>
      <c r="D527" t="s">
        <v>2</v>
      </c>
      <c r="E527">
        <f t="shared" ca="1" si="7"/>
        <v>18292.560439560453</v>
      </c>
    </row>
    <row r="528" spans="1:5" x14ac:dyDescent="0.25">
      <c r="A528">
        <v>13</v>
      </c>
      <c r="B528">
        <v>4</v>
      </c>
      <c r="C528" t="s">
        <v>12</v>
      </c>
      <c r="D528" t="s">
        <v>3</v>
      </c>
      <c r="E528">
        <f t="shared" ca="1" si="7"/>
        <v>32948.917582417555</v>
      </c>
    </row>
    <row r="529" spans="1:5" x14ac:dyDescent="0.25">
      <c r="A529">
        <v>13</v>
      </c>
      <c r="B529">
        <v>5</v>
      </c>
      <c r="C529" t="s">
        <v>12</v>
      </c>
      <c r="D529" t="s">
        <v>4</v>
      </c>
      <c r="E529">
        <f t="shared" ca="1" si="7"/>
        <v>66685.489010989055</v>
      </c>
    </row>
    <row r="530" spans="1:5" x14ac:dyDescent="0.25">
      <c r="A530">
        <v>13</v>
      </c>
      <c r="B530">
        <v>6</v>
      </c>
      <c r="C530" t="s">
        <v>12</v>
      </c>
      <c r="D530" t="s">
        <v>5</v>
      </c>
      <c r="E530">
        <f t="shared" ca="1" si="7"/>
        <v>15013.631868131853</v>
      </c>
    </row>
    <row r="531" spans="1:5" x14ac:dyDescent="0.25">
      <c r="A531">
        <v>13</v>
      </c>
      <c r="B531">
        <v>7</v>
      </c>
      <c r="C531" t="s">
        <v>12</v>
      </c>
      <c r="D531" t="s">
        <v>6</v>
      </c>
      <c r="E531">
        <f t="shared" ca="1" si="7"/>
        <v>6763.6318681318644</v>
      </c>
    </row>
    <row r="532" spans="1:5" x14ac:dyDescent="0.25">
      <c r="A532">
        <v>13</v>
      </c>
      <c r="B532">
        <v>8</v>
      </c>
      <c r="C532" t="s">
        <v>12</v>
      </c>
      <c r="D532" t="s">
        <v>7</v>
      </c>
      <c r="E532">
        <f t="shared" ca="1" si="7"/>
        <v>36410.703296703257</v>
      </c>
    </row>
    <row r="533" spans="1:5" x14ac:dyDescent="0.25">
      <c r="A533">
        <v>13</v>
      </c>
      <c r="B533">
        <v>9</v>
      </c>
      <c r="C533" t="s">
        <v>12</v>
      </c>
      <c r="D533" t="s">
        <v>148</v>
      </c>
      <c r="E533">
        <f t="shared" ca="1" si="7"/>
        <v>2406.3006993006989</v>
      </c>
    </row>
    <row r="534" spans="1:5" x14ac:dyDescent="0.25">
      <c r="A534">
        <v>13</v>
      </c>
      <c r="B534">
        <v>10</v>
      </c>
      <c r="C534" t="s">
        <v>12</v>
      </c>
      <c r="D534" t="s">
        <v>9</v>
      </c>
      <c r="E534">
        <f t="shared" ca="1" si="7"/>
        <v>22889.060439560453</v>
      </c>
    </row>
    <row r="535" spans="1:5" x14ac:dyDescent="0.25">
      <c r="A535">
        <v>13</v>
      </c>
      <c r="B535">
        <v>11</v>
      </c>
      <c r="C535" t="s">
        <v>12</v>
      </c>
      <c r="D535" t="s">
        <v>10</v>
      </c>
      <c r="E535">
        <f t="shared" ca="1" si="7"/>
        <v>23056.230769230751</v>
      </c>
    </row>
    <row r="536" spans="1:5" x14ac:dyDescent="0.25">
      <c r="A536">
        <v>13</v>
      </c>
      <c r="B536">
        <v>12</v>
      </c>
      <c r="C536" t="s">
        <v>12</v>
      </c>
      <c r="D536" t="s">
        <v>11</v>
      </c>
      <c r="E536">
        <f t="shared" ca="1" si="7"/>
        <v>20024.846153846152</v>
      </c>
    </row>
    <row r="537" spans="1:5" x14ac:dyDescent="0.25">
      <c r="A537">
        <v>13</v>
      </c>
      <c r="B537">
        <v>13</v>
      </c>
      <c r="C537" t="s">
        <v>12</v>
      </c>
      <c r="D537" t="s">
        <v>12</v>
      </c>
      <c r="E537">
        <f t="shared" ca="1" si="7"/>
        <v>0</v>
      </c>
    </row>
    <row r="538" spans="1:5" x14ac:dyDescent="0.25">
      <c r="A538">
        <v>13</v>
      </c>
      <c r="B538">
        <v>14</v>
      </c>
      <c r="C538" t="s">
        <v>12</v>
      </c>
      <c r="D538" t="s">
        <v>13</v>
      </c>
      <c r="E538">
        <f t="shared" ca="1" si="7"/>
        <v>25728.230769230751</v>
      </c>
    </row>
    <row r="539" spans="1:5" x14ac:dyDescent="0.25">
      <c r="A539">
        <v>13</v>
      </c>
      <c r="B539">
        <v>15</v>
      </c>
      <c r="C539" t="s">
        <v>12</v>
      </c>
      <c r="D539" t="s">
        <v>14</v>
      </c>
      <c r="E539">
        <f t="shared" ca="1" si="7"/>
        <v>49527.615384615354</v>
      </c>
    </row>
    <row r="540" spans="1:5" x14ac:dyDescent="0.25">
      <c r="A540">
        <v>13</v>
      </c>
      <c r="B540">
        <v>16</v>
      </c>
      <c r="C540" t="s">
        <v>12</v>
      </c>
      <c r="D540" t="s">
        <v>15</v>
      </c>
      <c r="E540">
        <f t="shared" ca="1" si="7"/>
        <v>39220.076923076958</v>
      </c>
    </row>
    <row r="541" spans="1:5" x14ac:dyDescent="0.25">
      <c r="A541">
        <v>13</v>
      </c>
      <c r="B541">
        <v>17</v>
      </c>
      <c r="C541" t="s">
        <v>12</v>
      </c>
      <c r="D541" t="s">
        <v>16</v>
      </c>
      <c r="E541">
        <f t="shared" ca="1" si="7"/>
        <v>66279.153846153858</v>
      </c>
    </row>
    <row r="542" spans="1:5" x14ac:dyDescent="0.25">
      <c r="A542">
        <v>13</v>
      </c>
      <c r="B542">
        <v>18</v>
      </c>
      <c r="C542" t="s">
        <v>12</v>
      </c>
      <c r="D542" t="s">
        <v>17</v>
      </c>
      <c r="E542">
        <f t="shared" ca="1" si="7"/>
        <v>25545.615384615354</v>
      </c>
    </row>
    <row r="543" spans="1:5" x14ac:dyDescent="0.25">
      <c r="A543">
        <v>13</v>
      </c>
      <c r="B543">
        <v>19</v>
      </c>
      <c r="C543" t="s">
        <v>12</v>
      </c>
      <c r="D543" t="s">
        <v>18</v>
      </c>
      <c r="E543">
        <f t="shared" ca="1" si="7"/>
        <v>3096.7692307692341</v>
      </c>
    </row>
    <row r="544" spans="1:5" x14ac:dyDescent="0.25">
      <c r="A544">
        <v>13</v>
      </c>
      <c r="B544">
        <v>20</v>
      </c>
      <c r="C544" t="s">
        <v>12</v>
      </c>
      <c r="D544" t="s">
        <v>19</v>
      </c>
      <c r="E544">
        <f t="shared" ca="1" si="7"/>
        <v>60268.538461538454</v>
      </c>
    </row>
    <row r="545" spans="1:5" x14ac:dyDescent="0.25">
      <c r="A545">
        <v>13</v>
      </c>
      <c r="B545">
        <v>21</v>
      </c>
      <c r="C545" t="s">
        <v>12</v>
      </c>
      <c r="D545" t="s">
        <v>20</v>
      </c>
      <c r="E545">
        <f t="shared" ca="1" si="7"/>
        <v>39113.153846153858</v>
      </c>
    </row>
    <row r="546" spans="1:5" x14ac:dyDescent="0.25">
      <c r="A546">
        <v>13</v>
      </c>
      <c r="B546">
        <v>22</v>
      </c>
      <c r="C546" t="s">
        <v>12</v>
      </c>
      <c r="D546" t="s">
        <v>21</v>
      </c>
      <c r="E546">
        <f t="shared" ref="E546:E607" ca="1" si="8">OFFSET($B$2,A546,B546)</f>
        <v>23552.999999999953</v>
      </c>
    </row>
    <row r="547" spans="1:5" x14ac:dyDescent="0.25">
      <c r="A547">
        <v>13</v>
      </c>
      <c r="B547">
        <v>23</v>
      </c>
      <c r="C547" t="s">
        <v>12</v>
      </c>
      <c r="D547" t="s">
        <v>22</v>
      </c>
      <c r="E547">
        <f t="shared" ca="1" si="8"/>
        <v>8231.5384615384646</v>
      </c>
    </row>
    <row r="548" spans="1:5" x14ac:dyDescent="0.25">
      <c r="A548">
        <v>13</v>
      </c>
      <c r="B548">
        <v>24</v>
      </c>
      <c r="C548" t="s">
        <v>12</v>
      </c>
      <c r="D548" t="s">
        <v>23</v>
      </c>
      <c r="E548">
        <f t="shared" ca="1" si="8"/>
        <v>9393.9230769230744</v>
      </c>
    </row>
    <row r="549" spans="1:5" x14ac:dyDescent="0.25">
      <c r="A549">
        <v>13</v>
      </c>
      <c r="B549">
        <v>25</v>
      </c>
      <c r="C549" t="s">
        <v>12</v>
      </c>
      <c r="D549" t="s">
        <v>24</v>
      </c>
      <c r="E549">
        <f t="shared" ca="1" si="8"/>
        <v>6998.5384615384646</v>
      </c>
    </row>
    <row r="550" spans="1:5" x14ac:dyDescent="0.25">
      <c r="A550">
        <v>13</v>
      </c>
      <c r="B550">
        <v>26</v>
      </c>
      <c r="C550" t="s">
        <v>12</v>
      </c>
      <c r="D550" t="s">
        <v>25</v>
      </c>
      <c r="E550">
        <f t="shared" ca="1" si="8"/>
        <v>6077.6153846153829</v>
      </c>
    </row>
    <row r="551" spans="1:5" x14ac:dyDescent="0.25">
      <c r="A551">
        <v>13</v>
      </c>
      <c r="B551">
        <v>27</v>
      </c>
      <c r="C551" t="s">
        <v>12</v>
      </c>
      <c r="D551" t="s">
        <v>145</v>
      </c>
      <c r="E551">
        <f t="shared" ca="1" si="8"/>
        <v>61292.846153846156</v>
      </c>
    </row>
    <row r="552" spans="1:5" x14ac:dyDescent="0.25">
      <c r="A552">
        <v>13</v>
      </c>
      <c r="B552">
        <v>28</v>
      </c>
      <c r="C552" t="s">
        <v>12</v>
      </c>
      <c r="D552" t="s">
        <v>147</v>
      </c>
      <c r="E552">
        <f t="shared" ca="1" si="8"/>
        <v>38357.146153846159</v>
      </c>
    </row>
    <row r="553" spans="1:5" x14ac:dyDescent="0.25">
      <c r="A553">
        <v>13</v>
      </c>
      <c r="B553">
        <v>29</v>
      </c>
      <c r="C553" t="s">
        <v>12</v>
      </c>
      <c r="D553" t="s">
        <v>146</v>
      </c>
      <c r="E553">
        <f t="shared" ca="1" si="8"/>
        <v>9564.1461538461535</v>
      </c>
    </row>
    <row r="554" spans="1:5" x14ac:dyDescent="0.25">
      <c r="A554">
        <v>13</v>
      </c>
      <c r="B554">
        <v>30</v>
      </c>
      <c r="C554" t="s">
        <v>12</v>
      </c>
      <c r="D554" t="s">
        <v>30</v>
      </c>
      <c r="E554">
        <f t="shared" ca="1" si="8"/>
        <v>4453.3076923076933</v>
      </c>
    </row>
    <row r="555" spans="1:5" x14ac:dyDescent="0.25">
      <c r="A555">
        <v>13</v>
      </c>
      <c r="B555">
        <v>31</v>
      </c>
      <c r="C555" t="s">
        <v>12</v>
      </c>
      <c r="D555" t="s">
        <v>31</v>
      </c>
      <c r="E555">
        <f t="shared" ca="1" si="8"/>
        <v>2298.2307692307686</v>
      </c>
    </row>
    <row r="556" spans="1:5" x14ac:dyDescent="0.25">
      <c r="A556">
        <v>13</v>
      </c>
      <c r="B556">
        <v>32</v>
      </c>
      <c r="C556" t="s">
        <v>12</v>
      </c>
      <c r="D556" t="s">
        <v>32</v>
      </c>
      <c r="E556">
        <f t="shared" ca="1" si="8"/>
        <v>65975.615384615347</v>
      </c>
    </row>
    <row r="557" spans="1:5" x14ac:dyDescent="0.25">
      <c r="A557">
        <v>13</v>
      </c>
      <c r="B557">
        <v>33</v>
      </c>
      <c r="C557" t="s">
        <v>12</v>
      </c>
      <c r="D557" t="s">
        <v>33</v>
      </c>
      <c r="E557">
        <f t="shared" ca="1" si="8"/>
        <v>298586.15384615411</v>
      </c>
    </row>
    <row r="558" spans="1:5" x14ac:dyDescent="0.25">
      <c r="A558">
        <v>13</v>
      </c>
      <c r="B558">
        <v>34</v>
      </c>
      <c r="C558" t="s">
        <v>12</v>
      </c>
      <c r="D558" t="s">
        <v>34</v>
      </c>
      <c r="E558">
        <f t="shared" ca="1" si="8"/>
        <v>24904.461538461554</v>
      </c>
    </row>
    <row r="559" spans="1:5" x14ac:dyDescent="0.25">
      <c r="A559">
        <v>13</v>
      </c>
      <c r="B559">
        <v>35</v>
      </c>
      <c r="C559" t="s">
        <v>12</v>
      </c>
      <c r="D559" t="s">
        <v>35</v>
      </c>
      <c r="E559">
        <f t="shared" ca="1" si="8"/>
        <v>5528.692307692304</v>
      </c>
    </row>
    <row r="560" spans="1:5" x14ac:dyDescent="0.25">
      <c r="A560">
        <v>13</v>
      </c>
      <c r="B560">
        <v>36</v>
      </c>
      <c r="C560" t="s">
        <v>12</v>
      </c>
      <c r="D560" t="s">
        <v>36</v>
      </c>
      <c r="E560">
        <f t="shared" ca="1" si="8"/>
        <v>11947.692307692354</v>
      </c>
    </row>
    <row r="561" spans="1:5" x14ac:dyDescent="0.25">
      <c r="A561">
        <v>13</v>
      </c>
      <c r="B561">
        <v>37</v>
      </c>
      <c r="C561" t="s">
        <v>12</v>
      </c>
      <c r="D561" t="s">
        <v>37</v>
      </c>
      <c r="E561">
        <f t="shared" ca="1" si="8"/>
        <v>1915.8461538461538</v>
      </c>
    </row>
    <row r="562" spans="1:5" x14ac:dyDescent="0.25">
      <c r="A562">
        <v>13</v>
      </c>
      <c r="B562">
        <v>38</v>
      </c>
      <c r="C562" t="s">
        <v>12</v>
      </c>
      <c r="D562" t="s">
        <v>38</v>
      </c>
      <c r="E562">
        <f t="shared" ca="1" si="8"/>
        <v>4986.2307692307731</v>
      </c>
    </row>
    <row r="563" spans="1:5" x14ac:dyDescent="0.25">
      <c r="A563">
        <v>13</v>
      </c>
      <c r="B563">
        <v>39</v>
      </c>
      <c r="C563" t="s">
        <v>12</v>
      </c>
      <c r="D563" t="s">
        <v>39</v>
      </c>
      <c r="E563">
        <f t="shared" ca="1" si="8"/>
        <v>11532.615384615385</v>
      </c>
    </row>
    <row r="564" spans="1:5" x14ac:dyDescent="0.25">
      <c r="A564">
        <v>13</v>
      </c>
      <c r="B564">
        <v>40</v>
      </c>
      <c r="C564" t="s">
        <v>12</v>
      </c>
      <c r="D564" t="s">
        <v>40</v>
      </c>
      <c r="E564">
        <f t="shared" ca="1" si="8"/>
        <v>23891.538461538454</v>
      </c>
    </row>
    <row r="565" spans="1:5" x14ac:dyDescent="0.25">
      <c r="A565">
        <v>14</v>
      </c>
      <c r="B565">
        <v>1</v>
      </c>
      <c r="C565" t="s">
        <v>13</v>
      </c>
      <c r="D565" t="s">
        <v>0</v>
      </c>
      <c r="E565">
        <f t="shared" ca="1" si="8"/>
        <v>104034.14835164833</v>
      </c>
    </row>
    <row r="566" spans="1:5" x14ac:dyDescent="0.25">
      <c r="A566">
        <v>14</v>
      </c>
      <c r="B566">
        <v>2</v>
      </c>
      <c r="C566" t="s">
        <v>13</v>
      </c>
      <c r="D566" t="s">
        <v>1</v>
      </c>
      <c r="E566">
        <f t="shared" ca="1" si="8"/>
        <v>32773.14835164832</v>
      </c>
    </row>
    <row r="567" spans="1:5" x14ac:dyDescent="0.25">
      <c r="A567">
        <v>14</v>
      </c>
      <c r="B567">
        <v>3</v>
      </c>
      <c r="C567" t="s">
        <v>13</v>
      </c>
      <c r="D567" t="s">
        <v>2</v>
      </c>
      <c r="E567">
        <f t="shared" ca="1" si="8"/>
        <v>28037.791208791226</v>
      </c>
    </row>
    <row r="568" spans="1:5" x14ac:dyDescent="0.25">
      <c r="A568">
        <v>14</v>
      </c>
      <c r="B568">
        <v>4</v>
      </c>
      <c r="C568" t="s">
        <v>13</v>
      </c>
      <c r="D568" t="s">
        <v>3</v>
      </c>
      <c r="E568">
        <f t="shared" ca="1" si="8"/>
        <v>42694.14835164832</v>
      </c>
    </row>
    <row r="569" spans="1:5" x14ac:dyDescent="0.25">
      <c r="A569">
        <v>14</v>
      </c>
      <c r="B569">
        <v>5</v>
      </c>
      <c r="C569" t="s">
        <v>13</v>
      </c>
      <c r="D569" t="s">
        <v>4</v>
      </c>
      <c r="E569">
        <f t="shared" ca="1" si="8"/>
        <v>76430.719780219821</v>
      </c>
    </row>
    <row r="570" spans="1:5" x14ac:dyDescent="0.25">
      <c r="A570">
        <v>14</v>
      </c>
      <c r="B570">
        <v>6</v>
      </c>
      <c r="C570" t="s">
        <v>13</v>
      </c>
      <c r="D570" t="s">
        <v>5</v>
      </c>
      <c r="E570">
        <f t="shared" ca="1" si="8"/>
        <v>24758.862637362625</v>
      </c>
    </row>
    <row r="571" spans="1:5" x14ac:dyDescent="0.25">
      <c r="A571">
        <v>14</v>
      </c>
      <c r="B571">
        <v>7</v>
      </c>
      <c r="C571" t="s">
        <v>13</v>
      </c>
      <c r="D571" t="s">
        <v>6</v>
      </c>
      <c r="E571">
        <f t="shared" ca="1" si="8"/>
        <v>16508.862637362632</v>
      </c>
    </row>
    <row r="572" spans="1:5" x14ac:dyDescent="0.25">
      <c r="A572">
        <v>14</v>
      </c>
      <c r="B572">
        <v>8</v>
      </c>
      <c r="C572" t="s">
        <v>13</v>
      </c>
      <c r="D572" t="s">
        <v>7</v>
      </c>
      <c r="E572">
        <f t="shared" ca="1" si="8"/>
        <v>46155.934065934023</v>
      </c>
    </row>
    <row r="573" spans="1:5" x14ac:dyDescent="0.25">
      <c r="A573">
        <v>14</v>
      </c>
      <c r="B573">
        <v>9</v>
      </c>
      <c r="C573" t="s">
        <v>13</v>
      </c>
      <c r="D573" t="s">
        <v>148</v>
      </c>
      <c r="E573">
        <f t="shared" ca="1" si="8"/>
        <v>12151.531468531468</v>
      </c>
    </row>
    <row r="574" spans="1:5" x14ac:dyDescent="0.25">
      <c r="A574">
        <v>14</v>
      </c>
      <c r="B574">
        <v>10</v>
      </c>
      <c r="C574" t="s">
        <v>13</v>
      </c>
      <c r="D574" t="s">
        <v>9</v>
      </c>
      <c r="E574">
        <f t="shared" ca="1" si="8"/>
        <v>32634.291208791226</v>
      </c>
    </row>
    <row r="575" spans="1:5" x14ac:dyDescent="0.25">
      <c r="A575">
        <v>14</v>
      </c>
      <c r="B575">
        <v>11</v>
      </c>
      <c r="C575" t="s">
        <v>13</v>
      </c>
      <c r="D575" t="s">
        <v>10</v>
      </c>
      <c r="E575">
        <f t="shared" ca="1" si="8"/>
        <v>32801.461538461524</v>
      </c>
    </row>
    <row r="576" spans="1:5" x14ac:dyDescent="0.25">
      <c r="A576">
        <v>14</v>
      </c>
      <c r="B576">
        <v>12</v>
      </c>
      <c r="C576" t="s">
        <v>13</v>
      </c>
      <c r="D576" t="s">
        <v>11</v>
      </c>
      <c r="E576">
        <f t="shared" ca="1" si="8"/>
        <v>29770.076923076922</v>
      </c>
    </row>
    <row r="577" spans="1:5" x14ac:dyDescent="0.25">
      <c r="A577">
        <v>14</v>
      </c>
      <c r="B577">
        <v>13</v>
      </c>
      <c r="C577" t="s">
        <v>13</v>
      </c>
      <c r="D577" t="s">
        <v>12</v>
      </c>
      <c r="E577">
        <f t="shared" ca="1" si="8"/>
        <v>14848.461538461543</v>
      </c>
    </row>
    <row r="578" spans="1:5" x14ac:dyDescent="0.25">
      <c r="A578">
        <v>14</v>
      </c>
      <c r="B578">
        <v>14</v>
      </c>
      <c r="C578" t="s">
        <v>13</v>
      </c>
      <c r="D578" t="s">
        <v>13</v>
      </c>
      <c r="E578">
        <f t="shared" ca="1" si="8"/>
        <v>0</v>
      </c>
    </row>
    <row r="579" spans="1:5" x14ac:dyDescent="0.25">
      <c r="A579">
        <v>14</v>
      </c>
      <c r="B579">
        <v>15</v>
      </c>
      <c r="C579" t="s">
        <v>13</v>
      </c>
      <c r="D579" t="s">
        <v>14</v>
      </c>
      <c r="E579">
        <f t="shared" ca="1" si="8"/>
        <v>59272.84615384612</v>
      </c>
    </row>
    <row r="580" spans="1:5" x14ac:dyDescent="0.25">
      <c r="A580">
        <v>14</v>
      </c>
      <c r="B580">
        <v>16</v>
      </c>
      <c r="C580" t="s">
        <v>13</v>
      </c>
      <c r="D580" t="s">
        <v>15</v>
      </c>
      <c r="E580">
        <f t="shared" ca="1" si="8"/>
        <v>48965.307692307724</v>
      </c>
    </row>
    <row r="581" spans="1:5" x14ac:dyDescent="0.25">
      <c r="A581">
        <v>14</v>
      </c>
      <c r="B581">
        <v>17</v>
      </c>
      <c r="C581" t="s">
        <v>13</v>
      </c>
      <c r="D581" t="s">
        <v>16</v>
      </c>
      <c r="E581">
        <f t="shared" ca="1" si="8"/>
        <v>76024.384615384624</v>
      </c>
    </row>
    <row r="582" spans="1:5" x14ac:dyDescent="0.25">
      <c r="A582">
        <v>14</v>
      </c>
      <c r="B582">
        <v>18</v>
      </c>
      <c r="C582" t="s">
        <v>13</v>
      </c>
      <c r="D582" t="s">
        <v>17</v>
      </c>
      <c r="E582">
        <f t="shared" ca="1" si="8"/>
        <v>35290.846153846127</v>
      </c>
    </row>
    <row r="583" spans="1:5" x14ac:dyDescent="0.25">
      <c r="A583">
        <v>14</v>
      </c>
      <c r="B583">
        <v>19</v>
      </c>
      <c r="C583" t="s">
        <v>13</v>
      </c>
      <c r="D583" t="s">
        <v>18</v>
      </c>
      <c r="E583">
        <f t="shared" ca="1" si="8"/>
        <v>12842.000000000004</v>
      </c>
    </row>
    <row r="584" spans="1:5" x14ac:dyDescent="0.25">
      <c r="A584">
        <v>14</v>
      </c>
      <c r="B584">
        <v>20</v>
      </c>
      <c r="C584" t="s">
        <v>13</v>
      </c>
      <c r="D584" t="s">
        <v>19</v>
      </c>
      <c r="E584">
        <f t="shared" ca="1" si="8"/>
        <v>70013.76923076922</v>
      </c>
    </row>
    <row r="585" spans="1:5" x14ac:dyDescent="0.25">
      <c r="A585">
        <v>14</v>
      </c>
      <c r="B585">
        <v>21</v>
      </c>
      <c r="C585" t="s">
        <v>13</v>
      </c>
      <c r="D585" t="s">
        <v>20</v>
      </c>
      <c r="E585">
        <f t="shared" ca="1" si="8"/>
        <v>48858.384615384624</v>
      </c>
    </row>
    <row r="586" spans="1:5" x14ac:dyDescent="0.25">
      <c r="A586">
        <v>14</v>
      </c>
      <c r="B586">
        <v>22</v>
      </c>
      <c r="C586" t="s">
        <v>13</v>
      </c>
      <c r="D586" t="s">
        <v>21</v>
      </c>
      <c r="E586">
        <f t="shared" ca="1" si="8"/>
        <v>33298.230769230722</v>
      </c>
    </row>
    <row r="587" spans="1:5" x14ac:dyDescent="0.25">
      <c r="A587">
        <v>14</v>
      </c>
      <c r="B587">
        <v>23</v>
      </c>
      <c r="C587" t="s">
        <v>13</v>
      </c>
      <c r="D587" t="s">
        <v>22</v>
      </c>
      <c r="E587">
        <f t="shared" ca="1" si="8"/>
        <v>17976.769230769234</v>
      </c>
    </row>
    <row r="588" spans="1:5" x14ac:dyDescent="0.25">
      <c r="A588">
        <v>14</v>
      </c>
      <c r="B588">
        <v>24</v>
      </c>
      <c r="C588" t="s">
        <v>13</v>
      </c>
      <c r="D588" t="s">
        <v>23</v>
      </c>
      <c r="E588">
        <f t="shared" ca="1" si="8"/>
        <v>19139.153846153844</v>
      </c>
    </row>
    <row r="589" spans="1:5" x14ac:dyDescent="0.25">
      <c r="A589">
        <v>14</v>
      </c>
      <c r="B589">
        <v>25</v>
      </c>
      <c r="C589" t="s">
        <v>13</v>
      </c>
      <c r="D589" t="s">
        <v>24</v>
      </c>
      <c r="E589">
        <f t="shared" ca="1" si="8"/>
        <v>16743.769230769234</v>
      </c>
    </row>
    <row r="590" spans="1:5" x14ac:dyDescent="0.25">
      <c r="A590">
        <v>14</v>
      </c>
      <c r="B590">
        <v>26</v>
      </c>
      <c r="C590" t="s">
        <v>13</v>
      </c>
      <c r="D590" t="s">
        <v>25</v>
      </c>
      <c r="E590">
        <f t="shared" ca="1" si="8"/>
        <v>15822.846153846152</v>
      </c>
    </row>
    <row r="591" spans="1:5" x14ac:dyDescent="0.25">
      <c r="A591">
        <v>14</v>
      </c>
      <c r="B591">
        <v>27</v>
      </c>
      <c r="C591" t="s">
        <v>13</v>
      </c>
      <c r="D591" t="s">
        <v>145</v>
      </c>
      <c r="E591">
        <f t="shared" ca="1" si="8"/>
        <v>71038.076923076922</v>
      </c>
    </row>
    <row r="592" spans="1:5" x14ac:dyDescent="0.25">
      <c r="A592">
        <v>14</v>
      </c>
      <c r="B592">
        <v>28</v>
      </c>
      <c r="C592" t="s">
        <v>13</v>
      </c>
      <c r="D592" t="s">
        <v>147</v>
      </c>
      <c r="E592">
        <f t="shared" ca="1" si="8"/>
        <v>48102.376923076925</v>
      </c>
    </row>
    <row r="593" spans="1:5" x14ac:dyDescent="0.25">
      <c r="A593">
        <v>14</v>
      </c>
      <c r="B593">
        <v>29</v>
      </c>
      <c r="C593" t="s">
        <v>13</v>
      </c>
      <c r="D593" t="s">
        <v>146</v>
      </c>
      <c r="E593">
        <f t="shared" ca="1" si="8"/>
        <v>19309.376923076925</v>
      </c>
    </row>
    <row r="594" spans="1:5" x14ac:dyDescent="0.25">
      <c r="A594">
        <v>14</v>
      </c>
      <c r="B594">
        <v>30</v>
      </c>
      <c r="C594" t="s">
        <v>13</v>
      </c>
      <c r="D594" t="s">
        <v>30</v>
      </c>
      <c r="E594">
        <f t="shared" ca="1" si="8"/>
        <v>14198.538461538465</v>
      </c>
    </row>
    <row r="595" spans="1:5" x14ac:dyDescent="0.25">
      <c r="A595">
        <v>14</v>
      </c>
      <c r="B595">
        <v>31</v>
      </c>
      <c r="C595" t="s">
        <v>13</v>
      </c>
      <c r="D595" t="s">
        <v>31</v>
      </c>
      <c r="E595">
        <f t="shared" ca="1" si="8"/>
        <v>12043.461538461539</v>
      </c>
    </row>
    <row r="596" spans="1:5" x14ac:dyDescent="0.25">
      <c r="A596">
        <v>14</v>
      </c>
      <c r="B596">
        <v>32</v>
      </c>
      <c r="C596" t="s">
        <v>13</v>
      </c>
      <c r="D596" t="s">
        <v>32</v>
      </c>
      <c r="E596">
        <f t="shared" ca="1" si="8"/>
        <v>75720.846153846127</v>
      </c>
    </row>
    <row r="597" spans="1:5" x14ac:dyDescent="0.25">
      <c r="A597">
        <v>14</v>
      </c>
      <c r="B597">
        <v>33</v>
      </c>
      <c r="C597" t="s">
        <v>13</v>
      </c>
      <c r="D597" t="s">
        <v>33</v>
      </c>
      <c r="E597">
        <f t="shared" ca="1" si="8"/>
        <v>308331.38461538492</v>
      </c>
    </row>
    <row r="598" spans="1:5" x14ac:dyDescent="0.25">
      <c r="A598">
        <v>14</v>
      </c>
      <c r="B598">
        <v>34</v>
      </c>
      <c r="C598" t="s">
        <v>13</v>
      </c>
      <c r="D598" t="s">
        <v>34</v>
      </c>
      <c r="E598">
        <f t="shared" ca="1" si="8"/>
        <v>34649.692307692327</v>
      </c>
    </row>
    <row r="599" spans="1:5" x14ac:dyDescent="0.25">
      <c r="A599">
        <v>14</v>
      </c>
      <c r="B599">
        <v>35</v>
      </c>
      <c r="C599" t="s">
        <v>13</v>
      </c>
      <c r="D599" t="s">
        <v>35</v>
      </c>
      <c r="E599">
        <f t="shared" ca="1" si="8"/>
        <v>15273.923076923074</v>
      </c>
    </row>
    <row r="600" spans="1:5" x14ac:dyDescent="0.25">
      <c r="A600">
        <v>14</v>
      </c>
      <c r="B600">
        <v>36</v>
      </c>
      <c r="C600" t="s">
        <v>13</v>
      </c>
      <c r="D600" t="s">
        <v>36</v>
      </c>
      <c r="E600">
        <f t="shared" ca="1" si="8"/>
        <v>21692.923076923122</v>
      </c>
    </row>
    <row r="601" spans="1:5" x14ac:dyDescent="0.25">
      <c r="A601">
        <v>14</v>
      </c>
      <c r="B601">
        <v>37</v>
      </c>
      <c r="C601" t="s">
        <v>13</v>
      </c>
      <c r="D601" t="s">
        <v>37</v>
      </c>
      <c r="E601">
        <f t="shared" ca="1" si="8"/>
        <v>11661.076923076924</v>
      </c>
    </row>
    <row r="602" spans="1:5" x14ac:dyDescent="0.25">
      <c r="A602">
        <v>14</v>
      </c>
      <c r="B602">
        <v>38</v>
      </c>
      <c r="C602" t="s">
        <v>13</v>
      </c>
      <c r="D602" t="s">
        <v>38</v>
      </c>
      <c r="E602">
        <f t="shared" ca="1" si="8"/>
        <v>14731.461538461543</v>
      </c>
    </row>
    <row r="603" spans="1:5" x14ac:dyDescent="0.25">
      <c r="A603">
        <v>14</v>
      </c>
      <c r="B603">
        <v>39</v>
      </c>
      <c r="C603" t="s">
        <v>13</v>
      </c>
      <c r="D603" t="s">
        <v>39</v>
      </c>
      <c r="E603">
        <f t="shared" ca="1" si="8"/>
        <v>21277.846153846156</v>
      </c>
    </row>
    <row r="604" spans="1:5" x14ac:dyDescent="0.25">
      <c r="A604">
        <v>14</v>
      </c>
      <c r="B604">
        <v>40</v>
      </c>
      <c r="C604" t="s">
        <v>13</v>
      </c>
      <c r="D604" t="s">
        <v>40</v>
      </c>
      <c r="E604">
        <f t="shared" ca="1" si="8"/>
        <v>33636.769230769227</v>
      </c>
    </row>
    <row r="605" spans="1:5" x14ac:dyDescent="0.25">
      <c r="A605">
        <v>15</v>
      </c>
      <c r="B605">
        <v>1</v>
      </c>
      <c r="C605" t="s">
        <v>14</v>
      </c>
      <c r="D605" t="s">
        <v>0</v>
      </c>
      <c r="E605">
        <f t="shared" ca="1" si="8"/>
        <v>118743.84065934064</v>
      </c>
    </row>
    <row r="606" spans="1:5" x14ac:dyDescent="0.25">
      <c r="A606">
        <v>15</v>
      </c>
      <c r="B606">
        <v>2</v>
      </c>
      <c r="C606" t="s">
        <v>14</v>
      </c>
      <c r="D606" t="s">
        <v>1</v>
      </c>
      <c r="E606">
        <f t="shared" ca="1" si="8"/>
        <v>47482.840659340625</v>
      </c>
    </row>
    <row r="607" spans="1:5" x14ac:dyDescent="0.25">
      <c r="A607">
        <v>15</v>
      </c>
      <c r="B607">
        <v>3</v>
      </c>
      <c r="C607" t="s">
        <v>14</v>
      </c>
      <c r="D607" t="s">
        <v>2</v>
      </c>
      <c r="E607">
        <f t="shared" ca="1" si="8"/>
        <v>42747.483516483531</v>
      </c>
    </row>
    <row r="608" spans="1:5" x14ac:dyDescent="0.25">
      <c r="A608">
        <v>15</v>
      </c>
      <c r="B608">
        <v>4</v>
      </c>
      <c r="C608" t="s">
        <v>14</v>
      </c>
      <c r="D608" t="s">
        <v>3</v>
      </c>
      <c r="E608">
        <f t="shared" ref="E608:E670" ca="1" si="9">OFFSET($B$2,A608,B608)</f>
        <v>57403.840659340625</v>
      </c>
    </row>
    <row r="609" spans="1:5" x14ac:dyDescent="0.25">
      <c r="A609">
        <v>15</v>
      </c>
      <c r="B609">
        <v>5</v>
      </c>
      <c r="C609" t="s">
        <v>14</v>
      </c>
      <c r="D609" t="s">
        <v>4</v>
      </c>
      <c r="E609">
        <f t="shared" ca="1" si="9"/>
        <v>91140.412087912133</v>
      </c>
    </row>
    <row r="610" spans="1:5" x14ac:dyDescent="0.25">
      <c r="A610">
        <v>15</v>
      </c>
      <c r="B610">
        <v>6</v>
      </c>
      <c r="C610" t="s">
        <v>14</v>
      </c>
      <c r="D610" t="s">
        <v>5</v>
      </c>
      <c r="E610">
        <f t="shared" ca="1" si="9"/>
        <v>39468.55494505493</v>
      </c>
    </row>
    <row r="611" spans="1:5" x14ac:dyDescent="0.25">
      <c r="A611">
        <v>15</v>
      </c>
      <c r="B611">
        <v>7</v>
      </c>
      <c r="C611" t="s">
        <v>14</v>
      </c>
      <c r="D611" t="s">
        <v>6</v>
      </c>
      <c r="E611">
        <f t="shared" ca="1" si="9"/>
        <v>31218.554945054941</v>
      </c>
    </row>
    <row r="612" spans="1:5" x14ac:dyDescent="0.25">
      <c r="A612">
        <v>15</v>
      </c>
      <c r="B612">
        <v>8</v>
      </c>
      <c r="C612" t="s">
        <v>14</v>
      </c>
      <c r="D612" t="s">
        <v>7</v>
      </c>
      <c r="E612">
        <f t="shared" ca="1" si="9"/>
        <v>60865.626373626335</v>
      </c>
    </row>
    <row r="613" spans="1:5" x14ac:dyDescent="0.25">
      <c r="A613">
        <v>15</v>
      </c>
      <c r="B613">
        <v>9</v>
      </c>
      <c r="C613" t="s">
        <v>14</v>
      </c>
      <c r="D613" t="s">
        <v>148</v>
      </c>
      <c r="E613">
        <f t="shared" ca="1" si="9"/>
        <v>26861.223776223775</v>
      </c>
    </row>
    <row r="614" spans="1:5" x14ac:dyDescent="0.25">
      <c r="A614">
        <v>15</v>
      </c>
      <c r="B614">
        <v>10</v>
      </c>
      <c r="C614" t="s">
        <v>14</v>
      </c>
      <c r="D614" t="s">
        <v>9</v>
      </c>
      <c r="E614">
        <f t="shared" ca="1" si="9"/>
        <v>47343.983516483531</v>
      </c>
    </row>
    <row r="615" spans="1:5" x14ac:dyDescent="0.25">
      <c r="A615">
        <v>15</v>
      </c>
      <c r="B615">
        <v>11</v>
      </c>
      <c r="C615" t="s">
        <v>14</v>
      </c>
      <c r="D615" t="s">
        <v>10</v>
      </c>
      <c r="E615">
        <f t="shared" ca="1" si="9"/>
        <v>47511.153846153829</v>
      </c>
    </row>
    <row r="616" spans="1:5" x14ac:dyDescent="0.25">
      <c r="A616">
        <v>15</v>
      </c>
      <c r="B616">
        <v>12</v>
      </c>
      <c r="C616" t="s">
        <v>14</v>
      </c>
      <c r="D616" t="s">
        <v>11</v>
      </c>
      <c r="E616">
        <f t="shared" ca="1" si="9"/>
        <v>44479.769230769234</v>
      </c>
    </row>
    <row r="617" spans="1:5" x14ac:dyDescent="0.25">
      <c r="A617">
        <v>15</v>
      </c>
      <c r="B617">
        <v>13</v>
      </c>
      <c r="C617" t="s">
        <v>14</v>
      </c>
      <c r="D617" t="s">
        <v>12</v>
      </c>
      <c r="E617">
        <f t="shared" ca="1" si="9"/>
        <v>29558.153846153851</v>
      </c>
    </row>
    <row r="618" spans="1:5" x14ac:dyDescent="0.25">
      <c r="A618">
        <v>15</v>
      </c>
      <c r="B618">
        <v>14</v>
      </c>
      <c r="C618" t="s">
        <v>14</v>
      </c>
      <c r="D618" t="s">
        <v>13</v>
      </c>
      <c r="E618">
        <f t="shared" ca="1" si="9"/>
        <v>50183.153846153829</v>
      </c>
    </row>
    <row r="619" spans="1:5" x14ac:dyDescent="0.25">
      <c r="A619">
        <v>15</v>
      </c>
      <c r="B619">
        <v>15</v>
      </c>
      <c r="C619" t="s">
        <v>14</v>
      </c>
      <c r="D619" t="s">
        <v>14</v>
      </c>
      <c r="E619">
        <f t="shared" ca="1" si="9"/>
        <v>0</v>
      </c>
    </row>
    <row r="620" spans="1:5" x14ac:dyDescent="0.25">
      <c r="A620">
        <v>15</v>
      </c>
      <c r="B620">
        <v>16</v>
      </c>
      <c r="C620" t="s">
        <v>14</v>
      </c>
      <c r="D620" t="s">
        <v>15</v>
      </c>
      <c r="E620">
        <f t="shared" ca="1" si="9"/>
        <v>63675.000000000029</v>
      </c>
    </row>
    <row r="621" spans="1:5" x14ac:dyDescent="0.25">
      <c r="A621">
        <v>15</v>
      </c>
      <c r="B621">
        <v>17</v>
      </c>
      <c r="C621" t="s">
        <v>14</v>
      </c>
      <c r="D621" t="s">
        <v>16</v>
      </c>
      <c r="E621">
        <f t="shared" ca="1" si="9"/>
        <v>90734.076923076937</v>
      </c>
    </row>
    <row r="622" spans="1:5" x14ac:dyDescent="0.25">
      <c r="A622">
        <v>15</v>
      </c>
      <c r="B622">
        <v>18</v>
      </c>
      <c r="C622" t="s">
        <v>14</v>
      </c>
      <c r="D622" t="s">
        <v>17</v>
      </c>
      <c r="E622">
        <f t="shared" ca="1" si="9"/>
        <v>50000.538461538432</v>
      </c>
    </row>
    <row r="623" spans="1:5" x14ac:dyDescent="0.25">
      <c r="A623">
        <v>15</v>
      </c>
      <c r="B623">
        <v>19</v>
      </c>
      <c r="C623" t="s">
        <v>14</v>
      </c>
      <c r="D623" t="s">
        <v>18</v>
      </c>
      <c r="E623">
        <f t="shared" ca="1" si="9"/>
        <v>27551.692307692312</v>
      </c>
    </row>
    <row r="624" spans="1:5" x14ac:dyDescent="0.25">
      <c r="A624">
        <v>15</v>
      </c>
      <c r="B624">
        <v>20</v>
      </c>
      <c r="C624" t="s">
        <v>14</v>
      </c>
      <c r="D624" t="s">
        <v>19</v>
      </c>
      <c r="E624">
        <f t="shared" ca="1" si="9"/>
        <v>84723.461538461532</v>
      </c>
    </row>
    <row r="625" spans="1:5" x14ac:dyDescent="0.25">
      <c r="A625">
        <v>15</v>
      </c>
      <c r="B625">
        <v>21</v>
      </c>
      <c r="C625" t="s">
        <v>14</v>
      </c>
      <c r="D625" t="s">
        <v>20</v>
      </c>
      <c r="E625">
        <f t="shared" ca="1" si="9"/>
        <v>63568.076923076937</v>
      </c>
    </row>
    <row r="626" spans="1:5" x14ac:dyDescent="0.25">
      <c r="A626">
        <v>15</v>
      </c>
      <c r="B626">
        <v>22</v>
      </c>
      <c r="C626" t="s">
        <v>14</v>
      </c>
      <c r="D626" t="s">
        <v>21</v>
      </c>
      <c r="E626">
        <f t="shared" ca="1" si="9"/>
        <v>48007.923076923034</v>
      </c>
    </row>
    <row r="627" spans="1:5" x14ac:dyDescent="0.25">
      <c r="A627">
        <v>15</v>
      </c>
      <c r="B627">
        <v>23</v>
      </c>
      <c r="C627" t="s">
        <v>14</v>
      </c>
      <c r="D627" t="s">
        <v>22</v>
      </c>
      <c r="E627">
        <f t="shared" ca="1" si="9"/>
        <v>32686.461538461539</v>
      </c>
    </row>
    <row r="628" spans="1:5" x14ac:dyDescent="0.25">
      <c r="A628">
        <v>15</v>
      </c>
      <c r="B628">
        <v>24</v>
      </c>
      <c r="C628" t="s">
        <v>14</v>
      </c>
      <c r="D628" t="s">
        <v>23</v>
      </c>
      <c r="E628">
        <f t="shared" ca="1" si="9"/>
        <v>33848.846153846149</v>
      </c>
    </row>
    <row r="629" spans="1:5" x14ac:dyDescent="0.25">
      <c r="A629">
        <v>15</v>
      </c>
      <c r="B629">
        <v>25</v>
      </c>
      <c r="C629" t="s">
        <v>14</v>
      </c>
      <c r="D629" t="s">
        <v>24</v>
      </c>
      <c r="E629">
        <f t="shared" ca="1" si="9"/>
        <v>31453.461538461539</v>
      </c>
    </row>
    <row r="630" spans="1:5" x14ac:dyDescent="0.25">
      <c r="A630">
        <v>15</v>
      </c>
      <c r="B630">
        <v>26</v>
      </c>
      <c r="C630" t="s">
        <v>14</v>
      </c>
      <c r="D630" t="s">
        <v>25</v>
      </c>
      <c r="E630">
        <f t="shared" ca="1" si="9"/>
        <v>30532.538461538461</v>
      </c>
    </row>
    <row r="631" spans="1:5" x14ac:dyDescent="0.25">
      <c r="A631">
        <v>15</v>
      </c>
      <c r="B631">
        <v>27</v>
      </c>
      <c r="C631" t="s">
        <v>14</v>
      </c>
      <c r="D631" t="s">
        <v>145</v>
      </c>
      <c r="E631">
        <f t="shared" ca="1" si="9"/>
        <v>85747.769230769234</v>
      </c>
    </row>
    <row r="632" spans="1:5" x14ac:dyDescent="0.25">
      <c r="A632">
        <v>15</v>
      </c>
      <c r="B632">
        <v>28</v>
      </c>
      <c r="C632" t="s">
        <v>14</v>
      </c>
      <c r="D632" t="s">
        <v>147</v>
      </c>
      <c r="E632">
        <f t="shared" ca="1" si="9"/>
        <v>62812.069230769237</v>
      </c>
    </row>
    <row r="633" spans="1:5" x14ac:dyDescent="0.25">
      <c r="A633">
        <v>15</v>
      </c>
      <c r="B633">
        <v>29</v>
      </c>
      <c r="C633" t="s">
        <v>14</v>
      </c>
      <c r="D633" t="s">
        <v>146</v>
      </c>
      <c r="E633">
        <f t="shared" ca="1" si="9"/>
        <v>34019.06923076923</v>
      </c>
    </row>
    <row r="634" spans="1:5" x14ac:dyDescent="0.25">
      <c r="A634">
        <v>15</v>
      </c>
      <c r="B634">
        <v>30</v>
      </c>
      <c r="C634" t="s">
        <v>14</v>
      </c>
      <c r="D634" t="s">
        <v>30</v>
      </c>
      <c r="E634">
        <f t="shared" ca="1" si="9"/>
        <v>28908.23076923077</v>
      </c>
    </row>
    <row r="635" spans="1:5" x14ac:dyDescent="0.25">
      <c r="A635">
        <v>15</v>
      </c>
      <c r="B635">
        <v>31</v>
      </c>
      <c r="C635" t="s">
        <v>14</v>
      </c>
      <c r="D635" t="s">
        <v>31</v>
      </c>
      <c r="E635">
        <f t="shared" ca="1" si="9"/>
        <v>26753.153846153844</v>
      </c>
    </row>
    <row r="636" spans="1:5" x14ac:dyDescent="0.25">
      <c r="A636">
        <v>15</v>
      </c>
      <c r="B636">
        <v>32</v>
      </c>
      <c r="C636" t="s">
        <v>14</v>
      </c>
      <c r="D636" t="s">
        <v>32</v>
      </c>
      <c r="E636">
        <f t="shared" ca="1" si="9"/>
        <v>90430.538461538425</v>
      </c>
    </row>
    <row r="637" spans="1:5" x14ac:dyDescent="0.25">
      <c r="A637">
        <v>15</v>
      </c>
      <c r="B637">
        <v>33</v>
      </c>
      <c r="C637" t="s">
        <v>14</v>
      </c>
      <c r="D637" t="s">
        <v>33</v>
      </c>
      <c r="E637">
        <f t="shared" ca="1" si="9"/>
        <v>323041.07692307723</v>
      </c>
    </row>
    <row r="638" spans="1:5" x14ac:dyDescent="0.25">
      <c r="A638">
        <v>15</v>
      </c>
      <c r="B638">
        <v>34</v>
      </c>
      <c r="C638" t="s">
        <v>14</v>
      </c>
      <c r="D638" t="s">
        <v>34</v>
      </c>
      <c r="E638">
        <f t="shared" ca="1" si="9"/>
        <v>49359.384615384632</v>
      </c>
    </row>
    <row r="639" spans="1:5" x14ac:dyDescent="0.25">
      <c r="A639">
        <v>15</v>
      </c>
      <c r="B639">
        <v>35</v>
      </c>
      <c r="C639" t="s">
        <v>14</v>
      </c>
      <c r="D639" t="s">
        <v>35</v>
      </c>
      <c r="E639">
        <f t="shared" ca="1" si="9"/>
        <v>29983.615384615379</v>
      </c>
    </row>
    <row r="640" spans="1:5" x14ac:dyDescent="0.25">
      <c r="A640">
        <v>15</v>
      </c>
      <c r="B640">
        <v>36</v>
      </c>
      <c r="C640" t="s">
        <v>14</v>
      </c>
      <c r="D640" t="s">
        <v>36</v>
      </c>
      <c r="E640">
        <f t="shared" ca="1" si="9"/>
        <v>36402.615384615434</v>
      </c>
    </row>
    <row r="641" spans="1:5" x14ac:dyDescent="0.25">
      <c r="A641">
        <v>15</v>
      </c>
      <c r="B641">
        <v>37</v>
      </c>
      <c r="C641" t="s">
        <v>14</v>
      </c>
      <c r="D641" t="s">
        <v>37</v>
      </c>
      <c r="E641">
        <f t="shared" ca="1" si="9"/>
        <v>26370.76923076923</v>
      </c>
    </row>
    <row r="642" spans="1:5" x14ac:dyDescent="0.25">
      <c r="A642">
        <v>15</v>
      </c>
      <c r="B642">
        <v>38</v>
      </c>
      <c r="C642" t="s">
        <v>14</v>
      </c>
      <c r="D642" t="s">
        <v>38</v>
      </c>
      <c r="E642">
        <f t="shared" ca="1" si="9"/>
        <v>29441.153846153851</v>
      </c>
    </row>
    <row r="643" spans="1:5" x14ac:dyDescent="0.25">
      <c r="A643">
        <v>15</v>
      </c>
      <c r="B643">
        <v>39</v>
      </c>
      <c r="C643" t="s">
        <v>14</v>
      </c>
      <c r="D643" t="s">
        <v>39</v>
      </c>
      <c r="E643">
        <f t="shared" ca="1" si="9"/>
        <v>35987.538461538461</v>
      </c>
    </row>
    <row r="644" spans="1:5" x14ac:dyDescent="0.25">
      <c r="A644">
        <v>15</v>
      </c>
      <c r="B644">
        <v>40</v>
      </c>
      <c r="C644" t="s">
        <v>14</v>
      </c>
      <c r="D644" t="s">
        <v>40</v>
      </c>
      <c r="E644">
        <f t="shared" ca="1" si="9"/>
        <v>48346.461538461532</v>
      </c>
    </row>
    <row r="645" spans="1:5" x14ac:dyDescent="0.25">
      <c r="A645">
        <v>16</v>
      </c>
      <c r="B645">
        <v>1</v>
      </c>
      <c r="C645" t="s">
        <v>15</v>
      </c>
      <c r="D645" t="s">
        <v>0</v>
      </c>
      <c r="E645">
        <f t="shared" ca="1" si="9"/>
        <v>127798.53296703295</v>
      </c>
    </row>
    <row r="646" spans="1:5" x14ac:dyDescent="0.25">
      <c r="A646">
        <v>16</v>
      </c>
      <c r="B646">
        <v>2</v>
      </c>
      <c r="C646" t="s">
        <v>15</v>
      </c>
      <c r="D646" t="s">
        <v>1</v>
      </c>
      <c r="E646">
        <f t="shared" ca="1" si="9"/>
        <v>56537.532967032937</v>
      </c>
    </row>
    <row r="647" spans="1:5" x14ac:dyDescent="0.25">
      <c r="A647">
        <v>16</v>
      </c>
      <c r="B647">
        <v>3</v>
      </c>
      <c r="C647" t="s">
        <v>15</v>
      </c>
      <c r="D647" t="s">
        <v>2</v>
      </c>
      <c r="E647">
        <f t="shared" ca="1" si="9"/>
        <v>51802.175824175836</v>
      </c>
    </row>
    <row r="648" spans="1:5" x14ac:dyDescent="0.25">
      <c r="A648">
        <v>16</v>
      </c>
      <c r="B648">
        <v>4</v>
      </c>
      <c r="C648" t="s">
        <v>15</v>
      </c>
      <c r="D648" t="s">
        <v>3</v>
      </c>
      <c r="E648">
        <f t="shared" ca="1" si="9"/>
        <v>66458.532967032937</v>
      </c>
    </row>
    <row r="649" spans="1:5" x14ac:dyDescent="0.25">
      <c r="A649">
        <v>16</v>
      </c>
      <c r="B649">
        <v>5</v>
      </c>
      <c r="C649" t="s">
        <v>15</v>
      </c>
      <c r="D649" t="s">
        <v>4</v>
      </c>
      <c r="E649">
        <f t="shared" ca="1" si="9"/>
        <v>100195.10439560443</v>
      </c>
    </row>
    <row r="650" spans="1:5" x14ac:dyDescent="0.25">
      <c r="A650">
        <v>16</v>
      </c>
      <c r="B650">
        <v>6</v>
      </c>
      <c r="C650" t="s">
        <v>15</v>
      </c>
      <c r="D650" t="s">
        <v>5</v>
      </c>
      <c r="E650">
        <f t="shared" ca="1" si="9"/>
        <v>48523.247252747242</v>
      </c>
    </row>
    <row r="651" spans="1:5" x14ac:dyDescent="0.25">
      <c r="A651">
        <v>16</v>
      </c>
      <c r="B651">
        <v>7</v>
      </c>
      <c r="C651" t="s">
        <v>15</v>
      </c>
      <c r="D651" t="s">
        <v>6</v>
      </c>
      <c r="E651">
        <f t="shared" ca="1" si="9"/>
        <v>40273.247252747249</v>
      </c>
    </row>
    <row r="652" spans="1:5" x14ac:dyDescent="0.25">
      <c r="A652">
        <v>16</v>
      </c>
      <c r="B652">
        <v>8</v>
      </c>
      <c r="C652" t="s">
        <v>15</v>
      </c>
      <c r="D652" t="s">
        <v>7</v>
      </c>
      <c r="E652">
        <f t="shared" ca="1" si="9"/>
        <v>69920.318681318633</v>
      </c>
    </row>
    <row r="653" spans="1:5" x14ac:dyDescent="0.25">
      <c r="A653">
        <v>16</v>
      </c>
      <c r="B653">
        <v>9</v>
      </c>
      <c r="C653" t="s">
        <v>15</v>
      </c>
      <c r="D653" t="s">
        <v>148</v>
      </c>
      <c r="E653">
        <f t="shared" ca="1" si="9"/>
        <v>35915.916083916083</v>
      </c>
    </row>
    <row r="654" spans="1:5" x14ac:dyDescent="0.25">
      <c r="A654">
        <v>16</v>
      </c>
      <c r="B654">
        <v>10</v>
      </c>
      <c r="C654" t="s">
        <v>15</v>
      </c>
      <c r="D654" t="s">
        <v>9</v>
      </c>
      <c r="E654">
        <f t="shared" ca="1" si="9"/>
        <v>56398.675824175836</v>
      </c>
    </row>
    <row r="655" spans="1:5" x14ac:dyDescent="0.25">
      <c r="A655">
        <v>16</v>
      </c>
      <c r="B655">
        <v>11</v>
      </c>
      <c r="C655" t="s">
        <v>15</v>
      </c>
      <c r="D655" t="s">
        <v>10</v>
      </c>
      <c r="E655">
        <f t="shared" ca="1" si="9"/>
        <v>56565.846153846142</v>
      </c>
    </row>
    <row r="656" spans="1:5" x14ac:dyDescent="0.25">
      <c r="A656">
        <v>16</v>
      </c>
      <c r="B656">
        <v>12</v>
      </c>
      <c r="C656" t="s">
        <v>15</v>
      </c>
      <c r="D656" t="s">
        <v>11</v>
      </c>
      <c r="E656">
        <f t="shared" ca="1" si="9"/>
        <v>53534.461538461539</v>
      </c>
    </row>
    <row r="657" spans="1:5" x14ac:dyDescent="0.25">
      <c r="A657">
        <v>16</v>
      </c>
      <c r="B657">
        <v>13</v>
      </c>
      <c r="C657" t="s">
        <v>15</v>
      </c>
      <c r="D657" t="s">
        <v>12</v>
      </c>
      <c r="E657">
        <f t="shared" ca="1" si="9"/>
        <v>38612.846153846156</v>
      </c>
    </row>
    <row r="658" spans="1:5" x14ac:dyDescent="0.25">
      <c r="A658">
        <v>16</v>
      </c>
      <c r="B658">
        <v>14</v>
      </c>
      <c r="C658" t="s">
        <v>15</v>
      </c>
      <c r="D658" t="s">
        <v>13</v>
      </c>
      <c r="E658">
        <f t="shared" ca="1" si="9"/>
        <v>59237.846153846142</v>
      </c>
    </row>
    <row r="659" spans="1:5" x14ac:dyDescent="0.25">
      <c r="A659">
        <v>16</v>
      </c>
      <c r="B659">
        <v>15</v>
      </c>
      <c r="C659" t="s">
        <v>15</v>
      </c>
      <c r="D659" t="s">
        <v>14</v>
      </c>
      <c r="E659">
        <f t="shared" ca="1" si="9"/>
        <v>83037.230769230737</v>
      </c>
    </row>
    <row r="660" spans="1:5" x14ac:dyDescent="0.25">
      <c r="A660">
        <v>16</v>
      </c>
      <c r="B660">
        <v>16</v>
      </c>
      <c r="C660" t="s">
        <v>15</v>
      </c>
      <c r="D660" t="s">
        <v>15</v>
      </c>
      <c r="E660">
        <f t="shared" ca="1" si="9"/>
        <v>0</v>
      </c>
    </row>
    <row r="661" spans="1:5" x14ac:dyDescent="0.25">
      <c r="A661">
        <v>16</v>
      </c>
      <c r="B661">
        <v>17</v>
      </c>
      <c r="C661" t="s">
        <v>15</v>
      </c>
      <c r="D661" t="s">
        <v>16</v>
      </c>
      <c r="E661">
        <f t="shared" ca="1" si="9"/>
        <v>99788.769230769249</v>
      </c>
    </row>
    <row r="662" spans="1:5" x14ac:dyDescent="0.25">
      <c r="A662">
        <v>16</v>
      </c>
      <c r="B662">
        <v>18</v>
      </c>
      <c r="C662" t="s">
        <v>15</v>
      </c>
      <c r="D662" t="s">
        <v>17</v>
      </c>
      <c r="E662">
        <f t="shared" ca="1" si="9"/>
        <v>59055.230769230737</v>
      </c>
    </row>
    <row r="663" spans="1:5" x14ac:dyDescent="0.25">
      <c r="A663">
        <v>16</v>
      </c>
      <c r="B663">
        <v>19</v>
      </c>
      <c r="C663" t="s">
        <v>15</v>
      </c>
      <c r="D663" t="s">
        <v>18</v>
      </c>
      <c r="E663">
        <f t="shared" ca="1" si="9"/>
        <v>36606.384615384617</v>
      </c>
    </row>
    <row r="664" spans="1:5" x14ac:dyDescent="0.25">
      <c r="A664">
        <v>16</v>
      </c>
      <c r="B664">
        <v>20</v>
      </c>
      <c r="C664" t="s">
        <v>15</v>
      </c>
      <c r="D664" t="s">
        <v>19</v>
      </c>
      <c r="E664">
        <f t="shared" ca="1" si="9"/>
        <v>93778.153846153844</v>
      </c>
    </row>
    <row r="665" spans="1:5" x14ac:dyDescent="0.25">
      <c r="A665">
        <v>16</v>
      </c>
      <c r="B665">
        <v>21</v>
      </c>
      <c r="C665" t="s">
        <v>15</v>
      </c>
      <c r="D665" t="s">
        <v>20</v>
      </c>
      <c r="E665">
        <f t="shared" ca="1" si="9"/>
        <v>72622.769230769249</v>
      </c>
    </row>
    <row r="666" spans="1:5" x14ac:dyDescent="0.25">
      <c r="A666">
        <v>16</v>
      </c>
      <c r="B666">
        <v>22</v>
      </c>
      <c r="C666" t="s">
        <v>15</v>
      </c>
      <c r="D666" t="s">
        <v>21</v>
      </c>
      <c r="E666">
        <f t="shared" ca="1" si="9"/>
        <v>57062.615384615339</v>
      </c>
    </row>
    <row r="667" spans="1:5" x14ac:dyDescent="0.25">
      <c r="A667">
        <v>16</v>
      </c>
      <c r="B667">
        <v>23</v>
      </c>
      <c r="C667" t="s">
        <v>15</v>
      </c>
      <c r="D667" t="s">
        <v>22</v>
      </c>
      <c r="E667">
        <f t="shared" ca="1" si="9"/>
        <v>41741.153846153851</v>
      </c>
    </row>
    <row r="668" spans="1:5" x14ac:dyDescent="0.25">
      <c r="A668">
        <v>16</v>
      </c>
      <c r="B668">
        <v>24</v>
      </c>
      <c r="C668" t="s">
        <v>15</v>
      </c>
      <c r="D668" t="s">
        <v>23</v>
      </c>
      <c r="E668">
        <f t="shared" ca="1" si="9"/>
        <v>42903.538461538461</v>
      </c>
    </row>
    <row r="669" spans="1:5" x14ac:dyDescent="0.25">
      <c r="A669">
        <v>16</v>
      </c>
      <c r="B669">
        <v>25</v>
      </c>
      <c r="C669" t="s">
        <v>15</v>
      </c>
      <c r="D669" t="s">
        <v>24</v>
      </c>
      <c r="E669">
        <f t="shared" ca="1" si="9"/>
        <v>40508.153846153851</v>
      </c>
    </row>
    <row r="670" spans="1:5" x14ac:dyDescent="0.25">
      <c r="A670">
        <v>16</v>
      </c>
      <c r="B670">
        <v>26</v>
      </c>
      <c r="C670" t="s">
        <v>15</v>
      </c>
      <c r="D670" t="s">
        <v>25</v>
      </c>
      <c r="E670">
        <f t="shared" ca="1" si="9"/>
        <v>39587.230769230766</v>
      </c>
    </row>
    <row r="671" spans="1:5" x14ac:dyDescent="0.25">
      <c r="A671">
        <v>16</v>
      </c>
      <c r="B671">
        <v>27</v>
      </c>
      <c r="C671" t="s">
        <v>15</v>
      </c>
      <c r="D671" t="s">
        <v>145</v>
      </c>
      <c r="E671">
        <f t="shared" ref="E671:E732" ca="1" si="10">OFFSET($B$2,A671,B671)</f>
        <v>94802.461538461532</v>
      </c>
    </row>
    <row r="672" spans="1:5" x14ac:dyDescent="0.25">
      <c r="A672">
        <v>16</v>
      </c>
      <c r="B672">
        <v>28</v>
      </c>
      <c r="C672" t="s">
        <v>15</v>
      </c>
      <c r="D672" t="s">
        <v>147</v>
      </c>
      <c r="E672">
        <f t="shared" ca="1" si="10"/>
        <v>71866.761538461549</v>
      </c>
    </row>
    <row r="673" spans="1:5" x14ac:dyDescent="0.25">
      <c r="A673">
        <v>16</v>
      </c>
      <c r="B673">
        <v>29</v>
      </c>
      <c r="C673" t="s">
        <v>15</v>
      </c>
      <c r="D673" t="s">
        <v>146</v>
      </c>
      <c r="E673">
        <f t="shared" ca="1" si="10"/>
        <v>43073.761538461542</v>
      </c>
    </row>
    <row r="674" spans="1:5" x14ac:dyDescent="0.25">
      <c r="A674">
        <v>16</v>
      </c>
      <c r="B674">
        <v>30</v>
      </c>
      <c r="C674" t="s">
        <v>15</v>
      </c>
      <c r="D674" t="s">
        <v>30</v>
      </c>
      <c r="E674">
        <f t="shared" ca="1" si="10"/>
        <v>37962.923076923078</v>
      </c>
    </row>
    <row r="675" spans="1:5" x14ac:dyDescent="0.25">
      <c r="A675">
        <v>16</v>
      </c>
      <c r="B675">
        <v>31</v>
      </c>
      <c r="C675" t="s">
        <v>15</v>
      </c>
      <c r="D675" t="s">
        <v>31</v>
      </c>
      <c r="E675">
        <f t="shared" ca="1" si="10"/>
        <v>35807.846153846156</v>
      </c>
    </row>
    <row r="676" spans="1:5" x14ac:dyDescent="0.25">
      <c r="A676">
        <v>16</v>
      </c>
      <c r="B676">
        <v>32</v>
      </c>
      <c r="C676" t="s">
        <v>15</v>
      </c>
      <c r="D676" t="s">
        <v>32</v>
      </c>
      <c r="E676">
        <f t="shared" ca="1" si="10"/>
        <v>99485.230769230737</v>
      </c>
    </row>
    <row r="677" spans="1:5" x14ac:dyDescent="0.25">
      <c r="A677">
        <v>16</v>
      </c>
      <c r="B677">
        <v>33</v>
      </c>
      <c r="C677" t="s">
        <v>15</v>
      </c>
      <c r="D677" t="s">
        <v>33</v>
      </c>
      <c r="E677">
        <f t="shared" ca="1" si="10"/>
        <v>332095.76923076954</v>
      </c>
    </row>
    <row r="678" spans="1:5" x14ac:dyDescent="0.25">
      <c r="A678">
        <v>16</v>
      </c>
      <c r="B678">
        <v>34</v>
      </c>
      <c r="C678" t="s">
        <v>15</v>
      </c>
      <c r="D678" t="s">
        <v>34</v>
      </c>
      <c r="E678">
        <f t="shared" ca="1" si="10"/>
        <v>58414.076923076937</v>
      </c>
    </row>
    <row r="679" spans="1:5" x14ac:dyDescent="0.25">
      <c r="A679">
        <v>16</v>
      </c>
      <c r="B679">
        <v>35</v>
      </c>
      <c r="C679" t="s">
        <v>15</v>
      </c>
      <c r="D679" t="s">
        <v>35</v>
      </c>
      <c r="E679">
        <f t="shared" ca="1" si="10"/>
        <v>39038.307692307688</v>
      </c>
    </row>
    <row r="680" spans="1:5" x14ac:dyDescent="0.25">
      <c r="A680">
        <v>16</v>
      </c>
      <c r="B680">
        <v>36</v>
      </c>
      <c r="C680" t="s">
        <v>15</v>
      </c>
      <c r="D680" t="s">
        <v>36</v>
      </c>
      <c r="E680">
        <f t="shared" ca="1" si="10"/>
        <v>45457.307692307739</v>
      </c>
    </row>
    <row r="681" spans="1:5" x14ac:dyDescent="0.25">
      <c r="A681">
        <v>16</v>
      </c>
      <c r="B681">
        <v>37</v>
      </c>
      <c r="C681" t="s">
        <v>15</v>
      </c>
      <c r="D681" t="s">
        <v>37</v>
      </c>
      <c r="E681">
        <f t="shared" ca="1" si="10"/>
        <v>35425.461538461539</v>
      </c>
    </row>
    <row r="682" spans="1:5" x14ac:dyDescent="0.25">
      <c r="A682">
        <v>16</v>
      </c>
      <c r="B682">
        <v>38</v>
      </c>
      <c r="C682" t="s">
        <v>15</v>
      </c>
      <c r="D682" t="s">
        <v>38</v>
      </c>
      <c r="E682">
        <f t="shared" ca="1" si="10"/>
        <v>38495.846153846156</v>
      </c>
    </row>
    <row r="683" spans="1:5" x14ac:dyDescent="0.25">
      <c r="A683">
        <v>16</v>
      </c>
      <c r="B683">
        <v>39</v>
      </c>
      <c r="C683" t="s">
        <v>15</v>
      </c>
      <c r="D683" t="s">
        <v>39</v>
      </c>
      <c r="E683">
        <f t="shared" ca="1" si="10"/>
        <v>45042.230769230766</v>
      </c>
    </row>
    <row r="684" spans="1:5" x14ac:dyDescent="0.25">
      <c r="A684">
        <v>16</v>
      </c>
      <c r="B684">
        <v>40</v>
      </c>
      <c r="C684" t="s">
        <v>15</v>
      </c>
      <c r="D684" t="s">
        <v>40</v>
      </c>
      <c r="E684">
        <f t="shared" ca="1" si="10"/>
        <v>57401.153846153844</v>
      </c>
    </row>
    <row r="685" spans="1:5" x14ac:dyDescent="0.25">
      <c r="A685">
        <v>17</v>
      </c>
      <c r="B685">
        <v>1</v>
      </c>
      <c r="C685" t="s">
        <v>16</v>
      </c>
      <c r="D685" t="s">
        <v>0</v>
      </c>
      <c r="E685">
        <f t="shared" ca="1" si="10"/>
        <v>146692.91758241755</v>
      </c>
    </row>
    <row r="686" spans="1:5" x14ac:dyDescent="0.25">
      <c r="A686">
        <v>17</v>
      </c>
      <c r="B686">
        <v>2</v>
      </c>
      <c r="C686" t="s">
        <v>16</v>
      </c>
      <c r="D686" t="s">
        <v>1</v>
      </c>
      <c r="E686">
        <f t="shared" ca="1" si="10"/>
        <v>75431.917582417547</v>
      </c>
    </row>
    <row r="687" spans="1:5" x14ac:dyDescent="0.25">
      <c r="A687">
        <v>17</v>
      </c>
      <c r="B687">
        <v>3</v>
      </c>
      <c r="C687" t="s">
        <v>16</v>
      </c>
      <c r="D687" t="s">
        <v>2</v>
      </c>
      <c r="E687">
        <f t="shared" ca="1" si="10"/>
        <v>70696.560439560461</v>
      </c>
    </row>
    <row r="688" spans="1:5" x14ac:dyDescent="0.25">
      <c r="A688">
        <v>17</v>
      </c>
      <c r="B688">
        <v>4</v>
      </c>
      <c r="C688" t="s">
        <v>16</v>
      </c>
      <c r="D688" t="s">
        <v>3</v>
      </c>
      <c r="E688">
        <f t="shared" ca="1" si="10"/>
        <v>85352.917582417547</v>
      </c>
    </row>
    <row r="689" spans="1:5" x14ac:dyDescent="0.25">
      <c r="A689">
        <v>17</v>
      </c>
      <c r="B689">
        <v>5</v>
      </c>
      <c r="C689" t="s">
        <v>16</v>
      </c>
      <c r="D689" t="s">
        <v>4</v>
      </c>
      <c r="E689">
        <f t="shared" ca="1" si="10"/>
        <v>119089.48901098905</v>
      </c>
    </row>
    <row r="690" spans="1:5" x14ac:dyDescent="0.25">
      <c r="A690">
        <v>17</v>
      </c>
      <c r="B690">
        <v>6</v>
      </c>
      <c r="C690" t="s">
        <v>16</v>
      </c>
      <c r="D690" t="s">
        <v>5</v>
      </c>
      <c r="E690">
        <f t="shared" ca="1" si="10"/>
        <v>67417.631868131852</v>
      </c>
    </row>
    <row r="691" spans="1:5" x14ac:dyDescent="0.25">
      <c r="A691">
        <v>17</v>
      </c>
      <c r="B691">
        <v>7</v>
      </c>
      <c r="C691" t="s">
        <v>16</v>
      </c>
      <c r="D691" t="s">
        <v>6</v>
      </c>
      <c r="E691">
        <f t="shared" ca="1" si="10"/>
        <v>59167.631868131866</v>
      </c>
    </row>
    <row r="692" spans="1:5" x14ac:dyDescent="0.25">
      <c r="A692">
        <v>17</v>
      </c>
      <c r="B692">
        <v>8</v>
      </c>
      <c r="C692" t="s">
        <v>16</v>
      </c>
      <c r="D692" t="s">
        <v>7</v>
      </c>
      <c r="E692">
        <f t="shared" ca="1" si="10"/>
        <v>88814.703296703257</v>
      </c>
    </row>
    <row r="693" spans="1:5" x14ac:dyDescent="0.25">
      <c r="A693">
        <v>17</v>
      </c>
      <c r="B693">
        <v>9</v>
      </c>
      <c r="C693" t="s">
        <v>16</v>
      </c>
      <c r="D693" t="s">
        <v>148</v>
      </c>
      <c r="E693">
        <f t="shared" ca="1" si="10"/>
        <v>54810.3006993007</v>
      </c>
    </row>
    <row r="694" spans="1:5" x14ac:dyDescent="0.25">
      <c r="A694">
        <v>17</v>
      </c>
      <c r="B694">
        <v>10</v>
      </c>
      <c r="C694" t="s">
        <v>16</v>
      </c>
      <c r="D694" t="s">
        <v>9</v>
      </c>
      <c r="E694">
        <f t="shared" ca="1" si="10"/>
        <v>75293.060439560461</v>
      </c>
    </row>
    <row r="695" spans="1:5" x14ac:dyDescent="0.25">
      <c r="A695">
        <v>17</v>
      </c>
      <c r="B695">
        <v>11</v>
      </c>
      <c r="C695" t="s">
        <v>16</v>
      </c>
      <c r="D695" t="s">
        <v>10</v>
      </c>
      <c r="E695">
        <f t="shared" ca="1" si="10"/>
        <v>75460.230769230751</v>
      </c>
    </row>
    <row r="696" spans="1:5" x14ac:dyDescent="0.25">
      <c r="A696">
        <v>17</v>
      </c>
      <c r="B696">
        <v>12</v>
      </c>
      <c r="C696" t="s">
        <v>16</v>
      </c>
      <c r="D696" t="s">
        <v>11</v>
      </c>
      <c r="E696">
        <f t="shared" ca="1" si="10"/>
        <v>72428.846153846156</v>
      </c>
    </row>
    <row r="697" spans="1:5" x14ac:dyDescent="0.25">
      <c r="A697">
        <v>17</v>
      </c>
      <c r="B697">
        <v>13</v>
      </c>
      <c r="C697" t="s">
        <v>16</v>
      </c>
      <c r="D697" t="s">
        <v>12</v>
      </c>
      <c r="E697">
        <f t="shared" ca="1" si="10"/>
        <v>57507.230769230773</v>
      </c>
    </row>
    <row r="698" spans="1:5" x14ac:dyDescent="0.25">
      <c r="A698">
        <v>17</v>
      </c>
      <c r="B698">
        <v>14</v>
      </c>
      <c r="C698" t="s">
        <v>16</v>
      </c>
      <c r="D698" t="s">
        <v>13</v>
      </c>
      <c r="E698">
        <f t="shared" ca="1" si="10"/>
        <v>78132.230769230751</v>
      </c>
    </row>
    <row r="699" spans="1:5" x14ac:dyDescent="0.25">
      <c r="A699">
        <v>17</v>
      </c>
      <c r="B699">
        <v>15</v>
      </c>
      <c r="C699" t="s">
        <v>16</v>
      </c>
      <c r="D699" t="s">
        <v>14</v>
      </c>
      <c r="E699">
        <f t="shared" ca="1" si="10"/>
        <v>101931.61538461535</v>
      </c>
    </row>
    <row r="700" spans="1:5" x14ac:dyDescent="0.25">
      <c r="A700">
        <v>17</v>
      </c>
      <c r="B700">
        <v>16</v>
      </c>
      <c r="C700" t="s">
        <v>16</v>
      </c>
      <c r="D700" t="s">
        <v>15</v>
      </c>
      <c r="E700">
        <f t="shared" ca="1" si="10"/>
        <v>91624.076923076966</v>
      </c>
    </row>
    <row r="701" spans="1:5" x14ac:dyDescent="0.25">
      <c r="A701">
        <v>17</v>
      </c>
      <c r="B701">
        <v>17</v>
      </c>
      <c r="C701" t="s">
        <v>16</v>
      </c>
      <c r="D701" t="s">
        <v>16</v>
      </c>
      <c r="E701">
        <f t="shared" ca="1" si="10"/>
        <v>0</v>
      </c>
    </row>
    <row r="702" spans="1:5" x14ac:dyDescent="0.25">
      <c r="A702">
        <v>17</v>
      </c>
      <c r="B702">
        <v>18</v>
      </c>
      <c r="C702" t="s">
        <v>16</v>
      </c>
      <c r="D702" t="s">
        <v>17</v>
      </c>
      <c r="E702">
        <f t="shared" ca="1" si="10"/>
        <v>77949.615384615361</v>
      </c>
    </row>
    <row r="703" spans="1:5" x14ac:dyDescent="0.25">
      <c r="A703">
        <v>17</v>
      </c>
      <c r="B703">
        <v>19</v>
      </c>
      <c r="C703" t="s">
        <v>16</v>
      </c>
      <c r="D703" t="s">
        <v>18</v>
      </c>
      <c r="E703">
        <f t="shared" ca="1" si="10"/>
        <v>55500.769230769234</v>
      </c>
    </row>
    <row r="704" spans="1:5" x14ac:dyDescent="0.25">
      <c r="A704">
        <v>17</v>
      </c>
      <c r="B704">
        <v>20</v>
      </c>
      <c r="C704" t="s">
        <v>16</v>
      </c>
      <c r="D704" t="s">
        <v>19</v>
      </c>
      <c r="E704">
        <f t="shared" ca="1" si="10"/>
        <v>112672.53846153845</v>
      </c>
    </row>
    <row r="705" spans="1:5" x14ac:dyDescent="0.25">
      <c r="A705">
        <v>17</v>
      </c>
      <c r="B705">
        <v>21</v>
      </c>
      <c r="C705" t="s">
        <v>16</v>
      </c>
      <c r="D705" t="s">
        <v>20</v>
      </c>
      <c r="E705">
        <f t="shared" ca="1" si="10"/>
        <v>91517.153846153858</v>
      </c>
    </row>
    <row r="706" spans="1:5" x14ac:dyDescent="0.25">
      <c r="A706">
        <v>17</v>
      </c>
      <c r="B706">
        <v>22</v>
      </c>
      <c r="C706" t="s">
        <v>16</v>
      </c>
      <c r="D706" t="s">
        <v>21</v>
      </c>
      <c r="E706">
        <f t="shared" ca="1" si="10"/>
        <v>75956.999999999956</v>
      </c>
    </row>
    <row r="707" spans="1:5" x14ac:dyDescent="0.25">
      <c r="A707">
        <v>17</v>
      </c>
      <c r="B707">
        <v>23</v>
      </c>
      <c r="C707" t="s">
        <v>16</v>
      </c>
      <c r="D707" t="s">
        <v>22</v>
      </c>
      <c r="E707">
        <f t="shared" ca="1" si="10"/>
        <v>60635.538461538468</v>
      </c>
    </row>
    <row r="708" spans="1:5" x14ac:dyDescent="0.25">
      <c r="A708">
        <v>17</v>
      </c>
      <c r="B708">
        <v>24</v>
      </c>
      <c r="C708" t="s">
        <v>16</v>
      </c>
      <c r="D708" t="s">
        <v>23</v>
      </c>
      <c r="E708">
        <f t="shared" ca="1" si="10"/>
        <v>61797.923076923078</v>
      </c>
    </row>
    <row r="709" spans="1:5" x14ac:dyDescent="0.25">
      <c r="A709">
        <v>17</v>
      </c>
      <c r="B709">
        <v>25</v>
      </c>
      <c r="C709" t="s">
        <v>16</v>
      </c>
      <c r="D709" t="s">
        <v>24</v>
      </c>
      <c r="E709">
        <f t="shared" ca="1" si="10"/>
        <v>59402.538461538468</v>
      </c>
    </row>
    <row r="710" spans="1:5" x14ac:dyDescent="0.25">
      <c r="A710">
        <v>17</v>
      </c>
      <c r="B710">
        <v>26</v>
      </c>
      <c r="C710" t="s">
        <v>16</v>
      </c>
      <c r="D710" t="s">
        <v>25</v>
      </c>
      <c r="E710">
        <f t="shared" ca="1" si="10"/>
        <v>58481.615384615383</v>
      </c>
    </row>
    <row r="711" spans="1:5" x14ac:dyDescent="0.25">
      <c r="A711">
        <v>17</v>
      </c>
      <c r="B711">
        <v>27</v>
      </c>
      <c r="C711" t="s">
        <v>16</v>
      </c>
      <c r="D711" t="s">
        <v>145</v>
      </c>
      <c r="E711">
        <f t="shared" ca="1" si="10"/>
        <v>113696.84615384616</v>
      </c>
    </row>
    <row r="712" spans="1:5" x14ac:dyDescent="0.25">
      <c r="A712">
        <v>17</v>
      </c>
      <c r="B712">
        <v>28</v>
      </c>
      <c r="C712" t="s">
        <v>16</v>
      </c>
      <c r="D712" t="s">
        <v>147</v>
      </c>
      <c r="E712">
        <f t="shared" ca="1" si="10"/>
        <v>90761.146153846159</v>
      </c>
    </row>
    <row r="713" spans="1:5" x14ac:dyDescent="0.25">
      <c r="A713">
        <v>17</v>
      </c>
      <c r="B713">
        <v>29</v>
      </c>
      <c r="C713" t="s">
        <v>16</v>
      </c>
      <c r="D713" t="s">
        <v>146</v>
      </c>
      <c r="E713">
        <f t="shared" ca="1" si="10"/>
        <v>61968.146153846159</v>
      </c>
    </row>
    <row r="714" spans="1:5" x14ac:dyDescent="0.25">
      <c r="A714">
        <v>17</v>
      </c>
      <c r="B714">
        <v>30</v>
      </c>
      <c r="C714" t="s">
        <v>16</v>
      </c>
      <c r="D714" t="s">
        <v>30</v>
      </c>
      <c r="E714">
        <f t="shared" ca="1" si="10"/>
        <v>56857.307692307695</v>
      </c>
    </row>
    <row r="715" spans="1:5" x14ac:dyDescent="0.25">
      <c r="A715">
        <v>17</v>
      </c>
      <c r="B715">
        <v>31</v>
      </c>
      <c r="C715" t="s">
        <v>16</v>
      </c>
      <c r="D715" t="s">
        <v>31</v>
      </c>
      <c r="E715">
        <f t="shared" ca="1" si="10"/>
        <v>54702.230769230773</v>
      </c>
    </row>
    <row r="716" spans="1:5" x14ac:dyDescent="0.25">
      <c r="A716">
        <v>17</v>
      </c>
      <c r="B716">
        <v>32</v>
      </c>
      <c r="C716" t="s">
        <v>16</v>
      </c>
      <c r="D716" t="s">
        <v>32</v>
      </c>
      <c r="E716">
        <f t="shared" ca="1" si="10"/>
        <v>118379.61538461535</v>
      </c>
    </row>
    <row r="717" spans="1:5" x14ac:dyDescent="0.25">
      <c r="A717">
        <v>17</v>
      </c>
      <c r="B717">
        <v>33</v>
      </c>
      <c r="C717" t="s">
        <v>16</v>
      </c>
      <c r="D717" t="s">
        <v>33</v>
      </c>
      <c r="E717">
        <f t="shared" ca="1" si="10"/>
        <v>350990.15384615411</v>
      </c>
    </row>
    <row r="718" spans="1:5" x14ac:dyDescent="0.25">
      <c r="A718">
        <v>17</v>
      </c>
      <c r="B718">
        <v>34</v>
      </c>
      <c r="C718" t="s">
        <v>16</v>
      </c>
      <c r="D718" t="s">
        <v>34</v>
      </c>
      <c r="E718">
        <f t="shared" ca="1" si="10"/>
        <v>77308.461538461561</v>
      </c>
    </row>
    <row r="719" spans="1:5" x14ac:dyDescent="0.25">
      <c r="A719">
        <v>17</v>
      </c>
      <c r="B719">
        <v>35</v>
      </c>
      <c r="C719" t="s">
        <v>16</v>
      </c>
      <c r="D719" t="s">
        <v>35</v>
      </c>
      <c r="E719">
        <f t="shared" ca="1" si="10"/>
        <v>57932.692307692305</v>
      </c>
    </row>
    <row r="720" spans="1:5" x14ac:dyDescent="0.25">
      <c r="A720">
        <v>17</v>
      </c>
      <c r="B720">
        <v>36</v>
      </c>
      <c r="C720" t="s">
        <v>16</v>
      </c>
      <c r="D720" t="s">
        <v>36</v>
      </c>
      <c r="E720">
        <f t="shared" ca="1" si="10"/>
        <v>64351.692307692356</v>
      </c>
    </row>
    <row r="721" spans="1:5" x14ac:dyDescent="0.25">
      <c r="A721">
        <v>17</v>
      </c>
      <c r="B721">
        <v>37</v>
      </c>
      <c r="C721" t="s">
        <v>16</v>
      </c>
      <c r="D721" t="s">
        <v>37</v>
      </c>
      <c r="E721">
        <f t="shared" ca="1" si="10"/>
        <v>54319.846153846156</v>
      </c>
    </row>
    <row r="722" spans="1:5" x14ac:dyDescent="0.25">
      <c r="A722">
        <v>17</v>
      </c>
      <c r="B722">
        <v>38</v>
      </c>
      <c r="C722" t="s">
        <v>16</v>
      </c>
      <c r="D722" t="s">
        <v>38</v>
      </c>
      <c r="E722">
        <f t="shared" ca="1" si="10"/>
        <v>57390.230769230773</v>
      </c>
    </row>
    <row r="723" spans="1:5" x14ac:dyDescent="0.25">
      <c r="A723">
        <v>17</v>
      </c>
      <c r="B723">
        <v>39</v>
      </c>
      <c r="C723" t="s">
        <v>16</v>
      </c>
      <c r="D723" t="s">
        <v>39</v>
      </c>
      <c r="E723">
        <f t="shared" ca="1" si="10"/>
        <v>63936.61538461539</v>
      </c>
    </row>
    <row r="724" spans="1:5" x14ac:dyDescent="0.25">
      <c r="A724">
        <v>17</v>
      </c>
      <c r="B724">
        <v>40</v>
      </c>
      <c r="C724" t="s">
        <v>16</v>
      </c>
      <c r="D724" t="s">
        <v>40</v>
      </c>
      <c r="E724">
        <f t="shared" ca="1" si="10"/>
        <v>76295.538461538454</v>
      </c>
    </row>
    <row r="725" spans="1:5" x14ac:dyDescent="0.25">
      <c r="A725">
        <v>18</v>
      </c>
      <c r="B725">
        <v>1</v>
      </c>
      <c r="C725" t="s">
        <v>17</v>
      </c>
      <c r="D725" t="s">
        <v>0</v>
      </c>
      <c r="E725">
        <f t="shared" ca="1" si="10"/>
        <v>99207.686813186796</v>
      </c>
    </row>
    <row r="726" spans="1:5" x14ac:dyDescent="0.25">
      <c r="A726">
        <v>18</v>
      </c>
      <c r="B726">
        <v>2</v>
      </c>
      <c r="C726" t="s">
        <v>17</v>
      </c>
      <c r="D726" t="s">
        <v>1</v>
      </c>
      <c r="E726">
        <f t="shared" ca="1" si="10"/>
        <v>27946.686813186781</v>
      </c>
    </row>
    <row r="727" spans="1:5" x14ac:dyDescent="0.25">
      <c r="A727">
        <v>18</v>
      </c>
      <c r="B727">
        <v>3</v>
      </c>
      <c r="C727" t="s">
        <v>17</v>
      </c>
      <c r="D727" t="s">
        <v>2</v>
      </c>
      <c r="E727">
        <f t="shared" ca="1" si="10"/>
        <v>23211.329670329687</v>
      </c>
    </row>
    <row r="728" spans="1:5" x14ac:dyDescent="0.25">
      <c r="A728">
        <v>18</v>
      </c>
      <c r="B728">
        <v>4</v>
      </c>
      <c r="C728" t="s">
        <v>17</v>
      </c>
      <c r="D728" t="s">
        <v>3</v>
      </c>
      <c r="E728">
        <f t="shared" ca="1" si="10"/>
        <v>37867.686813186781</v>
      </c>
    </row>
    <row r="729" spans="1:5" x14ac:dyDescent="0.25">
      <c r="A729">
        <v>18</v>
      </c>
      <c r="B729">
        <v>5</v>
      </c>
      <c r="C729" t="s">
        <v>17</v>
      </c>
      <c r="D729" t="s">
        <v>4</v>
      </c>
      <c r="E729">
        <f t="shared" ca="1" si="10"/>
        <v>71604.258241758289</v>
      </c>
    </row>
    <row r="730" spans="1:5" x14ac:dyDescent="0.25">
      <c r="A730">
        <v>18</v>
      </c>
      <c r="B730">
        <v>6</v>
      </c>
      <c r="C730" t="s">
        <v>17</v>
      </c>
      <c r="D730" t="s">
        <v>5</v>
      </c>
      <c r="E730">
        <f t="shared" ca="1" si="10"/>
        <v>19932.401098901086</v>
      </c>
    </row>
    <row r="731" spans="1:5" x14ac:dyDescent="0.25">
      <c r="A731">
        <v>18</v>
      </c>
      <c r="B731">
        <v>7</v>
      </c>
      <c r="C731" t="s">
        <v>17</v>
      </c>
      <c r="D731" t="s">
        <v>6</v>
      </c>
      <c r="E731">
        <f t="shared" ca="1" si="10"/>
        <v>11682.401098901095</v>
      </c>
    </row>
    <row r="732" spans="1:5" x14ac:dyDescent="0.25">
      <c r="A732">
        <v>18</v>
      </c>
      <c r="B732">
        <v>8</v>
      </c>
      <c r="C732" t="s">
        <v>17</v>
      </c>
      <c r="D732" t="s">
        <v>7</v>
      </c>
      <c r="E732">
        <f t="shared" ca="1" si="10"/>
        <v>41329.472527472484</v>
      </c>
    </row>
    <row r="733" spans="1:5" x14ac:dyDescent="0.25">
      <c r="A733">
        <v>18</v>
      </c>
      <c r="B733">
        <v>9</v>
      </c>
      <c r="C733" t="s">
        <v>17</v>
      </c>
      <c r="D733" t="s">
        <v>148</v>
      </c>
      <c r="E733">
        <f t="shared" ref="E733:E794" ca="1" si="11">OFFSET($B$2,A733,B733)</f>
        <v>7325.0699300699298</v>
      </c>
    </row>
    <row r="734" spans="1:5" x14ac:dyDescent="0.25">
      <c r="A734">
        <v>18</v>
      </c>
      <c r="B734">
        <v>10</v>
      </c>
      <c r="C734" t="s">
        <v>17</v>
      </c>
      <c r="D734" t="s">
        <v>9</v>
      </c>
      <c r="E734">
        <f t="shared" ca="1" si="11"/>
        <v>27807.829670329687</v>
      </c>
    </row>
    <row r="735" spans="1:5" x14ac:dyDescent="0.25">
      <c r="A735">
        <v>18</v>
      </c>
      <c r="B735">
        <v>11</v>
      </c>
      <c r="C735" t="s">
        <v>17</v>
      </c>
      <c r="D735" t="s">
        <v>10</v>
      </c>
      <c r="E735">
        <f t="shared" ca="1" si="11"/>
        <v>27974.999999999985</v>
      </c>
    </row>
    <row r="736" spans="1:5" x14ac:dyDescent="0.25">
      <c r="A736">
        <v>18</v>
      </c>
      <c r="B736">
        <v>12</v>
      </c>
      <c r="C736" t="s">
        <v>17</v>
      </c>
      <c r="D736" t="s">
        <v>11</v>
      </c>
      <c r="E736">
        <f t="shared" ca="1" si="11"/>
        <v>24943.615384615383</v>
      </c>
    </row>
    <row r="737" spans="1:5" x14ac:dyDescent="0.25">
      <c r="A737">
        <v>18</v>
      </c>
      <c r="B737">
        <v>13</v>
      </c>
      <c r="C737" t="s">
        <v>17</v>
      </c>
      <c r="D737" t="s">
        <v>12</v>
      </c>
      <c r="E737">
        <f t="shared" ca="1" si="11"/>
        <v>10022.000000000004</v>
      </c>
    </row>
    <row r="738" spans="1:5" x14ac:dyDescent="0.25">
      <c r="A738">
        <v>18</v>
      </c>
      <c r="B738">
        <v>14</v>
      </c>
      <c r="C738" t="s">
        <v>17</v>
      </c>
      <c r="D738" t="s">
        <v>13</v>
      </c>
      <c r="E738">
        <f t="shared" ca="1" si="11"/>
        <v>30646.999999999985</v>
      </c>
    </row>
    <row r="739" spans="1:5" x14ac:dyDescent="0.25">
      <c r="A739">
        <v>18</v>
      </c>
      <c r="B739">
        <v>15</v>
      </c>
      <c r="C739" t="s">
        <v>17</v>
      </c>
      <c r="D739" t="s">
        <v>14</v>
      </c>
      <c r="E739">
        <f t="shared" ca="1" si="11"/>
        <v>54446.384615384581</v>
      </c>
    </row>
    <row r="740" spans="1:5" x14ac:dyDescent="0.25">
      <c r="A740">
        <v>18</v>
      </c>
      <c r="B740">
        <v>16</v>
      </c>
      <c r="C740" t="s">
        <v>17</v>
      </c>
      <c r="D740" t="s">
        <v>15</v>
      </c>
      <c r="E740">
        <f t="shared" ca="1" si="11"/>
        <v>44138.846153846185</v>
      </c>
    </row>
    <row r="741" spans="1:5" x14ac:dyDescent="0.25">
      <c r="A741">
        <v>18</v>
      </c>
      <c r="B741">
        <v>17</v>
      </c>
      <c r="C741" t="s">
        <v>17</v>
      </c>
      <c r="D741" t="s">
        <v>16</v>
      </c>
      <c r="E741">
        <f t="shared" ca="1" si="11"/>
        <v>71197.923076923093</v>
      </c>
    </row>
    <row r="742" spans="1:5" x14ac:dyDescent="0.25">
      <c r="A742">
        <v>18</v>
      </c>
      <c r="B742">
        <v>18</v>
      </c>
      <c r="C742" t="s">
        <v>17</v>
      </c>
      <c r="D742" t="s">
        <v>17</v>
      </c>
      <c r="E742">
        <f t="shared" ca="1" si="11"/>
        <v>6834.6153846153848</v>
      </c>
    </row>
    <row r="743" spans="1:5" x14ac:dyDescent="0.25">
      <c r="A743">
        <v>18</v>
      </c>
      <c r="B743">
        <v>19</v>
      </c>
      <c r="C743" t="s">
        <v>17</v>
      </c>
      <c r="D743" t="s">
        <v>18</v>
      </c>
      <c r="E743">
        <f t="shared" ca="1" si="11"/>
        <v>8015.5384615384646</v>
      </c>
    </row>
    <row r="744" spans="1:5" x14ac:dyDescent="0.25">
      <c r="A744">
        <v>18</v>
      </c>
      <c r="B744">
        <v>20</v>
      </c>
      <c r="C744" t="s">
        <v>17</v>
      </c>
      <c r="D744" t="s">
        <v>19</v>
      </c>
      <c r="E744">
        <f t="shared" ca="1" si="11"/>
        <v>65187.307692307681</v>
      </c>
    </row>
    <row r="745" spans="1:5" x14ac:dyDescent="0.25">
      <c r="A745">
        <v>18</v>
      </c>
      <c r="B745">
        <v>21</v>
      </c>
      <c r="C745" t="s">
        <v>17</v>
      </c>
      <c r="D745" t="s">
        <v>20</v>
      </c>
      <c r="E745">
        <f t="shared" ca="1" si="11"/>
        <v>44031.923076923085</v>
      </c>
    </row>
    <row r="746" spans="1:5" x14ac:dyDescent="0.25">
      <c r="A746">
        <v>18</v>
      </c>
      <c r="B746">
        <v>22</v>
      </c>
      <c r="C746" t="s">
        <v>17</v>
      </c>
      <c r="D746" t="s">
        <v>21</v>
      </c>
      <c r="E746">
        <f t="shared" ca="1" si="11"/>
        <v>28471.769230769183</v>
      </c>
    </row>
    <row r="747" spans="1:5" x14ac:dyDescent="0.25">
      <c r="A747">
        <v>18</v>
      </c>
      <c r="B747">
        <v>23</v>
      </c>
      <c r="C747" t="s">
        <v>17</v>
      </c>
      <c r="D747" t="s">
        <v>22</v>
      </c>
      <c r="E747">
        <f t="shared" ca="1" si="11"/>
        <v>13150.307692307695</v>
      </c>
    </row>
    <row r="748" spans="1:5" x14ac:dyDescent="0.25">
      <c r="A748">
        <v>18</v>
      </c>
      <c r="B748">
        <v>24</v>
      </c>
      <c r="C748" t="s">
        <v>17</v>
      </c>
      <c r="D748" t="s">
        <v>23</v>
      </c>
      <c r="E748">
        <f t="shared" ca="1" si="11"/>
        <v>14312.692307692305</v>
      </c>
    </row>
    <row r="749" spans="1:5" x14ac:dyDescent="0.25">
      <c r="A749">
        <v>18</v>
      </c>
      <c r="B749">
        <v>25</v>
      </c>
      <c r="C749" t="s">
        <v>17</v>
      </c>
      <c r="D749" t="s">
        <v>24</v>
      </c>
      <c r="E749">
        <f t="shared" ca="1" si="11"/>
        <v>11917.307692307695</v>
      </c>
    </row>
    <row r="750" spans="1:5" x14ac:dyDescent="0.25">
      <c r="A750">
        <v>18</v>
      </c>
      <c r="B750">
        <v>26</v>
      </c>
      <c r="C750" t="s">
        <v>17</v>
      </c>
      <c r="D750" t="s">
        <v>25</v>
      </c>
      <c r="E750">
        <f t="shared" ca="1" si="11"/>
        <v>10996.384615384613</v>
      </c>
    </row>
    <row r="751" spans="1:5" x14ac:dyDescent="0.25">
      <c r="A751">
        <v>18</v>
      </c>
      <c r="B751">
        <v>27</v>
      </c>
      <c r="C751" t="s">
        <v>17</v>
      </c>
      <c r="D751" t="s">
        <v>145</v>
      </c>
      <c r="E751">
        <f t="shared" ca="1" si="11"/>
        <v>66211.61538461539</v>
      </c>
    </row>
    <row r="752" spans="1:5" x14ac:dyDescent="0.25">
      <c r="A752">
        <v>18</v>
      </c>
      <c r="B752">
        <v>28</v>
      </c>
      <c r="C752" t="s">
        <v>17</v>
      </c>
      <c r="D752" t="s">
        <v>147</v>
      </c>
      <c r="E752">
        <f t="shared" ca="1" si="11"/>
        <v>43275.915384615386</v>
      </c>
    </row>
    <row r="753" spans="1:5" x14ac:dyDescent="0.25">
      <c r="A753">
        <v>18</v>
      </c>
      <c r="B753">
        <v>29</v>
      </c>
      <c r="C753" t="s">
        <v>17</v>
      </c>
      <c r="D753" t="s">
        <v>146</v>
      </c>
      <c r="E753">
        <f t="shared" ca="1" si="11"/>
        <v>14482.915384615386</v>
      </c>
    </row>
    <row r="754" spans="1:5" x14ac:dyDescent="0.25">
      <c r="A754">
        <v>18</v>
      </c>
      <c r="B754">
        <v>30</v>
      </c>
      <c r="C754" t="s">
        <v>17</v>
      </c>
      <c r="D754" t="s">
        <v>30</v>
      </c>
      <c r="E754">
        <f t="shared" ca="1" si="11"/>
        <v>9372.0769230769256</v>
      </c>
    </row>
    <row r="755" spans="1:5" x14ac:dyDescent="0.25">
      <c r="A755">
        <v>18</v>
      </c>
      <c r="B755">
        <v>31</v>
      </c>
      <c r="C755" t="s">
        <v>17</v>
      </c>
      <c r="D755" t="s">
        <v>31</v>
      </c>
      <c r="E755">
        <f t="shared" ca="1" si="11"/>
        <v>7217</v>
      </c>
    </row>
    <row r="756" spans="1:5" x14ac:dyDescent="0.25">
      <c r="A756">
        <v>18</v>
      </c>
      <c r="B756">
        <v>32</v>
      </c>
      <c r="C756" t="s">
        <v>17</v>
      </c>
      <c r="D756" t="s">
        <v>32</v>
      </c>
      <c r="E756">
        <f t="shared" ca="1" si="11"/>
        <v>70894.384615384581</v>
      </c>
    </row>
    <row r="757" spans="1:5" x14ac:dyDescent="0.25">
      <c r="A757">
        <v>18</v>
      </c>
      <c r="B757">
        <v>33</v>
      </c>
      <c r="C757" t="s">
        <v>17</v>
      </c>
      <c r="D757" t="s">
        <v>33</v>
      </c>
      <c r="E757">
        <f t="shared" ca="1" si="11"/>
        <v>303504.92307692335</v>
      </c>
    </row>
    <row r="758" spans="1:5" x14ac:dyDescent="0.25">
      <c r="A758">
        <v>18</v>
      </c>
      <c r="B758">
        <v>34</v>
      </c>
      <c r="C758" t="s">
        <v>17</v>
      </c>
      <c r="D758" t="s">
        <v>34</v>
      </c>
      <c r="E758">
        <f t="shared" ca="1" si="11"/>
        <v>29823.230769230788</v>
      </c>
    </row>
    <row r="759" spans="1:5" x14ac:dyDescent="0.25">
      <c r="A759">
        <v>18</v>
      </c>
      <c r="B759">
        <v>35</v>
      </c>
      <c r="C759" t="s">
        <v>17</v>
      </c>
      <c r="D759" t="s">
        <v>35</v>
      </c>
      <c r="E759">
        <f t="shared" ca="1" si="11"/>
        <v>10447.461538461535</v>
      </c>
    </row>
    <row r="760" spans="1:5" x14ac:dyDescent="0.25">
      <c r="A760">
        <v>18</v>
      </c>
      <c r="B760">
        <v>36</v>
      </c>
      <c r="C760" t="s">
        <v>17</v>
      </c>
      <c r="D760" t="s">
        <v>36</v>
      </c>
      <c r="E760">
        <f t="shared" ca="1" si="11"/>
        <v>16866.461538461583</v>
      </c>
    </row>
    <row r="761" spans="1:5" x14ac:dyDescent="0.25">
      <c r="A761">
        <v>18</v>
      </c>
      <c r="B761">
        <v>37</v>
      </c>
      <c r="C761" t="s">
        <v>17</v>
      </c>
      <c r="D761" t="s">
        <v>37</v>
      </c>
      <c r="E761">
        <f t="shared" ca="1" si="11"/>
        <v>6834.6153846153848</v>
      </c>
    </row>
    <row r="762" spans="1:5" x14ac:dyDescent="0.25">
      <c r="A762">
        <v>18</v>
      </c>
      <c r="B762">
        <v>38</v>
      </c>
      <c r="C762" t="s">
        <v>17</v>
      </c>
      <c r="D762" t="s">
        <v>38</v>
      </c>
      <c r="E762">
        <f t="shared" ca="1" si="11"/>
        <v>9905.0000000000036</v>
      </c>
    </row>
    <row r="763" spans="1:5" x14ac:dyDescent="0.25">
      <c r="A763">
        <v>18</v>
      </c>
      <c r="B763">
        <v>39</v>
      </c>
      <c r="C763" t="s">
        <v>17</v>
      </c>
      <c r="D763" t="s">
        <v>39</v>
      </c>
      <c r="E763">
        <f t="shared" ca="1" si="11"/>
        <v>16451.384615384617</v>
      </c>
    </row>
    <row r="764" spans="1:5" x14ac:dyDescent="0.25">
      <c r="A764">
        <v>18</v>
      </c>
      <c r="B764">
        <v>40</v>
      </c>
      <c r="C764" t="s">
        <v>17</v>
      </c>
      <c r="D764" t="s">
        <v>40</v>
      </c>
      <c r="E764">
        <f t="shared" ca="1" si="11"/>
        <v>28810.307692307688</v>
      </c>
    </row>
    <row r="765" spans="1:5" x14ac:dyDescent="0.25">
      <c r="A765">
        <v>19</v>
      </c>
      <c r="B765">
        <v>1</v>
      </c>
      <c r="C765" t="s">
        <v>18</v>
      </c>
      <c r="D765" t="s">
        <v>0</v>
      </c>
      <c r="E765">
        <f t="shared" ca="1" si="11"/>
        <v>94287.994505494484</v>
      </c>
    </row>
    <row r="766" spans="1:5" x14ac:dyDescent="0.25">
      <c r="A766">
        <v>19</v>
      </c>
      <c r="B766">
        <v>2</v>
      </c>
      <c r="C766" t="s">
        <v>18</v>
      </c>
      <c r="D766" t="s">
        <v>1</v>
      </c>
      <c r="E766">
        <f t="shared" ca="1" si="11"/>
        <v>23026.994505494476</v>
      </c>
    </row>
    <row r="767" spans="1:5" x14ac:dyDescent="0.25">
      <c r="A767">
        <v>19</v>
      </c>
      <c r="B767">
        <v>3</v>
      </c>
      <c r="C767" t="s">
        <v>18</v>
      </c>
      <c r="D767" t="s">
        <v>2</v>
      </c>
      <c r="E767">
        <f t="shared" ca="1" si="11"/>
        <v>18291.637362637379</v>
      </c>
    </row>
    <row r="768" spans="1:5" x14ac:dyDescent="0.25">
      <c r="A768">
        <v>19</v>
      </c>
      <c r="B768">
        <v>4</v>
      </c>
      <c r="C768" t="s">
        <v>18</v>
      </c>
      <c r="D768" t="s">
        <v>3</v>
      </c>
      <c r="E768">
        <f t="shared" ca="1" si="11"/>
        <v>32947.994505494476</v>
      </c>
    </row>
    <row r="769" spans="1:5" x14ac:dyDescent="0.25">
      <c r="A769">
        <v>19</v>
      </c>
      <c r="B769">
        <v>5</v>
      </c>
      <c r="C769" t="s">
        <v>18</v>
      </c>
      <c r="D769" t="s">
        <v>4</v>
      </c>
      <c r="E769">
        <f t="shared" ca="1" si="11"/>
        <v>66684.565934065977</v>
      </c>
    </row>
    <row r="770" spans="1:5" x14ac:dyDescent="0.25">
      <c r="A770">
        <v>19</v>
      </c>
      <c r="B770">
        <v>6</v>
      </c>
      <c r="C770" t="s">
        <v>18</v>
      </c>
      <c r="D770" t="s">
        <v>5</v>
      </c>
      <c r="E770">
        <f t="shared" ca="1" si="11"/>
        <v>15012.708791208775</v>
      </c>
    </row>
    <row r="771" spans="1:5" x14ac:dyDescent="0.25">
      <c r="A771">
        <v>19</v>
      </c>
      <c r="B771">
        <v>7</v>
      </c>
      <c r="C771" t="s">
        <v>18</v>
      </c>
      <c r="D771" t="s">
        <v>6</v>
      </c>
      <c r="E771">
        <f t="shared" ca="1" si="11"/>
        <v>6762.7087912087873</v>
      </c>
    </row>
    <row r="772" spans="1:5" x14ac:dyDescent="0.25">
      <c r="A772">
        <v>19</v>
      </c>
      <c r="B772">
        <v>8</v>
      </c>
      <c r="C772" t="s">
        <v>18</v>
      </c>
      <c r="D772" t="s">
        <v>7</v>
      </c>
      <c r="E772">
        <f t="shared" ca="1" si="11"/>
        <v>36409.780219780179</v>
      </c>
    </row>
    <row r="773" spans="1:5" x14ac:dyDescent="0.25">
      <c r="A773">
        <v>19</v>
      </c>
      <c r="B773">
        <v>9</v>
      </c>
      <c r="C773" t="s">
        <v>18</v>
      </c>
      <c r="D773" t="s">
        <v>148</v>
      </c>
      <c r="E773">
        <f t="shared" ca="1" si="11"/>
        <v>2405.3776223776217</v>
      </c>
    </row>
    <row r="774" spans="1:5" x14ac:dyDescent="0.25">
      <c r="A774">
        <v>19</v>
      </c>
      <c r="B774">
        <v>10</v>
      </c>
      <c r="C774" t="s">
        <v>18</v>
      </c>
      <c r="D774" t="s">
        <v>9</v>
      </c>
      <c r="E774">
        <f t="shared" ca="1" si="11"/>
        <v>22888.137362637379</v>
      </c>
    </row>
    <row r="775" spans="1:5" x14ac:dyDescent="0.25">
      <c r="A775">
        <v>19</v>
      </c>
      <c r="B775">
        <v>11</v>
      </c>
      <c r="C775" t="s">
        <v>18</v>
      </c>
      <c r="D775" t="s">
        <v>10</v>
      </c>
      <c r="E775">
        <f t="shared" ca="1" si="11"/>
        <v>23055.307692307677</v>
      </c>
    </row>
    <row r="776" spans="1:5" x14ac:dyDescent="0.25">
      <c r="A776">
        <v>19</v>
      </c>
      <c r="B776">
        <v>12</v>
      </c>
      <c r="C776" t="s">
        <v>18</v>
      </c>
      <c r="D776" t="s">
        <v>11</v>
      </c>
      <c r="E776">
        <f t="shared" ca="1" si="11"/>
        <v>20023.923076923078</v>
      </c>
    </row>
    <row r="777" spans="1:5" x14ac:dyDescent="0.25">
      <c r="A777">
        <v>19</v>
      </c>
      <c r="B777">
        <v>13</v>
      </c>
      <c r="C777" t="s">
        <v>18</v>
      </c>
      <c r="D777" t="s">
        <v>12</v>
      </c>
      <c r="E777">
        <f t="shared" ca="1" si="11"/>
        <v>5102.3076923076969</v>
      </c>
    </row>
    <row r="778" spans="1:5" x14ac:dyDescent="0.25">
      <c r="A778">
        <v>19</v>
      </c>
      <c r="B778">
        <v>14</v>
      </c>
      <c r="C778" t="s">
        <v>18</v>
      </c>
      <c r="D778" t="s">
        <v>13</v>
      </c>
      <c r="E778">
        <f t="shared" ca="1" si="11"/>
        <v>25727.307692307677</v>
      </c>
    </row>
    <row r="779" spans="1:5" x14ac:dyDescent="0.25">
      <c r="A779">
        <v>19</v>
      </c>
      <c r="B779">
        <v>15</v>
      </c>
      <c r="C779" t="s">
        <v>18</v>
      </c>
      <c r="D779" t="s">
        <v>14</v>
      </c>
      <c r="E779">
        <f t="shared" ca="1" si="11"/>
        <v>49526.692307692276</v>
      </c>
    </row>
    <row r="780" spans="1:5" x14ac:dyDescent="0.25">
      <c r="A780">
        <v>19</v>
      </c>
      <c r="B780">
        <v>16</v>
      </c>
      <c r="C780" t="s">
        <v>18</v>
      </c>
      <c r="D780" t="s">
        <v>15</v>
      </c>
      <c r="E780">
        <f t="shared" ca="1" si="11"/>
        <v>39219.15384615388</v>
      </c>
    </row>
    <row r="781" spans="1:5" x14ac:dyDescent="0.25">
      <c r="A781">
        <v>19</v>
      </c>
      <c r="B781">
        <v>17</v>
      </c>
      <c r="C781" t="s">
        <v>18</v>
      </c>
      <c r="D781" t="s">
        <v>16</v>
      </c>
      <c r="E781">
        <f t="shared" ca="1" si="11"/>
        <v>66278.23076923078</v>
      </c>
    </row>
    <row r="782" spans="1:5" x14ac:dyDescent="0.25">
      <c r="A782">
        <v>19</v>
      </c>
      <c r="B782">
        <v>18</v>
      </c>
      <c r="C782" t="s">
        <v>18</v>
      </c>
      <c r="D782" t="s">
        <v>17</v>
      </c>
      <c r="E782">
        <f t="shared" ca="1" si="11"/>
        <v>25544.692307692279</v>
      </c>
    </row>
    <row r="783" spans="1:5" x14ac:dyDescent="0.25">
      <c r="A783">
        <v>19</v>
      </c>
      <c r="B783">
        <v>19</v>
      </c>
      <c r="C783" t="s">
        <v>18</v>
      </c>
      <c r="D783" t="s">
        <v>18</v>
      </c>
      <c r="E783">
        <f t="shared" ca="1" si="11"/>
        <v>0</v>
      </c>
    </row>
    <row r="784" spans="1:5" x14ac:dyDescent="0.25">
      <c r="A784">
        <v>19</v>
      </c>
      <c r="B784">
        <v>20</v>
      </c>
      <c r="C784" t="s">
        <v>18</v>
      </c>
      <c r="D784" t="s">
        <v>19</v>
      </c>
      <c r="E784">
        <f t="shared" ca="1" si="11"/>
        <v>60267.615384615376</v>
      </c>
    </row>
    <row r="785" spans="1:5" x14ac:dyDescent="0.25">
      <c r="A785">
        <v>19</v>
      </c>
      <c r="B785">
        <v>21</v>
      </c>
      <c r="C785" t="s">
        <v>18</v>
      </c>
      <c r="D785" t="s">
        <v>20</v>
      </c>
      <c r="E785">
        <f t="shared" ca="1" si="11"/>
        <v>39112.23076923078</v>
      </c>
    </row>
    <row r="786" spans="1:5" x14ac:dyDescent="0.25">
      <c r="A786">
        <v>19</v>
      </c>
      <c r="B786">
        <v>22</v>
      </c>
      <c r="C786" t="s">
        <v>18</v>
      </c>
      <c r="D786" t="s">
        <v>21</v>
      </c>
      <c r="E786">
        <f t="shared" ca="1" si="11"/>
        <v>23552.076923076878</v>
      </c>
    </row>
    <row r="787" spans="1:5" x14ac:dyDescent="0.25">
      <c r="A787">
        <v>19</v>
      </c>
      <c r="B787">
        <v>23</v>
      </c>
      <c r="C787" t="s">
        <v>18</v>
      </c>
      <c r="D787" t="s">
        <v>22</v>
      </c>
      <c r="E787">
        <f t="shared" ca="1" si="11"/>
        <v>8230.6153846153866</v>
      </c>
    </row>
    <row r="788" spans="1:5" x14ac:dyDescent="0.25">
      <c r="A788">
        <v>19</v>
      </c>
      <c r="B788">
        <v>24</v>
      </c>
      <c r="C788" t="s">
        <v>18</v>
      </c>
      <c r="D788" t="s">
        <v>23</v>
      </c>
      <c r="E788">
        <f t="shared" ca="1" si="11"/>
        <v>9392.9999999999964</v>
      </c>
    </row>
    <row r="789" spans="1:5" x14ac:dyDescent="0.25">
      <c r="A789">
        <v>19</v>
      </c>
      <c r="B789">
        <v>25</v>
      </c>
      <c r="C789" t="s">
        <v>18</v>
      </c>
      <c r="D789" t="s">
        <v>24</v>
      </c>
      <c r="E789">
        <f t="shared" ca="1" si="11"/>
        <v>6997.6153846153875</v>
      </c>
    </row>
    <row r="790" spans="1:5" x14ac:dyDescent="0.25">
      <c r="A790">
        <v>19</v>
      </c>
      <c r="B790">
        <v>26</v>
      </c>
      <c r="C790" t="s">
        <v>18</v>
      </c>
      <c r="D790" t="s">
        <v>25</v>
      </c>
      <c r="E790">
        <f t="shared" ca="1" si="11"/>
        <v>6076.6923076923067</v>
      </c>
    </row>
    <row r="791" spans="1:5" x14ac:dyDescent="0.25">
      <c r="A791">
        <v>19</v>
      </c>
      <c r="B791">
        <v>27</v>
      </c>
      <c r="C791" t="s">
        <v>18</v>
      </c>
      <c r="D791" t="s">
        <v>145</v>
      </c>
      <c r="E791">
        <f t="shared" ca="1" si="11"/>
        <v>61291.923076923078</v>
      </c>
    </row>
    <row r="792" spans="1:5" x14ac:dyDescent="0.25">
      <c r="A792">
        <v>19</v>
      </c>
      <c r="B792">
        <v>28</v>
      </c>
      <c r="C792" t="s">
        <v>18</v>
      </c>
      <c r="D792" t="s">
        <v>147</v>
      </c>
      <c r="E792">
        <f t="shared" ca="1" si="11"/>
        <v>38356.223076923081</v>
      </c>
    </row>
    <row r="793" spans="1:5" x14ac:dyDescent="0.25">
      <c r="A793">
        <v>19</v>
      </c>
      <c r="B793">
        <v>29</v>
      </c>
      <c r="C793" t="s">
        <v>18</v>
      </c>
      <c r="D793" t="s">
        <v>146</v>
      </c>
      <c r="E793">
        <f t="shared" ca="1" si="11"/>
        <v>9563.2230769230773</v>
      </c>
    </row>
    <row r="794" spans="1:5" x14ac:dyDescent="0.25">
      <c r="A794">
        <v>19</v>
      </c>
      <c r="B794">
        <v>30</v>
      </c>
      <c r="C794" t="s">
        <v>18</v>
      </c>
      <c r="D794" t="s">
        <v>30</v>
      </c>
      <c r="E794">
        <f t="shared" ca="1" si="11"/>
        <v>4452.3846153846171</v>
      </c>
    </row>
    <row r="795" spans="1:5" x14ac:dyDescent="0.25">
      <c r="A795">
        <v>19</v>
      </c>
      <c r="B795">
        <v>31</v>
      </c>
      <c r="C795" t="s">
        <v>18</v>
      </c>
      <c r="D795" t="s">
        <v>31</v>
      </c>
      <c r="E795">
        <f t="shared" ref="E795:E857" ca="1" si="12">OFFSET($B$2,A795,B795)</f>
        <v>2297.3076923076919</v>
      </c>
    </row>
    <row r="796" spans="1:5" x14ac:dyDescent="0.25">
      <c r="A796">
        <v>19</v>
      </c>
      <c r="B796">
        <v>32</v>
      </c>
      <c r="C796" t="s">
        <v>18</v>
      </c>
      <c r="D796" t="s">
        <v>32</v>
      </c>
      <c r="E796">
        <f t="shared" ca="1" si="12"/>
        <v>65974.692307692269</v>
      </c>
    </row>
    <row r="797" spans="1:5" x14ac:dyDescent="0.25">
      <c r="A797">
        <v>19</v>
      </c>
      <c r="B797">
        <v>33</v>
      </c>
      <c r="C797" t="s">
        <v>18</v>
      </c>
      <c r="D797" t="s">
        <v>33</v>
      </c>
      <c r="E797">
        <f t="shared" ca="1" si="12"/>
        <v>298585.23076923104</v>
      </c>
    </row>
    <row r="798" spans="1:5" x14ac:dyDescent="0.25">
      <c r="A798">
        <v>19</v>
      </c>
      <c r="B798">
        <v>34</v>
      </c>
      <c r="C798" t="s">
        <v>18</v>
      </c>
      <c r="D798" t="s">
        <v>34</v>
      </c>
      <c r="E798">
        <f t="shared" ca="1" si="12"/>
        <v>24903.538461538479</v>
      </c>
    </row>
    <row r="799" spans="1:5" x14ac:dyDescent="0.25">
      <c r="A799">
        <v>19</v>
      </c>
      <c r="B799">
        <v>35</v>
      </c>
      <c r="C799" t="s">
        <v>18</v>
      </c>
      <c r="D799" t="s">
        <v>35</v>
      </c>
      <c r="E799">
        <f t="shared" ca="1" si="12"/>
        <v>5527.7692307692269</v>
      </c>
    </row>
    <row r="800" spans="1:5" x14ac:dyDescent="0.25">
      <c r="A800">
        <v>19</v>
      </c>
      <c r="B800">
        <v>36</v>
      </c>
      <c r="C800" t="s">
        <v>18</v>
      </c>
      <c r="D800" t="s">
        <v>36</v>
      </c>
      <c r="E800">
        <f t="shared" ca="1" si="12"/>
        <v>11946.769230769276</v>
      </c>
    </row>
    <row r="801" spans="1:5" x14ac:dyDescent="0.25">
      <c r="A801">
        <v>19</v>
      </c>
      <c r="B801">
        <v>37</v>
      </c>
      <c r="C801" t="s">
        <v>18</v>
      </c>
      <c r="D801" t="s">
        <v>37</v>
      </c>
      <c r="E801">
        <f t="shared" ca="1" si="12"/>
        <v>1914.9230769230769</v>
      </c>
    </row>
    <row r="802" spans="1:5" x14ac:dyDescent="0.25">
      <c r="A802">
        <v>19</v>
      </c>
      <c r="B802">
        <v>38</v>
      </c>
      <c r="C802" t="s">
        <v>18</v>
      </c>
      <c r="D802" t="s">
        <v>38</v>
      </c>
      <c r="E802">
        <f t="shared" ca="1" si="12"/>
        <v>4985.3076923076969</v>
      </c>
    </row>
    <row r="803" spans="1:5" x14ac:dyDescent="0.25">
      <c r="A803">
        <v>19</v>
      </c>
      <c r="B803">
        <v>39</v>
      </c>
      <c r="C803" t="s">
        <v>18</v>
      </c>
      <c r="D803" t="s">
        <v>39</v>
      </c>
      <c r="E803">
        <f t="shared" ca="1" si="12"/>
        <v>11531.692307692307</v>
      </c>
    </row>
    <row r="804" spans="1:5" x14ac:dyDescent="0.25">
      <c r="A804">
        <v>19</v>
      </c>
      <c r="B804">
        <v>40</v>
      </c>
      <c r="C804" t="s">
        <v>18</v>
      </c>
      <c r="D804" t="s">
        <v>40</v>
      </c>
      <c r="E804">
        <f t="shared" ca="1" si="12"/>
        <v>23890.615384615379</v>
      </c>
    </row>
    <row r="805" spans="1:5" x14ac:dyDescent="0.25">
      <c r="A805">
        <v>20</v>
      </c>
      <c r="B805">
        <v>1</v>
      </c>
      <c r="C805" t="s">
        <v>19</v>
      </c>
      <c r="D805" t="s">
        <v>0</v>
      </c>
      <c r="E805">
        <f t="shared" ca="1" si="12"/>
        <v>124450.84065934064</v>
      </c>
    </row>
    <row r="806" spans="1:5" x14ac:dyDescent="0.25">
      <c r="A806">
        <v>20</v>
      </c>
      <c r="B806">
        <v>2</v>
      </c>
      <c r="C806" t="s">
        <v>19</v>
      </c>
      <c r="D806" t="s">
        <v>1</v>
      </c>
      <c r="E806">
        <f t="shared" ca="1" si="12"/>
        <v>53189.840659340625</v>
      </c>
    </row>
    <row r="807" spans="1:5" x14ac:dyDescent="0.25">
      <c r="A807">
        <v>20</v>
      </c>
      <c r="B807">
        <v>3</v>
      </c>
      <c r="C807" t="s">
        <v>19</v>
      </c>
      <c r="D807" t="s">
        <v>2</v>
      </c>
      <c r="E807">
        <f t="shared" ca="1" si="12"/>
        <v>48454.483516483531</v>
      </c>
    </row>
    <row r="808" spans="1:5" x14ac:dyDescent="0.25">
      <c r="A808">
        <v>20</v>
      </c>
      <c r="B808">
        <v>4</v>
      </c>
      <c r="C808" t="s">
        <v>19</v>
      </c>
      <c r="D808" t="s">
        <v>3</v>
      </c>
      <c r="E808">
        <f t="shared" ca="1" si="12"/>
        <v>63110.840659340625</v>
      </c>
    </row>
    <row r="809" spans="1:5" x14ac:dyDescent="0.25">
      <c r="A809">
        <v>20</v>
      </c>
      <c r="B809">
        <v>5</v>
      </c>
      <c r="C809" t="s">
        <v>19</v>
      </c>
      <c r="D809" t="s">
        <v>4</v>
      </c>
      <c r="E809">
        <f t="shared" ca="1" si="12"/>
        <v>96847.412087912133</v>
      </c>
    </row>
    <row r="810" spans="1:5" x14ac:dyDescent="0.25">
      <c r="A810">
        <v>20</v>
      </c>
      <c r="B810">
        <v>6</v>
      </c>
      <c r="C810" t="s">
        <v>19</v>
      </c>
      <c r="D810" t="s">
        <v>5</v>
      </c>
      <c r="E810">
        <f t="shared" ca="1" si="12"/>
        <v>45175.55494505493</v>
      </c>
    </row>
    <row r="811" spans="1:5" x14ac:dyDescent="0.25">
      <c r="A811">
        <v>20</v>
      </c>
      <c r="B811">
        <v>7</v>
      </c>
      <c r="C811" t="s">
        <v>19</v>
      </c>
      <c r="D811" t="s">
        <v>6</v>
      </c>
      <c r="E811">
        <f t="shared" ca="1" si="12"/>
        <v>36925.554945054944</v>
      </c>
    </row>
    <row r="812" spans="1:5" x14ac:dyDescent="0.25">
      <c r="A812">
        <v>20</v>
      </c>
      <c r="B812">
        <v>8</v>
      </c>
      <c r="C812" t="s">
        <v>19</v>
      </c>
      <c r="D812" t="s">
        <v>7</v>
      </c>
      <c r="E812">
        <f t="shared" ca="1" si="12"/>
        <v>66572.626373626335</v>
      </c>
    </row>
    <row r="813" spans="1:5" x14ac:dyDescent="0.25">
      <c r="A813">
        <v>20</v>
      </c>
      <c r="B813">
        <v>9</v>
      </c>
      <c r="C813" t="s">
        <v>19</v>
      </c>
      <c r="D813" t="s">
        <v>148</v>
      </c>
      <c r="E813">
        <f t="shared" ca="1" si="12"/>
        <v>32568.223776223775</v>
      </c>
    </row>
    <row r="814" spans="1:5" x14ac:dyDescent="0.25">
      <c r="A814">
        <v>20</v>
      </c>
      <c r="B814">
        <v>10</v>
      </c>
      <c r="C814" t="s">
        <v>19</v>
      </c>
      <c r="D814" t="s">
        <v>9</v>
      </c>
      <c r="E814">
        <f t="shared" ca="1" si="12"/>
        <v>53050.983516483531</v>
      </c>
    </row>
    <row r="815" spans="1:5" x14ac:dyDescent="0.25">
      <c r="A815">
        <v>20</v>
      </c>
      <c r="B815">
        <v>11</v>
      </c>
      <c r="C815" t="s">
        <v>19</v>
      </c>
      <c r="D815" t="s">
        <v>10</v>
      </c>
      <c r="E815">
        <f t="shared" ca="1" si="12"/>
        <v>53218.153846153829</v>
      </c>
    </row>
    <row r="816" spans="1:5" x14ac:dyDescent="0.25">
      <c r="A816">
        <v>20</v>
      </c>
      <c r="B816">
        <v>12</v>
      </c>
      <c r="C816" t="s">
        <v>19</v>
      </c>
      <c r="D816" t="s">
        <v>11</v>
      </c>
      <c r="E816">
        <f t="shared" ca="1" si="12"/>
        <v>50186.769230769234</v>
      </c>
    </row>
    <row r="817" spans="1:5" x14ac:dyDescent="0.25">
      <c r="A817">
        <v>20</v>
      </c>
      <c r="B817">
        <v>13</v>
      </c>
      <c r="C817" t="s">
        <v>19</v>
      </c>
      <c r="D817" t="s">
        <v>12</v>
      </c>
      <c r="E817">
        <f t="shared" ca="1" si="12"/>
        <v>35265.153846153851</v>
      </c>
    </row>
    <row r="818" spans="1:5" x14ac:dyDescent="0.25">
      <c r="A818">
        <v>20</v>
      </c>
      <c r="B818">
        <v>14</v>
      </c>
      <c r="C818" t="s">
        <v>19</v>
      </c>
      <c r="D818" t="s">
        <v>13</v>
      </c>
      <c r="E818">
        <f t="shared" ca="1" si="12"/>
        <v>55890.153846153829</v>
      </c>
    </row>
    <row r="819" spans="1:5" x14ac:dyDescent="0.25">
      <c r="A819">
        <v>20</v>
      </c>
      <c r="B819">
        <v>15</v>
      </c>
      <c r="C819" t="s">
        <v>19</v>
      </c>
      <c r="D819" t="s">
        <v>14</v>
      </c>
      <c r="E819">
        <f t="shared" ca="1" si="12"/>
        <v>79689.538461538425</v>
      </c>
    </row>
    <row r="820" spans="1:5" x14ac:dyDescent="0.25">
      <c r="A820">
        <v>20</v>
      </c>
      <c r="B820">
        <v>16</v>
      </c>
      <c r="C820" t="s">
        <v>19</v>
      </c>
      <c r="D820" t="s">
        <v>15</v>
      </c>
      <c r="E820">
        <f t="shared" ca="1" si="12"/>
        <v>69382.000000000029</v>
      </c>
    </row>
    <row r="821" spans="1:5" x14ac:dyDescent="0.25">
      <c r="A821">
        <v>20</v>
      </c>
      <c r="B821">
        <v>17</v>
      </c>
      <c r="C821" t="s">
        <v>19</v>
      </c>
      <c r="D821" t="s">
        <v>16</v>
      </c>
      <c r="E821">
        <f t="shared" ca="1" si="12"/>
        <v>96441.076923076937</v>
      </c>
    </row>
    <row r="822" spans="1:5" x14ac:dyDescent="0.25">
      <c r="A822">
        <v>20</v>
      </c>
      <c r="B822">
        <v>18</v>
      </c>
      <c r="C822" t="s">
        <v>19</v>
      </c>
      <c r="D822" t="s">
        <v>17</v>
      </c>
      <c r="E822">
        <f t="shared" ca="1" si="12"/>
        <v>55707.538461538432</v>
      </c>
    </row>
    <row r="823" spans="1:5" x14ac:dyDescent="0.25">
      <c r="A823">
        <v>20</v>
      </c>
      <c r="B823">
        <v>19</v>
      </c>
      <c r="C823" t="s">
        <v>19</v>
      </c>
      <c r="D823" t="s">
        <v>18</v>
      </c>
      <c r="E823">
        <f t="shared" ca="1" si="12"/>
        <v>33258.692307692312</v>
      </c>
    </row>
    <row r="824" spans="1:5" x14ac:dyDescent="0.25">
      <c r="A824">
        <v>20</v>
      </c>
      <c r="B824">
        <v>20</v>
      </c>
      <c r="C824" t="s">
        <v>19</v>
      </c>
      <c r="D824" t="s">
        <v>19</v>
      </c>
      <c r="E824">
        <f t="shared" ca="1" si="12"/>
        <v>32077.76923076923</v>
      </c>
    </row>
    <row r="825" spans="1:5" x14ac:dyDescent="0.25">
      <c r="A825">
        <v>20</v>
      </c>
      <c r="B825">
        <v>21</v>
      </c>
      <c r="C825" t="s">
        <v>19</v>
      </c>
      <c r="D825" t="s">
        <v>20</v>
      </c>
      <c r="E825">
        <f t="shared" ca="1" si="12"/>
        <v>69275.076923076937</v>
      </c>
    </row>
    <row r="826" spans="1:5" x14ac:dyDescent="0.25">
      <c r="A826">
        <v>20</v>
      </c>
      <c r="B826">
        <v>22</v>
      </c>
      <c r="C826" t="s">
        <v>19</v>
      </c>
      <c r="D826" t="s">
        <v>21</v>
      </c>
      <c r="E826">
        <f t="shared" ca="1" si="12"/>
        <v>53714.923076923034</v>
      </c>
    </row>
    <row r="827" spans="1:5" x14ac:dyDescent="0.25">
      <c r="A827">
        <v>20</v>
      </c>
      <c r="B827">
        <v>23</v>
      </c>
      <c r="C827" t="s">
        <v>19</v>
      </c>
      <c r="D827" t="s">
        <v>22</v>
      </c>
      <c r="E827">
        <f t="shared" ca="1" si="12"/>
        <v>38393.461538461539</v>
      </c>
    </row>
    <row r="828" spans="1:5" x14ac:dyDescent="0.25">
      <c r="A828">
        <v>20</v>
      </c>
      <c r="B828">
        <v>24</v>
      </c>
      <c r="C828" t="s">
        <v>19</v>
      </c>
      <c r="D828" t="s">
        <v>23</v>
      </c>
      <c r="E828">
        <f t="shared" ca="1" si="12"/>
        <v>39555.846153846149</v>
      </c>
    </row>
    <row r="829" spans="1:5" x14ac:dyDescent="0.25">
      <c r="A829">
        <v>20</v>
      </c>
      <c r="B829">
        <v>25</v>
      </c>
      <c r="C829" t="s">
        <v>19</v>
      </c>
      <c r="D829" t="s">
        <v>24</v>
      </c>
      <c r="E829">
        <f t="shared" ca="1" si="12"/>
        <v>37160.461538461539</v>
      </c>
    </row>
    <row r="830" spans="1:5" x14ac:dyDescent="0.25">
      <c r="A830">
        <v>20</v>
      </c>
      <c r="B830">
        <v>26</v>
      </c>
      <c r="C830" t="s">
        <v>19</v>
      </c>
      <c r="D830" t="s">
        <v>25</v>
      </c>
      <c r="E830">
        <f t="shared" ca="1" si="12"/>
        <v>36239.538461538461</v>
      </c>
    </row>
    <row r="831" spans="1:5" x14ac:dyDescent="0.25">
      <c r="A831">
        <v>20</v>
      </c>
      <c r="B831">
        <v>27</v>
      </c>
      <c r="C831" t="s">
        <v>19</v>
      </c>
      <c r="D831" t="s">
        <v>145</v>
      </c>
      <c r="E831">
        <f t="shared" ca="1" si="12"/>
        <v>91454.769230769234</v>
      </c>
    </row>
    <row r="832" spans="1:5" x14ac:dyDescent="0.25">
      <c r="A832">
        <v>20</v>
      </c>
      <c r="B832">
        <v>28</v>
      </c>
      <c r="C832" t="s">
        <v>19</v>
      </c>
      <c r="D832" t="s">
        <v>147</v>
      </c>
      <c r="E832">
        <f t="shared" ca="1" si="12"/>
        <v>68519.069230769237</v>
      </c>
    </row>
    <row r="833" spans="1:5" x14ac:dyDescent="0.25">
      <c r="A833">
        <v>20</v>
      </c>
      <c r="B833">
        <v>29</v>
      </c>
      <c r="C833" t="s">
        <v>19</v>
      </c>
      <c r="D833" t="s">
        <v>146</v>
      </c>
      <c r="E833">
        <f t="shared" ca="1" si="12"/>
        <v>39726.06923076923</v>
      </c>
    </row>
    <row r="834" spans="1:5" x14ac:dyDescent="0.25">
      <c r="A834">
        <v>20</v>
      </c>
      <c r="B834">
        <v>30</v>
      </c>
      <c r="C834" t="s">
        <v>19</v>
      </c>
      <c r="D834" t="s">
        <v>30</v>
      </c>
      <c r="E834">
        <f t="shared" ca="1" si="12"/>
        <v>34615.230769230773</v>
      </c>
    </row>
    <row r="835" spans="1:5" x14ac:dyDescent="0.25">
      <c r="A835">
        <v>20</v>
      </c>
      <c r="B835">
        <v>31</v>
      </c>
      <c r="C835" t="s">
        <v>19</v>
      </c>
      <c r="D835" t="s">
        <v>31</v>
      </c>
      <c r="E835">
        <f t="shared" ca="1" si="12"/>
        <v>32460.153846153844</v>
      </c>
    </row>
    <row r="836" spans="1:5" x14ac:dyDescent="0.25">
      <c r="A836">
        <v>20</v>
      </c>
      <c r="B836">
        <v>32</v>
      </c>
      <c r="C836" t="s">
        <v>19</v>
      </c>
      <c r="D836" t="s">
        <v>32</v>
      </c>
      <c r="E836">
        <f t="shared" ca="1" si="12"/>
        <v>96137.538461538425</v>
      </c>
    </row>
    <row r="837" spans="1:5" x14ac:dyDescent="0.25">
      <c r="A837">
        <v>20</v>
      </c>
      <c r="B837">
        <v>33</v>
      </c>
      <c r="C837" t="s">
        <v>19</v>
      </c>
      <c r="D837" t="s">
        <v>33</v>
      </c>
      <c r="E837">
        <f t="shared" ca="1" si="12"/>
        <v>328748.07692307723</v>
      </c>
    </row>
    <row r="838" spans="1:5" x14ac:dyDescent="0.25">
      <c r="A838">
        <v>20</v>
      </c>
      <c r="B838">
        <v>34</v>
      </c>
      <c r="C838" t="s">
        <v>19</v>
      </c>
      <c r="D838" t="s">
        <v>34</v>
      </c>
      <c r="E838">
        <f t="shared" ca="1" si="12"/>
        <v>55066.384615384632</v>
      </c>
    </row>
    <row r="839" spans="1:5" x14ac:dyDescent="0.25">
      <c r="A839">
        <v>20</v>
      </c>
      <c r="B839">
        <v>35</v>
      </c>
      <c r="C839" t="s">
        <v>19</v>
      </c>
      <c r="D839" t="s">
        <v>35</v>
      </c>
      <c r="E839">
        <f t="shared" ca="1" si="12"/>
        <v>35690.615384615383</v>
      </c>
    </row>
    <row r="840" spans="1:5" x14ac:dyDescent="0.25">
      <c r="A840">
        <v>20</v>
      </c>
      <c r="B840">
        <v>36</v>
      </c>
      <c r="C840" t="s">
        <v>19</v>
      </c>
      <c r="D840" t="s">
        <v>36</v>
      </c>
      <c r="E840">
        <f t="shared" ca="1" si="12"/>
        <v>42109.615384615434</v>
      </c>
    </row>
    <row r="841" spans="1:5" x14ac:dyDescent="0.25">
      <c r="A841">
        <v>20</v>
      </c>
      <c r="B841">
        <v>37</v>
      </c>
      <c r="C841" t="s">
        <v>19</v>
      </c>
      <c r="D841" t="s">
        <v>37</v>
      </c>
      <c r="E841">
        <f t="shared" ca="1" si="12"/>
        <v>32077.76923076923</v>
      </c>
    </row>
    <row r="842" spans="1:5" x14ac:dyDescent="0.25">
      <c r="A842">
        <v>20</v>
      </c>
      <c r="B842">
        <v>38</v>
      </c>
      <c r="C842" t="s">
        <v>19</v>
      </c>
      <c r="D842" t="s">
        <v>38</v>
      </c>
      <c r="E842">
        <f t="shared" ca="1" si="12"/>
        <v>35148.153846153851</v>
      </c>
    </row>
    <row r="843" spans="1:5" x14ac:dyDescent="0.25">
      <c r="A843">
        <v>20</v>
      </c>
      <c r="B843">
        <v>39</v>
      </c>
      <c r="C843" t="s">
        <v>19</v>
      </c>
      <c r="D843" t="s">
        <v>39</v>
      </c>
      <c r="E843">
        <f t="shared" ca="1" si="12"/>
        <v>41694.538461538461</v>
      </c>
    </row>
    <row r="844" spans="1:5" x14ac:dyDescent="0.25">
      <c r="A844">
        <v>20</v>
      </c>
      <c r="B844">
        <v>40</v>
      </c>
      <c r="C844" t="s">
        <v>19</v>
      </c>
      <c r="D844" t="s">
        <v>40</v>
      </c>
      <c r="E844">
        <f t="shared" ca="1" si="12"/>
        <v>54053.461538461532</v>
      </c>
    </row>
    <row r="845" spans="1:5" x14ac:dyDescent="0.25">
      <c r="A845">
        <v>21</v>
      </c>
      <c r="B845">
        <v>1</v>
      </c>
      <c r="C845" t="s">
        <v>20</v>
      </c>
      <c r="D845" t="s">
        <v>0</v>
      </c>
      <c r="E845">
        <f t="shared" ca="1" si="12"/>
        <v>115669.60989010986</v>
      </c>
    </row>
    <row r="846" spans="1:5" x14ac:dyDescent="0.25">
      <c r="A846">
        <v>21</v>
      </c>
      <c r="B846">
        <v>2</v>
      </c>
      <c r="C846" t="s">
        <v>20</v>
      </c>
      <c r="D846" t="s">
        <v>1</v>
      </c>
      <c r="E846">
        <f t="shared" ca="1" si="12"/>
        <v>44408.609890109859</v>
      </c>
    </row>
    <row r="847" spans="1:5" x14ac:dyDescent="0.25">
      <c r="A847">
        <v>21</v>
      </c>
      <c r="B847">
        <v>3</v>
      </c>
      <c r="C847" t="s">
        <v>20</v>
      </c>
      <c r="D847" t="s">
        <v>2</v>
      </c>
      <c r="E847">
        <f t="shared" ca="1" si="12"/>
        <v>39673.252747252758</v>
      </c>
    </row>
    <row r="848" spans="1:5" x14ac:dyDescent="0.25">
      <c r="A848">
        <v>21</v>
      </c>
      <c r="B848">
        <v>4</v>
      </c>
      <c r="C848" t="s">
        <v>20</v>
      </c>
      <c r="D848" t="s">
        <v>3</v>
      </c>
      <c r="E848">
        <f t="shared" ca="1" si="12"/>
        <v>54329.609890109859</v>
      </c>
    </row>
    <row r="849" spans="1:5" x14ac:dyDescent="0.25">
      <c r="A849">
        <v>21</v>
      </c>
      <c r="B849">
        <v>5</v>
      </c>
      <c r="C849" t="s">
        <v>20</v>
      </c>
      <c r="D849" t="s">
        <v>4</v>
      </c>
      <c r="E849">
        <f t="shared" ca="1" si="12"/>
        <v>88066.181318681367</v>
      </c>
    </row>
    <row r="850" spans="1:5" x14ac:dyDescent="0.25">
      <c r="A850">
        <v>21</v>
      </c>
      <c r="B850">
        <v>6</v>
      </c>
      <c r="C850" t="s">
        <v>20</v>
      </c>
      <c r="D850" t="s">
        <v>5</v>
      </c>
      <c r="E850">
        <f t="shared" ca="1" si="12"/>
        <v>36394.324175824164</v>
      </c>
    </row>
    <row r="851" spans="1:5" x14ac:dyDescent="0.25">
      <c r="A851">
        <v>21</v>
      </c>
      <c r="B851">
        <v>7</v>
      </c>
      <c r="C851" t="s">
        <v>20</v>
      </c>
      <c r="D851" t="s">
        <v>6</v>
      </c>
      <c r="E851">
        <f t="shared" ca="1" si="12"/>
        <v>28144.324175824171</v>
      </c>
    </row>
    <row r="852" spans="1:5" x14ac:dyDescent="0.25">
      <c r="A852">
        <v>21</v>
      </c>
      <c r="B852">
        <v>8</v>
      </c>
      <c r="C852" t="s">
        <v>20</v>
      </c>
      <c r="D852" t="s">
        <v>7</v>
      </c>
      <c r="E852">
        <f t="shared" ca="1" si="12"/>
        <v>57791.395604395562</v>
      </c>
    </row>
    <row r="853" spans="1:5" x14ac:dyDescent="0.25">
      <c r="A853">
        <v>21</v>
      </c>
      <c r="B853">
        <v>9</v>
      </c>
      <c r="C853" t="s">
        <v>20</v>
      </c>
      <c r="D853" t="s">
        <v>148</v>
      </c>
      <c r="E853">
        <f t="shared" ca="1" si="12"/>
        <v>23786.993006993005</v>
      </c>
    </row>
    <row r="854" spans="1:5" x14ac:dyDescent="0.25">
      <c r="A854">
        <v>21</v>
      </c>
      <c r="B854">
        <v>10</v>
      </c>
      <c r="C854" t="s">
        <v>20</v>
      </c>
      <c r="D854" t="s">
        <v>9</v>
      </c>
      <c r="E854">
        <f t="shared" ca="1" si="12"/>
        <v>44269.752747252758</v>
      </c>
    </row>
    <row r="855" spans="1:5" x14ac:dyDescent="0.25">
      <c r="A855">
        <v>21</v>
      </c>
      <c r="B855">
        <v>11</v>
      </c>
      <c r="C855" t="s">
        <v>20</v>
      </c>
      <c r="D855" t="s">
        <v>10</v>
      </c>
      <c r="E855">
        <f t="shared" ca="1" si="12"/>
        <v>44436.923076923063</v>
      </c>
    </row>
    <row r="856" spans="1:5" x14ac:dyDescent="0.25">
      <c r="A856">
        <v>21</v>
      </c>
      <c r="B856">
        <v>12</v>
      </c>
      <c r="C856" t="s">
        <v>20</v>
      </c>
      <c r="D856" t="s">
        <v>11</v>
      </c>
      <c r="E856">
        <f t="shared" ca="1" si="12"/>
        <v>41405.538461538461</v>
      </c>
    </row>
    <row r="857" spans="1:5" x14ac:dyDescent="0.25">
      <c r="A857">
        <v>21</v>
      </c>
      <c r="B857">
        <v>13</v>
      </c>
      <c r="C857" t="s">
        <v>20</v>
      </c>
      <c r="D857" t="s">
        <v>12</v>
      </c>
      <c r="E857">
        <f t="shared" ca="1" si="12"/>
        <v>26483.923076923082</v>
      </c>
    </row>
    <row r="858" spans="1:5" x14ac:dyDescent="0.25">
      <c r="A858">
        <v>21</v>
      </c>
      <c r="B858">
        <v>14</v>
      </c>
      <c r="C858" t="s">
        <v>20</v>
      </c>
      <c r="D858" t="s">
        <v>13</v>
      </c>
      <c r="E858">
        <f t="shared" ref="E858:E919" ca="1" si="13">OFFSET($B$2,A858,B858)</f>
        <v>47108.923076923063</v>
      </c>
    </row>
    <row r="859" spans="1:5" x14ac:dyDescent="0.25">
      <c r="A859">
        <v>21</v>
      </c>
      <c r="B859">
        <v>15</v>
      </c>
      <c r="C859" t="s">
        <v>20</v>
      </c>
      <c r="D859" t="s">
        <v>14</v>
      </c>
      <c r="E859">
        <f t="shared" ca="1" si="13"/>
        <v>70908.307692307659</v>
      </c>
    </row>
    <row r="860" spans="1:5" x14ac:dyDescent="0.25">
      <c r="A860">
        <v>21</v>
      </c>
      <c r="B860">
        <v>16</v>
      </c>
      <c r="C860" t="s">
        <v>20</v>
      </c>
      <c r="D860" t="s">
        <v>15</v>
      </c>
      <c r="E860">
        <f t="shared" ca="1" si="13"/>
        <v>60600.769230769263</v>
      </c>
    </row>
    <row r="861" spans="1:5" x14ac:dyDescent="0.25">
      <c r="A861">
        <v>21</v>
      </c>
      <c r="B861">
        <v>17</v>
      </c>
      <c r="C861" t="s">
        <v>20</v>
      </c>
      <c r="D861" t="s">
        <v>16</v>
      </c>
      <c r="E861">
        <f t="shared" ca="1" si="13"/>
        <v>87659.846153846156</v>
      </c>
    </row>
    <row r="862" spans="1:5" x14ac:dyDescent="0.25">
      <c r="A862">
        <v>21</v>
      </c>
      <c r="B862">
        <v>18</v>
      </c>
      <c r="C862" t="s">
        <v>20</v>
      </c>
      <c r="D862" t="s">
        <v>17</v>
      </c>
      <c r="E862">
        <f t="shared" ca="1" si="13"/>
        <v>46926.307692307659</v>
      </c>
    </row>
    <row r="863" spans="1:5" x14ac:dyDescent="0.25">
      <c r="A863">
        <v>21</v>
      </c>
      <c r="B863">
        <v>19</v>
      </c>
      <c r="C863" t="s">
        <v>20</v>
      </c>
      <c r="D863" t="s">
        <v>18</v>
      </c>
      <c r="E863">
        <f t="shared" ca="1" si="13"/>
        <v>24477.461538461543</v>
      </c>
    </row>
    <row r="864" spans="1:5" x14ac:dyDescent="0.25">
      <c r="A864">
        <v>21</v>
      </c>
      <c r="B864">
        <v>20</v>
      </c>
      <c r="C864" t="s">
        <v>20</v>
      </c>
      <c r="D864" t="s">
        <v>19</v>
      </c>
      <c r="E864">
        <f t="shared" ca="1" si="13"/>
        <v>81649.230769230751</v>
      </c>
    </row>
    <row r="865" spans="1:5" x14ac:dyDescent="0.25">
      <c r="A865">
        <v>21</v>
      </c>
      <c r="B865">
        <v>21</v>
      </c>
      <c r="C865" t="s">
        <v>20</v>
      </c>
      <c r="D865" t="s">
        <v>20</v>
      </c>
      <c r="E865">
        <f t="shared" ca="1" si="13"/>
        <v>0</v>
      </c>
    </row>
    <row r="866" spans="1:5" x14ac:dyDescent="0.25">
      <c r="A866">
        <v>21</v>
      </c>
      <c r="B866">
        <v>22</v>
      </c>
      <c r="C866" t="s">
        <v>20</v>
      </c>
      <c r="D866" t="s">
        <v>21</v>
      </c>
      <c r="E866">
        <f t="shared" ca="1" si="13"/>
        <v>44933.692307692261</v>
      </c>
    </row>
    <row r="867" spans="1:5" x14ac:dyDescent="0.25">
      <c r="A867">
        <v>21</v>
      </c>
      <c r="B867">
        <v>23</v>
      </c>
      <c r="C867" t="s">
        <v>20</v>
      </c>
      <c r="D867" t="s">
        <v>22</v>
      </c>
      <c r="E867">
        <f t="shared" ca="1" si="13"/>
        <v>29612.230769230773</v>
      </c>
    </row>
    <row r="868" spans="1:5" x14ac:dyDescent="0.25">
      <c r="A868">
        <v>21</v>
      </c>
      <c r="B868">
        <v>24</v>
      </c>
      <c r="C868" t="s">
        <v>20</v>
      </c>
      <c r="D868" t="s">
        <v>23</v>
      </c>
      <c r="E868">
        <f t="shared" ca="1" si="13"/>
        <v>30774.615384615383</v>
      </c>
    </row>
    <row r="869" spans="1:5" x14ac:dyDescent="0.25">
      <c r="A869">
        <v>21</v>
      </c>
      <c r="B869">
        <v>25</v>
      </c>
      <c r="C869" t="s">
        <v>20</v>
      </c>
      <c r="D869" t="s">
        <v>24</v>
      </c>
      <c r="E869">
        <f t="shared" ca="1" si="13"/>
        <v>28379.230769230773</v>
      </c>
    </row>
    <row r="870" spans="1:5" x14ac:dyDescent="0.25">
      <c r="A870">
        <v>21</v>
      </c>
      <c r="B870">
        <v>26</v>
      </c>
      <c r="C870" t="s">
        <v>20</v>
      </c>
      <c r="D870" t="s">
        <v>25</v>
      </c>
      <c r="E870">
        <f t="shared" ca="1" si="13"/>
        <v>27458.307692307691</v>
      </c>
    </row>
    <row r="871" spans="1:5" x14ac:dyDescent="0.25">
      <c r="A871">
        <v>21</v>
      </c>
      <c r="B871">
        <v>27</v>
      </c>
      <c r="C871" t="s">
        <v>20</v>
      </c>
      <c r="D871" t="s">
        <v>145</v>
      </c>
      <c r="E871">
        <f t="shared" ca="1" si="13"/>
        <v>82673.538461538468</v>
      </c>
    </row>
    <row r="872" spans="1:5" x14ac:dyDescent="0.25">
      <c r="A872">
        <v>21</v>
      </c>
      <c r="B872">
        <v>28</v>
      </c>
      <c r="C872" t="s">
        <v>20</v>
      </c>
      <c r="D872" t="s">
        <v>147</v>
      </c>
      <c r="E872">
        <f t="shared" ca="1" si="13"/>
        <v>59737.838461538464</v>
      </c>
    </row>
    <row r="873" spans="1:5" x14ac:dyDescent="0.25">
      <c r="A873">
        <v>21</v>
      </c>
      <c r="B873">
        <v>29</v>
      </c>
      <c r="C873" t="s">
        <v>20</v>
      </c>
      <c r="D873" t="s">
        <v>146</v>
      </c>
      <c r="E873">
        <f t="shared" ca="1" si="13"/>
        <v>30944.83846153846</v>
      </c>
    </row>
    <row r="874" spans="1:5" x14ac:dyDescent="0.25">
      <c r="A874">
        <v>21</v>
      </c>
      <c r="B874">
        <v>30</v>
      </c>
      <c r="C874" t="s">
        <v>20</v>
      </c>
      <c r="D874" t="s">
        <v>30</v>
      </c>
      <c r="E874">
        <f t="shared" ca="1" si="13"/>
        <v>25834</v>
      </c>
    </row>
    <row r="875" spans="1:5" x14ac:dyDescent="0.25">
      <c r="A875">
        <v>21</v>
      </c>
      <c r="B875">
        <v>31</v>
      </c>
      <c r="C875" t="s">
        <v>20</v>
      </c>
      <c r="D875" t="s">
        <v>31</v>
      </c>
      <c r="E875">
        <f t="shared" ca="1" si="13"/>
        <v>23678.923076923074</v>
      </c>
    </row>
    <row r="876" spans="1:5" x14ac:dyDescent="0.25">
      <c r="A876">
        <v>21</v>
      </c>
      <c r="B876">
        <v>32</v>
      </c>
      <c r="C876" t="s">
        <v>20</v>
      </c>
      <c r="D876" t="s">
        <v>32</v>
      </c>
      <c r="E876">
        <f t="shared" ca="1" si="13"/>
        <v>87356.307692307659</v>
      </c>
    </row>
    <row r="877" spans="1:5" x14ac:dyDescent="0.25">
      <c r="A877">
        <v>21</v>
      </c>
      <c r="B877">
        <v>33</v>
      </c>
      <c r="C877" t="s">
        <v>20</v>
      </c>
      <c r="D877" t="s">
        <v>33</v>
      </c>
      <c r="E877">
        <f t="shared" ca="1" si="13"/>
        <v>319966.84615384642</v>
      </c>
    </row>
    <row r="878" spans="1:5" x14ac:dyDescent="0.25">
      <c r="A878">
        <v>21</v>
      </c>
      <c r="B878">
        <v>34</v>
      </c>
      <c r="C878" t="s">
        <v>20</v>
      </c>
      <c r="D878" t="s">
        <v>34</v>
      </c>
      <c r="E878">
        <f t="shared" ca="1" si="13"/>
        <v>46285.153846153858</v>
      </c>
    </row>
    <row r="879" spans="1:5" x14ac:dyDescent="0.25">
      <c r="A879">
        <v>21</v>
      </c>
      <c r="B879">
        <v>35</v>
      </c>
      <c r="C879" t="s">
        <v>20</v>
      </c>
      <c r="D879" t="s">
        <v>35</v>
      </c>
      <c r="E879">
        <f t="shared" ca="1" si="13"/>
        <v>26909.38461538461</v>
      </c>
    </row>
    <row r="880" spans="1:5" x14ac:dyDescent="0.25">
      <c r="A880">
        <v>21</v>
      </c>
      <c r="B880">
        <v>36</v>
      </c>
      <c r="C880" t="s">
        <v>20</v>
      </c>
      <c r="D880" t="s">
        <v>36</v>
      </c>
      <c r="E880">
        <f t="shared" ca="1" si="13"/>
        <v>33328.384615384661</v>
      </c>
    </row>
    <row r="881" spans="1:5" x14ac:dyDescent="0.25">
      <c r="A881">
        <v>21</v>
      </c>
      <c r="B881">
        <v>37</v>
      </c>
      <c r="C881" t="s">
        <v>20</v>
      </c>
      <c r="D881" t="s">
        <v>37</v>
      </c>
      <c r="E881">
        <f t="shared" ca="1" si="13"/>
        <v>23296.538461538461</v>
      </c>
    </row>
    <row r="882" spans="1:5" x14ac:dyDescent="0.25">
      <c r="A882">
        <v>21</v>
      </c>
      <c r="B882">
        <v>38</v>
      </c>
      <c r="C882" t="s">
        <v>20</v>
      </c>
      <c r="D882" t="s">
        <v>38</v>
      </c>
      <c r="E882">
        <f t="shared" ca="1" si="13"/>
        <v>26366.923076923082</v>
      </c>
    </row>
    <row r="883" spans="1:5" x14ac:dyDescent="0.25">
      <c r="A883">
        <v>21</v>
      </c>
      <c r="B883">
        <v>39</v>
      </c>
      <c r="C883" t="s">
        <v>20</v>
      </c>
      <c r="D883" t="s">
        <v>39</v>
      </c>
      <c r="E883">
        <f t="shared" ca="1" si="13"/>
        <v>32913.307692307688</v>
      </c>
    </row>
    <row r="884" spans="1:5" x14ac:dyDescent="0.25">
      <c r="A884">
        <v>21</v>
      </c>
      <c r="B884">
        <v>40</v>
      </c>
      <c r="C884" t="s">
        <v>20</v>
      </c>
      <c r="D884" t="s">
        <v>40</v>
      </c>
      <c r="E884">
        <f t="shared" ca="1" si="13"/>
        <v>45272.230769230766</v>
      </c>
    </row>
    <row r="885" spans="1:5" x14ac:dyDescent="0.25">
      <c r="A885">
        <v>22</v>
      </c>
      <c r="B885">
        <v>1</v>
      </c>
      <c r="C885" t="s">
        <v>21</v>
      </c>
      <c r="D885" t="s">
        <v>0</v>
      </c>
      <c r="E885">
        <f t="shared" ca="1" si="13"/>
        <v>101144.60989010986</v>
      </c>
    </row>
    <row r="886" spans="1:5" x14ac:dyDescent="0.25">
      <c r="A886">
        <v>22</v>
      </c>
      <c r="B886">
        <v>2</v>
      </c>
      <c r="C886" t="s">
        <v>21</v>
      </c>
      <c r="D886" t="s">
        <v>1</v>
      </c>
      <c r="E886">
        <f t="shared" ca="1" si="13"/>
        <v>29883.609890109859</v>
      </c>
    </row>
    <row r="887" spans="1:5" x14ac:dyDescent="0.25">
      <c r="A887">
        <v>22</v>
      </c>
      <c r="B887">
        <v>3</v>
      </c>
      <c r="C887" t="s">
        <v>21</v>
      </c>
      <c r="D887" t="s">
        <v>2</v>
      </c>
      <c r="E887">
        <f t="shared" ca="1" si="13"/>
        <v>25148.252747252762</v>
      </c>
    </row>
    <row r="888" spans="1:5" x14ac:dyDescent="0.25">
      <c r="A888">
        <v>22</v>
      </c>
      <c r="B888">
        <v>4</v>
      </c>
      <c r="C888" t="s">
        <v>21</v>
      </c>
      <c r="D888" t="s">
        <v>3</v>
      </c>
      <c r="E888">
        <f t="shared" ca="1" si="13"/>
        <v>39804.609890109859</v>
      </c>
    </row>
    <row r="889" spans="1:5" x14ac:dyDescent="0.25">
      <c r="A889">
        <v>22</v>
      </c>
      <c r="B889">
        <v>5</v>
      </c>
      <c r="C889" t="s">
        <v>21</v>
      </c>
      <c r="D889" t="s">
        <v>4</v>
      </c>
      <c r="E889">
        <f t="shared" ca="1" si="13"/>
        <v>73541.181318681367</v>
      </c>
    </row>
    <row r="890" spans="1:5" x14ac:dyDescent="0.25">
      <c r="A890">
        <v>22</v>
      </c>
      <c r="B890">
        <v>6</v>
      </c>
      <c r="C890" t="s">
        <v>21</v>
      </c>
      <c r="D890" t="s">
        <v>5</v>
      </c>
      <c r="E890">
        <f t="shared" ca="1" si="13"/>
        <v>21869.32417582416</v>
      </c>
    </row>
    <row r="891" spans="1:5" x14ac:dyDescent="0.25">
      <c r="A891">
        <v>22</v>
      </c>
      <c r="B891">
        <v>7</v>
      </c>
      <c r="C891" t="s">
        <v>21</v>
      </c>
      <c r="D891" t="s">
        <v>6</v>
      </c>
      <c r="E891">
        <f t="shared" ca="1" si="13"/>
        <v>13619.324175824171</v>
      </c>
    </row>
    <row r="892" spans="1:5" x14ac:dyDescent="0.25">
      <c r="A892">
        <v>22</v>
      </c>
      <c r="B892">
        <v>8</v>
      </c>
      <c r="C892" t="s">
        <v>21</v>
      </c>
      <c r="D892" t="s">
        <v>7</v>
      </c>
      <c r="E892">
        <f t="shared" ca="1" si="13"/>
        <v>43266.395604395562</v>
      </c>
    </row>
    <row r="893" spans="1:5" x14ac:dyDescent="0.25">
      <c r="A893">
        <v>22</v>
      </c>
      <c r="B893">
        <v>9</v>
      </c>
      <c r="C893" t="s">
        <v>21</v>
      </c>
      <c r="D893" t="s">
        <v>148</v>
      </c>
      <c r="E893">
        <f t="shared" ca="1" si="13"/>
        <v>9261.9930069930051</v>
      </c>
    </row>
    <row r="894" spans="1:5" x14ac:dyDescent="0.25">
      <c r="A894">
        <v>22</v>
      </c>
      <c r="B894">
        <v>10</v>
      </c>
      <c r="C894" t="s">
        <v>21</v>
      </c>
      <c r="D894" t="s">
        <v>9</v>
      </c>
      <c r="E894">
        <f t="shared" ca="1" si="13"/>
        <v>29744.752747252762</v>
      </c>
    </row>
    <row r="895" spans="1:5" x14ac:dyDescent="0.25">
      <c r="A895">
        <v>22</v>
      </c>
      <c r="B895">
        <v>11</v>
      </c>
      <c r="C895" t="s">
        <v>21</v>
      </c>
      <c r="D895" t="s">
        <v>10</v>
      </c>
      <c r="E895">
        <f t="shared" ca="1" si="13"/>
        <v>29911.92307692306</v>
      </c>
    </row>
    <row r="896" spans="1:5" x14ac:dyDescent="0.25">
      <c r="A896">
        <v>22</v>
      </c>
      <c r="B896">
        <v>12</v>
      </c>
      <c r="C896" t="s">
        <v>21</v>
      </c>
      <c r="D896" t="s">
        <v>11</v>
      </c>
      <c r="E896">
        <f t="shared" ca="1" si="13"/>
        <v>26880.538461538461</v>
      </c>
    </row>
    <row r="897" spans="1:5" x14ac:dyDescent="0.25">
      <c r="A897">
        <v>22</v>
      </c>
      <c r="B897">
        <v>13</v>
      </c>
      <c r="C897" t="s">
        <v>21</v>
      </c>
      <c r="D897" t="s">
        <v>12</v>
      </c>
      <c r="E897">
        <f t="shared" ca="1" si="13"/>
        <v>11958.923076923082</v>
      </c>
    </row>
    <row r="898" spans="1:5" x14ac:dyDescent="0.25">
      <c r="A898">
        <v>22</v>
      </c>
      <c r="B898">
        <v>14</v>
      </c>
      <c r="C898" t="s">
        <v>21</v>
      </c>
      <c r="D898" t="s">
        <v>13</v>
      </c>
      <c r="E898">
        <f t="shared" ca="1" si="13"/>
        <v>32583.92307692306</v>
      </c>
    </row>
    <row r="899" spans="1:5" x14ac:dyDescent="0.25">
      <c r="A899">
        <v>22</v>
      </c>
      <c r="B899">
        <v>15</v>
      </c>
      <c r="C899" t="s">
        <v>21</v>
      </c>
      <c r="D899" t="s">
        <v>14</v>
      </c>
      <c r="E899">
        <f t="shared" ca="1" si="13"/>
        <v>56383.307692307659</v>
      </c>
    </row>
    <row r="900" spans="1:5" x14ac:dyDescent="0.25">
      <c r="A900">
        <v>22</v>
      </c>
      <c r="B900">
        <v>16</v>
      </c>
      <c r="C900" t="s">
        <v>21</v>
      </c>
      <c r="D900" t="s">
        <v>15</v>
      </c>
      <c r="E900">
        <f t="shared" ca="1" si="13"/>
        <v>46075.769230769263</v>
      </c>
    </row>
    <row r="901" spans="1:5" x14ac:dyDescent="0.25">
      <c r="A901">
        <v>22</v>
      </c>
      <c r="B901">
        <v>17</v>
      </c>
      <c r="C901" t="s">
        <v>21</v>
      </c>
      <c r="D901" t="s">
        <v>16</v>
      </c>
      <c r="E901">
        <f t="shared" ca="1" si="13"/>
        <v>73134.846153846156</v>
      </c>
    </row>
    <row r="902" spans="1:5" x14ac:dyDescent="0.25">
      <c r="A902">
        <v>22</v>
      </c>
      <c r="B902">
        <v>18</v>
      </c>
      <c r="C902" t="s">
        <v>21</v>
      </c>
      <c r="D902" t="s">
        <v>17</v>
      </c>
      <c r="E902">
        <f t="shared" ca="1" si="13"/>
        <v>32401.307692307662</v>
      </c>
    </row>
    <row r="903" spans="1:5" x14ac:dyDescent="0.25">
      <c r="A903">
        <v>22</v>
      </c>
      <c r="B903">
        <v>19</v>
      </c>
      <c r="C903" t="s">
        <v>21</v>
      </c>
      <c r="D903" t="s">
        <v>18</v>
      </c>
      <c r="E903">
        <f t="shared" ca="1" si="13"/>
        <v>9952.4615384615408</v>
      </c>
    </row>
    <row r="904" spans="1:5" x14ac:dyDescent="0.25">
      <c r="A904">
        <v>22</v>
      </c>
      <c r="B904">
        <v>20</v>
      </c>
      <c r="C904" t="s">
        <v>21</v>
      </c>
      <c r="D904" t="s">
        <v>19</v>
      </c>
      <c r="E904">
        <f t="shared" ca="1" si="13"/>
        <v>67124.230769230751</v>
      </c>
    </row>
    <row r="905" spans="1:5" x14ac:dyDescent="0.25">
      <c r="A905">
        <v>22</v>
      </c>
      <c r="B905">
        <v>21</v>
      </c>
      <c r="C905" t="s">
        <v>21</v>
      </c>
      <c r="D905" t="s">
        <v>20</v>
      </c>
      <c r="E905">
        <f t="shared" ca="1" si="13"/>
        <v>45968.846153846163</v>
      </c>
    </row>
    <row r="906" spans="1:5" x14ac:dyDescent="0.25">
      <c r="A906">
        <v>22</v>
      </c>
      <c r="B906">
        <v>22</v>
      </c>
      <c r="C906" t="s">
        <v>21</v>
      </c>
      <c r="D906" t="s">
        <v>21</v>
      </c>
      <c r="E906">
        <f t="shared" ca="1" si="13"/>
        <v>0</v>
      </c>
    </row>
    <row r="907" spans="1:5" x14ac:dyDescent="0.25">
      <c r="A907">
        <v>22</v>
      </c>
      <c r="B907">
        <v>23</v>
      </c>
      <c r="C907" t="s">
        <v>21</v>
      </c>
      <c r="D907" t="s">
        <v>22</v>
      </c>
      <c r="E907">
        <f t="shared" ca="1" si="13"/>
        <v>15087.230769230771</v>
      </c>
    </row>
    <row r="908" spans="1:5" x14ac:dyDescent="0.25">
      <c r="A908">
        <v>22</v>
      </c>
      <c r="B908">
        <v>24</v>
      </c>
      <c r="C908" t="s">
        <v>21</v>
      </c>
      <c r="D908" t="s">
        <v>23</v>
      </c>
      <c r="E908">
        <f t="shared" ca="1" si="13"/>
        <v>16249.615384615381</v>
      </c>
    </row>
    <row r="909" spans="1:5" x14ac:dyDescent="0.25">
      <c r="A909">
        <v>22</v>
      </c>
      <c r="B909">
        <v>25</v>
      </c>
      <c r="C909" t="s">
        <v>21</v>
      </c>
      <c r="D909" t="s">
        <v>24</v>
      </c>
      <c r="E909">
        <f t="shared" ca="1" si="13"/>
        <v>13854.230769230771</v>
      </c>
    </row>
    <row r="910" spans="1:5" x14ac:dyDescent="0.25">
      <c r="A910">
        <v>22</v>
      </c>
      <c r="B910">
        <v>26</v>
      </c>
      <c r="C910" t="s">
        <v>21</v>
      </c>
      <c r="D910" t="s">
        <v>25</v>
      </c>
      <c r="E910">
        <f t="shared" ca="1" si="13"/>
        <v>12933.307692307691</v>
      </c>
    </row>
    <row r="911" spans="1:5" x14ac:dyDescent="0.25">
      <c r="A911">
        <v>22</v>
      </c>
      <c r="B911">
        <v>27</v>
      </c>
      <c r="C911" t="s">
        <v>21</v>
      </c>
      <c r="D911" t="s">
        <v>145</v>
      </c>
      <c r="E911">
        <f t="shared" ca="1" si="13"/>
        <v>68148.538461538468</v>
      </c>
    </row>
    <row r="912" spans="1:5" x14ac:dyDescent="0.25">
      <c r="A912">
        <v>22</v>
      </c>
      <c r="B912">
        <v>28</v>
      </c>
      <c r="C912" t="s">
        <v>21</v>
      </c>
      <c r="D912" t="s">
        <v>147</v>
      </c>
      <c r="E912">
        <f t="shared" ca="1" si="13"/>
        <v>45212.838461538464</v>
      </c>
    </row>
    <row r="913" spans="1:5" x14ac:dyDescent="0.25">
      <c r="A913">
        <v>22</v>
      </c>
      <c r="B913">
        <v>29</v>
      </c>
      <c r="C913" t="s">
        <v>21</v>
      </c>
      <c r="D913" t="s">
        <v>146</v>
      </c>
      <c r="E913">
        <f t="shared" ca="1" si="13"/>
        <v>16419.83846153846</v>
      </c>
    </row>
    <row r="914" spans="1:5" x14ac:dyDescent="0.25">
      <c r="A914">
        <v>22</v>
      </c>
      <c r="B914">
        <v>30</v>
      </c>
      <c r="C914" t="s">
        <v>21</v>
      </c>
      <c r="D914" t="s">
        <v>30</v>
      </c>
      <c r="E914">
        <f t="shared" ca="1" si="13"/>
        <v>11309</v>
      </c>
    </row>
    <row r="915" spans="1:5" x14ac:dyDescent="0.25">
      <c r="A915">
        <v>22</v>
      </c>
      <c r="B915">
        <v>31</v>
      </c>
      <c r="C915" t="s">
        <v>21</v>
      </c>
      <c r="D915" t="s">
        <v>31</v>
      </c>
      <c r="E915">
        <f t="shared" ca="1" si="13"/>
        <v>9153.9230769230762</v>
      </c>
    </row>
    <row r="916" spans="1:5" x14ac:dyDescent="0.25">
      <c r="A916">
        <v>22</v>
      </c>
      <c r="B916">
        <v>32</v>
      </c>
      <c r="C916" t="s">
        <v>21</v>
      </c>
      <c r="D916" t="s">
        <v>32</v>
      </c>
      <c r="E916">
        <f t="shared" ca="1" si="13"/>
        <v>72831.307692307659</v>
      </c>
    </row>
    <row r="917" spans="1:5" x14ac:dyDescent="0.25">
      <c r="A917">
        <v>22</v>
      </c>
      <c r="B917">
        <v>33</v>
      </c>
      <c r="C917" t="s">
        <v>21</v>
      </c>
      <c r="D917" t="s">
        <v>33</v>
      </c>
      <c r="E917">
        <f t="shared" ca="1" si="13"/>
        <v>305441.84615384642</v>
      </c>
    </row>
    <row r="918" spans="1:5" x14ac:dyDescent="0.25">
      <c r="A918">
        <v>22</v>
      </c>
      <c r="B918">
        <v>34</v>
      </c>
      <c r="C918" t="s">
        <v>21</v>
      </c>
      <c r="D918" t="s">
        <v>34</v>
      </c>
      <c r="E918">
        <f t="shared" ca="1" si="13"/>
        <v>31760.153846153862</v>
      </c>
    </row>
    <row r="919" spans="1:5" x14ac:dyDescent="0.25">
      <c r="A919">
        <v>22</v>
      </c>
      <c r="B919">
        <v>35</v>
      </c>
      <c r="C919" t="s">
        <v>21</v>
      </c>
      <c r="D919" t="s">
        <v>35</v>
      </c>
      <c r="E919">
        <f t="shared" ca="1" si="13"/>
        <v>12384.384615384612</v>
      </c>
    </row>
    <row r="920" spans="1:5" x14ac:dyDescent="0.25">
      <c r="A920">
        <v>22</v>
      </c>
      <c r="B920">
        <v>36</v>
      </c>
      <c r="C920" t="s">
        <v>21</v>
      </c>
      <c r="D920" t="s">
        <v>36</v>
      </c>
      <c r="E920">
        <f t="shared" ref="E920:E982" ca="1" si="14">OFFSET($B$2,A920,B920)</f>
        <v>18803.384615384661</v>
      </c>
    </row>
    <row r="921" spans="1:5" x14ac:dyDescent="0.25">
      <c r="A921">
        <v>22</v>
      </c>
      <c r="B921">
        <v>37</v>
      </c>
      <c r="C921" t="s">
        <v>21</v>
      </c>
      <c r="D921" t="s">
        <v>37</v>
      </c>
      <c r="E921">
        <f t="shared" ca="1" si="14"/>
        <v>8771.538461538461</v>
      </c>
    </row>
    <row r="922" spans="1:5" x14ac:dyDescent="0.25">
      <c r="A922">
        <v>22</v>
      </c>
      <c r="B922">
        <v>38</v>
      </c>
      <c r="C922" t="s">
        <v>21</v>
      </c>
      <c r="D922" t="s">
        <v>38</v>
      </c>
      <c r="E922">
        <f t="shared" ca="1" si="14"/>
        <v>11841.923076923082</v>
      </c>
    </row>
    <row r="923" spans="1:5" x14ac:dyDescent="0.25">
      <c r="A923">
        <v>22</v>
      </c>
      <c r="B923">
        <v>39</v>
      </c>
      <c r="C923" t="s">
        <v>21</v>
      </c>
      <c r="D923" t="s">
        <v>39</v>
      </c>
      <c r="E923">
        <f t="shared" ca="1" si="14"/>
        <v>18388.307692307691</v>
      </c>
    </row>
    <row r="924" spans="1:5" x14ac:dyDescent="0.25">
      <c r="A924">
        <v>22</v>
      </c>
      <c r="B924">
        <v>40</v>
      </c>
      <c r="C924" t="s">
        <v>21</v>
      </c>
      <c r="D924" t="s">
        <v>40</v>
      </c>
      <c r="E924">
        <f t="shared" ca="1" si="14"/>
        <v>30747.230769230762</v>
      </c>
    </row>
    <row r="925" spans="1:5" x14ac:dyDescent="0.25">
      <c r="A925">
        <v>23</v>
      </c>
      <c r="B925">
        <v>1</v>
      </c>
      <c r="C925" t="s">
        <v>22</v>
      </c>
      <c r="D925" t="s">
        <v>0</v>
      </c>
      <c r="E925">
        <f t="shared" ca="1" si="14"/>
        <v>93286.609890109874</v>
      </c>
    </row>
    <row r="926" spans="1:5" x14ac:dyDescent="0.25">
      <c r="A926">
        <v>23</v>
      </c>
      <c r="B926">
        <v>2</v>
      </c>
      <c r="C926" t="s">
        <v>22</v>
      </c>
      <c r="D926" t="s">
        <v>1</v>
      </c>
      <c r="E926">
        <f t="shared" ca="1" si="14"/>
        <v>22025.609890109859</v>
      </c>
    </row>
    <row r="927" spans="1:5" x14ac:dyDescent="0.25">
      <c r="A927">
        <v>23</v>
      </c>
      <c r="B927">
        <v>3</v>
      </c>
      <c r="C927" t="s">
        <v>22</v>
      </c>
      <c r="D927" t="s">
        <v>2</v>
      </c>
      <c r="E927">
        <f t="shared" ca="1" si="14"/>
        <v>17290.252747252762</v>
      </c>
    </row>
    <row r="928" spans="1:5" x14ac:dyDescent="0.25">
      <c r="A928">
        <v>23</v>
      </c>
      <c r="B928">
        <v>4</v>
      </c>
      <c r="C928" t="s">
        <v>22</v>
      </c>
      <c r="D928" t="s">
        <v>3</v>
      </c>
      <c r="E928">
        <f t="shared" ca="1" si="14"/>
        <v>31946.609890109859</v>
      </c>
    </row>
    <row r="929" spans="1:5" x14ac:dyDescent="0.25">
      <c r="A929">
        <v>23</v>
      </c>
      <c r="B929">
        <v>5</v>
      </c>
      <c r="C929" t="s">
        <v>22</v>
      </c>
      <c r="D929" t="s">
        <v>4</v>
      </c>
      <c r="E929">
        <f t="shared" ca="1" si="14"/>
        <v>65683.181318681367</v>
      </c>
    </row>
    <row r="930" spans="1:5" x14ac:dyDescent="0.25">
      <c r="A930">
        <v>23</v>
      </c>
      <c r="B930">
        <v>6</v>
      </c>
      <c r="C930" t="s">
        <v>22</v>
      </c>
      <c r="D930" t="s">
        <v>5</v>
      </c>
      <c r="E930">
        <f t="shared" ca="1" si="14"/>
        <v>14011.32417582416</v>
      </c>
    </row>
    <row r="931" spans="1:5" x14ac:dyDescent="0.25">
      <c r="A931">
        <v>23</v>
      </c>
      <c r="B931">
        <v>7</v>
      </c>
      <c r="C931" t="s">
        <v>22</v>
      </c>
      <c r="D931" t="s">
        <v>6</v>
      </c>
      <c r="E931">
        <f t="shared" ca="1" si="14"/>
        <v>5761.324175824172</v>
      </c>
    </row>
    <row r="932" spans="1:5" x14ac:dyDescent="0.25">
      <c r="A932">
        <v>23</v>
      </c>
      <c r="B932">
        <v>8</v>
      </c>
      <c r="C932" t="s">
        <v>22</v>
      </c>
      <c r="D932" t="s">
        <v>7</v>
      </c>
      <c r="E932">
        <f t="shared" ca="1" si="14"/>
        <v>35408.395604395562</v>
      </c>
    </row>
    <row r="933" spans="1:5" x14ac:dyDescent="0.25">
      <c r="A933">
        <v>23</v>
      </c>
      <c r="B933">
        <v>9</v>
      </c>
      <c r="C933" t="s">
        <v>22</v>
      </c>
      <c r="D933" t="s">
        <v>148</v>
      </c>
      <c r="E933">
        <f t="shared" ca="1" si="14"/>
        <v>1403.9930069930065</v>
      </c>
    </row>
    <row r="934" spans="1:5" x14ac:dyDescent="0.25">
      <c r="A934">
        <v>23</v>
      </c>
      <c r="B934">
        <v>10</v>
      </c>
      <c r="C934" t="s">
        <v>22</v>
      </c>
      <c r="D934" t="s">
        <v>9</v>
      </c>
      <c r="E934">
        <f t="shared" ca="1" si="14"/>
        <v>21886.752747252762</v>
      </c>
    </row>
    <row r="935" spans="1:5" x14ac:dyDescent="0.25">
      <c r="A935">
        <v>23</v>
      </c>
      <c r="B935">
        <v>11</v>
      </c>
      <c r="C935" t="s">
        <v>22</v>
      </c>
      <c r="D935" t="s">
        <v>10</v>
      </c>
      <c r="E935">
        <f t="shared" ca="1" si="14"/>
        <v>22053.92307692306</v>
      </c>
    </row>
    <row r="936" spans="1:5" x14ac:dyDescent="0.25">
      <c r="A936">
        <v>23</v>
      </c>
      <c r="B936">
        <v>12</v>
      </c>
      <c r="C936" t="s">
        <v>22</v>
      </c>
      <c r="D936" t="s">
        <v>11</v>
      </c>
      <c r="E936">
        <f t="shared" ca="1" si="14"/>
        <v>19022.538461538461</v>
      </c>
    </row>
    <row r="937" spans="1:5" x14ac:dyDescent="0.25">
      <c r="A937">
        <v>23</v>
      </c>
      <c r="B937">
        <v>13</v>
      </c>
      <c r="C937" t="s">
        <v>22</v>
      </c>
      <c r="D937" t="s">
        <v>12</v>
      </c>
      <c r="E937">
        <f t="shared" ca="1" si="14"/>
        <v>4100.9230769230817</v>
      </c>
    </row>
    <row r="938" spans="1:5" x14ac:dyDescent="0.25">
      <c r="A938">
        <v>23</v>
      </c>
      <c r="B938">
        <v>14</v>
      </c>
      <c r="C938" t="s">
        <v>22</v>
      </c>
      <c r="D938" t="s">
        <v>13</v>
      </c>
      <c r="E938">
        <f t="shared" ca="1" si="14"/>
        <v>24725.92307692306</v>
      </c>
    </row>
    <row r="939" spans="1:5" x14ac:dyDescent="0.25">
      <c r="A939">
        <v>23</v>
      </c>
      <c r="B939">
        <v>15</v>
      </c>
      <c r="C939" t="s">
        <v>22</v>
      </c>
      <c r="D939" t="s">
        <v>14</v>
      </c>
      <c r="E939">
        <f t="shared" ca="1" si="14"/>
        <v>48525.307692307659</v>
      </c>
    </row>
    <row r="940" spans="1:5" x14ac:dyDescent="0.25">
      <c r="A940">
        <v>23</v>
      </c>
      <c r="B940">
        <v>16</v>
      </c>
      <c r="C940" t="s">
        <v>22</v>
      </c>
      <c r="D940" t="s">
        <v>15</v>
      </c>
      <c r="E940">
        <f t="shared" ca="1" si="14"/>
        <v>38217.769230769263</v>
      </c>
    </row>
    <row r="941" spans="1:5" x14ac:dyDescent="0.25">
      <c r="A941">
        <v>23</v>
      </c>
      <c r="B941">
        <v>17</v>
      </c>
      <c r="C941" t="s">
        <v>22</v>
      </c>
      <c r="D941" t="s">
        <v>16</v>
      </c>
      <c r="E941">
        <f t="shared" ca="1" si="14"/>
        <v>65276.846153846163</v>
      </c>
    </row>
    <row r="942" spans="1:5" x14ac:dyDescent="0.25">
      <c r="A942">
        <v>23</v>
      </c>
      <c r="B942">
        <v>18</v>
      </c>
      <c r="C942" t="s">
        <v>22</v>
      </c>
      <c r="D942" t="s">
        <v>17</v>
      </c>
      <c r="E942">
        <f t="shared" ca="1" si="14"/>
        <v>24543.307692307662</v>
      </c>
    </row>
    <row r="943" spans="1:5" x14ac:dyDescent="0.25">
      <c r="A943">
        <v>23</v>
      </c>
      <c r="B943">
        <v>19</v>
      </c>
      <c r="C943" t="s">
        <v>22</v>
      </c>
      <c r="D943" t="s">
        <v>18</v>
      </c>
      <c r="E943">
        <f t="shared" ca="1" si="14"/>
        <v>2094.4615384615417</v>
      </c>
    </row>
    <row r="944" spans="1:5" x14ac:dyDescent="0.25">
      <c r="A944">
        <v>23</v>
      </c>
      <c r="B944">
        <v>20</v>
      </c>
      <c r="C944" t="s">
        <v>22</v>
      </c>
      <c r="D944" t="s">
        <v>19</v>
      </c>
      <c r="E944">
        <f t="shared" ca="1" si="14"/>
        <v>59266.230769230759</v>
      </c>
    </row>
    <row r="945" spans="1:5" x14ac:dyDescent="0.25">
      <c r="A945">
        <v>23</v>
      </c>
      <c r="B945">
        <v>21</v>
      </c>
      <c r="C945" t="s">
        <v>22</v>
      </c>
      <c r="D945" t="s">
        <v>20</v>
      </c>
      <c r="E945">
        <f t="shared" ca="1" si="14"/>
        <v>38110.846153846163</v>
      </c>
    </row>
    <row r="946" spans="1:5" x14ac:dyDescent="0.25">
      <c r="A946">
        <v>23</v>
      </c>
      <c r="B946">
        <v>22</v>
      </c>
      <c r="C946" t="s">
        <v>22</v>
      </c>
      <c r="D946" t="s">
        <v>21</v>
      </c>
      <c r="E946">
        <f t="shared" ca="1" si="14"/>
        <v>22550.692307692261</v>
      </c>
    </row>
    <row r="947" spans="1:5" x14ac:dyDescent="0.25">
      <c r="A947">
        <v>23</v>
      </c>
      <c r="B947">
        <v>23</v>
      </c>
      <c r="C947" t="s">
        <v>22</v>
      </c>
      <c r="D947" t="s">
        <v>22</v>
      </c>
      <c r="E947">
        <f t="shared" ca="1" si="14"/>
        <v>0</v>
      </c>
    </row>
    <row r="948" spans="1:5" x14ac:dyDescent="0.25">
      <c r="A948">
        <v>23</v>
      </c>
      <c r="B948">
        <v>24</v>
      </c>
      <c r="C948" t="s">
        <v>22</v>
      </c>
      <c r="D948" t="s">
        <v>23</v>
      </c>
      <c r="E948">
        <f t="shared" ca="1" si="14"/>
        <v>8391.6153846153811</v>
      </c>
    </row>
    <row r="949" spans="1:5" x14ac:dyDescent="0.25">
      <c r="A949">
        <v>23</v>
      </c>
      <c r="B949">
        <v>25</v>
      </c>
      <c r="C949" t="s">
        <v>22</v>
      </c>
      <c r="D949" t="s">
        <v>24</v>
      </c>
      <c r="E949">
        <f t="shared" ca="1" si="14"/>
        <v>5996.2307692307722</v>
      </c>
    </row>
    <row r="950" spans="1:5" x14ac:dyDescent="0.25">
      <c r="A950">
        <v>23</v>
      </c>
      <c r="B950">
        <v>26</v>
      </c>
      <c r="C950" t="s">
        <v>22</v>
      </c>
      <c r="D950" t="s">
        <v>25</v>
      </c>
      <c r="E950">
        <f t="shared" ca="1" si="14"/>
        <v>5075.3076923076915</v>
      </c>
    </row>
    <row r="951" spans="1:5" x14ac:dyDescent="0.25">
      <c r="A951">
        <v>23</v>
      </c>
      <c r="B951">
        <v>27</v>
      </c>
      <c r="C951" t="s">
        <v>22</v>
      </c>
      <c r="D951" t="s">
        <v>145</v>
      </c>
      <c r="E951">
        <f t="shared" ca="1" si="14"/>
        <v>60290.538461538461</v>
      </c>
    </row>
    <row r="952" spans="1:5" x14ac:dyDescent="0.25">
      <c r="A952">
        <v>23</v>
      </c>
      <c r="B952">
        <v>28</v>
      </c>
      <c r="C952" t="s">
        <v>22</v>
      </c>
      <c r="D952" t="s">
        <v>147</v>
      </c>
      <c r="E952">
        <f t="shared" ca="1" si="14"/>
        <v>37354.838461538464</v>
      </c>
    </row>
    <row r="953" spans="1:5" x14ac:dyDescent="0.25">
      <c r="A953">
        <v>23</v>
      </c>
      <c r="B953">
        <v>29</v>
      </c>
      <c r="C953" t="s">
        <v>22</v>
      </c>
      <c r="D953" t="s">
        <v>146</v>
      </c>
      <c r="E953">
        <f t="shared" ca="1" si="14"/>
        <v>8561.8384615384621</v>
      </c>
    </row>
    <row r="954" spans="1:5" x14ac:dyDescent="0.25">
      <c r="A954">
        <v>23</v>
      </c>
      <c r="B954">
        <v>30</v>
      </c>
      <c r="C954" t="s">
        <v>22</v>
      </c>
      <c r="D954" t="s">
        <v>30</v>
      </c>
      <c r="E954">
        <f t="shared" ca="1" si="14"/>
        <v>3451.0000000000014</v>
      </c>
    </row>
    <row r="955" spans="1:5" x14ac:dyDescent="0.25">
      <c r="A955">
        <v>23</v>
      </c>
      <c r="B955">
        <v>31</v>
      </c>
      <c r="C955" t="s">
        <v>22</v>
      </c>
      <c r="D955" t="s">
        <v>31</v>
      </c>
      <c r="E955">
        <f t="shared" ca="1" si="14"/>
        <v>1295.9230769230767</v>
      </c>
    </row>
    <row r="956" spans="1:5" x14ac:dyDescent="0.25">
      <c r="A956">
        <v>23</v>
      </c>
      <c r="B956">
        <v>32</v>
      </c>
      <c r="C956" t="s">
        <v>22</v>
      </c>
      <c r="D956" t="s">
        <v>32</v>
      </c>
      <c r="E956">
        <f t="shared" ca="1" si="14"/>
        <v>64973.307692307659</v>
      </c>
    </row>
    <row r="957" spans="1:5" x14ac:dyDescent="0.25">
      <c r="A957">
        <v>23</v>
      </c>
      <c r="B957">
        <v>33</v>
      </c>
      <c r="C957" t="s">
        <v>22</v>
      </c>
      <c r="D957" t="s">
        <v>33</v>
      </c>
      <c r="E957">
        <f t="shared" ca="1" si="14"/>
        <v>297583.84615384642</v>
      </c>
    </row>
    <row r="958" spans="1:5" x14ac:dyDescent="0.25">
      <c r="A958">
        <v>23</v>
      </c>
      <c r="B958">
        <v>34</v>
      </c>
      <c r="C958" t="s">
        <v>22</v>
      </c>
      <c r="D958" t="s">
        <v>34</v>
      </c>
      <c r="E958">
        <f t="shared" ca="1" si="14"/>
        <v>23902.153846153862</v>
      </c>
    </row>
    <row r="959" spans="1:5" x14ac:dyDescent="0.25">
      <c r="A959">
        <v>23</v>
      </c>
      <c r="B959">
        <v>35</v>
      </c>
      <c r="C959" t="s">
        <v>22</v>
      </c>
      <c r="D959" t="s">
        <v>35</v>
      </c>
      <c r="E959">
        <f t="shared" ca="1" si="14"/>
        <v>4526.3846153846116</v>
      </c>
    </row>
    <row r="960" spans="1:5" x14ac:dyDescent="0.25">
      <c r="A960">
        <v>23</v>
      </c>
      <c r="B960">
        <v>36</v>
      </c>
      <c r="C960" t="s">
        <v>22</v>
      </c>
      <c r="D960" t="s">
        <v>36</v>
      </c>
      <c r="E960">
        <f t="shared" ca="1" si="14"/>
        <v>10945.384615384661</v>
      </c>
    </row>
    <row r="961" spans="1:5" x14ac:dyDescent="0.25">
      <c r="A961">
        <v>23</v>
      </c>
      <c r="B961">
        <v>37</v>
      </c>
      <c r="C961" t="s">
        <v>22</v>
      </c>
      <c r="D961" t="s">
        <v>37</v>
      </c>
      <c r="E961">
        <f t="shared" ca="1" si="14"/>
        <v>913.53846153846155</v>
      </c>
    </row>
    <row r="962" spans="1:5" x14ac:dyDescent="0.25">
      <c r="A962">
        <v>23</v>
      </c>
      <c r="B962">
        <v>38</v>
      </c>
      <c r="C962" t="s">
        <v>22</v>
      </c>
      <c r="D962" t="s">
        <v>38</v>
      </c>
      <c r="E962">
        <f t="shared" ca="1" si="14"/>
        <v>3983.9230769230812</v>
      </c>
    </row>
    <row r="963" spans="1:5" x14ac:dyDescent="0.25">
      <c r="A963">
        <v>23</v>
      </c>
      <c r="B963">
        <v>39</v>
      </c>
      <c r="C963" t="s">
        <v>22</v>
      </c>
      <c r="D963" t="s">
        <v>39</v>
      </c>
      <c r="E963">
        <f t="shared" ca="1" si="14"/>
        <v>10530.307692307691</v>
      </c>
    </row>
    <row r="964" spans="1:5" x14ac:dyDescent="0.25">
      <c r="A964">
        <v>23</v>
      </c>
      <c r="B964">
        <v>40</v>
      </c>
      <c r="C964" t="s">
        <v>22</v>
      </c>
      <c r="D964" t="s">
        <v>40</v>
      </c>
      <c r="E964">
        <f t="shared" ca="1" si="14"/>
        <v>22889.230769230762</v>
      </c>
    </row>
    <row r="965" spans="1:5" x14ac:dyDescent="0.25">
      <c r="A965">
        <v>24</v>
      </c>
      <c r="B965">
        <v>1</v>
      </c>
      <c r="C965" t="s">
        <v>23</v>
      </c>
      <c r="D965" t="s">
        <v>0</v>
      </c>
      <c r="E965">
        <f t="shared" ca="1" si="14"/>
        <v>96218.532967032937</v>
      </c>
    </row>
    <row r="966" spans="1:5" x14ac:dyDescent="0.25">
      <c r="A966">
        <v>24</v>
      </c>
      <c r="B966">
        <v>2</v>
      </c>
      <c r="C966" t="s">
        <v>23</v>
      </c>
      <c r="D966" t="s">
        <v>1</v>
      </c>
      <c r="E966">
        <f t="shared" ca="1" si="14"/>
        <v>24957.532967032937</v>
      </c>
    </row>
    <row r="967" spans="1:5" x14ac:dyDescent="0.25">
      <c r="A967">
        <v>24</v>
      </c>
      <c r="B967">
        <v>3</v>
      </c>
      <c r="C967" t="s">
        <v>23</v>
      </c>
      <c r="D967" t="s">
        <v>2</v>
      </c>
      <c r="E967">
        <f t="shared" ca="1" si="14"/>
        <v>20222.17582417584</v>
      </c>
    </row>
    <row r="968" spans="1:5" x14ac:dyDescent="0.25">
      <c r="A968">
        <v>24</v>
      </c>
      <c r="B968">
        <v>4</v>
      </c>
      <c r="C968" t="s">
        <v>23</v>
      </c>
      <c r="D968" t="s">
        <v>3</v>
      </c>
      <c r="E968">
        <f t="shared" ca="1" si="14"/>
        <v>34878.532967032937</v>
      </c>
    </row>
    <row r="969" spans="1:5" x14ac:dyDescent="0.25">
      <c r="A969">
        <v>24</v>
      </c>
      <c r="B969">
        <v>5</v>
      </c>
      <c r="C969" t="s">
        <v>23</v>
      </c>
      <c r="D969" t="s">
        <v>4</v>
      </c>
      <c r="E969">
        <f t="shared" ca="1" si="14"/>
        <v>68615.10439560443</v>
      </c>
    </row>
    <row r="970" spans="1:5" x14ac:dyDescent="0.25">
      <c r="A970">
        <v>24</v>
      </c>
      <c r="B970">
        <v>6</v>
      </c>
      <c r="C970" t="s">
        <v>23</v>
      </c>
      <c r="D970" t="s">
        <v>5</v>
      </c>
      <c r="E970">
        <f t="shared" ca="1" si="14"/>
        <v>16943.247252747238</v>
      </c>
    </row>
    <row r="971" spans="1:5" x14ac:dyDescent="0.25">
      <c r="A971">
        <v>24</v>
      </c>
      <c r="B971">
        <v>7</v>
      </c>
      <c r="C971" t="s">
        <v>23</v>
      </c>
      <c r="D971" t="s">
        <v>6</v>
      </c>
      <c r="E971">
        <f t="shared" ca="1" si="14"/>
        <v>8693.2472527472491</v>
      </c>
    </row>
    <row r="972" spans="1:5" x14ac:dyDescent="0.25">
      <c r="A972">
        <v>24</v>
      </c>
      <c r="B972">
        <v>8</v>
      </c>
      <c r="C972" t="s">
        <v>23</v>
      </c>
      <c r="D972" t="s">
        <v>7</v>
      </c>
      <c r="E972">
        <f t="shared" ca="1" si="14"/>
        <v>38340.31868131864</v>
      </c>
    </row>
    <row r="973" spans="1:5" x14ac:dyDescent="0.25">
      <c r="A973">
        <v>24</v>
      </c>
      <c r="B973">
        <v>9</v>
      </c>
      <c r="C973" t="s">
        <v>23</v>
      </c>
      <c r="D973" t="s">
        <v>148</v>
      </c>
      <c r="E973">
        <f t="shared" ca="1" si="14"/>
        <v>4335.9160839160832</v>
      </c>
    </row>
    <row r="974" spans="1:5" x14ac:dyDescent="0.25">
      <c r="A974">
        <v>24</v>
      </c>
      <c r="B974">
        <v>10</v>
      </c>
      <c r="C974" t="s">
        <v>23</v>
      </c>
      <c r="D974" t="s">
        <v>9</v>
      </c>
      <c r="E974">
        <f t="shared" ca="1" si="14"/>
        <v>24818.67582417584</v>
      </c>
    </row>
    <row r="975" spans="1:5" x14ac:dyDescent="0.25">
      <c r="A975">
        <v>24</v>
      </c>
      <c r="B975">
        <v>11</v>
      </c>
      <c r="C975" t="s">
        <v>23</v>
      </c>
      <c r="D975" t="s">
        <v>10</v>
      </c>
      <c r="E975">
        <f t="shared" ca="1" si="14"/>
        <v>24985.846153846138</v>
      </c>
    </row>
    <row r="976" spans="1:5" x14ac:dyDescent="0.25">
      <c r="A976">
        <v>24</v>
      </c>
      <c r="B976">
        <v>12</v>
      </c>
      <c r="C976" t="s">
        <v>23</v>
      </c>
      <c r="D976" t="s">
        <v>11</v>
      </c>
      <c r="E976">
        <f t="shared" ca="1" si="14"/>
        <v>21954.461538461539</v>
      </c>
    </row>
    <row r="977" spans="1:5" x14ac:dyDescent="0.25">
      <c r="A977">
        <v>24</v>
      </c>
      <c r="B977">
        <v>13</v>
      </c>
      <c r="C977" t="s">
        <v>23</v>
      </c>
      <c r="D977" t="s">
        <v>12</v>
      </c>
      <c r="E977">
        <f t="shared" ca="1" si="14"/>
        <v>7032.8461538461579</v>
      </c>
    </row>
    <row r="978" spans="1:5" x14ac:dyDescent="0.25">
      <c r="A978">
        <v>24</v>
      </c>
      <c r="B978">
        <v>14</v>
      </c>
      <c r="C978" t="s">
        <v>23</v>
      </c>
      <c r="D978" t="s">
        <v>13</v>
      </c>
      <c r="E978">
        <f t="shared" ca="1" si="14"/>
        <v>27657.846153846138</v>
      </c>
    </row>
    <row r="979" spans="1:5" x14ac:dyDescent="0.25">
      <c r="A979">
        <v>24</v>
      </c>
      <c r="B979">
        <v>15</v>
      </c>
      <c r="C979" t="s">
        <v>23</v>
      </c>
      <c r="D979" t="s">
        <v>14</v>
      </c>
      <c r="E979">
        <f t="shared" ca="1" si="14"/>
        <v>51457.230769230737</v>
      </c>
    </row>
    <row r="980" spans="1:5" x14ac:dyDescent="0.25">
      <c r="A980">
        <v>24</v>
      </c>
      <c r="B980">
        <v>16</v>
      </c>
      <c r="C980" t="s">
        <v>23</v>
      </c>
      <c r="D980" t="s">
        <v>15</v>
      </c>
      <c r="E980">
        <f t="shared" ca="1" si="14"/>
        <v>41149.692307692341</v>
      </c>
    </row>
    <row r="981" spans="1:5" x14ac:dyDescent="0.25">
      <c r="A981">
        <v>24</v>
      </c>
      <c r="B981">
        <v>17</v>
      </c>
      <c r="C981" t="s">
        <v>23</v>
      </c>
      <c r="D981" t="s">
        <v>16</v>
      </c>
      <c r="E981">
        <f t="shared" ca="1" si="14"/>
        <v>68208.769230769234</v>
      </c>
    </row>
    <row r="982" spans="1:5" x14ac:dyDescent="0.25">
      <c r="A982">
        <v>24</v>
      </c>
      <c r="B982">
        <v>18</v>
      </c>
      <c r="C982" t="s">
        <v>23</v>
      </c>
      <c r="D982" t="s">
        <v>17</v>
      </c>
      <c r="E982">
        <f t="shared" ca="1" si="14"/>
        <v>27475.23076923074</v>
      </c>
    </row>
    <row r="983" spans="1:5" x14ac:dyDescent="0.25">
      <c r="A983">
        <v>24</v>
      </c>
      <c r="B983">
        <v>19</v>
      </c>
      <c r="C983" t="s">
        <v>23</v>
      </c>
      <c r="D983" t="s">
        <v>18</v>
      </c>
      <c r="E983">
        <f t="shared" ref="E983:E1044" ca="1" si="15">OFFSET($B$2,A983,B983)</f>
        <v>5026.3846153846189</v>
      </c>
    </row>
    <row r="984" spans="1:5" x14ac:dyDescent="0.25">
      <c r="A984">
        <v>24</v>
      </c>
      <c r="B984">
        <v>20</v>
      </c>
      <c r="C984" t="s">
        <v>23</v>
      </c>
      <c r="D984" t="s">
        <v>19</v>
      </c>
      <c r="E984">
        <f t="shared" ca="1" si="15"/>
        <v>62198.153846153837</v>
      </c>
    </row>
    <row r="985" spans="1:5" x14ac:dyDescent="0.25">
      <c r="A985">
        <v>24</v>
      </c>
      <c r="B985">
        <v>21</v>
      </c>
      <c r="C985" t="s">
        <v>23</v>
      </c>
      <c r="D985" t="s">
        <v>20</v>
      </c>
      <c r="E985">
        <f t="shared" ca="1" si="15"/>
        <v>41042.769230769241</v>
      </c>
    </row>
    <row r="986" spans="1:5" x14ac:dyDescent="0.25">
      <c r="A986">
        <v>24</v>
      </c>
      <c r="B986">
        <v>22</v>
      </c>
      <c r="C986" t="s">
        <v>23</v>
      </c>
      <c r="D986" t="s">
        <v>21</v>
      </c>
      <c r="E986">
        <f t="shared" ca="1" si="15"/>
        <v>25482.615384615339</v>
      </c>
    </row>
    <row r="987" spans="1:5" x14ac:dyDescent="0.25">
      <c r="A987">
        <v>24</v>
      </c>
      <c r="B987">
        <v>23</v>
      </c>
      <c r="C987" t="s">
        <v>23</v>
      </c>
      <c r="D987" t="s">
        <v>22</v>
      </c>
      <c r="E987">
        <f t="shared" ca="1" si="15"/>
        <v>10161.153846153849</v>
      </c>
    </row>
    <row r="988" spans="1:5" x14ac:dyDescent="0.25">
      <c r="A988">
        <v>24</v>
      </c>
      <c r="B988">
        <v>24</v>
      </c>
      <c r="C988" t="s">
        <v>23</v>
      </c>
      <c r="D988" t="s">
        <v>23</v>
      </c>
      <c r="E988">
        <f t="shared" ca="1" si="15"/>
        <v>0</v>
      </c>
    </row>
    <row r="989" spans="1:5" x14ac:dyDescent="0.25">
      <c r="A989">
        <v>24</v>
      </c>
      <c r="B989">
        <v>25</v>
      </c>
      <c r="C989" t="s">
        <v>23</v>
      </c>
      <c r="D989" t="s">
        <v>24</v>
      </c>
      <c r="E989">
        <f t="shared" ca="1" si="15"/>
        <v>8928.1538461538494</v>
      </c>
    </row>
    <row r="990" spans="1:5" x14ac:dyDescent="0.25">
      <c r="A990">
        <v>24</v>
      </c>
      <c r="B990">
        <v>26</v>
      </c>
      <c r="C990" t="s">
        <v>23</v>
      </c>
      <c r="D990" t="s">
        <v>25</v>
      </c>
      <c r="E990">
        <f t="shared" ca="1" si="15"/>
        <v>8007.2307692307677</v>
      </c>
    </row>
    <row r="991" spans="1:5" x14ac:dyDescent="0.25">
      <c r="A991">
        <v>24</v>
      </c>
      <c r="B991">
        <v>27</v>
      </c>
      <c r="C991" t="s">
        <v>23</v>
      </c>
      <c r="D991" t="s">
        <v>145</v>
      </c>
      <c r="E991">
        <f t="shared" ca="1" si="15"/>
        <v>63222.461538461539</v>
      </c>
    </row>
    <row r="992" spans="1:5" x14ac:dyDescent="0.25">
      <c r="A992">
        <v>24</v>
      </c>
      <c r="B992">
        <v>28</v>
      </c>
      <c r="C992" t="s">
        <v>23</v>
      </c>
      <c r="D992" t="s">
        <v>147</v>
      </c>
      <c r="E992">
        <f t="shared" ca="1" si="15"/>
        <v>40286.761538461542</v>
      </c>
    </row>
    <row r="993" spans="1:5" x14ac:dyDescent="0.25">
      <c r="A993">
        <v>24</v>
      </c>
      <c r="B993">
        <v>29</v>
      </c>
      <c r="C993" t="s">
        <v>23</v>
      </c>
      <c r="D993" t="s">
        <v>146</v>
      </c>
      <c r="E993">
        <f t="shared" ca="1" si="15"/>
        <v>11493.761538461538</v>
      </c>
    </row>
    <row r="994" spans="1:5" x14ac:dyDescent="0.25">
      <c r="A994">
        <v>24</v>
      </c>
      <c r="B994">
        <v>30</v>
      </c>
      <c r="C994" t="s">
        <v>23</v>
      </c>
      <c r="D994" t="s">
        <v>30</v>
      </c>
      <c r="E994">
        <f t="shared" ca="1" si="15"/>
        <v>6382.923076923078</v>
      </c>
    </row>
    <row r="995" spans="1:5" x14ac:dyDescent="0.25">
      <c r="A995">
        <v>24</v>
      </c>
      <c r="B995">
        <v>31</v>
      </c>
      <c r="C995" t="s">
        <v>23</v>
      </c>
      <c r="D995" t="s">
        <v>31</v>
      </c>
      <c r="E995">
        <f t="shared" ca="1" si="15"/>
        <v>4227.8461538461534</v>
      </c>
    </row>
    <row r="996" spans="1:5" x14ac:dyDescent="0.25">
      <c r="A996">
        <v>24</v>
      </c>
      <c r="B996">
        <v>32</v>
      </c>
      <c r="C996" t="s">
        <v>23</v>
      </c>
      <c r="D996" t="s">
        <v>32</v>
      </c>
      <c r="E996">
        <f t="shared" ca="1" si="15"/>
        <v>67905.230769230737</v>
      </c>
    </row>
    <row r="997" spans="1:5" x14ac:dyDescent="0.25">
      <c r="A997">
        <v>24</v>
      </c>
      <c r="B997">
        <v>33</v>
      </c>
      <c r="C997" t="s">
        <v>23</v>
      </c>
      <c r="D997" t="s">
        <v>33</v>
      </c>
      <c r="E997">
        <f t="shared" ca="1" si="15"/>
        <v>300515.76923076954</v>
      </c>
    </row>
    <row r="998" spans="1:5" x14ac:dyDescent="0.25">
      <c r="A998">
        <v>24</v>
      </c>
      <c r="B998">
        <v>34</v>
      </c>
      <c r="C998" t="s">
        <v>23</v>
      </c>
      <c r="D998" t="s">
        <v>34</v>
      </c>
      <c r="E998">
        <f t="shared" ca="1" si="15"/>
        <v>26834.07692307694</v>
      </c>
    </row>
    <row r="999" spans="1:5" x14ac:dyDescent="0.25">
      <c r="A999">
        <v>24</v>
      </c>
      <c r="B999">
        <v>35</v>
      </c>
      <c r="C999" t="s">
        <v>23</v>
      </c>
      <c r="D999" t="s">
        <v>35</v>
      </c>
      <c r="E999">
        <f t="shared" ca="1" si="15"/>
        <v>7458.3076923076887</v>
      </c>
    </row>
    <row r="1000" spans="1:5" x14ac:dyDescent="0.25">
      <c r="A1000">
        <v>24</v>
      </c>
      <c r="B1000">
        <v>36</v>
      </c>
      <c r="C1000" t="s">
        <v>23</v>
      </c>
      <c r="D1000" t="s">
        <v>36</v>
      </c>
      <c r="E1000">
        <f t="shared" ca="1" si="15"/>
        <v>13877.307692307739</v>
      </c>
    </row>
    <row r="1001" spans="1:5" x14ac:dyDescent="0.25">
      <c r="A1001">
        <v>24</v>
      </c>
      <c r="B1001">
        <v>37</v>
      </c>
      <c r="C1001" t="s">
        <v>23</v>
      </c>
      <c r="D1001" t="s">
        <v>37</v>
      </c>
      <c r="E1001">
        <f t="shared" ca="1" si="15"/>
        <v>3845.4615384615386</v>
      </c>
    </row>
    <row r="1002" spans="1:5" x14ac:dyDescent="0.25">
      <c r="A1002">
        <v>24</v>
      </c>
      <c r="B1002">
        <v>38</v>
      </c>
      <c r="C1002" t="s">
        <v>23</v>
      </c>
      <c r="D1002" t="s">
        <v>38</v>
      </c>
      <c r="E1002">
        <f t="shared" ca="1" si="15"/>
        <v>6915.8461538461579</v>
      </c>
    </row>
    <row r="1003" spans="1:5" x14ac:dyDescent="0.25">
      <c r="A1003">
        <v>24</v>
      </c>
      <c r="B1003">
        <v>39</v>
      </c>
      <c r="C1003" t="s">
        <v>23</v>
      </c>
      <c r="D1003" t="s">
        <v>39</v>
      </c>
      <c r="E1003">
        <f t="shared" ca="1" si="15"/>
        <v>13462.23076923077</v>
      </c>
    </row>
    <row r="1004" spans="1:5" x14ac:dyDescent="0.25">
      <c r="A1004">
        <v>24</v>
      </c>
      <c r="B1004">
        <v>40</v>
      </c>
      <c r="C1004" t="s">
        <v>23</v>
      </c>
      <c r="D1004" t="s">
        <v>40</v>
      </c>
      <c r="E1004">
        <f t="shared" ca="1" si="15"/>
        <v>25821.15384615384</v>
      </c>
    </row>
    <row r="1005" spans="1:5" x14ac:dyDescent="0.25">
      <c r="A1005">
        <v>25</v>
      </c>
      <c r="B1005">
        <v>1</v>
      </c>
      <c r="C1005" t="s">
        <v>24</v>
      </c>
      <c r="D1005" t="s">
        <v>0</v>
      </c>
      <c r="E1005">
        <f t="shared" ca="1" si="15"/>
        <v>96180.379120879094</v>
      </c>
    </row>
    <row r="1006" spans="1:5" x14ac:dyDescent="0.25">
      <c r="A1006">
        <v>25</v>
      </c>
      <c r="B1006">
        <v>2</v>
      </c>
      <c r="C1006" t="s">
        <v>24</v>
      </c>
      <c r="D1006" t="s">
        <v>1</v>
      </c>
      <c r="E1006">
        <f t="shared" ca="1" si="15"/>
        <v>24919.37912087909</v>
      </c>
    </row>
    <row r="1007" spans="1:5" x14ac:dyDescent="0.25">
      <c r="A1007">
        <v>25</v>
      </c>
      <c r="B1007">
        <v>3</v>
      </c>
      <c r="C1007" t="s">
        <v>24</v>
      </c>
      <c r="D1007" t="s">
        <v>2</v>
      </c>
      <c r="E1007">
        <f t="shared" ca="1" si="15"/>
        <v>20184.021978021992</v>
      </c>
    </row>
    <row r="1008" spans="1:5" x14ac:dyDescent="0.25">
      <c r="A1008">
        <v>25</v>
      </c>
      <c r="B1008">
        <v>4</v>
      </c>
      <c r="C1008" t="s">
        <v>24</v>
      </c>
      <c r="D1008" t="s">
        <v>3</v>
      </c>
      <c r="E1008">
        <f t="shared" ca="1" si="15"/>
        <v>34840.379120879094</v>
      </c>
    </row>
    <row r="1009" spans="1:5" x14ac:dyDescent="0.25">
      <c r="A1009">
        <v>25</v>
      </c>
      <c r="B1009">
        <v>5</v>
      </c>
      <c r="C1009" t="s">
        <v>24</v>
      </c>
      <c r="D1009" t="s">
        <v>4</v>
      </c>
      <c r="E1009">
        <f t="shared" ca="1" si="15"/>
        <v>68576.950549450587</v>
      </c>
    </row>
    <row r="1010" spans="1:5" x14ac:dyDescent="0.25">
      <c r="A1010">
        <v>25</v>
      </c>
      <c r="B1010">
        <v>6</v>
      </c>
      <c r="C1010" t="s">
        <v>24</v>
      </c>
      <c r="D1010" t="s">
        <v>5</v>
      </c>
      <c r="E1010">
        <f t="shared" ca="1" si="15"/>
        <v>16905.093406593391</v>
      </c>
    </row>
    <row r="1011" spans="1:5" x14ac:dyDescent="0.25">
      <c r="A1011">
        <v>25</v>
      </c>
      <c r="B1011">
        <v>7</v>
      </c>
      <c r="C1011" t="s">
        <v>24</v>
      </c>
      <c r="D1011" t="s">
        <v>6</v>
      </c>
      <c r="E1011">
        <f t="shared" ca="1" si="15"/>
        <v>8655.0934065934016</v>
      </c>
    </row>
    <row r="1012" spans="1:5" x14ac:dyDescent="0.25">
      <c r="A1012">
        <v>25</v>
      </c>
      <c r="B1012">
        <v>8</v>
      </c>
      <c r="C1012" t="s">
        <v>24</v>
      </c>
      <c r="D1012" t="s">
        <v>7</v>
      </c>
      <c r="E1012">
        <f t="shared" ca="1" si="15"/>
        <v>38302.164835164796</v>
      </c>
    </row>
    <row r="1013" spans="1:5" x14ac:dyDescent="0.25">
      <c r="A1013">
        <v>25</v>
      </c>
      <c r="B1013">
        <v>9</v>
      </c>
      <c r="C1013" t="s">
        <v>24</v>
      </c>
      <c r="D1013" t="s">
        <v>148</v>
      </c>
      <c r="E1013">
        <f t="shared" ca="1" si="15"/>
        <v>4297.7622377622374</v>
      </c>
    </row>
    <row r="1014" spans="1:5" x14ac:dyDescent="0.25">
      <c r="A1014">
        <v>25</v>
      </c>
      <c r="B1014">
        <v>10</v>
      </c>
      <c r="C1014" t="s">
        <v>24</v>
      </c>
      <c r="D1014" t="s">
        <v>9</v>
      </c>
      <c r="E1014">
        <f t="shared" ca="1" si="15"/>
        <v>24780.521978021992</v>
      </c>
    </row>
    <row r="1015" spans="1:5" x14ac:dyDescent="0.25">
      <c r="A1015">
        <v>25</v>
      </c>
      <c r="B1015">
        <v>11</v>
      </c>
      <c r="C1015" t="s">
        <v>24</v>
      </c>
      <c r="D1015" t="s">
        <v>10</v>
      </c>
      <c r="E1015">
        <f t="shared" ca="1" si="15"/>
        <v>24947.69230769229</v>
      </c>
    </row>
    <row r="1016" spans="1:5" x14ac:dyDescent="0.25">
      <c r="A1016">
        <v>25</v>
      </c>
      <c r="B1016">
        <v>12</v>
      </c>
      <c r="C1016" t="s">
        <v>24</v>
      </c>
      <c r="D1016" t="s">
        <v>11</v>
      </c>
      <c r="E1016">
        <f t="shared" ca="1" si="15"/>
        <v>21916.307692307691</v>
      </c>
    </row>
    <row r="1017" spans="1:5" x14ac:dyDescent="0.25">
      <c r="A1017">
        <v>25</v>
      </c>
      <c r="B1017">
        <v>13</v>
      </c>
      <c r="C1017" t="s">
        <v>24</v>
      </c>
      <c r="D1017" t="s">
        <v>12</v>
      </c>
      <c r="E1017">
        <f t="shared" ca="1" si="15"/>
        <v>6994.6923076923122</v>
      </c>
    </row>
    <row r="1018" spans="1:5" x14ac:dyDescent="0.25">
      <c r="A1018">
        <v>25</v>
      </c>
      <c r="B1018">
        <v>14</v>
      </c>
      <c r="C1018" t="s">
        <v>24</v>
      </c>
      <c r="D1018" t="s">
        <v>13</v>
      </c>
      <c r="E1018">
        <f t="shared" ca="1" si="15"/>
        <v>27619.69230769229</v>
      </c>
    </row>
    <row r="1019" spans="1:5" x14ac:dyDescent="0.25">
      <c r="A1019">
        <v>25</v>
      </c>
      <c r="B1019">
        <v>15</v>
      </c>
      <c r="C1019" t="s">
        <v>24</v>
      </c>
      <c r="D1019" t="s">
        <v>14</v>
      </c>
      <c r="E1019">
        <f t="shared" ca="1" si="15"/>
        <v>51419.076923076893</v>
      </c>
    </row>
    <row r="1020" spans="1:5" x14ac:dyDescent="0.25">
      <c r="A1020">
        <v>25</v>
      </c>
      <c r="B1020">
        <v>16</v>
      </c>
      <c r="C1020" t="s">
        <v>24</v>
      </c>
      <c r="D1020" t="s">
        <v>15</v>
      </c>
      <c r="E1020">
        <f t="shared" ca="1" si="15"/>
        <v>41111.538461538497</v>
      </c>
    </row>
    <row r="1021" spans="1:5" x14ac:dyDescent="0.25">
      <c r="A1021">
        <v>25</v>
      </c>
      <c r="B1021">
        <v>17</v>
      </c>
      <c r="C1021" t="s">
        <v>24</v>
      </c>
      <c r="D1021" t="s">
        <v>16</v>
      </c>
      <c r="E1021">
        <f t="shared" ca="1" si="15"/>
        <v>68170.61538461539</v>
      </c>
    </row>
    <row r="1022" spans="1:5" x14ac:dyDescent="0.25">
      <c r="A1022">
        <v>25</v>
      </c>
      <c r="B1022">
        <v>18</v>
      </c>
      <c r="C1022" t="s">
        <v>24</v>
      </c>
      <c r="D1022" t="s">
        <v>17</v>
      </c>
      <c r="E1022">
        <f t="shared" ca="1" si="15"/>
        <v>27437.076923076893</v>
      </c>
    </row>
    <row r="1023" spans="1:5" x14ac:dyDescent="0.25">
      <c r="A1023">
        <v>25</v>
      </c>
      <c r="B1023">
        <v>19</v>
      </c>
      <c r="C1023" t="s">
        <v>24</v>
      </c>
      <c r="D1023" t="s">
        <v>18</v>
      </c>
      <c r="E1023">
        <f t="shared" ca="1" si="15"/>
        <v>4988.2307692307722</v>
      </c>
    </row>
    <row r="1024" spans="1:5" x14ac:dyDescent="0.25">
      <c r="A1024">
        <v>25</v>
      </c>
      <c r="B1024">
        <v>20</v>
      </c>
      <c r="C1024" t="s">
        <v>24</v>
      </c>
      <c r="D1024" t="s">
        <v>19</v>
      </c>
      <c r="E1024">
        <f t="shared" ca="1" si="15"/>
        <v>62159.999999999993</v>
      </c>
    </row>
    <row r="1025" spans="1:5" x14ac:dyDescent="0.25">
      <c r="A1025">
        <v>25</v>
      </c>
      <c r="B1025">
        <v>21</v>
      </c>
      <c r="C1025" t="s">
        <v>24</v>
      </c>
      <c r="D1025" t="s">
        <v>20</v>
      </c>
      <c r="E1025">
        <f t="shared" ca="1" si="15"/>
        <v>41004.615384615397</v>
      </c>
    </row>
    <row r="1026" spans="1:5" x14ac:dyDescent="0.25">
      <c r="A1026">
        <v>25</v>
      </c>
      <c r="B1026">
        <v>22</v>
      </c>
      <c r="C1026" t="s">
        <v>24</v>
      </c>
      <c r="D1026" t="s">
        <v>21</v>
      </c>
      <c r="E1026">
        <f t="shared" ca="1" si="15"/>
        <v>25444.461538461492</v>
      </c>
    </row>
    <row r="1027" spans="1:5" x14ac:dyDescent="0.25">
      <c r="A1027">
        <v>25</v>
      </c>
      <c r="B1027">
        <v>23</v>
      </c>
      <c r="C1027" t="s">
        <v>24</v>
      </c>
      <c r="D1027" t="s">
        <v>22</v>
      </c>
      <c r="E1027">
        <f t="shared" ca="1" si="15"/>
        <v>10123.000000000004</v>
      </c>
    </row>
    <row r="1028" spans="1:5" x14ac:dyDescent="0.25">
      <c r="A1028">
        <v>25</v>
      </c>
      <c r="B1028">
        <v>24</v>
      </c>
      <c r="C1028" t="s">
        <v>24</v>
      </c>
      <c r="D1028" t="s">
        <v>23</v>
      </c>
      <c r="E1028">
        <f t="shared" ca="1" si="15"/>
        <v>11285.384615384613</v>
      </c>
    </row>
    <row r="1029" spans="1:5" x14ac:dyDescent="0.25">
      <c r="A1029">
        <v>25</v>
      </c>
      <c r="B1029">
        <v>25</v>
      </c>
      <c r="C1029" t="s">
        <v>24</v>
      </c>
      <c r="D1029" t="s">
        <v>24</v>
      </c>
      <c r="E1029">
        <f t="shared" ca="1" si="15"/>
        <v>0</v>
      </c>
    </row>
    <row r="1030" spans="1:5" x14ac:dyDescent="0.25">
      <c r="A1030">
        <v>25</v>
      </c>
      <c r="B1030">
        <v>26</v>
      </c>
      <c r="C1030" t="s">
        <v>24</v>
      </c>
      <c r="D1030" t="s">
        <v>25</v>
      </c>
      <c r="E1030">
        <f t="shared" ca="1" si="15"/>
        <v>7969.076923076922</v>
      </c>
    </row>
    <row r="1031" spans="1:5" x14ac:dyDescent="0.25">
      <c r="A1031">
        <v>25</v>
      </c>
      <c r="B1031">
        <v>27</v>
      </c>
      <c r="C1031" t="s">
        <v>24</v>
      </c>
      <c r="D1031" t="s">
        <v>145</v>
      </c>
      <c r="E1031">
        <f t="shared" ca="1" si="15"/>
        <v>63184.307692307695</v>
      </c>
    </row>
    <row r="1032" spans="1:5" x14ac:dyDescent="0.25">
      <c r="A1032">
        <v>25</v>
      </c>
      <c r="B1032">
        <v>28</v>
      </c>
      <c r="C1032" t="s">
        <v>24</v>
      </c>
      <c r="D1032" t="s">
        <v>147</v>
      </c>
      <c r="E1032">
        <f t="shared" ca="1" si="15"/>
        <v>40248.607692307698</v>
      </c>
    </row>
    <row r="1033" spans="1:5" x14ac:dyDescent="0.25">
      <c r="A1033">
        <v>25</v>
      </c>
      <c r="B1033">
        <v>29</v>
      </c>
      <c r="C1033" t="s">
        <v>24</v>
      </c>
      <c r="D1033" t="s">
        <v>146</v>
      </c>
      <c r="E1033">
        <f t="shared" ca="1" si="15"/>
        <v>11455.607692307693</v>
      </c>
    </row>
    <row r="1034" spans="1:5" x14ac:dyDescent="0.25">
      <c r="A1034">
        <v>25</v>
      </c>
      <c r="B1034">
        <v>30</v>
      </c>
      <c r="C1034" t="s">
        <v>24</v>
      </c>
      <c r="D1034" t="s">
        <v>30</v>
      </c>
      <c r="E1034">
        <f t="shared" ca="1" si="15"/>
        <v>6344.7692307692323</v>
      </c>
    </row>
    <row r="1035" spans="1:5" x14ac:dyDescent="0.25">
      <c r="A1035">
        <v>25</v>
      </c>
      <c r="B1035">
        <v>31</v>
      </c>
      <c r="C1035" t="s">
        <v>24</v>
      </c>
      <c r="D1035" t="s">
        <v>31</v>
      </c>
      <c r="E1035">
        <f t="shared" ca="1" si="15"/>
        <v>4189.6923076923076</v>
      </c>
    </row>
    <row r="1036" spans="1:5" x14ac:dyDescent="0.25">
      <c r="A1036">
        <v>25</v>
      </c>
      <c r="B1036">
        <v>32</v>
      </c>
      <c r="C1036" t="s">
        <v>24</v>
      </c>
      <c r="D1036" t="s">
        <v>32</v>
      </c>
      <c r="E1036">
        <f t="shared" ca="1" si="15"/>
        <v>67867.076923076893</v>
      </c>
    </row>
    <row r="1037" spans="1:5" x14ac:dyDescent="0.25">
      <c r="A1037">
        <v>25</v>
      </c>
      <c r="B1037">
        <v>33</v>
      </c>
      <c r="C1037" t="s">
        <v>24</v>
      </c>
      <c r="D1037" t="s">
        <v>33</v>
      </c>
      <c r="E1037">
        <f t="shared" ca="1" si="15"/>
        <v>300477.61538461567</v>
      </c>
    </row>
    <row r="1038" spans="1:5" x14ac:dyDescent="0.25">
      <c r="A1038">
        <v>25</v>
      </c>
      <c r="B1038">
        <v>34</v>
      </c>
      <c r="C1038" t="s">
        <v>24</v>
      </c>
      <c r="D1038" t="s">
        <v>34</v>
      </c>
      <c r="E1038">
        <f t="shared" ca="1" si="15"/>
        <v>26795.923076923093</v>
      </c>
    </row>
    <row r="1039" spans="1:5" x14ac:dyDescent="0.25">
      <c r="A1039">
        <v>25</v>
      </c>
      <c r="B1039">
        <v>35</v>
      </c>
      <c r="C1039" t="s">
        <v>24</v>
      </c>
      <c r="D1039" t="s">
        <v>35</v>
      </c>
      <c r="E1039">
        <f t="shared" ca="1" si="15"/>
        <v>7420.1538461538421</v>
      </c>
    </row>
    <row r="1040" spans="1:5" x14ac:dyDescent="0.25">
      <c r="A1040">
        <v>25</v>
      </c>
      <c r="B1040">
        <v>36</v>
      </c>
      <c r="C1040" t="s">
        <v>24</v>
      </c>
      <c r="D1040" t="s">
        <v>36</v>
      </c>
      <c r="E1040">
        <f t="shared" ca="1" si="15"/>
        <v>13839.153846153891</v>
      </c>
    </row>
    <row r="1041" spans="1:5" x14ac:dyDescent="0.25">
      <c r="A1041">
        <v>25</v>
      </c>
      <c r="B1041">
        <v>37</v>
      </c>
      <c r="C1041" t="s">
        <v>24</v>
      </c>
      <c r="D1041" t="s">
        <v>37</v>
      </c>
      <c r="E1041">
        <f t="shared" ca="1" si="15"/>
        <v>3807.3076923076924</v>
      </c>
    </row>
    <row r="1042" spans="1:5" x14ac:dyDescent="0.25">
      <c r="A1042">
        <v>25</v>
      </c>
      <c r="B1042">
        <v>38</v>
      </c>
      <c r="C1042" t="s">
        <v>24</v>
      </c>
      <c r="D1042" t="s">
        <v>38</v>
      </c>
      <c r="E1042">
        <f t="shared" ca="1" si="15"/>
        <v>6877.6923076923122</v>
      </c>
    </row>
    <row r="1043" spans="1:5" x14ac:dyDescent="0.25">
      <c r="A1043">
        <v>25</v>
      </c>
      <c r="B1043">
        <v>39</v>
      </c>
      <c r="C1043" t="s">
        <v>24</v>
      </c>
      <c r="D1043" t="s">
        <v>39</v>
      </c>
      <c r="E1043">
        <f t="shared" ca="1" si="15"/>
        <v>13424.076923076922</v>
      </c>
    </row>
    <row r="1044" spans="1:5" x14ac:dyDescent="0.25">
      <c r="A1044">
        <v>25</v>
      </c>
      <c r="B1044">
        <v>40</v>
      </c>
      <c r="C1044" t="s">
        <v>24</v>
      </c>
      <c r="D1044" t="s">
        <v>40</v>
      </c>
      <c r="E1044">
        <f t="shared" ca="1" si="15"/>
        <v>25782.999999999993</v>
      </c>
    </row>
    <row r="1045" spans="1:5" x14ac:dyDescent="0.25">
      <c r="A1045">
        <v>26</v>
      </c>
      <c r="B1045">
        <v>1</v>
      </c>
      <c r="C1045" t="s">
        <v>25</v>
      </c>
      <c r="D1045" t="s">
        <v>0</v>
      </c>
      <c r="E1045">
        <f t="shared" ref="E1045:E1107" ca="1" si="16">OFFSET($B$2,A1045,B1045)</f>
        <v>93649.379120879094</v>
      </c>
    </row>
    <row r="1046" spans="1:5" x14ac:dyDescent="0.25">
      <c r="A1046">
        <v>26</v>
      </c>
      <c r="B1046">
        <v>2</v>
      </c>
      <c r="C1046" t="s">
        <v>25</v>
      </c>
      <c r="D1046" t="s">
        <v>1</v>
      </c>
      <c r="E1046">
        <f t="shared" ca="1" si="16"/>
        <v>22388.37912087909</v>
      </c>
    </row>
    <row r="1047" spans="1:5" x14ac:dyDescent="0.25">
      <c r="A1047">
        <v>26</v>
      </c>
      <c r="B1047">
        <v>3</v>
      </c>
      <c r="C1047" t="s">
        <v>25</v>
      </c>
      <c r="D1047" t="s">
        <v>2</v>
      </c>
      <c r="E1047">
        <f t="shared" ca="1" si="16"/>
        <v>17653.021978021992</v>
      </c>
    </row>
    <row r="1048" spans="1:5" x14ac:dyDescent="0.25">
      <c r="A1048">
        <v>26</v>
      </c>
      <c r="B1048">
        <v>4</v>
      </c>
      <c r="C1048" t="s">
        <v>25</v>
      </c>
      <c r="D1048" t="s">
        <v>3</v>
      </c>
      <c r="E1048">
        <f t="shared" ca="1" si="16"/>
        <v>32309.37912087909</v>
      </c>
    </row>
    <row r="1049" spans="1:5" x14ac:dyDescent="0.25">
      <c r="A1049">
        <v>26</v>
      </c>
      <c r="B1049">
        <v>5</v>
      </c>
      <c r="C1049" t="s">
        <v>25</v>
      </c>
      <c r="D1049" t="s">
        <v>4</v>
      </c>
      <c r="E1049">
        <f t="shared" ca="1" si="16"/>
        <v>66045.950549450587</v>
      </c>
    </row>
    <row r="1050" spans="1:5" x14ac:dyDescent="0.25">
      <c r="A1050">
        <v>26</v>
      </c>
      <c r="B1050">
        <v>6</v>
      </c>
      <c r="C1050" t="s">
        <v>25</v>
      </c>
      <c r="D1050" t="s">
        <v>5</v>
      </c>
      <c r="E1050">
        <f t="shared" ca="1" si="16"/>
        <v>14374.093406593391</v>
      </c>
    </row>
    <row r="1051" spans="1:5" x14ac:dyDescent="0.25">
      <c r="A1051">
        <v>26</v>
      </c>
      <c r="B1051">
        <v>7</v>
      </c>
      <c r="C1051" t="s">
        <v>25</v>
      </c>
      <c r="D1051" t="s">
        <v>6</v>
      </c>
      <c r="E1051">
        <f t="shared" ca="1" si="16"/>
        <v>6124.0934065934025</v>
      </c>
    </row>
    <row r="1052" spans="1:5" x14ac:dyDescent="0.25">
      <c r="A1052">
        <v>26</v>
      </c>
      <c r="B1052">
        <v>8</v>
      </c>
      <c r="C1052" t="s">
        <v>25</v>
      </c>
      <c r="D1052" t="s">
        <v>7</v>
      </c>
      <c r="E1052">
        <f t="shared" ca="1" si="16"/>
        <v>35771.164835164796</v>
      </c>
    </row>
    <row r="1053" spans="1:5" x14ac:dyDescent="0.25">
      <c r="A1053">
        <v>26</v>
      </c>
      <c r="B1053">
        <v>9</v>
      </c>
      <c r="C1053" t="s">
        <v>25</v>
      </c>
      <c r="D1053" t="s">
        <v>148</v>
      </c>
      <c r="E1053">
        <f t="shared" ca="1" si="16"/>
        <v>1766.7622377622374</v>
      </c>
    </row>
    <row r="1054" spans="1:5" x14ac:dyDescent="0.25">
      <c r="A1054">
        <v>26</v>
      </c>
      <c r="B1054">
        <v>10</v>
      </c>
      <c r="C1054" t="s">
        <v>25</v>
      </c>
      <c r="D1054" t="s">
        <v>9</v>
      </c>
      <c r="E1054">
        <f t="shared" ca="1" si="16"/>
        <v>22249.521978021992</v>
      </c>
    </row>
    <row r="1055" spans="1:5" x14ac:dyDescent="0.25">
      <c r="A1055">
        <v>26</v>
      </c>
      <c r="B1055">
        <v>11</v>
      </c>
      <c r="C1055" t="s">
        <v>25</v>
      </c>
      <c r="D1055" t="s">
        <v>10</v>
      </c>
      <c r="E1055">
        <f t="shared" ca="1" si="16"/>
        <v>22416.69230769229</v>
      </c>
    </row>
    <row r="1056" spans="1:5" x14ac:dyDescent="0.25">
      <c r="A1056">
        <v>26</v>
      </c>
      <c r="B1056">
        <v>12</v>
      </c>
      <c r="C1056" t="s">
        <v>25</v>
      </c>
      <c r="D1056" t="s">
        <v>11</v>
      </c>
      <c r="E1056">
        <f t="shared" ca="1" si="16"/>
        <v>19385.307692307691</v>
      </c>
    </row>
    <row r="1057" spans="1:5" x14ac:dyDescent="0.25">
      <c r="A1057">
        <v>26</v>
      </c>
      <c r="B1057">
        <v>13</v>
      </c>
      <c r="C1057" t="s">
        <v>25</v>
      </c>
      <c r="D1057" t="s">
        <v>12</v>
      </c>
      <c r="E1057">
        <f t="shared" ca="1" si="16"/>
        <v>4463.6923076923122</v>
      </c>
    </row>
    <row r="1058" spans="1:5" x14ac:dyDescent="0.25">
      <c r="A1058">
        <v>26</v>
      </c>
      <c r="B1058">
        <v>14</v>
      </c>
      <c r="C1058" t="s">
        <v>25</v>
      </c>
      <c r="D1058" t="s">
        <v>13</v>
      </c>
      <c r="E1058">
        <f t="shared" ca="1" si="16"/>
        <v>25088.69230769229</v>
      </c>
    </row>
    <row r="1059" spans="1:5" x14ac:dyDescent="0.25">
      <c r="A1059">
        <v>26</v>
      </c>
      <c r="B1059">
        <v>15</v>
      </c>
      <c r="C1059" t="s">
        <v>25</v>
      </c>
      <c r="D1059" t="s">
        <v>14</v>
      </c>
      <c r="E1059">
        <f t="shared" ca="1" si="16"/>
        <v>48888.076923076893</v>
      </c>
    </row>
    <row r="1060" spans="1:5" x14ac:dyDescent="0.25">
      <c r="A1060">
        <v>26</v>
      </c>
      <c r="B1060">
        <v>16</v>
      </c>
      <c r="C1060" t="s">
        <v>25</v>
      </c>
      <c r="D1060" t="s">
        <v>15</v>
      </c>
      <c r="E1060">
        <f t="shared" ca="1" si="16"/>
        <v>38580.538461538497</v>
      </c>
    </row>
    <row r="1061" spans="1:5" x14ac:dyDescent="0.25">
      <c r="A1061">
        <v>26</v>
      </c>
      <c r="B1061">
        <v>17</v>
      </c>
      <c r="C1061" t="s">
        <v>25</v>
      </c>
      <c r="D1061" t="s">
        <v>16</v>
      </c>
      <c r="E1061">
        <f t="shared" ca="1" si="16"/>
        <v>65639.61538461539</v>
      </c>
    </row>
    <row r="1062" spans="1:5" x14ac:dyDescent="0.25">
      <c r="A1062">
        <v>26</v>
      </c>
      <c r="B1062">
        <v>18</v>
      </c>
      <c r="C1062" t="s">
        <v>25</v>
      </c>
      <c r="D1062" t="s">
        <v>17</v>
      </c>
      <c r="E1062">
        <f t="shared" ca="1" si="16"/>
        <v>24906.076923076893</v>
      </c>
    </row>
    <row r="1063" spans="1:5" x14ac:dyDescent="0.25">
      <c r="A1063">
        <v>26</v>
      </c>
      <c r="B1063">
        <v>19</v>
      </c>
      <c r="C1063" t="s">
        <v>25</v>
      </c>
      <c r="D1063" t="s">
        <v>18</v>
      </c>
      <c r="E1063">
        <f t="shared" ca="1" si="16"/>
        <v>2457.2307692307722</v>
      </c>
    </row>
    <row r="1064" spans="1:5" x14ac:dyDescent="0.25">
      <c r="A1064">
        <v>26</v>
      </c>
      <c r="B1064">
        <v>20</v>
      </c>
      <c r="C1064" t="s">
        <v>25</v>
      </c>
      <c r="D1064" t="s">
        <v>19</v>
      </c>
      <c r="E1064">
        <f t="shared" ca="1" si="16"/>
        <v>59628.999999999993</v>
      </c>
    </row>
    <row r="1065" spans="1:5" x14ac:dyDescent="0.25">
      <c r="A1065">
        <v>26</v>
      </c>
      <c r="B1065">
        <v>21</v>
      </c>
      <c r="C1065" t="s">
        <v>25</v>
      </c>
      <c r="D1065" t="s">
        <v>20</v>
      </c>
      <c r="E1065">
        <f t="shared" ca="1" si="16"/>
        <v>38473.615384615397</v>
      </c>
    </row>
    <row r="1066" spans="1:5" x14ac:dyDescent="0.25">
      <c r="A1066">
        <v>26</v>
      </c>
      <c r="B1066">
        <v>22</v>
      </c>
      <c r="C1066" t="s">
        <v>25</v>
      </c>
      <c r="D1066" t="s">
        <v>21</v>
      </c>
      <c r="E1066">
        <f t="shared" ca="1" si="16"/>
        <v>22913.461538461492</v>
      </c>
    </row>
    <row r="1067" spans="1:5" x14ac:dyDescent="0.25">
      <c r="A1067">
        <v>26</v>
      </c>
      <c r="B1067">
        <v>23</v>
      </c>
      <c r="C1067" t="s">
        <v>25</v>
      </c>
      <c r="D1067" t="s">
        <v>22</v>
      </c>
      <c r="E1067">
        <f t="shared" ca="1" si="16"/>
        <v>7592.0000000000027</v>
      </c>
    </row>
    <row r="1068" spans="1:5" x14ac:dyDescent="0.25">
      <c r="A1068">
        <v>26</v>
      </c>
      <c r="B1068">
        <v>24</v>
      </c>
      <c r="C1068" t="s">
        <v>25</v>
      </c>
      <c r="D1068" t="s">
        <v>23</v>
      </c>
      <c r="E1068">
        <f t="shared" ca="1" si="16"/>
        <v>8754.3846153846134</v>
      </c>
    </row>
    <row r="1069" spans="1:5" x14ac:dyDescent="0.25">
      <c r="A1069">
        <v>26</v>
      </c>
      <c r="B1069">
        <v>25</v>
      </c>
      <c r="C1069" t="s">
        <v>25</v>
      </c>
      <c r="D1069" t="s">
        <v>24</v>
      </c>
      <c r="E1069">
        <f t="shared" ca="1" si="16"/>
        <v>6359.0000000000027</v>
      </c>
    </row>
    <row r="1070" spans="1:5" x14ac:dyDescent="0.25">
      <c r="A1070">
        <v>26</v>
      </c>
      <c r="B1070">
        <v>26</v>
      </c>
      <c r="C1070" t="s">
        <v>25</v>
      </c>
      <c r="D1070" t="s">
        <v>25</v>
      </c>
      <c r="E1070">
        <f t="shared" ca="1" si="16"/>
        <v>0</v>
      </c>
    </row>
    <row r="1071" spans="1:5" x14ac:dyDescent="0.25">
      <c r="A1071">
        <v>26</v>
      </c>
      <c r="B1071">
        <v>27</v>
      </c>
      <c r="C1071" t="s">
        <v>25</v>
      </c>
      <c r="D1071" t="s">
        <v>145</v>
      </c>
      <c r="E1071">
        <f t="shared" ca="1" si="16"/>
        <v>60653.307692307695</v>
      </c>
    </row>
    <row r="1072" spans="1:5" x14ac:dyDescent="0.25">
      <c r="A1072">
        <v>26</v>
      </c>
      <c r="B1072">
        <v>28</v>
      </c>
      <c r="C1072" t="s">
        <v>25</v>
      </c>
      <c r="D1072" t="s">
        <v>147</v>
      </c>
      <c r="E1072">
        <f t="shared" ca="1" si="16"/>
        <v>37717.607692307698</v>
      </c>
    </row>
    <row r="1073" spans="1:5" x14ac:dyDescent="0.25">
      <c r="A1073">
        <v>26</v>
      </c>
      <c r="B1073">
        <v>29</v>
      </c>
      <c r="C1073" t="s">
        <v>25</v>
      </c>
      <c r="D1073" t="s">
        <v>146</v>
      </c>
      <c r="E1073">
        <f t="shared" ca="1" si="16"/>
        <v>8924.6076923076926</v>
      </c>
    </row>
    <row r="1074" spans="1:5" x14ac:dyDescent="0.25">
      <c r="A1074">
        <v>26</v>
      </c>
      <c r="B1074">
        <v>30</v>
      </c>
      <c r="C1074" t="s">
        <v>25</v>
      </c>
      <c r="D1074" t="s">
        <v>30</v>
      </c>
      <c r="E1074">
        <f t="shared" ca="1" si="16"/>
        <v>3813.7692307692323</v>
      </c>
    </row>
    <row r="1075" spans="1:5" x14ac:dyDescent="0.25">
      <c r="A1075">
        <v>26</v>
      </c>
      <c r="B1075">
        <v>31</v>
      </c>
      <c r="C1075" t="s">
        <v>25</v>
      </c>
      <c r="D1075" t="s">
        <v>31</v>
      </c>
      <c r="E1075">
        <f t="shared" ca="1" si="16"/>
        <v>1658.6923076923074</v>
      </c>
    </row>
    <row r="1076" spans="1:5" x14ac:dyDescent="0.25">
      <c r="A1076">
        <v>26</v>
      </c>
      <c r="B1076">
        <v>32</v>
      </c>
      <c r="C1076" t="s">
        <v>25</v>
      </c>
      <c r="D1076" t="s">
        <v>32</v>
      </c>
      <c r="E1076">
        <f t="shared" ca="1" si="16"/>
        <v>65336.076923076893</v>
      </c>
    </row>
    <row r="1077" spans="1:5" x14ac:dyDescent="0.25">
      <c r="A1077">
        <v>26</v>
      </c>
      <c r="B1077">
        <v>33</v>
      </c>
      <c r="C1077" t="s">
        <v>25</v>
      </c>
      <c r="D1077" t="s">
        <v>33</v>
      </c>
      <c r="E1077">
        <f t="shared" ca="1" si="16"/>
        <v>297946.61538461567</v>
      </c>
    </row>
    <row r="1078" spans="1:5" x14ac:dyDescent="0.25">
      <c r="A1078">
        <v>26</v>
      </c>
      <c r="B1078">
        <v>34</v>
      </c>
      <c r="C1078" t="s">
        <v>25</v>
      </c>
      <c r="D1078" t="s">
        <v>34</v>
      </c>
      <c r="E1078">
        <f t="shared" ca="1" si="16"/>
        <v>24264.923076923093</v>
      </c>
    </row>
    <row r="1079" spans="1:5" x14ac:dyDescent="0.25">
      <c r="A1079">
        <v>26</v>
      </c>
      <c r="B1079">
        <v>35</v>
      </c>
      <c r="C1079" t="s">
        <v>25</v>
      </c>
      <c r="D1079" t="s">
        <v>35</v>
      </c>
      <c r="E1079">
        <f t="shared" ca="1" si="16"/>
        <v>4889.1538461538421</v>
      </c>
    </row>
    <row r="1080" spans="1:5" x14ac:dyDescent="0.25">
      <c r="A1080">
        <v>26</v>
      </c>
      <c r="B1080">
        <v>36</v>
      </c>
      <c r="C1080" t="s">
        <v>25</v>
      </c>
      <c r="D1080" t="s">
        <v>36</v>
      </c>
      <c r="E1080">
        <f t="shared" ca="1" si="16"/>
        <v>11308.153846153891</v>
      </c>
    </row>
    <row r="1081" spans="1:5" x14ac:dyDescent="0.25">
      <c r="A1081">
        <v>26</v>
      </c>
      <c r="B1081">
        <v>37</v>
      </c>
      <c r="C1081" t="s">
        <v>25</v>
      </c>
      <c r="D1081" t="s">
        <v>37</v>
      </c>
      <c r="E1081">
        <f t="shared" ca="1" si="16"/>
        <v>1276.3076923076924</v>
      </c>
    </row>
    <row r="1082" spans="1:5" x14ac:dyDescent="0.25">
      <c r="A1082">
        <v>26</v>
      </c>
      <c r="B1082">
        <v>38</v>
      </c>
      <c r="C1082" t="s">
        <v>25</v>
      </c>
      <c r="D1082" t="s">
        <v>38</v>
      </c>
      <c r="E1082">
        <f t="shared" ca="1" si="16"/>
        <v>4346.6923076923122</v>
      </c>
    </row>
    <row r="1083" spans="1:5" x14ac:dyDescent="0.25">
      <c r="A1083">
        <v>26</v>
      </c>
      <c r="B1083">
        <v>39</v>
      </c>
      <c r="C1083" t="s">
        <v>25</v>
      </c>
      <c r="D1083" t="s">
        <v>39</v>
      </c>
      <c r="E1083">
        <f t="shared" ca="1" si="16"/>
        <v>10893.076923076922</v>
      </c>
    </row>
    <row r="1084" spans="1:5" x14ac:dyDescent="0.25">
      <c r="A1084">
        <v>26</v>
      </c>
      <c r="B1084">
        <v>40</v>
      </c>
      <c r="C1084" t="s">
        <v>25</v>
      </c>
      <c r="D1084" t="s">
        <v>40</v>
      </c>
      <c r="E1084">
        <f t="shared" ca="1" si="16"/>
        <v>23251.999999999993</v>
      </c>
    </row>
    <row r="1085" spans="1:5" x14ac:dyDescent="0.25">
      <c r="A1085">
        <v>27</v>
      </c>
      <c r="B1085">
        <v>1</v>
      </c>
      <c r="C1085" t="s">
        <v>145</v>
      </c>
      <c r="D1085" t="s">
        <v>0</v>
      </c>
      <c r="E1085">
        <f t="shared" ca="1" si="16"/>
        <v>125745.07142857141</v>
      </c>
    </row>
    <row r="1086" spans="1:5" x14ac:dyDescent="0.25">
      <c r="A1086">
        <v>27</v>
      </c>
      <c r="B1086">
        <v>2</v>
      </c>
      <c r="C1086" t="s">
        <v>145</v>
      </c>
      <c r="D1086" t="s">
        <v>1</v>
      </c>
      <c r="E1086">
        <f t="shared" ca="1" si="16"/>
        <v>54484.071428571398</v>
      </c>
    </row>
    <row r="1087" spans="1:5" x14ac:dyDescent="0.25">
      <c r="A1087">
        <v>27</v>
      </c>
      <c r="B1087">
        <v>3</v>
      </c>
      <c r="C1087" t="s">
        <v>145</v>
      </c>
      <c r="D1087" t="s">
        <v>2</v>
      </c>
      <c r="E1087">
        <f t="shared" ca="1" si="16"/>
        <v>49748.714285714304</v>
      </c>
    </row>
    <row r="1088" spans="1:5" x14ac:dyDescent="0.25">
      <c r="A1088">
        <v>27</v>
      </c>
      <c r="B1088">
        <v>4</v>
      </c>
      <c r="C1088" t="s">
        <v>145</v>
      </c>
      <c r="D1088" t="s">
        <v>3</v>
      </c>
      <c r="E1088">
        <f t="shared" ca="1" si="16"/>
        <v>64405.071428571398</v>
      </c>
    </row>
    <row r="1089" spans="1:5" x14ac:dyDescent="0.25">
      <c r="A1089">
        <v>27</v>
      </c>
      <c r="B1089">
        <v>5</v>
      </c>
      <c r="C1089" t="s">
        <v>145</v>
      </c>
      <c r="D1089" t="s">
        <v>4</v>
      </c>
      <c r="E1089">
        <f t="shared" ca="1" si="16"/>
        <v>98141.642857142899</v>
      </c>
    </row>
    <row r="1090" spans="1:5" x14ac:dyDescent="0.25">
      <c r="A1090">
        <v>27</v>
      </c>
      <c r="B1090">
        <v>6</v>
      </c>
      <c r="C1090" t="s">
        <v>145</v>
      </c>
      <c r="D1090" t="s">
        <v>5</v>
      </c>
      <c r="E1090">
        <f t="shared" ca="1" si="16"/>
        <v>46469.785714285696</v>
      </c>
    </row>
    <row r="1091" spans="1:5" x14ac:dyDescent="0.25">
      <c r="A1091">
        <v>27</v>
      </c>
      <c r="B1091">
        <v>7</v>
      </c>
      <c r="C1091" t="s">
        <v>145</v>
      </c>
      <c r="D1091" t="s">
        <v>6</v>
      </c>
      <c r="E1091">
        <f t="shared" ca="1" si="16"/>
        <v>38219.78571428571</v>
      </c>
    </row>
    <row r="1092" spans="1:5" x14ac:dyDescent="0.25">
      <c r="A1092">
        <v>27</v>
      </c>
      <c r="B1092">
        <v>8</v>
      </c>
      <c r="C1092" t="s">
        <v>145</v>
      </c>
      <c r="D1092" t="s">
        <v>7</v>
      </c>
      <c r="E1092">
        <f t="shared" ca="1" si="16"/>
        <v>67866.857142857101</v>
      </c>
    </row>
    <row r="1093" spans="1:5" x14ac:dyDescent="0.25">
      <c r="A1093">
        <v>27</v>
      </c>
      <c r="B1093">
        <v>9</v>
      </c>
      <c r="C1093" t="s">
        <v>145</v>
      </c>
      <c r="D1093" t="s">
        <v>148</v>
      </c>
      <c r="E1093">
        <f t="shared" ca="1" si="16"/>
        <v>33862.454545454544</v>
      </c>
    </row>
    <row r="1094" spans="1:5" x14ac:dyDescent="0.25">
      <c r="A1094">
        <v>27</v>
      </c>
      <c r="B1094">
        <v>10</v>
      </c>
      <c r="C1094" t="s">
        <v>145</v>
      </c>
      <c r="D1094" t="s">
        <v>9</v>
      </c>
      <c r="E1094">
        <f t="shared" ca="1" si="16"/>
        <v>54345.214285714304</v>
      </c>
    </row>
    <row r="1095" spans="1:5" x14ac:dyDescent="0.25">
      <c r="A1095">
        <v>27</v>
      </c>
      <c r="B1095">
        <v>11</v>
      </c>
      <c r="C1095" t="s">
        <v>145</v>
      </c>
      <c r="D1095" t="s">
        <v>10</v>
      </c>
      <c r="E1095">
        <f t="shared" ca="1" si="16"/>
        <v>54512.384615384595</v>
      </c>
    </row>
    <row r="1096" spans="1:5" x14ac:dyDescent="0.25">
      <c r="A1096">
        <v>27</v>
      </c>
      <c r="B1096">
        <v>12</v>
      </c>
      <c r="C1096" t="s">
        <v>145</v>
      </c>
      <c r="D1096" t="s">
        <v>11</v>
      </c>
      <c r="E1096">
        <f t="shared" ca="1" si="16"/>
        <v>51481</v>
      </c>
    </row>
    <row r="1097" spans="1:5" x14ac:dyDescent="0.25">
      <c r="A1097">
        <v>27</v>
      </c>
      <c r="B1097">
        <v>13</v>
      </c>
      <c r="C1097" t="s">
        <v>145</v>
      </c>
      <c r="D1097" t="s">
        <v>12</v>
      </c>
      <c r="E1097">
        <f t="shared" ca="1" si="16"/>
        <v>36559.384615384617</v>
      </c>
    </row>
    <row r="1098" spans="1:5" x14ac:dyDescent="0.25">
      <c r="A1098">
        <v>27</v>
      </c>
      <c r="B1098">
        <v>14</v>
      </c>
      <c r="C1098" t="s">
        <v>145</v>
      </c>
      <c r="D1098" t="s">
        <v>13</v>
      </c>
      <c r="E1098">
        <f t="shared" ca="1" si="16"/>
        <v>57184.384615384595</v>
      </c>
    </row>
    <row r="1099" spans="1:5" x14ac:dyDescent="0.25">
      <c r="A1099">
        <v>27</v>
      </c>
      <c r="B1099">
        <v>15</v>
      </c>
      <c r="C1099" t="s">
        <v>145</v>
      </c>
      <c r="D1099" t="s">
        <v>14</v>
      </c>
      <c r="E1099">
        <f t="shared" ca="1" si="16"/>
        <v>80983.76923076919</v>
      </c>
    </row>
    <row r="1100" spans="1:5" x14ac:dyDescent="0.25">
      <c r="A1100">
        <v>27</v>
      </c>
      <c r="B1100">
        <v>16</v>
      </c>
      <c r="C1100" t="s">
        <v>145</v>
      </c>
      <c r="D1100" t="s">
        <v>15</v>
      </c>
      <c r="E1100">
        <f t="shared" ca="1" si="16"/>
        <v>70676.23076923081</v>
      </c>
    </row>
    <row r="1101" spans="1:5" x14ac:dyDescent="0.25">
      <c r="A1101">
        <v>27</v>
      </c>
      <c r="B1101">
        <v>17</v>
      </c>
      <c r="C1101" t="s">
        <v>145</v>
      </c>
      <c r="D1101" t="s">
        <v>16</v>
      </c>
      <c r="E1101">
        <f t="shared" ca="1" si="16"/>
        <v>97735.307692307702</v>
      </c>
    </row>
    <row r="1102" spans="1:5" x14ac:dyDescent="0.25">
      <c r="A1102">
        <v>27</v>
      </c>
      <c r="B1102">
        <v>18</v>
      </c>
      <c r="C1102" t="s">
        <v>145</v>
      </c>
      <c r="D1102" t="s">
        <v>17</v>
      </c>
      <c r="E1102">
        <f t="shared" ca="1" si="16"/>
        <v>57001.769230769205</v>
      </c>
    </row>
    <row r="1103" spans="1:5" x14ac:dyDescent="0.25">
      <c r="A1103">
        <v>27</v>
      </c>
      <c r="B1103">
        <v>19</v>
      </c>
      <c r="C1103" t="s">
        <v>145</v>
      </c>
      <c r="D1103" t="s">
        <v>18</v>
      </c>
      <c r="E1103">
        <f t="shared" ca="1" si="16"/>
        <v>34552.923076923078</v>
      </c>
    </row>
    <row r="1104" spans="1:5" x14ac:dyDescent="0.25">
      <c r="A1104">
        <v>27</v>
      </c>
      <c r="B1104">
        <v>20</v>
      </c>
      <c r="C1104" t="s">
        <v>145</v>
      </c>
      <c r="D1104" t="s">
        <v>19</v>
      </c>
      <c r="E1104">
        <f t="shared" ca="1" si="16"/>
        <v>91724.692307692298</v>
      </c>
    </row>
    <row r="1105" spans="1:5" x14ac:dyDescent="0.25">
      <c r="A1105">
        <v>27</v>
      </c>
      <c r="B1105">
        <v>21</v>
      </c>
      <c r="C1105" t="s">
        <v>145</v>
      </c>
      <c r="D1105" t="s">
        <v>20</v>
      </c>
      <c r="E1105">
        <f t="shared" ca="1" si="16"/>
        <v>70569.307692307702</v>
      </c>
    </row>
    <row r="1106" spans="1:5" x14ac:dyDescent="0.25">
      <c r="A1106">
        <v>27</v>
      </c>
      <c r="B1106">
        <v>22</v>
      </c>
      <c r="C1106" t="s">
        <v>145</v>
      </c>
      <c r="D1106" t="s">
        <v>21</v>
      </c>
      <c r="E1106">
        <f t="shared" ca="1" si="16"/>
        <v>55009.1538461538</v>
      </c>
    </row>
    <row r="1107" spans="1:5" x14ac:dyDescent="0.25">
      <c r="A1107">
        <v>27</v>
      </c>
      <c r="B1107">
        <v>23</v>
      </c>
      <c r="C1107" t="s">
        <v>145</v>
      </c>
      <c r="D1107" t="s">
        <v>22</v>
      </c>
      <c r="E1107">
        <f t="shared" ca="1" si="16"/>
        <v>39687.692307692312</v>
      </c>
    </row>
    <row r="1108" spans="1:5" x14ac:dyDescent="0.25">
      <c r="A1108">
        <v>27</v>
      </c>
      <c r="B1108">
        <v>24</v>
      </c>
      <c r="C1108" t="s">
        <v>145</v>
      </c>
      <c r="D1108" t="s">
        <v>23</v>
      </c>
      <c r="E1108">
        <f t="shared" ref="E1108:E1129" ca="1" si="17">OFFSET($B$2,A1108,B1108)</f>
        <v>40850.076923076922</v>
      </c>
    </row>
    <row r="1109" spans="1:5" x14ac:dyDescent="0.25">
      <c r="A1109">
        <v>27</v>
      </c>
      <c r="B1109">
        <v>25</v>
      </c>
      <c r="C1109" t="s">
        <v>145</v>
      </c>
      <c r="D1109" t="s">
        <v>24</v>
      </c>
      <c r="E1109">
        <f t="shared" ca="1" si="17"/>
        <v>38454.692307692312</v>
      </c>
    </row>
    <row r="1110" spans="1:5" x14ac:dyDescent="0.25">
      <c r="A1110">
        <v>27</v>
      </c>
      <c r="B1110">
        <v>26</v>
      </c>
      <c r="C1110" t="s">
        <v>145</v>
      </c>
      <c r="D1110" t="s">
        <v>25</v>
      </c>
      <c r="E1110">
        <f t="shared" ca="1" si="17"/>
        <v>37533.769230769227</v>
      </c>
    </row>
    <row r="1111" spans="1:5" x14ac:dyDescent="0.25">
      <c r="A1111">
        <v>27</v>
      </c>
      <c r="B1111">
        <v>27</v>
      </c>
      <c r="C1111" t="s">
        <v>145</v>
      </c>
      <c r="D1111" t="s">
        <v>145</v>
      </c>
      <c r="E1111">
        <f t="shared" ca="1" si="17"/>
        <v>0</v>
      </c>
    </row>
    <row r="1112" spans="1:5" x14ac:dyDescent="0.25">
      <c r="A1112">
        <v>27</v>
      </c>
      <c r="B1112">
        <v>28</v>
      </c>
      <c r="C1112" t="s">
        <v>145</v>
      </c>
      <c r="D1112" t="s">
        <v>147</v>
      </c>
      <c r="E1112">
        <f t="shared" ca="1" si="17"/>
        <v>69813.3</v>
      </c>
    </row>
    <row r="1113" spans="1:5" x14ac:dyDescent="0.25">
      <c r="A1113">
        <v>27</v>
      </c>
      <c r="B1113">
        <v>29</v>
      </c>
      <c r="C1113" t="s">
        <v>145</v>
      </c>
      <c r="D1113" t="s">
        <v>146</v>
      </c>
      <c r="E1113">
        <f t="shared" ca="1" si="17"/>
        <v>41020.300000000003</v>
      </c>
    </row>
    <row r="1114" spans="1:5" x14ac:dyDescent="0.25">
      <c r="A1114">
        <v>27</v>
      </c>
      <c r="B1114">
        <v>30</v>
      </c>
      <c r="C1114" t="s">
        <v>145</v>
      </c>
      <c r="D1114" t="s">
        <v>30</v>
      </c>
      <c r="E1114">
        <f t="shared" ca="1" si="17"/>
        <v>35909.461538461539</v>
      </c>
    </row>
    <row r="1115" spans="1:5" x14ac:dyDescent="0.25">
      <c r="A1115">
        <v>27</v>
      </c>
      <c r="B1115">
        <v>31</v>
      </c>
      <c r="C1115" t="s">
        <v>145</v>
      </c>
      <c r="D1115" t="s">
        <v>31</v>
      </c>
      <c r="E1115">
        <f t="shared" ca="1" si="17"/>
        <v>33754.384615384617</v>
      </c>
    </row>
    <row r="1116" spans="1:5" x14ac:dyDescent="0.25">
      <c r="A1116">
        <v>27</v>
      </c>
      <c r="B1116">
        <v>32</v>
      </c>
      <c r="C1116" t="s">
        <v>145</v>
      </c>
      <c r="D1116" t="s">
        <v>32</v>
      </c>
      <c r="E1116">
        <f t="shared" ca="1" si="17"/>
        <v>97431.76923076919</v>
      </c>
    </row>
    <row r="1117" spans="1:5" x14ac:dyDescent="0.25">
      <c r="A1117">
        <v>27</v>
      </c>
      <c r="B1117">
        <v>33</v>
      </c>
      <c r="C1117" t="s">
        <v>145</v>
      </c>
      <c r="D1117" t="s">
        <v>33</v>
      </c>
      <c r="E1117">
        <f t="shared" ca="1" si="17"/>
        <v>330042.30769230798</v>
      </c>
    </row>
    <row r="1118" spans="1:5" x14ac:dyDescent="0.25">
      <c r="A1118">
        <v>27</v>
      </c>
      <c r="B1118">
        <v>34</v>
      </c>
      <c r="C1118" t="s">
        <v>145</v>
      </c>
      <c r="D1118" t="s">
        <v>34</v>
      </c>
      <c r="E1118">
        <f t="shared" ca="1" si="17"/>
        <v>56360.615384615405</v>
      </c>
    </row>
    <row r="1119" spans="1:5" x14ac:dyDescent="0.25">
      <c r="A1119">
        <v>27</v>
      </c>
      <c r="B1119">
        <v>35</v>
      </c>
      <c r="C1119" t="s">
        <v>145</v>
      </c>
      <c r="D1119" t="s">
        <v>35</v>
      </c>
      <c r="E1119">
        <f t="shared" ca="1" si="17"/>
        <v>36984.846153846149</v>
      </c>
    </row>
    <row r="1120" spans="1:5" x14ac:dyDescent="0.25">
      <c r="A1120">
        <v>27</v>
      </c>
      <c r="B1120">
        <v>36</v>
      </c>
      <c r="C1120" t="s">
        <v>145</v>
      </c>
      <c r="D1120" t="s">
        <v>36</v>
      </c>
      <c r="E1120">
        <f t="shared" ca="1" si="17"/>
        <v>43403.8461538462</v>
      </c>
    </row>
    <row r="1121" spans="1:5" x14ac:dyDescent="0.25">
      <c r="A1121">
        <v>27</v>
      </c>
      <c r="B1121">
        <v>37</v>
      </c>
      <c r="C1121" t="s">
        <v>145</v>
      </c>
      <c r="D1121" t="s">
        <v>37</v>
      </c>
      <c r="E1121">
        <f t="shared" ca="1" si="17"/>
        <v>33372</v>
      </c>
    </row>
    <row r="1122" spans="1:5" x14ac:dyDescent="0.25">
      <c r="A1122">
        <v>27</v>
      </c>
      <c r="B1122">
        <v>38</v>
      </c>
      <c r="C1122" t="s">
        <v>145</v>
      </c>
      <c r="D1122" t="s">
        <v>38</v>
      </c>
      <c r="E1122">
        <f t="shared" ca="1" si="17"/>
        <v>36442.384615384617</v>
      </c>
    </row>
    <row r="1123" spans="1:5" x14ac:dyDescent="0.25">
      <c r="A1123">
        <v>27</v>
      </c>
      <c r="B1123">
        <v>39</v>
      </c>
      <c r="C1123" t="s">
        <v>145</v>
      </c>
      <c r="D1123" t="s">
        <v>39</v>
      </c>
      <c r="E1123">
        <f t="shared" ca="1" si="17"/>
        <v>42988.769230769234</v>
      </c>
    </row>
    <row r="1124" spans="1:5" x14ac:dyDescent="0.25">
      <c r="A1124">
        <v>27</v>
      </c>
      <c r="B1124">
        <v>40</v>
      </c>
      <c r="C1124" t="s">
        <v>145</v>
      </c>
      <c r="D1124" t="s">
        <v>40</v>
      </c>
      <c r="E1124">
        <f t="shared" ca="1" si="17"/>
        <v>55347.692307692298</v>
      </c>
    </row>
    <row r="1125" spans="1:5" x14ac:dyDescent="0.25">
      <c r="A1125">
        <v>28</v>
      </c>
      <c r="B1125">
        <v>1</v>
      </c>
      <c r="C1125" t="s">
        <v>147</v>
      </c>
      <c r="D1125" t="s">
        <v>0</v>
      </c>
      <c r="E1125">
        <f t="shared" ca="1" si="17"/>
        <v>115757.87142857141</v>
      </c>
    </row>
    <row r="1126" spans="1:5" x14ac:dyDescent="0.25">
      <c r="A1126">
        <v>28</v>
      </c>
      <c r="B1126">
        <v>2</v>
      </c>
      <c r="C1126" t="s">
        <v>147</v>
      </c>
      <c r="D1126" t="s">
        <v>1</v>
      </c>
      <c r="E1126">
        <f t="shared" ca="1" si="17"/>
        <v>44496.871428571394</v>
      </c>
    </row>
    <row r="1127" spans="1:5" x14ac:dyDescent="0.25">
      <c r="A1127">
        <v>28</v>
      </c>
      <c r="B1127">
        <v>3</v>
      </c>
      <c r="C1127" t="s">
        <v>147</v>
      </c>
      <c r="D1127" t="s">
        <v>2</v>
      </c>
      <c r="E1127">
        <f t="shared" ca="1" si="17"/>
        <v>39761.5142857143</v>
      </c>
    </row>
    <row r="1128" spans="1:5" x14ac:dyDescent="0.25">
      <c r="A1128">
        <v>28</v>
      </c>
      <c r="B1128">
        <v>4</v>
      </c>
      <c r="C1128" t="s">
        <v>147</v>
      </c>
      <c r="D1128" t="s">
        <v>3</v>
      </c>
      <c r="E1128">
        <f t="shared" ca="1" si="17"/>
        <v>54417.871428571394</v>
      </c>
    </row>
    <row r="1129" spans="1:5" x14ac:dyDescent="0.25">
      <c r="A1129">
        <v>28</v>
      </c>
      <c r="B1129">
        <v>5</v>
      </c>
      <c r="C1129" t="s">
        <v>147</v>
      </c>
      <c r="D1129" t="s">
        <v>4</v>
      </c>
      <c r="E1129">
        <f t="shared" ca="1" si="17"/>
        <v>88154.442857142902</v>
      </c>
    </row>
    <row r="1130" spans="1:5" x14ac:dyDescent="0.25">
      <c r="A1130">
        <v>28</v>
      </c>
      <c r="B1130">
        <v>6</v>
      </c>
      <c r="C1130" t="s">
        <v>147</v>
      </c>
      <c r="D1130" t="s">
        <v>5</v>
      </c>
      <c r="E1130">
        <f t="shared" ref="E1130:E1191" ca="1" si="18">OFFSET($B$2,A1130,B1130)</f>
        <v>36482.585714285698</v>
      </c>
    </row>
    <row r="1131" spans="1:5" x14ac:dyDescent="0.25">
      <c r="A1131">
        <v>28</v>
      </c>
      <c r="B1131">
        <v>7</v>
      </c>
      <c r="C1131" t="s">
        <v>147</v>
      </c>
      <c r="D1131" t="s">
        <v>6</v>
      </c>
      <c r="E1131">
        <f t="shared" ca="1" si="18"/>
        <v>28232.585714285709</v>
      </c>
    </row>
    <row r="1132" spans="1:5" x14ac:dyDescent="0.25">
      <c r="A1132">
        <v>28</v>
      </c>
      <c r="B1132">
        <v>8</v>
      </c>
      <c r="C1132" t="s">
        <v>147</v>
      </c>
      <c r="D1132" t="s">
        <v>7</v>
      </c>
      <c r="E1132">
        <f t="shared" ca="1" si="18"/>
        <v>57879.657142857104</v>
      </c>
    </row>
    <row r="1133" spans="1:5" x14ac:dyDescent="0.25">
      <c r="A1133">
        <v>28</v>
      </c>
      <c r="B1133">
        <v>9</v>
      </c>
      <c r="C1133" t="s">
        <v>147</v>
      </c>
      <c r="D1133" t="s">
        <v>148</v>
      </c>
      <c r="E1133">
        <f t="shared" ca="1" si="18"/>
        <v>23875.254545454543</v>
      </c>
    </row>
    <row r="1134" spans="1:5" x14ac:dyDescent="0.25">
      <c r="A1134">
        <v>28</v>
      </c>
      <c r="B1134">
        <v>10</v>
      </c>
      <c r="C1134" t="s">
        <v>147</v>
      </c>
      <c r="D1134" t="s">
        <v>9</v>
      </c>
      <c r="E1134">
        <f t="shared" ca="1" si="18"/>
        <v>44358.0142857143</v>
      </c>
    </row>
    <row r="1135" spans="1:5" x14ac:dyDescent="0.25">
      <c r="A1135">
        <v>28</v>
      </c>
      <c r="B1135">
        <v>11</v>
      </c>
      <c r="C1135" t="s">
        <v>147</v>
      </c>
      <c r="D1135" t="s">
        <v>10</v>
      </c>
      <c r="E1135">
        <f t="shared" ca="1" si="18"/>
        <v>44525.184615384598</v>
      </c>
    </row>
    <row r="1136" spans="1:5" x14ac:dyDescent="0.25">
      <c r="A1136">
        <v>28</v>
      </c>
      <c r="B1136">
        <v>12</v>
      </c>
      <c r="C1136" t="s">
        <v>147</v>
      </c>
      <c r="D1136" t="s">
        <v>11</v>
      </c>
      <c r="E1136">
        <f t="shared" ca="1" si="18"/>
        <v>41493.800000000003</v>
      </c>
    </row>
    <row r="1137" spans="1:5" x14ac:dyDescent="0.25">
      <c r="A1137">
        <v>28</v>
      </c>
      <c r="B1137">
        <v>13</v>
      </c>
      <c r="C1137" t="s">
        <v>147</v>
      </c>
      <c r="D1137" t="s">
        <v>12</v>
      </c>
      <c r="E1137">
        <f t="shared" ca="1" si="18"/>
        <v>26572.18461538462</v>
      </c>
    </row>
    <row r="1138" spans="1:5" x14ac:dyDescent="0.25">
      <c r="A1138">
        <v>28</v>
      </c>
      <c r="B1138">
        <v>14</v>
      </c>
      <c r="C1138" t="s">
        <v>147</v>
      </c>
      <c r="D1138" t="s">
        <v>13</v>
      </c>
      <c r="E1138">
        <f t="shared" ca="1" si="18"/>
        <v>47197.184615384598</v>
      </c>
    </row>
    <row r="1139" spans="1:5" x14ac:dyDescent="0.25">
      <c r="A1139">
        <v>28</v>
      </c>
      <c r="B1139">
        <v>15</v>
      </c>
      <c r="C1139" t="s">
        <v>147</v>
      </c>
      <c r="D1139" t="s">
        <v>14</v>
      </c>
      <c r="E1139">
        <f t="shared" ca="1" si="18"/>
        <v>70996.569230769193</v>
      </c>
    </row>
    <row r="1140" spans="1:5" x14ac:dyDescent="0.25">
      <c r="A1140">
        <v>28</v>
      </c>
      <c r="B1140">
        <v>16</v>
      </c>
      <c r="C1140" t="s">
        <v>147</v>
      </c>
      <c r="D1140" t="s">
        <v>15</v>
      </c>
      <c r="E1140">
        <f t="shared" ca="1" si="18"/>
        <v>60689.030769230798</v>
      </c>
    </row>
    <row r="1141" spans="1:5" x14ac:dyDescent="0.25">
      <c r="A1141">
        <v>28</v>
      </c>
      <c r="B1141">
        <v>17</v>
      </c>
      <c r="C1141" t="s">
        <v>147</v>
      </c>
      <c r="D1141" t="s">
        <v>16</v>
      </c>
      <c r="E1141">
        <f t="shared" ca="1" si="18"/>
        <v>87748.107692307705</v>
      </c>
    </row>
    <row r="1142" spans="1:5" x14ac:dyDescent="0.25">
      <c r="A1142">
        <v>28</v>
      </c>
      <c r="B1142">
        <v>18</v>
      </c>
      <c r="C1142" t="s">
        <v>147</v>
      </c>
      <c r="D1142" t="s">
        <v>17</v>
      </c>
      <c r="E1142">
        <f t="shared" ca="1" si="18"/>
        <v>47014.569230769201</v>
      </c>
    </row>
    <row r="1143" spans="1:5" x14ac:dyDescent="0.25">
      <c r="A1143">
        <v>28</v>
      </c>
      <c r="B1143">
        <v>19</v>
      </c>
      <c r="C1143" t="s">
        <v>147</v>
      </c>
      <c r="D1143" t="s">
        <v>18</v>
      </c>
      <c r="E1143">
        <f t="shared" ca="1" si="18"/>
        <v>24565.723076923081</v>
      </c>
    </row>
    <row r="1144" spans="1:5" x14ac:dyDescent="0.25">
      <c r="A1144">
        <v>28</v>
      </c>
      <c r="B1144">
        <v>20</v>
      </c>
      <c r="C1144" t="s">
        <v>147</v>
      </c>
      <c r="D1144" t="s">
        <v>19</v>
      </c>
      <c r="E1144">
        <f t="shared" ca="1" si="18"/>
        <v>81737.492307692301</v>
      </c>
    </row>
    <row r="1145" spans="1:5" x14ac:dyDescent="0.25">
      <c r="A1145">
        <v>28</v>
      </c>
      <c r="B1145">
        <v>21</v>
      </c>
      <c r="C1145" t="s">
        <v>147</v>
      </c>
      <c r="D1145" t="s">
        <v>20</v>
      </c>
      <c r="E1145">
        <f t="shared" ca="1" si="18"/>
        <v>60582.107692307705</v>
      </c>
    </row>
    <row r="1146" spans="1:5" x14ac:dyDescent="0.25">
      <c r="A1146">
        <v>28</v>
      </c>
      <c r="B1146">
        <v>22</v>
      </c>
      <c r="C1146" t="s">
        <v>147</v>
      </c>
      <c r="D1146" t="s">
        <v>21</v>
      </c>
      <c r="E1146">
        <f t="shared" ca="1" si="18"/>
        <v>45021.953846153803</v>
      </c>
    </row>
    <row r="1147" spans="1:5" x14ac:dyDescent="0.25">
      <c r="A1147">
        <v>28</v>
      </c>
      <c r="B1147">
        <v>23</v>
      </c>
      <c r="C1147" t="s">
        <v>147</v>
      </c>
      <c r="D1147" t="s">
        <v>22</v>
      </c>
      <c r="E1147">
        <f t="shared" ca="1" si="18"/>
        <v>29700.492307692308</v>
      </c>
    </row>
    <row r="1148" spans="1:5" x14ac:dyDescent="0.25">
      <c r="A1148">
        <v>28</v>
      </c>
      <c r="B1148">
        <v>24</v>
      </c>
      <c r="C1148" t="s">
        <v>147</v>
      </c>
      <c r="D1148" t="s">
        <v>23</v>
      </c>
      <c r="E1148">
        <f t="shared" ca="1" si="18"/>
        <v>30862.876923076918</v>
      </c>
    </row>
    <row r="1149" spans="1:5" x14ac:dyDescent="0.25">
      <c r="A1149">
        <v>28</v>
      </c>
      <c r="B1149">
        <v>25</v>
      </c>
      <c r="C1149" t="s">
        <v>147</v>
      </c>
      <c r="D1149" t="s">
        <v>24</v>
      </c>
      <c r="E1149">
        <f t="shared" ca="1" si="18"/>
        <v>28467.492307692308</v>
      </c>
    </row>
    <row r="1150" spans="1:5" x14ac:dyDescent="0.25">
      <c r="A1150">
        <v>28</v>
      </c>
      <c r="B1150">
        <v>26</v>
      </c>
      <c r="C1150" t="s">
        <v>147</v>
      </c>
      <c r="D1150" t="s">
        <v>25</v>
      </c>
      <c r="E1150">
        <f t="shared" ca="1" si="18"/>
        <v>27546.56923076923</v>
      </c>
    </row>
    <row r="1151" spans="1:5" x14ac:dyDescent="0.25">
      <c r="A1151">
        <v>28</v>
      </c>
      <c r="B1151">
        <v>27</v>
      </c>
      <c r="C1151" t="s">
        <v>147</v>
      </c>
      <c r="D1151" t="s">
        <v>145</v>
      </c>
      <c r="E1151">
        <f t="shared" ca="1" si="18"/>
        <v>82761.8</v>
      </c>
    </row>
    <row r="1152" spans="1:5" x14ac:dyDescent="0.25">
      <c r="A1152">
        <v>28</v>
      </c>
      <c r="B1152">
        <v>28</v>
      </c>
      <c r="C1152" t="s">
        <v>147</v>
      </c>
      <c r="D1152" t="s">
        <v>147</v>
      </c>
      <c r="E1152">
        <f t="shared" ca="1" si="18"/>
        <v>0</v>
      </c>
    </row>
    <row r="1153" spans="1:5" x14ac:dyDescent="0.25">
      <c r="A1153">
        <v>28</v>
      </c>
      <c r="B1153">
        <v>29</v>
      </c>
      <c r="C1153" t="s">
        <v>147</v>
      </c>
      <c r="D1153" t="s">
        <v>146</v>
      </c>
      <c r="E1153">
        <f t="shared" ca="1" si="18"/>
        <v>31033.1</v>
      </c>
    </row>
    <row r="1154" spans="1:5" x14ac:dyDescent="0.25">
      <c r="A1154">
        <v>28</v>
      </c>
      <c r="B1154">
        <v>30</v>
      </c>
      <c r="C1154" t="s">
        <v>147</v>
      </c>
      <c r="D1154" t="s">
        <v>30</v>
      </c>
      <c r="E1154">
        <f t="shared" ca="1" si="18"/>
        <v>25922.261538461538</v>
      </c>
    </row>
    <row r="1155" spans="1:5" x14ac:dyDescent="0.25">
      <c r="A1155">
        <v>28</v>
      </c>
      <c r="B1155">
        <v>31</v>
      </c>
      <c r="C1155" t="s">
        <v>147</v>
      </c>
      <c r="D1155" t="s">
        <v>31</v>
      </c>
      <c r="E1155">
        <f t="shared" ca="1" si="18"/>
        <v>23767.184615384613</v>
      </c>
    </row>
    <row r="1156" spans="1:5" x14ac:dyDescent="0.25">
      <c r="A1156">
        <v>28</v>
      </c>
      <c r="B1156">
        <v>32</v>
      </c>
      <c r="C1156" t="s">
        <v>147</v>
      </c>
      <c r="D1156" t="s">
        <v>32</v>
      </c>
      <c r="E1156">
        <f t="shared" ca="1" si="18"/>
        <v>87444.569230769193</v>
      </c>
    </row>
    <row r="1157" spans="1:5" x14ac:dyDescent="0.25">
      <c r="A1157">
        <v>28</v>
      </c>
      <c r="B1157">
        <v>33</v>
      </c>
      <c r="C1157" t="s">
        <v>147</v>
      </c>
      <c r="D1157" t="s">
        <v>33</v>
      </c>
      <c r="E1157">
        <f t="shared" ca="1" si="18"/>
        <v>320055.10769230797</v>
      </c>
    </row>
    <row r="1158" spans="1:5" x14ac:dyDescent="0.25">
      <c r="A1158">
        <v>28</v>
      </c>
      <c r="B1158">
        <v>34</v>
      </c>
      <c r="C1158" t="s">
        <v>147</v>
      </c>
      <c r="D1158" t="s">
        <v>34</v>
      </c>
      <c r="E1158">
        <f t="shared" ca="1" si="18"/>
        <v>46373.4153846154</v>
      </c>
    </row>
    <row r="1159" spans="1:5" x14ac:dyDescent="0.25">
      <c r="A1159">
        <v>28</v>
      </c>
      <c r="B1159">
        <v>35</v>
      </c>
      <c r="C1159" t="s">
        <v>147</v>
      </c>
      <c r="D1159" t="s">
        <v>35</v>
      </c>
      <c r="E1159">
        <f t="shared" ca="1" si="18"/>
        <v>26997.646153846148</v>
      </c>
    </row>
    <row r="1160" spans="1:5" x14ac:dyDescent="0.25">
      <c r="A1160">
        <v>28</v>
      </c>
      <c r="B1160">
        <v>36</v>
      </c>
      <c r="C1160" t="s">
        <v>147</v>
      </c>
      <c r="D1160" t="s">
        <v>36</v>
      </c>
      <c r="E1160">
        <f t="shared" ca="1" si="18"/>
        <v>33416.646153846203</v>
      </c>
    </row>
    <row r="1161" spans="1:5" x14ac:dyDescent="0.25">
      <c r="A1161">
        <v>28</v>
      </c>
      <c r="B1161">
        <v>37</v>
      </c>
      <c r="C1161" t="s">
        <v>147</v>
      </c>
      <c r="D1161" t="s">
        <v>37</v>
      </c>
      <c r="E1161">
        <f t="shared" ca="1" si="18"/>
        <v>23384.799999999999</v>
      </c>
    </row>
    <row r="1162" spans="1:5" x14ac:dyDescent="0.25">
      <c r="A1162">
        <v>28</v>
      </c>
      <c r="B1162">
        <v>38</v>
      </c>
      <c r="C1162" t="s">
        <v>147</v>
      </c>
      <c r="D1162" t="s">
        <v>38</v>
      </c>
      <c r="E1162">
        <f t="shared" ca="1" si="18"/>
        <v>26455.18461538462</v>
      </c>
    </row>
    <row r="1163" spans="1:5" x14ac:dyDescent="0.25">
      <c r="A1163">
        <v>28</v>
      </c>
      <c r="B1163">
        <v>39</v>
      </c>
      <c r="C1163" t="s">
        <v>147</v>
      </c>
      <c r="D1163" t="s">
        <v>39</v>
      </c>
      <c r="E1163">
        <f t="shared" ca="1" si="18"/>
        <v>33001.56923076923</v>
      </c>
    </row>
    <row r="1164" spans="1:5" x14ac:dyDescent="0.25">
      <c r="A1164">
        <v>28</v>
      </c>
      <c r="B1164">
        <v>40</v>
      </c>
      <c r="C1164" t="s">
        <v>147</v>
      </c>
      <c r="D1164" t="s">
        <v>40</v>
      </c>
      <c r="E1164">
        <f t="shared" ca="1" si="18"/>
        <v>45360.492307692301</v>
      </c>
    </row>
    <row r="1165" spans="1:5" x14ac:dyDescent="0.25">
      <c r="A1165">
        <v>29</v>
      </c>
      <c r="B1165">
        <v>1</v>
      </c>
      <c r="C1165" t="s">
        <v>146</v>
      </c>
      <c r="D1165" t="s">
        <v>0</v>
      </c>
      <c r="E1165">
        <f t="shared" ca="1" si="18"/>
        <v>96498.4714285714</v>
      </c>
    </row>
    <row r="1166" spans="1:5" x14ac:dyDescent="0.25">
      <c r="A1166">
        <v>29</v>
      </c>
      <c r="B1166">
        <v>2</v>
      </c>
      <c r="C1166" t="s">
        <v>146</v>
      </c>
      <c r="D1166" t="s">
        <v>1</v>
      </c>
      <c r="E1166">
        <f t="shared" ca="1" si="18"/>
        <v>23054.37912087909</v>
      </c>
    </row>
    <row r="1167" spans="1:5" x14ac:dyDescent="0.25">
      <c r="A1167">
        <v>29</v>
      </c>
      <c r="B1167">
        <v>3</v>
      </c>
      <c r="C1167" t="s">
        <v>146</v>
      </c>
      <c r="D1167" t="s">
        <v>2</v>
      </c>
      <c r="E1167">
        <f t="shared" ca="1" si="18"/>
        <v>18319.021978021992</v>
      </c>
    </row>
    <row r="1168" spans="1:5" x14ac:dyDescent="0.25">
      <c r="A1168">
        <v>29</v>
      </c>
      <c r="B1168">
        <v>4</v>
      </c>
      <c r="C1168" t="s">
        <v>146</v>
      </c>
      <c r="D1168" t="s">
        <v>3</v>
      </c>
      <c r="E1168">
        <f t="shared" ca="1" si="18"/>
        <v>32975.379120879094</v>
      </c>
    </row>
    <row r="1169" spans="1:5" x14ac:dyDescent="0.25">
      <c r="A1169">
        <v>29</v>
      </c>
      <c r="B1169">
        <v>5</v>
      </c>
      <c r="C1169" t="s">
        <v>146</v>
      </c>
      <c r="D1169" t="s">
        <v>4</v>
      </c>
      <c r="E1169">
        <f t="shared" ca="1" si="18"/>
        <v>66711.950549450587</v>
      </c>
    </row>
    <row r="1170" spans="1:5" x14ac:dyDescent="0.25">
      <c r="A1170">
        <v>29</v>
      </c>
      <c r="B1170">
        <v>6</v>
      </c>
      <c r="C1170" t="s">
        <v>146</v>
      </c>
      <c r="D1170" t="s">
        <v>5</v>
      </c>
      <c r="E1170">
        <f t="shared" ca="1" si="18"/>
        <v>15040.093406593391</v>
      </c>
    </row>
    <row r="1171" spans="1:5" x14ac:dyDescent="0.25">
      <c r="A1171">
        <v>29</v>
      </c>
      <c r="B1171">
        <v>7</v>
      </c>
      <c r="C1171" t="s">
        <v>146</v>
      </c>
      <c r="D1171" t="s">
        <v>6</v>
      </c>
      <c r="E1171">
        <f t="shared" ca="1" si="18"/>
        <v>6790.0934065934025</v>
      </c>
    </row>
    <row r="1172" spans="1:5" x14ac:dyDescent="0.25">
      <c r="A1172">
        <v>29</v>
      </c>
      <c r="B1172">
        <v>8</v>
      </c>
      <c r="C1172" t="s">
        <v>146</v>
      </c>
      <c r="D1172" t="s">
        <v>7</v>
      </c>
      <c r="E1172">
        <f t="shared" ca="1" si="18"/>
        <v>36437.164835164796</v>
      </c>
    </row>
    <row r="1173" spans="1:5" x14ac:dyDescent="0.25">
      <c r="A1173">
        <v>29</v>
      </c>
      <c r="B1173">
        <v>9</v>
      </c>
      <c r="C1173" t="s">
        <v>146</v>
      </c>
      <c r="D1173" t="s">
        <v>148</v>
      </c>
      <c r="E1173">
        <f t="shared" ca="1" si="18"/>
        <v>2432.7622377622374</v>
      </c>
    </row>
    <row r="1174" spans="1:5" x14ac:dyDescent="0.25">
      <c r="A1174">
        <v>29</v>
      </c>
      <c r="B1174">
        <v>10</v>
      </c>
      <c r="C1174" t="s">
        <v>146</v>
      </c>
      <c r="D1174" t="s">
        <v>9</v>
      </c>
      <c r="E1174">
        <f t="shared" ca="1" si="18"/>
        <v>22915.521978021992</v>
      </c>
    </row>
    <row r="1175" spans="1:5" x14ac:dyDescent="0.25">
      <c r="A1175">
        <v>29</v>
      </c>
      <c r="B1175">
        <v>11</v>
      </c>
      <c r="C1175" t="s">
        <v>146</v>
      </c>
      <c r="D1175" t="s">
        <v>10</v>
      </c>
      <c r="E1175">
        <f t="shared" ca="1" si="18"/>
        <v>23082.69230769229</v>
      </c>
    </row>
    <row r="1176" spans="1:5" x14ac:dyDescent="0.25">
      <c r="A1176">
        <v>29</v>
      </c>
      <c r="B1176">
        <v>12</v>
      </c>
      <c r="C1176" t="s">
        <v>146</v>
      </c>
      <c r="D1176" t="s">
        <v>11</v>
      </c>
      <c r="E1176">
        <f t="shared" ca="1" si="18"/>
        <v>20051.307692307691</v>
      </c>
    </row>
    <row r="1177" spans="1:5" x14ac:dyDescent="0.25">
      <c r="A1177">
        <v>29</v>
      </c>
      <c r="B1177">
        <v>13</v>
      </c>
      <c r="C1177" t="s">
        <v>146</v>
      </c>
      <c r="D1177" t="s">
        <v>12</v>
      </c>
      <c r="E1177">
        <f t="shared" ca="1" si="18"/>
        <v>5129.6923076923122</v>
      </c>
    </row>
    <row r="1178" spans="1:5" x14ac:dyDescent="0.25">
      <c r="A1178">
        <v>29</v>
      </c>
      <c r="B1178">
        <v>14</v>
      </c>
      <c r="C1178" t="s">
        <v>146</v>
      </c>
      <c r="D1178" t="s">
        <v>13</v>
      </c>
      <c r="E1178">
        <f t="shared" ca="1" si="18"/>
        <v>25754.69230769229</v>
      </c>
    </row>
    <row r="1179" spans="1:5" x14ac:dyDescent="0.25">
      <c r="A1179">
        <v>29</v>
      </c>
      <c r="B1179">
        <v>15</v>
      </c>
      <c r="C1179" t="s">
        <v>146</v>
      </c>
      <c r="D1179" t="s">
        <v>14</v>
      </c>
      <c r="E1179">
        <f t="shared" ca="1" si="18"/>
        <v>49554.076923076893</v>
      </c>
    </row>
    <row r="1180" spans="1:5" x14ac:dyDescent="0.25">
      <c r="A1180">
        <v>29</v>
      </c>
      <c r="B1180">
        <v>16</v>
      </c>
      <c r="C1180" t="s">
        <v>146</v>
      </c>
      <c r="D1180" t="s">
        <v>15</v>
      </c>
      <c r="E1180">
        <f t="shared" ca="1" si="18"/>
        <v>39246.538461538497</v>
      </c>
    </row>
    <row r="1181" spans="1:5" x14ac:dyDescent="0.25">
      <c r="A1181">
        <v>29</v>
      </c>
      <c r="B1181">
        <v>17</v>
      </c>
      <c r="C1181" t="s">
        <v>146</v>
      </c>
      <c r="D1181" t="s">
        <v>16</v>
      </c>
      <c r="E1181">
        <f t="shared" ca="1" si="18"/>
        <v>66305.61538461539</v>
      </c>
    </row>
    <row r="1182" spans="1:5" x14ac:dyDescent="0.25">
      <c r="A1182">
        <v>29</v>
      </c>
      <c r="B1182">
        <v>18</v>
      </c>
      <c r="C1182" t="s">
        <v>146</v>
      </c>
      <c r="D1182" t="s">
        <v>17</v>
      </c>
      <c r="E1182">
        <f t="shared" ca="1" si="18"/>
        <v>25572.076923076893</v>
      </c>
    </row>
    <row r="1183" spans="1:5" x14ac:dyDescent="0.25">
      <c r="A1183">
        <v>29</v>
      </c>
      <c r="B1183">
        <v>19</v>
      </c>
      <c r="C1183" t="s">
        <v>146</v>
      </c>
      <c r="D1183" t="s">
        <v>18</v>
      </c>
      <c r="E1183">
        <f t="shared" ca="1" si="18"/>
        <v>3123.2307692307722</v>
      </c>
    </row>
    <row r="1184" spans="1:5" x14ac:dyDescent="0.25">
      <c r="A1184">
        <v>29</v>
      </c>
      <c r="B1184">
        <v>20</v>
      </c>
      <c r="C1184" t="s">
        <v>146</v>
      </c>
      <c r="D1184" t="s">
        <v>19</v>
      </c>
      <c r="E1184">
        <f t="shared" ca="1" si="18"/>
        <v>60294.999999999993</v>
      </c>
    </row>
    <row r="1185" spans="1:5" x14ac:dyDescent="0.25">
      <c r="A1185">
        <v>29</v>
      </c>
      <c r="B1185">
        <v>21</v>
      </c>
      <c r="C1185" t="s">
        <v>146</v>
      </c>
      <c r="D1185" t="s">
        <v>20</v>
      </c>
      <c r="E1185">
        <f t="shared" ca="1" si="18"/>
        <v>39139.615384615397</v>
      </c>
    </row>
    <row r="1186" spans="1:5" x14ac:dyDescent="0.25">
      <c r="A1186">
        <v>29</v>
      </c>
      <c r="B1186">
        <v>22</v>
      </c>
      <c r="C1186" t="s">
        <v>146</v>
      </c>
      <c r="D1186" t="s">
        <v>21</v>
      </c>
      <c r="E1186">
        <f t="shared" ca="1" si="18"/>
        <v>23579.461538461492</v>
      </c>
    </row>
    <row r="1187" spans="1:5" x14ac:dyDescent="0.25">
      <c r="A1187">
        <v>29</v>
      </c>
      <c r="B1187">
        <v>23</v>
      </c>
      <c r="C1187" t="s">
        <v>146</v>
      </c>
      <c r="D1187" t="s">
        <v>22</v>
      </c>
      <c r="E1187">
        <f t="shared" ca="1" si="18"/>
        <v>8258.0000000000036</v>
      </c>
    </row>
    <row r="1188" spans="1:5" x14ac:dyDescent="0.25">
      <c r="A1188">
        <v>29</v>
      </c>
      <c r="B1188">
        <v>24</v>
      </c>
      <c r="C1188" t="s">
        <v>146</v>
      </c>
      <c r="D1188" t="s">
        <v>23</v>
      </c>
      <c r="E1188">
        <f t="shared" ca="1" si="18"/>
        <v>9420.3846153846134</v>
      </c>
    </row>
    <row r="1189" spans="1:5" x14ac:dyDescent="0.25">
      <c r="A1189">
        <v>29</v>
      </c>
      <c r="B1189">
        <v>25</v>
      </c>
      <c r="C1189" t="s">
        <v>146</v>
      </c>
      <c r="D1189" t="s">
        <v>24</v>
      </c>
      <c r="E1189">
        <f t="shared" ca="1" si="18"/>
        <v>7025.0000000000027</v>
      </c>
    </row>
    <row r="1190" spans="1:5" x14ac:dyDescent="0.25">
      <c r="A1190">
        <v>29</v>
      </c>
      <c r="B1190">
        <v>26</v>
      </c>
      <c r="C1190" t="s">
        <v>146</v>
      </c>
      <c r="D1190" t="s">
        <v>25</v>
      </c>
      <c r="E1190">
        <f t="shared" ca="1" si="18"/>
        <v>6104.076923076922</v>
      </c>
    </row>
    <row r="1191" spans="1:5" x14ac:dyDescent="0.25">
      <c r="A1191">
        <v>29</v>
      </c>
      <c r="B1191">
        <v>27</v>
      </c>
      <c r="C1191" t="s">
        <v>146</v>
      </c>
      <c r="D1191" t="s">
        <v>145</v>
      </c>
      <c r="E1191">
        <f t="shared" ca="1" si="18"/>
        <v>61319.307692307695</v>
      </c>
    </row>
    <row r="1192" spans="1:5" x14ac:dyDescent="0.25">
      <c r="A1192">
        <v>29</v>
      </c>
      <c r="B1192">
        <v>28</v>
      </c>
      <c r="C1192" t="s">
        <v>146</v>
      </c>
      <c r="D1192" t="s">
        <v>147</v>
      </c>
      <c r="E1192">
        <f t="shared" ref="E1192:E1254" ca="1" si="19">OFFSET($B$2,A1192,B1192)</f>
        <v>38383.607692307698</v>
      </c>
    </row>
    <row r="1193" spans="1:5" x14ac:dyDescent="0.25">
      <c r="A1193">
        <v>29</v>
      </c>
      <c r="B1193">
        <v>29</v>
      </c>
      <c r="C1193" t="s">
        <v>146</v>
      </c>
      <c r="D1193" t="s">
        <v>146</v>
      </c>
      <c r="E1193">
        <f t="shared" ca="1" si="19"/>
        <v>0</v>
      </c>
    </row>
    <row r="1194" spans="1:5" x14ac:dyDescent="0.25">
      <c r="A1194">
        <v>29</v>
      </c>
      <c r="B1194">
        <v>30</v>
      </c>
      <c r="C1194" t="s">
        <v>146</v>
      </c>
      <c r="D1194" t="s">
        <v>30</v>
      </c>
      <c r="E1194">
        <f t="shared" ca="1" si="19"/>
        <v>4479.7692307692323</v>
      </c>
    </row>
    <row r="1195" spans="1:5" x14ac:dyDescent="0.25">
      <c r="A1195">
        <v>29</v>
      </c>
      <c r="B1195">
        <v>31</v>
      </c>
      <c r="C1195" t="s">
        <v>146</v>
      </c>
      <c r="D1195" t="s">
        <v>31</v>
      </c>
      <c r="E1195">
        <f t="shared" ca="1" si="19"/>
        <v>2324.6923076923076</v>
      </c>
    </row>
    <row r="1196" spans="1:5" x14ac:dyDescent="0.25">
      <c r="A1196">
        <v>29</v>
      </c>
      <c r="B1196">
        <v>32</v>
      </c>
      <c r="C1196" t="s">
        <v>146</v>
      </c>
      <c r="D1196" t="s">
        <v>32</v>
      </c>
      <c r="E1196">
        <f t="shared" ca="1" si="19"/>
        <v>66002.076923076893</v>
      </c>
    </row>
    <row r="1197" spans="1:5" x14ac:dyDescent="0.25">
      <c r="A1197">
        <v>29</v>
      </c>
      <c r="B1197">
        <v>33</v>
      </c>
      <c r="C1197" t="s">
        <v>146</v>
      </c>
      <c r="D1197" t="s">
        <v>33</v>
      </c>
      <c r="E1197">
        <f t="shared" ca="1" si="19"/>
        <v>298612.61538461567</v>
      </c>
    </row>
    <row r="1198" spans="1:5" x14ac:dyDescent="0.25">
      <c r="A1198">
        <v>29</v>
      </c>
      <c r="B1198">
        <v>34</v>
      </c>
      <c r="C1198" t="s">
        <v>146</v>
      </c>
      <c r="D1198" t="s">
        <v>34</v>
      </c>
      <c r="E1198">
        <f t="shared" ca="1" si="19"/>
        <v>24930.923076923093</v>
      </c>
    </row>
    <row r="1199" spans="1:5" x14ac:dyDescent="0.25">
      <c r="A1199">
        <v>29</v>
      </c>
      <c r="B1199">
        <v>35</v>
      </c>
      <c r="C1199" t="s">
        <v>146</v>
      </c>
      <c r="D1199" t="s">
        <v>35</v>
      </c>
      <c r="E1199">
        <f t="shared" ca="1" si="19"/>
        <v>5555.1538461538421</v>
      </c>
    </row>
    <row r="1200" spans="1:5" x14ac:dyDescent="0.25">
      <c r="A1200">
        <v>29</v>
      </c>
      <c r="B1200">
        <v>36</v>
      </c>
      <c r="C1200" t="s">
        <v>146</v>
      </c>
      <c r="D1200" t="s">
        <v>36</v>
      </c>
      <c r="E1200">
        <f t="shared" ca="1" si="19"/>
        <v>11974.153846153891</v>
      </c>
    </row>
    <row r="1201" spans="1:5" x14ac:dyDescent="0.25">
      <c r="A1201">
        <v>29</v>
      </c>
      <c r="B1201">
        <v>37</v>
      </c>
      <c r="C1201" t="s">
        <v>146</v>
      </c>
      <c r="D1201" t="s">
        <v>37</v>
      </c>
      <c r="E1201">
        <f t="shared" ca="1" si="19"/>
        <v>1942.3076923076924</v>
      </c>
    </row>
    <row r="1202" spans="1:5" x14ac:dyDescent="0.25">
      <c r="A1202">
        <v>29</v>
      </c>
      <c r="B1202">
        <v>38</v>
      </c>
      <c r="C1202" t="s">
        <v>146</v>
      </c>
      <c r="D1202" t="s">
        <v>38</v>
      </c>
      <c r="E1202">
        <f t="shared" ca="1" si="19"/>
        <v>5012.6923076923122</v>
      </c>
    </row>
    <row r="1203" spans="1:5" x14ac:dyDescent="0.25">
      <c r="A1203">
        <v>29</v>
      </c>
      <c r="B1203">
        <v>39</v>
      </c>
      <c r="C1203" t="s">
        <v>146</v>
      </c>
      <c r="D1203" t="s">
        <v>39</v>
      </c>
      <c r="E1203">
        <f t="shared" ca="1" si="19"/>
        <v>11559.076923076922</v>
      </c>
    </row>
    <row r="1204" spans="1:5" x14ac:dyDescent="0.25">
      <c r="A1204">
        <v>29</v>
      </c>
      <c r="B1204">
        <v>40</v>
      </c>
      <c r="C1204" t="s">
        <v>146</v>
      </c>
      <c r="D1204" t="s">
        <v>40</v>
      </c>
      <c r="E1204">
        <f t="shared" ca="1" si="19"/>
        <v>23917.999999999993</v>
      </c>
    </row>
    <row r="1205" spans="1:5" x14ac:dyDescent="0.25">
      <c r="A1205">
        <v>30</v>
      </c>
      <c r="B1205">
        <v>1</v>
      </c>
      <c r="C1205" t="s">
        <v>30</v>
      </c>
      <c r="D1205" t="s">
        <v>0</v>
      </c>
      <c r="E1205">
        <f t="shared" ca="1" si="19"/>
        <v>94315.379120879094</v>
      </c>
    </row>
    <row r="1206" spans="1:5" x14ac:dyDescent="0.25">
      <c r="A1206">
        <v>30</v>
      </c>
      <c r="B1206">
        <v>2</v>
      </c>
      <c r="C1206" t="s">
        <v>30</v>
      </c>
      <c r="D1206" t="s">
        <v>1</v>
      </c>
      <c r="E1206">
        <f t="shared" ca="1" si="19"/>
        <v>23054.37912087909</v>
      </c>
    </row>
    <row r="1207" spans="1:5" x14ac:dyDescent="0.25">
      <c r="A1207">
        <v>30</v>
      </c>
      <c r="B1207">
        <v>3</v>
      </c>
      <c r="C1207" t="s">
        <v>30</v>
      </c>
      <c r="D1207" t="s">
        <v>2</v>
      </c>
      <c r="E1207">
        <f t="shared" ca="1" si="19"/>
        <v>18319.021978021992</v>
      </c>
    </row>
    <row r="1208" spans="1:5" x14ac:dyDescent="0.25">
      <c r="A1208">
        <v>30</v>
      </c>
      <c r="B1208">
        <v>4</v>
      </c>
      <c r="C1208" t="s">
        <v>30</v>
      </c>
      <c r="D1208" t="s">
        <v>3</v>
      </c>
      <c r="E1208">
        <f t="shared" ca="1" si="19"/>
        <v>32975.379120879094</v>
      </c>
    </row>
    <row r="1209" spans="1:5" x14ac:dyDescent="0.25">
      <c r="A1209">
        <v>30</v>
      </c>
      <c r="B1209">
        <v>5</v>
      </c>
      <c r="C1209" t="s">
        <v>30</v>
      </c>
      <c r="D1209" t="s">
        <v>4</v>
      </c>
      <c r="E1209">
        <f t="shared" ca="1" si="19"/>
        <v>66711.950549450587</v>
      </c>
    </row>
    <row r="1210" spans="1:5" x14ac:dyDescent="0.25">
      <c r="A1210">
        <v>30</v>
      </c>
      <c r="B1210">
        <v>6</v>
      </c>
      <c r="C1210" t="s">
        <v>30</v>
      </c>
      <c r="D1210" t="s">
        <v>5</v>
      </c>
      <c r="E1210">
        <f t="shared" ca="1" si="19"/>
        <v>15040.093406593391</v>
      </c>
    </row>
    <row r="1211" spans="1:5" x14ac:dyDescent="0.25">
      <c r="A1211">
        <v>30</v>
      </c>
      <c r="B1211">
        <v>7</v>
      </c>
      <c r="C1211" t="s">
        <v>30</v>
      </c>
      <c r="D1211" t="s">
        <v>6</v>
      </c>
      <c r="E1211">
        <f t="shared" ca="1" si="19"/>
        <v>6790.0934065934025</v>
      </c>
    </row>
    <row r="1212" spans="1:5" x14ac:dyDescent="0.25">
      <c r="A1212">
        <v>30</v>
      </c>
      <c r="B1212">
        <v>8</v>
      </c>
      <c r="C1212" t="s">
        <v>30</v>
      </c>
      <c r="D1212" t="s">
        <v>7</v>
      </c>
      <c r="E1212">
        <f t="shared" ca="1" si="19"/>
        <v>36437.164835164796</v>
      </c>
    </row>
    <row r="1213" spans="1:5" x14ac:dyDescent="0.25">
      <c r="A1213">
        <v>30</v>
      </c>
      <c r="B1213">
        <v>9</v>
      </c>
      <c r="C1213" t="s">
        <v>30</v>
      </c>
      <c r="D1213" t="s">
        <v>148</v>
      </c>
      <c r="E1213">
        <f t="shared" ca="1" si="19"/>
        <v>2432.7622377622374</v>
      </c>
    </row>
    <row r="1214" spans="1:5" x14ac:dyDescent="0.25">
      <c r="A1214">
        <v>30</v>
      </c>
      <c r="B1214">
        <v>10</v>
      </c>
      <c r="C1214" t="s">
        <v>30</v>
      </c>
      <c r="D1214" t="s">
        <v>9</v>
      </c>
      <c r="E1214">
        <f t="shared" ca="1" si="19"/>
        <v>22915.521978021992</v>
      </c>
    </row>
    <row r="1215" spans="1:5" x14ac:dyDescent="0.25">
      <c r="A1215">
        <v>30</v>
      </c>
      <c r="B1215">
        <v>11</v>
      </c>
      <c r="C1215" t="s">
        <v>30</v>
      </c>
      <c r="D1215" t="s">
        <v>10</v>
      </c>
      <c r="E1215">
        <f t="shared" ca="1" si="19"/>
        <v>23082.69230769229</v>
      </c>
    </row>
    <row r="1216" spans="1:5" x14ac:dyDescent="0.25">
      <c r="A1216">
        <v>30</v>
      </c>
      <c r="B1216">
        <v>12</v>
      </c>
      <c r="C1216" t="s">
        <v>30</v>
      </c>
      <c r="D1216" t="s">
        <v>11</v>
      </c>
      <c r="E1216">
        <f t="shared" ca="1" si="19"/>
        <v>20051.307692307691</v>
      </c>
    </row>
    <row r="1217" spans="1:5" x14ac:dyDescent="0.25">
      <c r="A1217">
        <v>30</v>
      </c>
      <c r="B1217">
        <v>13</v>
      </c>
      <c r="C1217" t="s">
        <v>30</v>
      </c>
      <c r="D1217" t="s">
        <v>12</v>
      </c>
      <c r="E1217">
        <f t="shared" ca="1" si="19"/>
        <v>5129.6923076923122</v>
      </c>
    </row>
    <row r="1218" spans="1:5" x14ac:dyDescent="0.25">
      <c r="A1218">
        <v>30</v>
      </c>
      <c r="B1218">
        <v>14</v>
      </c>
      <c r="C1218" t="s">
        <v>30</v>
      </c>
      <c r="D1218" t="s">
        <v>13</v>
      </c>
      <c r="E1218">
        <f t="shared" ca="1" si="19"/>
        <v>25754.69230769229</v>
      </c>
    </row>
    <row r="1219" spans="1:5" x14ac:dyDescent="0.25">
      <c r="A1219">
        <v>30</v>
      </c>
      <c r="B1219">
        <v>15</v>
      </c>
      <c r="C1219" t="s">
        <v>30</v>
      </c>
      <c r="D1219" t="s">
        <v>14</v>
      </c>
      <c r="E1219">
        <f t="shared" ca="1" si="19"/>
        <v>49554.076923076893</v>
      </c>
    </row>
    <row r="1220" spans="1:5" x14ac:dyDescent="0.25">
      <c r="A1220">
        <v>30</v>
      </c>
      <c r="B1220">
        <v>16</v>
      </c>
      <c r="C1220" t="s">
        <v>30</v>
      </c>
      <c r="D1220" t="s">
        <v>15</v>
      </c>
      <c r="E1220">
        <f t="shared" ca="1" si="19"/>
        <v>39246.538461538497</v>
      </c>
    </row>
    <row r="1221" spans="1:5" x14ac:dyDescent="0.25">
      <c r="A1221">
        <v>30</v>
      </c>
      <c r="B1221">
        <v>17</v>
      </c>
      <c r="C1221" t="s">
        <v>30</v>
      </c>
      <c r="D1221" t="s">
        <v>16</v>
      </c>
      <c r="E1221">
        <f t="shared" ca="1" si="19"/>
        <v>66305.61538461539</v>
      </c>
    </row>
    <row r="1222" spans="1:5" x14ac:dyDescent="0.25">
      <c r="A1222">
        <v>30</v>
      </c>
      <c r="B1222">
        <v>18</v>
      </c>
      <c r="C1222" t="s">
        <v>30</v>
      </c>
      <c r="D1222" t="s">
        <v>17</v>
      </c>
      <c r="E1222">
        <f t="shared" ca="1" si="19"/>
        <v>25572.076923076893</v>
      </c>
    </row>
    <row r="1223" spans="1:5" x14ac:dyDescent="0.25">
      <c r="A1223">
        <v>30</v>
      </c>
      <c r="B1223">
        <v>19</v>
      </c>
      <c r="C1223" t="s">
        <v>30</v>
      </c>
      <c r="D1223" t="s">
        <v>18</v>
      </c>
      <c r="E1223">
        <f t="shared" ca="1" si="19"/>
        <v>3123.2307692307722</v>
      </c>
    </row>
    <row r="1224" spans="1:5" x14ac:dyDescent="0.25">
      <c r="A1224">
        <v>30</v>
      </c>
      <c r="B1224">
        <v>20</v>
      </c>
      <c r="C1224" t="s">
        <v>30</v>
      </c>
      <c r="D1224" t="s">
        <v>19</v>
      </c>
      <c r="E1224">
        <f t="shared" ca="1" si="19"/>
        <v>60294.999999999993</v>
      </c>
    </row>
    <row r="1225" spans="1:5" x14ac:dyDescent="0.25">
      <c r="A1225">
        <v>30</v>
      </c>
      <c r="B1225">
        <v>21</v>
      </c>
      <c r="C1225" t="s">
        <v>30</v>
      </c>
      <c r="D1225" t="s">
        <v>20</v>
      </c>
      <c r="E1225">
        <f t="shared" ca="1" si="19"/>
        <v>39139.615384615397</v>
      </c>
    </row>
    <row r="1226" spans="1:5" x14ac:dyDescent="0.25">
      <c r="A1226">
        <v>30</v>
      </c>
      <c r="B1226">
        <v>22</v>
      </c>
      <c r="C1226" t="s">
        <v>30</v>
      </c>
      <c r="D1226" t="s">
        <v>21</v>
      </c>
      <c r="E1226">
        <f t="shared" ca="1" si="19"/>
        <v>23579.461538461492</v>
      </c>
    </row>
    <row r="1227" spans="1:5" x14ac:dyDescent="0.25">
      <c r="A1227">
        <v>30</v>
      </c>
      <c r="B1227">
        <v>23</v>
      </c>
      <c r="C1227" t="s">
        <v>30</v>
      </c>
      <c r="D1227" t="s">
        <v>22</v>
      </c>
      <c r="E1227">
        <f t="shared" ca="1" si="19"/>
        <v>8258.0000000000036</v>
      </c>
    </row>
    <row r="1228" spans="1:5" x14ac:dyDescent="0.25">
      <c r="A1228">
        <v>30</v>
      </c>
      <c r="B1228">
        <v>24</v>
      </c>
      <c r="C1228" t="s">
        <v>30</v>
      </c>
      <c r="D1228" t="s">
        <v>23</v>
      </c>
      <c r="E1228">
        <f t="shared" ca="1" si="19"/>
        <v>9420.3846153846134</v>
      </c>
    </row>
    <row r="1229" spans="1:5" x14ac:dyDescent="0.25">
      <c r="A1229">
        <v>30</v>
      </c>
      <c r="B1229">
        <v>25</v>
      </c>
      <c r="C1229" t="s">
        <v>30</v>
      </c>
      <c r="D1229" t="s">
        <v>24</v>
      </c>
      <c r="E1229">
        <f t="shared" ca="1" si="19"/>
        <v>7025.0000000000027</v>
      </c>
    </row>
    <row r="1230" spans="1:5" x14ac:dyDescent="0.25">
      <c r="A1230">
        <v>30</v>
      </c>
      <c r="B1230">
        <v>26</v>
      </c>
      <c r="C1230" t="s">
        <v>30</v>
      </c>
      <c r="D1230" t="s">
        <v>25</v>
      </c>
      <c r="E1230">
        <f t="shared" ca="1" si="19"/>
        <v>6104.076923076922</v>
      </c>
    </row>
    <row r="1231" spans="1:5" x14ac:dyDescent="0.25">
      <c r="A1231">
        <v>30</v>
      </c>
      <c r="B1231">
        <v>27</v>
      </c>
      <c r="C1231" t="s">
        <v>30</v>
      </c>
      <c r="D1231" t="s">
        <v>145</v>
      </c>
      <c r="E1231">
        <f t="shared" ca="1" si="19"/>
        <v>61319.307692307695</v>
      </c>
    </row>
    <row r="1232" spans="1:5" x14ac:dyDescent="0.25">
      <c r="A1232">
        <v>30</v>
      </c>
      <c r="B1232">
        <v>28</v>
      </c>
      <c r="C1232" t="s">
        <v>30</v>
      </c>
      <c r="D1232" t="s">
        <v>147</v>
      </c>
      <c r="E1232">
        <f t="shared" ca="1" si="19"/>
        <v>38383.607692307698</v>
      </c>
    </row>
    <row r="1233" spans="1:5" x14ac:dyDescent="0.25">
      <c r="A1233">
        <v>30</v>
      </c>
      <c r="B1233">
        <v>29</v>
      </c>
      <c r="C1233" t="s">
        <v>30</v>
      </c>
      <c r="D1233" t="s">
        <v>146</v>
      </c>
      <c r="E1233">
        <f t="shared" ca="1" si="19"/>
        <v>9590.6076923076926</v>
      </c>
    </row>
    <row r="1234" spans="1:5" x14ac:dyDescent="0.25">
      <c r="A1234">
        <v>30</v>
      </c>
      <c r="B1234">
        <v>30</v>
      </c>
      <c r="C1234" t="s">
        <v>30</v>
      </c>
      <c r="D1234" t="s">
        <v>30</v>
      </c>
      <c r="E1234">
        <f t="shared" ca="1" si="19"/>
        <v>0</v>
      </c>
    </row>
    <row r="1235" spans="1:5" x14ac:dyDescent="0.25">
      <c r="A1235">
        <v>30</v>
      </c>
      <c r="B1235">
        <v>31</v>
      </c>
      <c r="C1235" t="s">
        <v>30</v>
      </c>
      <c r="D1235" t="s">
        <v>31</v>
      </c>
      <c r="E1235">
        <f t="shared" ca="1" si="19"/>
        <v>2324.6923076923076</v>
      </c>
    </row>
    <row r="1236" spans="1:5" x14ac:dyDescent="0.25">
      <c r="A1236">
        <v>30</v>
      </c>
      <c r="B1236">
        <v>32</v>
      </c>
      <c r="C1236" t="s">
        <v>30</v>
      </c>
      <c r="D1236" t="s">
        <v>32</v>
      </c>
      <c r="E1236">
        <f t="shared" ca="1" si="19"/>
        <v>66002.076923076893</v>
      </c>
    </row>
    <row r="1237" spans="1:5" x14ac:dyDescent="0.25">
      <c r="A1237">
        <v>30</v>
      </c>
      <c r="B1237">
        <v>33</v>
      </c>
      <c r="C1237" t="s">
        <v>30</v>
      </c>
      <c r="D1237" t="s">
        <v>33</v>
      </c>
      <c r="E1237">
        <f t="shared" ca="1" si="19"/>
        <v>298612.61538461567</v>
      </c>
    </row>
    <row r="1238" spans="1:5" x14ac:dyDescent="0.25">
      <c r="A1238">
        <v>30</v>
      </c>
      <c r="B1238">
        <v>34</v>
      </c>
      <c r="C1238" t="s">
        <v>30</v>
      </c>
      <c r="D1238" t="s">
        <v>34</v>
      </c>
      <c r="E1238">
        <f t="shared" ca="1" si="19"/>
        <v>24930.923076923093</v>
      </c>
    </row>
    <row r="1239" spans="1:5" x14ac:dyDescent="0.25">
      <c r="A1239">
        <v>30</v>
      </c>
      <c r="B1239">
        <v>35</v>
      </c>
      <c r="C1239" t="s">
        <v>30</v>
      </c>
      <c r="D1239" t="s">
        <v>35</v>
      </c>
      <c r="E1239">
        <f t="shared" ca="1" si="19"/>
        <v>5555.1538461538421</v>
      </c>
    </row>
    <row r="1240" spans="1:5" x14ac:dyDescent="0.25">
      <c r="A1240">
        <v>30</v>
      </c>
      <c r="B1240">
        <v>36</v>
      </c>
      <c r="C1240" t="s">
        <v>30</v>
      </c>
      <c r="D1240" t="s">
        <v>36</v>
      </c>
      <c r="E1240">
        <f t="shared" ca="1" si="19"/>
        <v>11974.153846153891</v>
      </c>
    </row>
    <row r="1241" spans="1:5" x14ac:dyDescent="0.25">
      <c r="A1241">
        <v>30</v>
      </c>
      <c r="B1241">
        <v>37</v>
      </c>
      <c r="C1241" t="s">
        <v>30</v>
      </c>
      <c r="D1241" t="s">
        <v>37</v>
      </c>
      <c r="E1241">
        <f t="shared" ca="1" si="19"/>
        <v>1942.3076923076924</v>
      </c>
    </row>
    <row r="1242" spans="1:5" x14ac:dyDescent="0.25">
      <c r="A1242">
        <v>30</v>
      </c>
      <c r="B1242">
        <v>38</v>
      </c>
      <c r="C1242" t="s">
        <v>30</v>
      </c>
      <c r="D1242" t="s">
        <v>38</v>
      </c>
      <c r="E1242">
        <f t="shared" ca="1" si="19"/>
        <v>5012.6923076923122</v>
      </c>
    </row>
    <row r="1243" spans="1:5" x14ac:dyDescent="0.25">
      <c r="A1243">
        <v>30</v>
      </c>
      <c r="B1243">
        <v>39</v>
      </c>
      <c r="C1243" t="s">
        <v>30</v>
      </c>
      <c r="D1243" t="s">
        <v>39</v>
      </c>
      <c r="E1243">
        <f t="shared" ca="1" si="19"/>
        <v>11559.076923076922</v>
      </c>
    </row>
    <row r="1244" spans="1:5" x14ac:dyDescent="0.25">
      <c r="A1244">
        <v>30</v>
      </c>
      <c r="B1244">
        <v>40</v>
      </c>
      <c r="C1244" t="s">
        <v>30</v>
      </c>
      <c r="D1244" t="s">
        <v>40</v>
      </c>
      <c r="E1244">
        <f t="shared" ca="1" si="19"/>
        <v>23917.999999999993</v>
      </c>
    </row>
    <row r="1245" spans="1:5" x14ac:dyDescent="0.25">
      <c r="A1245">
        <v>31</v>
      </c>
      <c r="B1245">
        <v>1</v>
      </c>
      <c r="C1245" t="s">
        <v>31</v>
      </c>
      <c r="D1245" t="s">
        <v>0</v>
      </c>
      <c r="E1245">
        <f t="shared" ca="1" si="19"/>
        <v>92587.148351648328</v>
      </c>
    </row>
    <row r="1246" spans="1:5" x14ac:dyDescent="0.25">
      <c r="A1246">
        <v>31</v>
      </c>
      <c r="B1246">
        <v>2</v>
      </c>
      <c r="C1246" t="s">
        <v>31</v>
      </c>
      <c r="D1246" t="s">
        <v>1</v>
      </c>
      <c r="E1246">
        <f t="shared" ca="1" si="19"/>
        <v>21326.14835164832</v>
      </c>
    </row>
    <row r="1247" spans="1:5" x14ac:dyDescent="0.25">
      <c r="A1247">
        <v>31</v>
      </c>
      <c r="B1247">
        <v>3</v>
      </c>
      <c r="C1247" t="s">
        <v>31</v>
      </c>
      <c r="D1247" t="s">
        <v>2</v>
      </c>
      <c r="E1247">
        <f t="shared" ca="1" si="19"/>
        <v>16590.791208791223</v>
      </c>
    </row>
    <row r="1248" spans="1:5" x14ac:dyDescent="0.25">
      <c r="A1248">
        <v>31</v>
      </c>
      <c r="B1248">
        <v>4</v>
      </c>
      <c r="C1248" t="s">
        <v>31</v>
      </c>
      <c r="D1248" t="s">
        <v>3</v>
      </c>
      <c r="E1248">
        <f t="shared" ca="1" si="19"/>
        <v>31247.14835164832</v>
      </c>
    </row>
    <row r="1249" spans="1:5" x14ac:dyDescent="0.25">
      <c r="A1249">
        <v>31</v>
      </c>
      <c r="B1249">
        <v>5</v>
      </c>
      <c r="C1249" t="s">
        <v>31</v>
      </c>
      <c r="D1249" t="s">
        <v>4</v>
      </c>
      <c r="E1249">
        <f t="shared" ca="1" si="19"/>
        <v>64983.719780219821</v>
      </c>
    </row>
    <row r="1250" spans="1:5" x14ac:dyDescent="0.25">
      <c r="A1250">
        <v>31</v>
      </c>
      <c r="B1250">
        <v>6</v>
      </c>
      <c r="C1250" t="s">
        <v>31</v>
      </c>
      <c r="D1250" t="s">
        <v>5</v>
      </c>
      <c r="E1250">
        <f t="shared" ca="1" si="19"/>
        <v>13311.862637362623</v>
      </c>
    </row>
    <row r="1251" spans="1:5" x14ac:dyDescent="0.25">
      <c r="A1251">
        <v>31</v>
      </c>
      <c r="B1251">
        <v>7</v>
      </c>
      <c r="C1251" t="s">
        <v>31</v>
      </c>
      <c r="D1251" t="s">
        <v>6</v>
      </c>
      <c r="E1251">
        <f t="shared" ca="1" si="19"/>
        <v>5061.862637362633</v>
      </c>
    </row>
    <row r="1252" spans="1:5" x14ac:dyDescent="0.25">
      <c r="A1252">
        <v>31</v>
      </c>
      <c r="B1252">
        <v>8</v>
      </c>
      <c r="C1252" t="s">
        <v>31</v>
      </c>
      <c r="D1252" t="s">
        <v>7</v>
      </c>
      <c r="E1252">
        <f t="shared" ca="1" si="19"/>
        <v>34708.934065934023</v>
      </c>
    </row>
    <row r="1253" spans="1:5" x14ac:dyDescent="0.25">
      <c r="A1253">
        <v>31</v>
      </c>
      <c r="B1253">
        <v>9</v>
      </c>
      <c r="C1253" t="s">
        <v>31</v>
      </c>
      <c r="D1253" t="s">
        <v>148</v>
      </c>
      <c r="E1253">
        <f t="shared" ca="1" si="19"/>
        <v>704.53146853146802</v>
      </c>
    </row>
    <row r="1254" spans="1:5" x14ac:dyDescent="0.25">
      <c r="A1254">
        <v>31</v>
      </c>
      <c r="B1254">
        <v>10</v>
      </c>
      <c r="C1254" t="s">
        <v>31</v>
      </c>
      <c r="D1254" t="s">
        <v>9</v>
      </c>
      <c r="E1254">
        <f t="shared" ca="1" si="19"/>
        <v>21187.291208791223</v>
      </c>
    </row>
    <row r="1255" spans="1:5" x14ac:dyDescent="0.25">
      <c r="A1255">
        <v>31</v>
      </c>
      <c r="B1255">
        <v>11</v>
      </c>
      <c r="C1255" t="s">
        <v>31</v>
      </c>
      <c r="D1255" t="s">
        <v>10</v>
      </c>
      <c r="E1255">
        <f t="shared" ref="E1255:E1316" ca="1" si="20">OFFSET($B$2,A1255,B1255)</f>
        <v>21354.461538461521</v>
      </c>
    </row>
    <row r="1256" spans="1:5" x14ac:dyDescent="0.25">
      <c r="A1256">
        <v>31</v>
      </c>
      <c r="B1256">
        <v>12</v>
      </c>
      <c r="C1256" t="s">
        <v>31</v>
      </c>
      <c r="D1256" t="s">
        <v>11</v>
      </c>
      <c r="E1256">
        <f t="shared" ca="1" si="20"/>
        <v>18323.076923076922</v>
      </c>
    </row>
    <row r="1257" spans="1:5" x14ac:dyDescent="0.25">
      <c r="A1257">
        <v>31</v>
      </c>
      <c r="B1257">
        <v>13</v>
      </c>
      <c r="C1257" t="s">
        <v>31</v>
      </c>
      <c r="D1257" t="s">
        <v>12</v>
      </c>
      <c r="E1257">
        <f t="shared" ca="1" si="20"/>
        <v>3401.4615384615427</v>
      </c>
    </row>
    <row r="1258" spans="1:5" x14ac:dyDescent="0.25">
      <c r="A1258">
        <v>31</v>
      </c>
      <c r="B1258">
        <v>14</v>
      </c>
      <c r="C1258" t="s">
        <v>31</v>
      </c>
      <c r="D1258" t="s">
        <v>13</v>
      </c>
      <c r="E1258">
        <f t="shared" ca="1" si="20"/>
        <v>24026.461538461521</v>
      </c>
    </row>
    <row r="1259" spans="1:5" x14ac:dyDescent="0.25">
      <c r="A1259">
        <v>31</v>
      </c>
      <c r="B1259">
        <v>15</v>
      </c>
      <c r="C1259" t="s">
        <v>31</v>
      </c>
      <c r="D1259" t="s">
        <v>14</v>
      </c>
      <c r="E1259">
        <f t="shared" ca="1" si="20"/>
        <v>47825.84615384612</v>
      </c>
    </row>
    <row r="1260" spans="1:5" x14ac:dyDescent="0.25">
      <c r="A1260">
        <v>31</v>
      </c>
      <c r="B1260">
        <v>16</v>
      </c>
      <c r="C1260" t="s">
        <v>31</v>
      </c>
      <c r="D1260" t="s">
        <v>15</v>
      </c>
      <c r="E1260">
        <f t="shared" ca="1" si="20"/>
        <v>37518.307692307724</v>
      </c>
    </row>
    <row r="1261" spans="1:5" x14ac:dyDescent="0.25">
      <c r="A1261">
        <v>31</v>
      </c>
      <c r="B1261">
        <v>17</v>
      </c>
      <c r="C1261" t="s">
        <v>31</v>
      </c>
      <c r="D1261" t="s">
        <v>16</v>
      </c>
      <c r="E1261">
        <f t="shared" ca="1" si="20"/>
        <v>64577.384615384624</v>
      </c>
    </row>
    <row r="1262" spans="1:5" x14ac:dyDescent="0.25">
      <c r="A1262">
        <v>31</v>
      </c>
      <c r="B1262">
        <v>18</v>
      </c>
      <c r="C1262" t="s">
        <v>31</v>
      </c>
      <c r="D1262" t="s">
        <v>17</v>
      </c>
      <c r="E1262">
        <f t="shared" ca="1" si="20"/>
        <v>23843.846153846123</v>
      </c>
    </row>
    <row r="1263" spans="1:5" x14ac:dyDescent="0.25">
      <c r="A1263">
        <v>31</v>
      </c>
      <c r="B1263">
        <v>19</v>
      </c>
      <c r="C1263" t="s">
        <v>31</v>
      </c>
      <c r="D1263" t="s">
        <v>18</v>
      </c>
      <c r="E1263">
        <f t="shared" ca="1" si="20"/>
        <v>1395.0000000000032</v>
      </c>
    </row>
    <row r="1264" spans="1:5" x14ac:dyDescent="0.25">
      <c r="A1264">
        <v>31</v>
      </c>
      <c r="B1264">
        <v>20</v>
      </c>
      <c r="C1264" t="s">
        <v>31</v>
      </c>
      <c r="D1264" t="s">
        <v>19</v>
      </c>
      <c r="E1264">
        <f t="shared" ca="1" si="20"/>
        <v>58566.76923076922</v>
      </c>
    </row>
    <row r="1265" spans="1:5" x14ac:dyDescent="0.25">
      <c r="A1265">
        <v>31</v>
      </c>
      <c r="B1265">
        <v>21</v>
      </c>
      <c r="C1265" t="s">
        <v>31</v>
      </c>
      <c r="D1265" t="s">
        <v>20</v>
      </c>
      <c r="E1265">
        <f t="shared" ca="1" si="20"/>
        <v>37411.384615384624</v>
      </c>
    </row>
    <row r="1266" spans="1:5" x14ac:dyDescent="0.25">
      <c r="A1266">
        <v>31</v>
      </c>
      <c r="B1266">
        <v>22</v>
      </c>
      <c r="C1266" t="s">
        <v>31</v>
      </c>
      <c r="D1266" t="s">
        <v>21</v>
      </c>
      <c r="E1266">
        <f t="shared" ca="1" si="20"/>
        <v>21851.230769230722</v>
      </c>
    </row>
    <row r="1267" spans="1:5" x14ac:dyDescent="0.25">
      <c r="A1267">
        <v>31</v>
      </c>
      <c r="B1267">
        <v>23</v>
      </c>
      <c r="C1267" t="s">
        <v>31</v>
      </c>
      <c r="D1267" t="s">
        <v>22</v>
      </c>
      <c r="E1267">
        <f t="shared" ca="1" si="20"/>
        <v>6529.7692307692332</v>
      </c>
    </row>
    <row r="1268" spans="1:5" x14ac:dyDescent="0.25">
      <c r="A1268">
        <v>31</v>
      </c>
      <c r="B1268">
        <v>24</v>
      </c>
      <c r="C1268" t="s">
        <v>31</v>
      </c>
      <c r="D1268" t="s">
        <v>23</v>
      </c>
      <c r="E1268">
        <f t="shared" ca="1" si="20"/>
        <v>7692.153846153843</v>
      </c>
    </row>
    <row r="1269" spans="1:5" x14ac:dyDescent="0.25">
      <c r="A1269">
        <v>31</v>
      </c>
      <c r="B1269">
        <v>25</v>
      </c>
      <c r="C1269" t="s">
        <v>31</v>
      </c>
      <c r="D1269" t="s">
        <v>24</v>
      </c>
      <c r="E1269">
        <f t="shared" ca="1" si="20"/>
        <v>5296.7692307692332</v>
      </c>
    </row>
    <row r="1270" spans="1:5" x14ac:dyDescent="0.25">
      <c r="A1270">
        <v>31</v>
      </c>
      <c r="B1270">
        <v>26</v>
      </c>
      <c r="C1270" t="s">
        <v>31</v>
      </c>
      <c r="D1270" t="s">
        <v>25</v>
      </c>
      <c r="E1270">
        <f t="shared" ca="1" si="20"/>
        <v>4375.8461538461524</v>
      </c>
    </row>
    <row r="1271" spans="1:5" x14ac:dyDescent="0.25">
      <c r="A1271">
        <v>31</v>
      </c>
      <c r="B1271">
        <v>27</v>
      </c>
      <c r="C1271" t="s">
        <v>31</v>
      </c>
      <c r="D1271" t="s">
        <v>145</v>
      </c>
      <c r="E1271">
        <f t="shared" ca="1" si="20"/>
        <v>59591.076923076922</v>
      </c>
    </row>
    <row r="1272" spans="1:5" x14ac:dyDescent="0.25">
      <c r="A1272">
        <v>31</v>
      </c>
      <c r="B1272">
        <v>28</v>
      </c>
      <c r="C1272" t="s">
        <v>31</v>
      </c>
      <c r="D1272" t="s">
        <v>147</v>
      </c>
      <c r="E1272">
        <f t="shared" ca="1" si="20"/>
        <v>36655.376923076925</v>
      </c>
    </row>
    <row r="1273" spans="1:5" x14ac:dyDescent="0.25">
      <c r="A1273">
        <v>31</v>
      </c>
      <c r="B1273">
        <v>29</v>
      </c>
      <c r="C1273" t="s">
        <v>31</v>
      </c>
      <c r="D1273" t="s">
        <v>146</v>
      </c>
      <c r="E1273">
        <f t="shared" ca="1" si="20"/>
        <v>7862.376923076923</v>
      </c>
    </row>
    <row r="1274" spans="1:5" x14ac:dyDescent="0.25">
      <c r="A1274">
        <v>31</v>
      </c>
      <c r="B1274">
        <v>30</v>
      </c>
      <c r="C1274" t="s">
        <v>31</v>
      </c>
      <c r="D1274" t="s">
        <v>30</v>
      </c>
      <c r="E1274">
        <f t="shared" ca="1" si="20"/>
        <v>2751.5384615384628</v>
      </c>
    </row>
    <row r="1275" spans="1:5" x14ac:dyDescent="0.25">
      <c r="A1275">
        <v>31</v>
      </c>
      <c r="B1275">
        <v>31</v>
      </c>
      <c r="C1275" t="s">
        <v>31</v>
      </c>
      <c r="D1275" t="s">
        <v>31</v>
      </c>
      <c r="E1275">
        <f t="shared" ca="1" si="20"/>
        <v>0</v>
      </c>
    </row>
    <row r="1276" spans="1:5" x14ac:dyDescent="0.25">
      <c r="A1276">
        <v>31</v>
      </c>
      <c r="B1276">
        <v>32</v>
      </c>
      <c r="C1276" t="s">
        <v>31</v>
      </c>
      <c r="D1276" t="s">
        <v>32</v>
      </c>
      <c r="E1276">
        <f t="shared" ca="1" si="20"/>
        <v>64273.84615384612</v>
      </c>
    </row>
    <row r="1277" spans="1:5" x14ac:dyDescent="0.25">
      <c r="A1277">
        <v>31</v>
      </c>
      <c r="B1277">
        <v>33</v>
      </c>
      <c r="C1277" t="s">
        <v>31</v>
      </c>
      <c r="D1277" t="s">
        <v>33</v>
      </c>
      <c r="E1277">
        <f t="shared" ca="1" si="20"/>
        <v>296884.38461538492</v>
      </c>
    </row>
    <row r="1278" spans="1:5" x14ac:dyDescent="0.25">
      <c r="A1278">
        <v>31</v>
      </c>
      <c r="B1278">
        <v>34</v>
      </c>
      <c r="C1278" t="s">
        <v>31</v>
      </c>
      <c r="D1278" t="s">
        <v>34</v>
      </c>
      <c r="E1278">
        <f t="shared" ca="1" si="20"/>
        <v>23202.692307692323</v>
      </c>
    </row>
    <row r="1279" spans="1:5" x14ac:dyDescent="0.25">
      <c r="A1279">
        <v>31</v>
      </c>
      <c r="B1279">
        <v>35</v>
      </c>
      <c r="C1279" t="s">
        <v>31</v>
      </c>
      <c r="D1279" t="s">
        <v>35</v>
      </c>
      <c r="E1279">
        <f t="shared" ca="1" si="20"/>
        <v>3826.923076923073</v>
      </c>
    </row>
    <row r="1280" spans="1:5" x14ac:dyDescent="0.25">
      <c r="A1280">
        <v>31</v>
      </c>
      <c r="B1280">
        <v>36</v>
      </c>
      <c r="C1280" t="s">
        <v>31</v>
      </c>
      <c r="D1280" t="s">
        <v>36</v>
      </c>
      <c r="E1280">
        <f t="shared" ca="1" si="20"/>
        <v>10245.923076923124</v>
      </c>
    </row>
    <row r="1281" spans="1:5" x14ac:dyDescent="0.25">
      <c r="A1281">
        <v>31</v>
      </c>
      <c r="B1281">
        <v>37</v>
      </c>
      <c r="C1281" t="s">
        <v>31</v>
      </c>
      <c r="D1281" t="s">
        <v>37</v>
      </c>
      <c r="E1281">
        <f t="shared" ca="1" si="20"/>
        <v>214.07692307692307</v>
      </c>
    </row>
    <row r="1282" spans="1:5" x14ac:dyDescent="0.25">
      <c r="A1282">
        <v>31</v>
      </c>
      <c r="B1282">
        <v>38</v>
      </c>
      <c r="C1282" t="s">
        <v>31</v>
      </c>
      <c r="D1282" t="s">
        <v>38</v>
      </c>
      <c r="E1282">
        <f t="shared" ca="1" si="20"/>
        <v>3284.4615384615427</v>
      </c>
    </row>
    <row r="1283" spans="1:5" x14ac:dyDescent="0.25">
      <c r="A1283">
        <v>31</v>
      </c>
      <c r="B1283">
        <v>39</v>
      </c>
      <c r="C1283" t="s">
        <v>31</v>
      </c>
      <c r="D1283" t="s">
        <v>39</v>
      </c>
      <c r="E1283">
        <f t="shared" ca="1" si="20"/>
        <v>9830.8461538461543</v>
      </c>
    </row>
    <row r="1284" spans="1:5" x14ac:dyDescent="0.25">
      <c r="A1284">
        <v>31</v>
      </c>
      <c r="B1284">
        <v>40</v>
      </c>
      <c r="C1284" t="s">
        <v>31</v>
      </c>
      <c r="D1284" t="s">
        <v>40</v>
      </c>
      <c r="E1284">
        <f t="shared" ca="1" si="20"/>
        <v>22189.769230769223</v>
      </c>
    </row>
    <row r="1285" spans="1:5" x14ac:dyDescent="0.25">
      <c r="A1285">
        <v>32</v>
      </c>
      <c r="B1285">
        <v>1</v>
      </c>
      <c r="C1285" t="s">
        <v>32</v>
      </c>
      <c r="D1285" t="s">
        <v>0</v>
      </c>
      <c r="E1285">
        <f t="shared" ca="1" si="20"/>
        <v>122636.6868131868</v>
      </c>
    </row>
    <row r="1286" spans="1:5" x14ac:dyDescent="0.25">
      <c r="A1286">
        <v>32</v>
      </c>
      <c r="B1286">
        <v>2</v>
      </c>
      <c r="C1286" t="s">
        <v>32</v>
      </c>
      <c r="D1286" t="s">
        <v>1</v>
      </c>
      <c r="E1286">
        <f t="shared" ca="1" si="20"/>
        <v>51375.686813186781</v>
      </c>
    </row>
    <row r="1287" spans="1:5" x14ac:dyDescent="0.25">
      <c r="A1287">
        <v>32</v>
      </c>
      <c r="B1287">
        <v>3</v>
      </c>
      <c r="C1287" t="s">
        <v>32</v>
      </c>
      <c r="D1287" t="s">
        <v>2</v>
      </c>
      <c r="E1287">
        <f t="shared" ca="1" si="20"/>
        <v>46640.32967032968</v>
      </c>
    </row>
    <row r="1288" spans="1:5" x14ac:dyDescent="0.25">
      <c r="A1288">
        <v>32</v>
      </c>
      <c r="B1288">
        <v>4</v>
      </c>
      <c r="C1288" t="s">
        <v>32</v>
      </c>
      <c r="D1288" t="s">
        <v>3</v>
      </c>
      <c r="E1288">
        <f t="shared" ca="1" si="20"/>
        <v>61296.686813186781</v>
      </c>
    </row>
    <row r="1289" spans="1:5" x14ac:dyDescent="0.25">
      <c r="A1289">
        <v>32</v>
      </c>
      <c r="B1289">
        <v>5</v>
      </c>
      <c r="C1289" t="s">
        <v>32</v>
      </c>
      <c r="D1289" t="s">
        <v>4</v>
      </c>
      <c r="E1289">
        <f t="shared" ca="1" si="20"/>
        <v>95033.258241758274</v>
      </c>
    </row>
    <row r="1290" spans="1:5" x14ac:dyDescent="0.25">
      <c r="A1290">
        <v>32</v>
      </c>
      <c r="B1290">
        <v>6</v>
      </c>
      <c r="C1290" t="s">
        <v>32</v>
      </c>
      <c r="D1290" t="s">
        <v>5</v>
      </c>
      <c r="E1290">
        <f t="shared" ca="1" si="20"/>
        <v>43361.401098901086</v>
      </c>
    </row>
    <row r="1291" spans="1:5" x14ac:dyDescent="0.25">
      <c r="A1291">
        <v>32</v>
      </c>
      <c r="B1291">
        <v>7</v>
      </c>
      <c r="C1291" t="s">
        <v>32</v>
      </c>
      <c r="D1291" t="s">
        <v>6</v>
      </c>
      <c r="E1291">
        <f t="shared" ca="1" si="20"/>
        <v>35111.401098901093</v>
      </c>
    </row>
    <row r="1292" spans="1:5" x14ac:dyDescent="0.25">
      <c r="A1292">
        <v>32</v>
      </c>
      <c r="B1292">
        <v>8</v>
      </c>
      <c r="C1292" t="s">
        <v>32</v>
      </c>
      <c r="D1292" t="s">
        <v>7</v>
      </c>
      <c r="E1292">
        <f t="shared" ca="1" si="20"/>
        <v>64758.472527472484</v>
      </c>
    </row>
    <row r="1293" spans="1:5" x14ac:dyDescent="0.25">
      <c r="A1293">
        <v>32</v>
      </c>
      <c r="B1293">
        <v>9</v>
      </c>
      <c r="C1293" t="s">
        <v>32</v>
      </c>
      <c r="D1293" t="s">
        <v>148</v>
      </c>
      <c r="E1293">
        <f t="shared" ca="1" si="20"/>
        <v>30754.069930069927</v>
      </c>
    </row>
    <row r="1294" spans="1:5" x14ac:dyDescent="0.25">
      <c r="A1294">
        <v>32</v>
      </c>
      <c r="B1294">
        <v>10</v>
      </c>
      <c r="C1294" t="s">
        <v>32</v>
      </c>
      <c r="D1294" t="s">
        <v>9</v>
      </c>
      <c r="E1294">
        <f t="shared" ca="1" si="20"/>
        <v>51236.82967032968</v>
      </c>
    </row>
    <row r="1295" spans="1:5" x14ac:dyDescent="0.25">
      <c r="A1295">
        <v>32</v>
      </c>
      <c r="B1295">
        <v>11</v>
      </c>
      <c r="C1295" t="s">
        <v>32</v>
      </c>
      <c r="D1295" t="s">
        <v>10</v>
      </c>
      <c r="E1295">
        <f t="shared" ca="1" si="20"/>
        <v>51403.999999999985</v>
      </c>
    </row>
    <row r="1296" spans="1:5" x14ac:dyDescent="0.25">
      <c r="A1296">
        <v>32</v>
      </c>
      <c r="B1296">
        <v>12</v>
      </c>
      <c r="C1296" t="s">
        <v>32</v>
      </c>
      <c r="D1296" t="s">
        <v>11</v>
      </c>
      <c r="E1296">
        <f t="shared" ca="1" si="20"/>
        <v>48372.615384615383</v>
      </c>
    </row>
    <row r="1297" spans="1:5" x14ac:dyDescent="0.25">
      <c r="A1297">
        <v>32</v>
      </c>
      <c r="B1297">
        <v>13</v>
      </c>
      <c r="C1297" t="s">
        <v>32</v>
      </c>
      <c r="D1297" t="s">
        <v>12</v>
      </c>
      <c r="E1297">
        <f t="shared" ca="1" si="20"/>
        <v>33451</v>
      </c>
    </row>
    <row r="1298" spans="1:5" x14ac:dyDescent="0.25">
      <c r="A1298">
        <v>32</v>
      </c>
      <c r="B1298">
        <v>14</v>
      </c>
      <c r="C1298" t="s">
        <v>32</v>
      </c>
      <c r="D1298" t="s">
        <v>13</v>
      </c>
      <c r="E1298">
        <f t="shared" ca="1" si="20"/>
        <v>54075.999999999985</v>
      </c>
    </row>
    <row r="1299" spans="1:5" x14ac:dyDescent="0.25">
      <c r="A1299">
        <v>32</v>
      </c>
      <c r="B1299">
        <v>15</v>
      </c>
      <c r="C1299" t="s">
        <v>32</v>
      </c>
      <c r="D1299" t="s">
        <v>14</v>
      </c>
      <c r="E1299">
        <f t="shared" ca="1" si="20"/>
        <v>77875.384615384581</v>
      </c>
    </row>
    <row r="1300" spans="1:5" x14ac:dyDescent="0.25">
      <c r="A1300">
        <v>32</v>
      </c>
      <c r="B1300">
        <v>16</v>
      </c>
      <c r="C1300" t="s">
        <v>32</v>
      </c>
      <c r="D1300" t="s">
        <v>15</v>
      </c>
      <c r="E1300">
        <f t="shared" ca="1" si="20"/>
        <v>67567.846153846185</v>
      </c>
    </row>
    <row r="1301" spans="1:5" x14ac:dyDescent="0.25">
      <c r="A1301">
        <v>32</v>
      </c>
      <c r="B1301">
        <v>17</v>
      </c>
      <c r="C1301" t="s">
        <v>32</v>
      </c>
      <c r="D1301" t="s">
        <v>16</v>
      </c>
      <c r="E1301">
        <f t="shared" ca="1" si="20"/>
        <v>94626.923076923093</v>
      </c>
    </row>
    <row r="1302" spans="1:5" x14ac:dyDescent="0.25">
      <c r="A1302">
        <v>32</v>
      </c>
      <c r="B1302">
        <v>18</v>
      </c>
      <c r="C1302" t="s">
        <v>32</v>
      </c>
      <c r="D1302" t="s">
        <v>17</v>
      </c>
      <c r="E1302">
        <f t="shared" ca="1" si="20"/>
        <v>53893.384615384581</v>
      </c>
    </row>
    <row r="1303" spans="1:5" x14ac:dyDescent="0.25">
      <c r="A1303">
        <v>32</v>
      </c>
      <c r="B1303">
        <v>19</v>
      </c>
      <c r="C1303" t="s">
        <v>32</v>
      </c>
      <c r="D1303" t="s">
        <v>18</v>
      </c>
      <c r="E1303">
        <f t="shared" ca="1" si="20"/>
        <v>31444.538461538465</v>
      </c>
    </row>
    <row r="1304" spans="1:5" x14ac:dyDescent="0.25">
      <c r="A1304">
        <v>32</v>
      </c>
      <c r="B1304">
        <v>20</v>
      </c>
      <c r="C1304" t="s">
        <v>32</v>
      </c>
      <c r="D1304" t="s">
        <v>19</v>
      </c>
      <c r="E1304">
        <f t="shared" ca="1" si="20"/>
        <v>88616.307692307688</v>
      </c>
    </row>
    <row r="1305" spans="1:5" x14ac:dyDescent="0.25">
      <c r="A1305">
        <v>32</v>
      </c>
      <c r="B1305">
        <v>21</v>
      </c>
      <c r="C1305" t="s">
        <v>32</v>
      </c>
      <c r="D1305" t="s">
        <v>20</v>
      </c>
      <c r="E1305">
        <f t="shared" ca="1" si="20"/>
        <v>67460.923076923093</v>
      </c>
    </row>
    <row r="1306" spans="1:5" x14ac:dyDescent="0.25">
      <c r="A1306">
        <v>32</v>
      </c>
      <c r="B1306">
        <v>22</v>
      </c>
      <c r="C1306" t="s">
        <v>32</v>
      </c>
      <c r="D1306" t="s">
        <v>21</v>
      </c>
      <c r="E1306">
        <f t="shared" ca="1" si="20"/>
        <v>51900.769230769183</v>
      </c>
    </row>
    <row r="1307" spans="1:5" x14ac:dyDescent="0.25">
      <c r="A1307">
        <v>32</v>
      </c>
      <c r="B1307">
        <v>23</v>
      </c>
      <c r="C1307" t="s">
        <v>32</v>
      </c>
      <c r="D1307" t="s">
        <v>22</v>
      </c>
      <c r="E1307">
        <f t="shared" ca="1" si="20"/>
        <v>36579.307692307695</v>
      </c>
    </row>
    <row r="1308" spans="1:5" x14ac:dyDescent="0.25">
      <c r="A1308">
        <v>32</v>
      </c>
      <c r="B1308">
        <v>24</v>
      </c>
      <c r="C1308" t="s">
        <v>32</v>
      </c>
      <c r="D1308" t="s">
        <v>23</v>
      </c>
      <c r="E1308">
        <f t="shared" ca="1" si="20"/>
        <v>37741.692307692305</v>
      </c>
    </row>
    <row r="1309" spans="1:5" x14ac:dyDescent="0.25">
      <c r="A1309">
        <v>32</v>
      </c>
      <c r="B1309">
        <v>25</v>
      </c>
      <c r="C1309" t="s">
        <v>32</v>
      </c>
      <c r="D1309" t="s">
        <v>24</v>
      </c>
      <c r="E1309">
        <f t="shared" ca="1" si="20"/>
        <v>35346.307692307695</v>
      </c>
    </row>
    <row r="1310" spans="1:5" x14ac:dyDescent="0.25">
      <c r="A1310">
        <v>32</v>
      </c>
      <c r="B1310">
        <v>26</v>
      </c>
      <c r="C1310" t="s">
        <v>32</v>
      </c>
      <c r="D1310" t="s">
        <v>25</v>
      </c>
      <c r="E1310">
        <f t="shared" ca="1" si="20"/>
        <v>34425.38461538461</v>
      </c>
    </row>
    <row r="1311" spans="1:5" x14ac:dyDescent="0.25">
      <c r="A1311">
        <v>32</v>
      </c>
      <c r="B1311">
        <v>27</v>
      </c>
      <c r="C1311" t="s">
        <v>32</v>
      </c>
      <c r="D1311" t="s">
        <v>145</v>
      </c>
      <c r="E1311">
        <f t="shared" ca="1" si="20"/>
        <v>89640.615384615376</v>
      </c>
    </row>
    <row r="1312" spans="1:5" x14ac:dyDescent="0.25">
      <c r="A1312">
        <v>32</v>
      </c>
      <c r="B1312">
        <v>28</v>
      </c>
      <c r="C1312" t="s">
        <v>32</v>
      </c>
      <c r="D1312" t="s">
        <v>147</v>
      </c>
      <c r="E1312">
        <f t="shared" ca="1" si="20"/>
        <v>66704.915384615393</v>
      </c>
    </row>
    <row r="1313" spans="1:5" x14ac:dyDescent="0.25">
      <c r="A1313">
        <v>32</v>
      </c>
      <c r="B1313">
        <v>29</v>
      </c>
      <c r="C1313" t="s">
        <v>32</v>
      </c>
      <c r="D1313" t="s">
        <v>146</v>
      </c>
      <c r="E1313">
        <f t="shared" ca="1" si="20"/>
        <v>37911.915384615386</v>
      </c>
    </row>
    <row r="1314" spans="1:5" x14ac:dyDescent="0.25">
      <c r="A1314">
        <v>32</v>
      </c>
      <c r="B1314">
        <v>30</v>
      </c>
      <c r="C1314" t="s">
        <v>32</v>
      </c>
      <c r="D1314" t="s">
        <v>30</v>
      </c>
      <c r="E1314">
        <f t="shared" ca="1" si="20"/>
        <v>32801.076923076922</v>
      </c>
    </row>
    <row r="1315" spans="1:5" x14ac:dyDescent="0.25">
      <c r="A1315">
        <v>32</v>
      </c>
      <c r="B1315">
        <v>31</v>
      </c>
      <c r="C1315" t="s">
        <v>32</v>
      </c>
      <c r="D1315" t="s">
        <v>31</v>
      </c>
      <c r="E1315">
        <f t="shared" ca="1" si="20"/>
        <v>30645.999999999996</v>
      </c>
    </row>
    <row r="1316" spans="1:5" x14ac:dyDescent="0.25">
      <c r="A1316">
        <v>32</v>
      </c>
      <c r="B1316">
        <v>32</v>
      </c>
      <c r="C1316" t="s">
        <v>32</v>
      </c>
      <c r="D1316" t="s">
        <v>32</v>
      </c>
      <c r="E1316">
        <f t="shared" ca="1" si="20"/>
        <v>0</v>
      </c>
    </row>
    <row r="1317" spans="1:5" x14ac:dyDescent="0.25">
      <c r="A1317">
        <v>32</v>
      </c>
      <c r="B1317">
        <v>33</v>
      </c>
      <c r="C1317" t="s">
        <v>32</v>
      </c>
      <c r="D1317" t="s">
        <v>33</v>
      </c>
      <c r="E1317">
        <f t="shared" ref="E1317:E1379" ca="1" si="21">OFFSET($B$2,A1317,B1317)</f>
        <v>326933.92307692335</v>
      </c>
    </row>
    <row r="1318" spans="1:5" x14ac:dyDescent="0.25">
      <c r="A1318">
        <v>32</v>
      </c>
      <c r="B1318">
        <v>34</v>
      </c>
      <c r="C1318" t="s">
        <v>32</v>
      </c>
      <c r="D1318" t="s">
        <v>34</v>
      </c>
      <c r="E1318">
        <f t="shared" ca="1" si="21"/>
        <v>53252.23076923078</v>
      </c>
    </row>
    <row r="1319" spans="1:5" x14ac:dyDescent="0.25">
      <c r="A1319">
        <v>32</v>
      </c>
      <c r="B1319">
        <v>35</v>
      </c>
      <c r="C1319" t="s">
        <v>32</v>
      </c>
      <c r="D1319" t="s">
        <v>35</v>
      </c>
      <c r="E1319">
        <f t="shared" ca="1" si="21"/>
        <v>33876.461538461532</v>
      </c>
    </row>
    <row r="1320" spans="1:5" x14ac:dyDescent="0.25">
      <c r="A1320">
        <v>32</v>
      </c>
      <c r="B1320">
        <v>36</v>
      </c>
      <c r="C1320" t="s">
        <v>32</v>
      </c>
      <c r="D1320" t="s">
        <v>36</v>
      </c>
      <c r="E1320">
        <f t="shared" ca="1" si="21"/>
        <v>40295.461538461583</v>
      </c>
    </row>
    <row r="1321" spans="1:5" x14ac:dyDescent="0.25">
      <c r="A1321">
        <v>32</v>
      </c>
      <c r="B1321">
        <v>37</v>
      </c>
      <c r="C1321" t="s">
        <v>32</v>
      </c>
      <c r="D1321" t="s">
        <v>37</v>
      </c>
      <c r="E1321">
        <f t="shared" ca="1" si="21"/>
        <v>30263.615384615383</v>
      </c>
    </row>
    <row r="1322" spans="1:5" x14ac:dyDescent="0.25">
      <c r="A1322">
        <v>32</v>
      </c>
      <c r="B1322">
        <v>38</v>
      </c>
      <c r="C1322" t="s">
        <v>32</v>
      </c>
      <c r="D1322" t="s">
        <v>38</v>
      </c>
      <c r="E1322">
        <f t="shared" ca="1" si="21"/>
        <v>33334</v>
      </c>
    </row>
    <row r="1323" spans="1:5" x14ac:dyDescent="0.25">
      <c r="A1323">
        <v>32</v>
      </c>
      <c r="B1323">
        <v>39</v>
      </c>
      <c r="C1323" t="s">
        <v>32</v>
      </c>
      <c r="D1323" t="s">
        <v>39</v>
      </c>
      <c r="E1323">
        <f t="shared" ca="1" si="21"/>
        <v>39880.38461538461</v>
      </c>
    </row>
    <row r="1324" spans="1:5" x14ac:dyDescent="0.25">
      <c r="A1324">
        <v>32</v>
      </c>
      <c r="B1324">
        <v>40</v>
      </c>
      <c r="C1324" t="s">
        <v>32</v>
      </c>
      <c r="D1324" t="s">
        <v>40</v>
      </c>
      <c r="E1324">
        <f t="shared" ca="1" si="21"/>
        <v>52239.307692307688</v>
      </c>
    </row>
    <row r="1325" spans="1:5" x14ac:dyDescent="0.25">
      <c r="A1325">
        <v>33</v>
      </c>
      <c r="B1325">
        <v>1</v>
      </c>
      <c r="C1325" t="s">
        <v>33</v>
      </c>
      <c r="D1325" t="s">
        <v>0</v>
      </c>
      <c r="E1325">
        <f t="shared" ca="1" si="21"/>
        <v>217152.84065934064</v>
      </c>
    </row>
    <row r="1326" spans="1:5" x14ac:dyDescent="0.25">
      <c r="A1326">
        <v>33</v>
      </c>
      <c r="B1326">
        <v>2</v>
      </c>
      <c r="C1326" t="s">
        <v>33</v>
      </c>
      <c r="D1326" t="s">
        <v>1</v>
      </c>
      <c r="E1326">
        <f t="shared" ca="1" si="21"/>
        <v>145891.84065934064</v>
      </c>
    </row>
    <row r="1327" spans="1:5" x14ac:dyDescent="0.25">
      <c r="A1327">
        <v>33</v>
      </c>
      <c r="B1327">
        <v>3</v>
      </c>
      <c r="C1327" t="s">
        <v>33</v>
      </c>
      <c r="D1327" t="s">
        <v>2</v>
      </c>
      <c r="E1327">
        <f t="shared" ca="1" si="21"/>
        <v>141156.48351648354</v>
      </c>
    </row>
    <row r="1328" spans="1:5" x14ac:dyDescent="0.25">
      <c r="A1328">
        <v>33</v>
      </c>
      <c r="B1328">
        <v>4</v>
      </c>
      <c r="C1328" t="s">
        <v>33</v>
      </c>
      <c r="D1328" t="s">
        <v>3</v>
      </c>
      <c r="E1328">
        <f t="shared" ca="1" si="21"/>
        <v>155812.84065934064</v>
      </c>
    </row>
    <row r="1329" spans="1:5" x14ac:dyDescent="0.25">
      <c r="A1329">
        <v>33</v>
      </c>
      <c r="B1329">
        <v>5</v>
      </c>
      <c r="C1329" t="s">
        <v>33</v>
      </c>
      <c r="D1329" t="s">
        <v>4</v>
      </c>
      <c r="E1329">
        <f t="shared" ca="1" si="21"/>
        <v>189549.41208791215</v>
      </c>
    </row>
    <row r="1330" spans="1:5" x14ac:dyDescent="0.25">
      <c r="A1330">
        <v>33</v>
      </c>
      <c r="B1330">
        <v>6</v>
      </c>
      <c r="C1330" t="s">
        <v>33</v>
      </c>
      <c r="D1330" t="s">
        <v>5</v>
      </c>
      <c r="E1330">
        <f t="shared" ca="1" si="21"/>
        <v>137877.55494505493</v>
      </c>
    </row>
    <row r="1331" spans="1:5" x14ac:dyDescent="0.25">
      <c r="A1331">
        <v>33</v>
      </c>
      <c r="B1331">
        <v>7</v>
      </c>
      <c r="C1331" t="s">
        <v>33</v>
      </c>
      <c r="D1331" t="s">
        <v>6</v>
      </c>
      <c r="E1331">
        <f t="shared" ca="1" si="21"/>
        <v>129627.55494505494</v>
      </c>
    </row>
    <row r="1332" spans="1:5" x14ac:dyDescent="0.25">
      <c r="A1332">
        <v>33</v>
      </c>
      <c r="B1332">
        <v>8</v>
      </c>
      <c r="C1332" t="s">
        <v>33</v>
      </c>
      <c r="D1332" t="s">
        <v>7</v>
      </c>
      <c r="E1332">
        <f t="shared" ca="1" si="21"/>
        <v>159274.62637362635</v>
      </c>
    </row>
    <row r="1333" spans="1:5" x14ac:dyDescent="0.25">
      <c r="A1333">
        <v>33</v>
      </c>
      <c r="B1333">
        <v>9</v>
      </c>
      <c r="C1333" t="s">
        <v>33</v>
      </c>
      <c r="D1333" t="s">
        <v>148</v>
      </c>
      <c r="E1333">
        <f t="shared" ca="1" si="21"/>
        <v>125270.22377622378</v>
      </c>
    </row>
    <row r="1334" spans="1:5" x14ac:dyDescent="0.25">
      <c r="A1334">
        <v>33</v>
      </c>
      <c r="B1334">
        <v>10</v>
      </c>
      <c r="C1334" t="s">
        <v>33</v>
      </c>
      <c r="D1334" t="s">
        <v>9</v>
      </c>
      <c r="E1334">
        <f t="shared" ca="1" si="21"/>
        <v>145752.98351648354</v>
      </c>
    </row>
    <row r="1335" spans="1:5" x14ac:dyDescent="0.25">
      <c r="A1335">
        <v>33</v>
      </c>
      <c r="B1335">
        <v>11</v>
      </c>
      <c r="C1335" t="s">
        <v>33</v>
      </c>
      <c r="D1335" t="s">
        <v>10</v>
      </c>
      <c r="E1335">
        <f t="shared" ca="1" si="21"/>
        <v>145920.15384615384</v>
      </c>
    </row>
    <row r="1336" spans="1:5" x14ac:dyDescent="0.25">
      <c r="A1336">
        <v>33</v>
      </c>
      <c r="B1336">
        <v>12</v>
      </c>
      <c r="C1336" t="s">
        <v>33</v>
      </c>
      <c r="D1336" t="s">
        <v>11</v>
      </c>
      <c r="E1336">
        <f t="shared" ca="1" si="21"/>
        <v>142888.76923076925</v>
      </c>
    </row>
    <row r="1337" spans="1:5" x14ac:dyDescent="0.25">
      <c r="A1337">
        <v>33</v>
      </c>
      <c r="B1337">
        <v>13</v>
      </c>
      <c r="C1337" t="s">
        <v>33</v>
      </c>
      <c r="D1337" t="s">
        <v>12</v>
      </c>
      <c r="E1337">
        <f t="shared" ca="1" si="21"/>
        <v>127967.15384615386</v>
      </c>
    </row>
    <row r="1338" spans="1:5" x14ac:dyDescent="0.25">
      <c r="A1338">
        <v>33</v>
      </c>
      <c r="B1338">
        <v>14</v>
      </c>
      <c r="C1338" t="s">
        <v>33</v>
      </c>
      <c r="D1338" t="s">
        <v>13</v>
      </c>
      <c r="E1338">
        <f t="shared" ca="1" si="21"/>
        <v>148592.15384615384</v>
      </c>
    </row>
    <row r="1339" spans="1:5" x14ac:dyDescent="0.25">
      <c r="A1339">
        <v>33</v>
      </c>
      <c r="B1339">
        <v>15</v>
      </c>
      <c r="C1339" t="s">
        <v>33</v>
      </c>
      <c r="D1339" t="s">
        <v>14</v>
      </c>
      <c r="E1339">
        <f t="shared" ca="1" si="21"/>
        <v>172391.53846153844</v>
      </c>
    </row>
    <row r="1340" spans="1:5" x14ac:dyDescent="0.25">
      <c r="A1340">
        <v>33</v>
      </c>
      <c r="B1340">
        <v>16</v>
      </c>
      <c r="C1340" t="s">
        <v>33</v>
      </c>
      <c r="D1340" t="s">
        <v>15</v>
      </c>
      <c r="E1340">
        <f t="shared" ca="1" si="21"/>
        <v>162084.00000000003</v>
      </c>
    </row>
    <row r="1341" spans="1:5" x14ac:dyDescent="0.25">
      <c r="A1341">
        <v>33</v>
      </c>
      <c r="B1341">
        <v>17</v>
      </c>
      <c r="C1341" t="s">
        <v>33</v>
      </c>
      <c r="D1341" t="s">
        <v>16</v>
      </c>
      <c r="E1341">
        <f t="shared" ca="1" si="21"/>
        <v>189143.07692307694</v>
      </c>
    </row>
    <row r="1342" spans="1:5" x14ac:dyDescent="0.25">
      <c r="A1342">
        <v>33</v>
      </c>
      <c r="B1342">
        <v>18</v>
      </c>
      <c r="C1342" t="s">
        <v>33</v>
      </c>
      <c r="D1342" t="s">
        <v>17</v>
      </c>
      <c r="E1342">
        <f t="shared" ca="1" si="21"/>
        <v>148409.53846153844</v>
      </c>
    </row>
    <row r="1343" spans="1:5" x14ac:dyDescent="0.25">
      <c r="A1343">
        <v>33</v>
      </c>
      <c r="B1343">
        <v>19</v>
      </c>
      <c r="C1343" t="s">
        <v>33</v>
      </c>
      <c r="D1343" t="s">
        <v>18</v>
      </c>
      <c r="E1343">
        <f t="shared" ca="1" si="21"/>
        <v>125960.69230769231</v>
      </c>
    </row>
    <row r="1344" spans="1:5" x14ac:dyDescent="0.25">
      <c r="A1344">
        <v>33</v>
      </c>
      <c r="B1344">
        <v>20</v>
      </c>
      <c r="C1344" t="s">
        <v>33</v>
      </c>
      <c r="D1344" t="s">
        <v>19</v>
      </c>
      <c r="E1344">
        <f t="shared" ca="1" si="21"/>
        <v>183132.46153846153</v>
      </c>
    </row>
    <row r="1345" spans="1:5" x14ac:dyDescent="0.25">
      <c r="A1345">
        <v>33</v>
      </c>
      <c r="B1345">
        <v>21</v>
      </c>
      <c r="C1345" t="s">
        <v>33</v>
      </c>
      <c r="D1345" t="s">
        <v>20</v>
      </c>
      <c r="E1345">
        <f t="shared" ca="1" si="21"/>
        <v>161977.07692307694</v>
      </c>
    </row>
    <row r="1346" spans="1:5" x14ac:dyDescent="0.25">
      <c r="A1346">
        <v>33</v>
      </c>
      <c r="B1346">
        <v>22</v>
      </c>
      <c r="C1346" t="s">
        <v>33</v>
      </c>
      <c r="D1346" t="s">
        <v>21</v>
      </c>
      <c r="E1346">
        <f t="shared" ca="1" si="21"/>
        <v>146416.92307692303</v>
      </c>
    </row>
    <row r="1347" spans="1:5" x14ac:dyDescent="0.25">
      <c r="A1347">
        <v>33</v>
      </c>
      <c r="B1347">
        <v>23</v>
      </c>
      <c r="C1347" t="s">
        <v>33</v>
      </c>
      <c r="D1347" t="s">
        <v>22</v>
      </c>
      <c r="E1347">
        <f t="shared" ca="1" si="21"/>
        <v>131095.46153846153</v>
      </c>
    </row>
    <row r="1348" spans="1:5" x14ac:dyDescent="0.25">
      <c r="A1348">
        <v>33</v>
      </c>
      <c r="B1348">
        <v>24</v>
      </c>
      <c r="C1348" t="s">
        <v>33</v>
      </c>
      <c r="D1348" t="s">
        <v>23</v>
      </c>
      <c r="E1348">
        <f t="shared" ca="1" si="21"/>
        <v>132257.84615384616</v>
      </c>
    </row>
    <row r="1349" spans="1:5" x14ac:dyDescent="0.25">
      <c r="A1349">
        <v>33</v>
      </c>
      <c r="B1349">
        <v>25</v>
      </c>
      <c r="C1349" t="s">
        <v>33</v>
      </c>
      <c r="D1349" t="s">
        <v>24</v>
      </c>
      <c r="E1349">
        <f t="shared" ca="1" si="21"/>
        <v>129862.46153846155</v>
      </c>
    </row>
    <row r="1350" spans="1:5" x14ac:dyDescent="0.25">
      <c r="A1350">
        <v>33</v>
      </c>
      <c r="B1350">
        <v>26</v>
      </c>
      <c r="C1350" t="s">
        <v>33</v>
      </c>
      <c r="D1350" t="s">
        <v>25</v>
      </c>
      <c r="E1350">
        <f t="shared" ca="1" si="21"/>
        <v>128941.53846153847</v>
      </c>
    </row>
    <row r="1351" spans="1:5" x14ac:dyDescent="0.25">
      <c r="A1351">
        <v>33</v>
      </c>
      <c r="B1351">
        <v>27</v>
      </c>
      <c r="C1351" t="s">
        <v>33</v>
      </c>
      <c r="D1351" t="s">
        <v>145</v>
      </c>
      <c r="E1351">
        <f t="shared" ca="1" si="21"/>
        <v>184156.76923076925</v>
      </c>
    </row>
    <row r="1352" spans="1:5" x14ac:dyDescent="0.25">
      <c r="A1352">
        <v>33</v>
      </c>
      <c r="B1352">
        <v>28</v>
      </c>
      <c r="C1352" t="s">
        <v>33</v>
      </c>
      <c r="D1352" t="s">
        <v>147</v>
      </c>
      <c r="E1352">
        <f t="shared" ca="1" si="21"/>
        <v>161221.06923076924</v>
      </c>
    </row>
    <row r="1353" spans="1:5" x14ac:dyDescent="0.25">
      <c r="A1353">
        <v>33</v>
      </c>
      <c r="B1353">
        <v>29</v>
      </c>
      <c r="C1353" t="s">
        <v>33</v>
      </c>
      <c r="D1353" t="s">
        <v>146</v>
      </c>
      <c r="E1353">
        <f t="shared" ca="1" si="21"/>
        <v>132428.06923076924</v>
      </c>
    </row>
    <row r="1354" spans="1:5" x14ac:dyDescent="0.25">
      <c r="A1354">
        <v>33</v>
      </c>
      <c r="B1354">
        <v>30</v>
      </c>
      <c r="C1354" t="s">
        <v>33</v>
      </c>
      <c r="D1354" t="s">
        <v>30</v>
      </c>
      <c r="E1354">
        <f t="shared" ca="1" si="21"/>
        <v>127317.23076923078</v>
      </c>
    </row>
    <row r="1355" spans="1:5" x14ac:dyDescent="0.25">
      <c r="A1355">
        <v>33</v>
      </c>
      <c r="B1355">
        <v>31</v>
      </c>
      <c r="C1355" t="s">
        <v>33</v>
      </c>
      <c r="D1355" t="s">
        <v>31</v>
      </c>
      <c r="E1355">
        <f t="shared" ca="1" si="21"/>
        <v>125162.15384615384</v>
      </c>
    </row>
    <row r="1356" spans="1:5" x14ac:dyDescent="0.25">
      <c r="A1356">
        <v>33</v>
      </c>
      <c r="B1356">
        <v>32</v>
      </c>
      <c r="C1356" t="s">
        <v>33</v>
      </c>
      <c r="D1356" t="s">
        <v>32</v>
      </c>
      <c r="E1356">
        <f t="shared" ca="1" si="21"/>
        <v>188839.53846153844</v>
      </c>
    </row>
    <row r="1357" spans="1:5" x14ac:dyDescent="0.25">
      <c r="A1357">
        <v>33</v>
      </c>
      <c r="B1357">
        <v>33</v>
      </c>
      <c r="C1357" t="s">
        <v>33</v>
      </c>
      <c r="D1357" t="s">
        <v>33</v>
      </c>
      <c r="E1357">
        <f t="shared" ca="1" si="21"/>
        <v>0</v>
      </c>
    </row>
    <row r="1358" spans="1:5" x14ac:dyDescent="0.25">
      <c r="A1358">
        <v>33</v>
      </c>
      <c r="B1358">
        <v>34</v>
      </c>
      <c r="C1358" t="s">
        <v>33</v>
      </c>
      <c r="D1358" t="s">
        <v>34</v>
      </c>
      <c r="E1358">
        <f t="shared" ca="1" si="21"/>
        <v>147768.38461538462</v>
      </c>
    </row>
    <row r="1359" spans="1:5" x14ac:dyDescent="0.25">
      <c r="A1359">
        <v>33</v>
      </c>
      <c r="B1359">
        <v>35</v>
      </c>
      <c r="C1359" t="s">
        <v>33</v>
      </c>
      <c r="D1359" t="s">
        <v>35</v>
      </c>
      <c r="E1359">
        <f t="shared" ca="1" si="21"/>
        <v>128392.61538461539</v>
      </c>
    </row>
    <row r="1360" spans="1:5" x14ac:dyDescent="0.25">
      <c r="A1360">
        <v>33</v>
      </c>
      <c r="B1360">
        <v>36</v>
      </c>
      <c r="C1360" t="s">
        <v>33</v>
      </c>
      <c r="D1360" t="s">
        <v>36</v>
      </c>
      <c r="E1360">
        <f t="shared" ca="1" si="21"/>
        <v>134811.61538461543</v>
      </c>
    </row>
    <row r="1361" spans="1:5" x14ac:dyDescent="0.25">
      <c r="A1361">
        <v>33</v>
      </c>
      <c r="B1361">
        <v>37</v>
      </c>
      <c r="C1361" t="s">
        <v>33</v>
      </c>
      <c r="D1361" t="s">
        <v>37</v>
      </c>
      <c r="E1361">
        <f t="shared" ca="1" si="21"/>
        <v>124779.76923076923</v>
      </c>
    </row>
    <row r="1362" spans="1:5" x14ac:dyDescent="0.25">
      <c r="A1362">
        <v>33</v>
      </c>
      <c r="B1362">
        <v>38</v>
      </c>
      <c r="C1362" t="s">
        <v>33</v>
      </c>
      <c r="D1362" t="s">
        <v>38</v>
      </c>
      <c r="E1362">
        <f t="shared" ca="1" si="21"/>
        <v>127850.15384615386</v>
      </c>
    </row>
    <row r="1363" spans="1:5" x14ac:dyDescent="0.25">
      <c r="A1363">
        <v>33</v>
      </c>
      <c r="B1363">
        <v>39</v>
      </c>
      <c r="C1363" t="s">
        <v>33</v>
      </c>
      <c r="D1363" t="s">
        <v>39</v>
      </c>
      <c r="E1363">
        <f t="shared" ca="1" si="21"/>
        <v>134396.53846153847</v>
      </c>
    </row>
    <row r="1364" spans="1:5" x14ac:dyDescent="0.25">
      <c r="A1364">
        <v>33</v>
      </c>
      <c r="B1364">
        <v>40</v>
      </c>
      <c r="C1364" t="s">
        <v>33</v>
      </c>
      <c r="D1364" t="s">
        <v>40</v>
      </c>
      <c r="E1364">
        <f t="shared" ca="1" si="21"/>
        <v>146755.46153846153</v>
      </c>
    </row>
    <row r="1365" spans="1:5" x14ac:dyDescent="0.25">
      <c r="A1365">
        <v>34</v>
      </c>
      <c r="B1365">
        <v>1</v>
      </c>
      <c r="C1365" t="s">
        <v>34</v>
      </c>
      <c r="D1365" t="s">
        <v>0</v>
      </c>
      <c r="E1365">
        <f t="shared" ca="1" si="21"/>
        <v>12224.379120879092</v>
      </c>
    </row>
    <row r="1366" spans="1:5" x14ac:dyDescent="0.25">
      <c r="A1366">
        <v>34</v>
      </c>
      <c r="B1366">
        <v>2</v>
      </c>
      <c r="C1366" t="s">
        <v>34</v>
      </c>
      <c r="D1366" t="s">
        <v>1</v>
      </c>
      <c r="E1366">
        <f t="shared" ca="1" si="21"/>
        <v>30963.37912087909</v>
      </c>
    </row>
    <row r="1367" spans="1:5" x14ac:dyDescent="0.25">
      <c r="A1367">
        <v>34</v>
      </c>
      <c r="B1367">
        <v>3</v>
      </c>
      <c r="C1367" t="s">
        <v>34</v>
      </c>
      <c r="D1367" t="s">
        <v>2</v>
      </c>
      <c r="E1367">
        <f t="shared" ca="1" si="21"/>
        <v>26228.021978021992</v>
      </c>
    </row>
    <row r="1368" spans="1:5" x14ac:dyDescent="0.25">
      <c r="A1368">
        <v>34</v>
      </c>
      <c r="B1368">
        <v>4</v>
      </c>
      <c r="C1368" t="s">
        <v>34</v>
      </c>
      <c r="D1368" t="s">
        <v>3</v>
      </c>
      <c r="E1368">
        <f t="shared" ca="1" si="21"/>
        <v>40884.379120879094</v>
      </c>
    </row>
    <row r="1369" spans="1:5" x14ac:dyDescent="0.25">
      <c r="A1369">
        <v>34</v>
      </c>
      <c r="B1369">
        <v>5</v>
      </c>
      <c r="C1369" t="s">
        <v>34</v>
      </c>
      <c r="D1369" t="s">
        <v>4</v>
      </c>
      <c r="E1369">
        <f t="shared" ca="1" si="21"/>
        <v>74620.950549450587</v>
      </c>
    </row>
    <row r="1370" spans="1:5" x14ac:dyDescent="0.25">
      <c r="A1370">
        <v>34</v>
      </c>
      <c r="B1370">
        <v>6</v>
      </c>
      <c r="C1370" t="s">
        <v>34</v>
      </c>
      <c r="D1370" t="s">
        <v>5</v>
      </c>
      <c r="E1370">
        <f t="shared" ca="1" si="21"/>
        <v>22949.093406593391</v>
      </c>
    </row>
    <row r="1371" spans="1:5" x14ac:dyDescent="0.25">
      <c r="A1371">
        <v>34</v>
      </c>
      <c r="B1371">
        <v>7</v>
      </c>
      <c r="C1371" t="s">
        <v>34</v>
      </c>
      <c r="D1371" t="s">
        <v>6</v>
      </c>
      <c r="E1371">
        <f t="shared" ca="1" si="21"/>
        <v>14699.093406593402</v>
      </c>
    </row>
    <row r="1372" spans="1:5" x14ac:dyDescent="0.25">
      <c r="A1372">
        <v>34</v>
      </c>
      <c r="B1372">
        <v>8</v>
      </c>
      <c r="C1372" t="s">
        <v>34</v>
      </c>
      <c r="D1372" t="s">
        <v>7</v>
      </c>
      <c r="E1372">
        <f t="shared" ca="1" si="21"/>
        <v>44346.164835164789</v>
      </c>
    </row>
    <row r="1373" spans="1:5" x14ac:dyDescent="0.25">
      <c r="A1373">
        <v>34</v>
      </c>
      <c r="B1373">
        <v>9</v>
      </c>
      <c r="C1373" t="s">
        <v>34</v>
      </c>
      <c r="D1373" t="s">
        <v>148</v>
      </c>
      <c r="E1373">
        <f t="shared" ca="1" si="21"/>
        <v>10341.762237762236</v>
      </c>
    </row>
    <row r="1374" spans="1:5" x14ac:dyDescent="0.25">
      <c r="A1374">
        <v>34</v>
      </c>
      <c r="B1374">
        <v>10</v>
      </c>
      <c r="C1374" t="s">
        <v>34</v>
      </c>
      <c r="D1374" t="s">
        <v>9</v>
      </c>
      <c r="E1374">
        <f t="shared" ca="1" si="21"/>
        <v>30824.521978021992</v>
      </c>
    </row>
    <row r="1375" spans="1:5" x14ac:dyDescent="0.25">
      <c r="A1375">
        <v>34</v>
      </c>
      <c r="B1375">
        <v>11</v>
      </c>
      <c r="C1375" t="s">
        <v>34</v>
      </c>
      <c r="D1375" t="s">
        <v>10</v>
      </c>
      <c r="E1375">
        <f t="shared" ca="1" si="21"/>
        <v>30991.69230769229</v>
      </c>
    </row>
    <row r="1376" spans="1:5" x14ac:dyDescent="0.25">
      <c r="A1376">
        <v>34</v>
      </c>
      <c r="B1376">
        <v>12</v>
      </c>
      <c r="C1376" t="s">
        <v>34</v>
      </c>
      <c r="D1376" t="s">
        <v>11</v>
      </c>
      <c r="E1376">
        <f t="shared" ca="1" si="21"/>
        <v>27960.307692307691</v>
      </c>
    </row>
    <row r="1377" spans="1:5" x14ac:dyDescent="0.25">
      <c r="A1377">
        <v>34</v>
      </c>
      <c r="B1377">
        <v>13</v>
      </c>
      <c r="C1377" t="s">
        <v>34</v>
      </c>
      <c r="D1377" t="s">
        <v>12</v>
      </c>
      <c r="E1377">
        <f t="shared" ca="1" si="21"/>
        <v>13038.692307692312</v>
      </c>
    </row>
    <row r="1378" spans="1:5" x14ac:dyDescent="0.25">
      <c r="A1378">
        <v>34</v>
      </c>
      <c r="B1378">
        <v>14</v>
      </c>
      <c r="C1378" t="s">
        <v>34</v>
      </c>
      <c r="D1378" t="s">
        <v>13</v>
      </c>
      <c r="E1378">
        <f t="shared" ca="1" si="21"/>
        <v>33663.69230769229</v>
      </c>
    </row>
    <row r="1379" spans="1:5" x14ac:dyDescent="0.25">
      <c r="A1379">
        <v>34</v>
      </c>
      <c r="B1379">
        <v>15</v>
      </c>
      <c r="C1379" t="s">
        <v>34</v>
      </c>
      <c r="D1379" t="s">
        <v>14</v>
      </c>
      <c r="E1379">
        <f t="shared" ca="1" si="21"/>
        <v>57463.076923076893</v>
      </c>
    </row>
    <row r="1380" spans="1:5" x14ac:dyDescent="0.25">
      <c r="A1380">
        <v>34</v>
      </c>
      <c r="B1380">
        <v>16</v>
      </c>
      <c r="C1380" t="s">
        <v>34</v>
      </c>
      <c r="D1380" t="s">
        <v>15</v>
      </c>
      <c r="E1380">
        <f t="shared" ref="E1380:E1441" ca="1" si="22">OFFSET($B$2,A1380,B1380)</f>
        <v>47155.538461538497</v>
      </c>
    </row>
    <row r="1381" spans="1:5" x14ac:dyDescent="0.25">
      <c r="A1381">
        <v>34</v>
      </c>
      <c r="B1381">
        <v>17</v>
      </c>
      <c r="C1381" t="s">
        <v>34</v>
      </c>
      <c r="D1381" t="s">
        <v>16</v>
      </c>
      <c r="E1381">
        <f t="shared" ca="1" si="22"/>
        <v>74214.61538461539</v>
      </c>
    </row>
    <row r="1382" spans="1:5" x14ac:dyDescent="0.25">
      <c r="A1382">
        <v>34</v>
      </c>
      <c r="B1382">
        <v>18</v>
      </c>
      <c r="C1382" t="s">
        <v>34</v>
      </c>
      <c r="D1382" t="s">
        <v>17</v>
      </c>
      <c r="E1382">
        <f t="shared" ca="1" si="22"/>
        <v>33481.076923076893</v>
      </c>
    </row>
    <row r="1383" spans="1:5" x14ac:dyDescent="0.25">
      <c r="A1383">
        <v>34</v>
      </c>
      <c r="B1383">
        <v>19</v>
      </c>
      <c r="C1383" t="s">
        <v>34</v>
      </c>
      <c r="D1383" t="s">
        <v>18</v>
      </c>
      <c r="E1383">
        <f t="shared" ca="1" si="22"/>
        <v>11032.230769230771</v>
      </c>
    </row>
    <row r="1384" spans="1:5" x14ac:dyDescent="0.25">
      <c r="A1384">
        <v>34</v>
      </c>
      <c r="B1384">
        <v>20</v>
      </c>
      <c r="C1384" t="s">
        <v>34</v>
      </c>
      <c r="D1384" t="s">
        <v>19</v>
      </c>
      <c r="E1384">
        <f t="shared" ca="1" si="22"/>
        <v>68203.999999999985</v>
      </c>
    </row>
    <row r="1385" spans="1:5" x14ac:dyDescent="0.25">
      <c r="A1385">
        <v>34</v>
      </c>
      <c r="B1385">
        <v>21</v>
      </c>
      <c r="C1385" t="s">
        <v>34</v>
      </c>
      <c r="D1385" t="s">
        <v>20</v>
      </c>
      <c r="E1385">
        <f t="shared" ca="1" si="22"/>
        <v>47048.61538461539</v>
      </c>
    </row>
    <row r="1386" spans="1:5" x14ac:dyDescent="0.25">
      <c r="A1386">
        <v>34</v>
      </c>
      <c r="B1386">
        <v>22</v>
      </c>
      <c r="C1386" t="s">
        <v>34</v>
      </c>
      <c r="D1386" t="s">
        <v>21</v>
      </c>
      <c r="E1386">
        <f t="shared" ca="1" si="22"/>
        <v>31488.461538461492</v>
      </c>
    </row>
    <row r="1387" spans="1:5" x14ac:dyDescent="0.25">
      <c r="A1387">
        <v>34</v>
      </c>
      <c r="B1387">
        <v>23</v>
      </c>
      <c r="C1387" t="s">
        <v>34</v>
      </c>
      <c r="D1387" t="s">
        <v>22</v>
      </c>
      <c r="E1387">
        <f t="shared" ca="1" si="22"/>
        <v>16167.000000000002</v>
      </c>
    </row>
    <row r="1388" spans="1:5" x14ac:dyDescent="0.25">
      <c r="A1388">
        <v>34</v>
      </c>
      <c r="B1388">
        <v>24</v>
      </c>
      <c r="C1388" t="s">
        <v>34</v>
      </c>
      <c r="D1388" t="s">
        <v>23</v>
      </c>
      <c r="E1388">
        <f t="shared" ca="1" si="22"/>
        <v>17329.38461538461</v>
      </c>
    </row>
    <row r="1389" spans="1:5" x14ac:dyDescent="0.25">
      <c r="A1389">
        <v>34</v>
      </c>
      <c r="B1389">
        <v>25</v>
      </c>
      <c r="C1389" t="s">
        <v>34</v>
      </c>
      <c r="D1389" t="s">
        <v>24</v>
      </c>
      <c r="E1389">
        <f t="shared" ca="1" si="22"/>
        <v>14934.000000000002</v>
      </c>
    </row>
    <row r="1390" spans="1:5" x14ac:dyDescent="0.25">
      <c r="A1390">
        <v>34</v>
      </c>
      <c r="B1390">
        <v>26</v>
      </c>
      <c r="C1390" t="s">
        <v>34</v>
      </c>
      <c r="D1390" t="s">
        <v>25</v>
      </c>
      <c r="E1390">
        <f t="shared" ca="1" si="22"/>
        <v>14013.076923076922</v>
      </c>
    </row>
    <row r="1391" spans="1:5" x14ac:dyDescent="0.25">
      <c r="A1391">
        <v>34</v>
      </c>
      <c r="B1391">
        <v>27</v>
      </c>
      <c r="C1391" t="s">
        <v>34</v>
      </c>
      <c r="D1391" t="s">
        <v>145</v>
      </c>
      <c r="E1391">
        <f t="shared" ca="1" si="22"/>
        <v>69228.307692307688</v>
      </c>
    </row>
    <row r="1392" spans="1:5" x14ac:dyDescent="0.25">
      <c r="A1392">
        <v>34</v>
      </c>
      <c r="B1392">
        <v>28</v>
      </c>
      <c r="C1392" t="s">
        <v>34</v>
      </c>
      <c r="D1392" t="s">
        <v>147</v>
      </c>
      <c r="E1392">
        <f t="shared" ca="1" si="22"/>
        <v>46292.607692307691</v>
      </c>
    </row>
    <row r="1393" spans="1:5" x14ac:dyDescent="0.25">
      <c r="A1393">
        <v>34</v>
      </c>
      <c r="B1393">
        <v>29</v>
      </c>
      <c r="C1393" t="s">
        <v>34</v>
      </c>
      <c r="D1393" t="s">
        <v>146</v>
      </c>
      <c r="E1393">
        <f t="shared" ca="1" si="22"/>
        <v>17499.607692307691</v>
      </c>
    </row>
    <row r="1394" spans="1:5" x14ac:dyDescent="0.25">
      <c r="A1394">
        <v>34</v>
      </c>
      <c r="B1394">
        <v>30</v>
      </c>
      <c r="C1394" t="s">
        <v>34</v>
      </c>
      <c r="D1394" t="s">
        <v>30</v>
      </c>
      <c r="E1394">
        <f t="shared" ca="1" si="22"/>
        <v>12388.76923076923</v>
      </c>
    </row>
    <row r="1395" spans="1:5" x14ac:dyDescent="0.25">
      <c r="A1395">
        <v>34</v>
      </c>
      <c r="B1395">
        <v>31</v>
      </c>
      <c r="C1395" t="s">
        <v>34</v>
      </c>
      <c r="D1395" t="s">
        <v>31</v>
      </c>
      <c r="E1395">
        <f t="shared" ca="1" si="22"/>
        <v>10233.692307692307</v>
      </c>
    </row>
    <row r="1396" spans="1:5" x14ac:dyDescent="0.25">
      <c r="A1396">
        <v>34</v>
      </c>
      <c r="B1396">
        <v>32</v>
      </c>
      <c r="C1396" t="s">
        <v>34</v>
      </c>
      <c r="D1396" t="s">
        <v>32</v>
      </c>
      <c r="E1396">
        <f t="shared" ca="1" si="22"/>
        <v>73911.076923076893</v>
      </c>
    </row>
    <row r="1397" spans="1:5" x14ac:dyDescent="0.25">
      <c r="A1397">
        <v>34</v>
      </c>
      <c r="B1397">
        <v>33</v>
      </c>
      <c r="C1397" t="s">
        <v>34</v>
      </c>
      <c r="D1397" t="s">
        <v>33</v>
      </c>
      <c r="E1397">
        <f t="shared" ca="1" si="22"/>
        <v>306521.61538461567</v>
      </c>
    </row>
    <row r="1398" spans="1:5" x14ac:dyDescent="0.25">
      <c r="A1398">
        <v>34</v>
      </c>
      <c r="B1398">
        <v>34</v>
      </c>
      <c r="C1398" t="s">
        <v>34</v>
      </c>
      <c r="D1398" t="s">
        <v>34</v>
      </c>
      <c r="E1398">
        <f t="shared" ca="1" si="22"/>
        <v>0</v>
      </c>
    </row>
    <row r="1399" spans="1:5" x14ac:dyDescent="0.25">
      <c r="A1399">
        <v>34</v>
      </c>
      <c r="B1399">
        <v>35</v>
      </c>
      <c r="C1399" t="s">
        <v>34</v>
      </c>
      <c r="D1399" t="s">
        <v>35</v>
      </c>
      <c r="E1399">
        <f t="shared" ca="1" si="22"/>
        <v>13464.153846153842</v>
      </c>
    </row>
    <row r="1400" spans="1:5" x14ac:dyDescent="0.25">
      <c r="A1400">
        <v>34</v>
      </c>
      <c r="B1400">
        <v>36</v>
      </c>
      <c r="C1400" t="s">
        <v>34</v>
      </c>
      <c r="D1400" t="s">
        <v>36</v>
      </c>
      <c r="E1400">
        <f t="shared" ca="1" si="22"/>
        <v>19883.153846153891</v>
      </c>
    </row>
    <row r="1401" spans="1:5" x14ac:dyDescent="0.25">
      <c r="A1401">
        <v>34</v>
      </c>
      <c r="B1401">
        <v>37</v>
      </c>
      <c r="C1401" t="s">
        <v>34</v>
      </c>
      <c r="D1401" t="s">
        <v>37</v>
      </c>
      <c r="E1401">
        <f t="shared" ca="1" si="22"/>
        <v>9851.3076923076915</v>
      </c>
    </row>
    <row r="1402" spans="1:5" x14ac:dyDescent="0.25">
      <c r="A1402">
        <v>34</v>
      </c>
      <c r="B1402">
        <v>38</v>
      </c>
      <c r="C1402" t="s">
        <v>34</v>
      </c>
      <c r="D1402" t="s">
        <v>38</v>
      </c>
      <c r="E1402">
        <f t="shared" ca="1" si="22"/>
        <v>12921.692307692312</v>
      </c>
    </row>
    <row r="1403" spans="1:5" x14ac:dyDescent="0.25">
      <c r="A1403">
        <v>34</v>
      </c>
      <c r="B1403">
        <v>39</v>
      </c>
      <c r="C1403" t="s">
        <v>34</v>
      </c>
      <c r="D1403" t="s">
        <v>39</v>
      </c>
      <c r="E1403">
        <f t="shared" ca="1" si="22"/>
        <v>19468.076923076922</v>
      </c>
    </row>
    <row r="1404" spans="1:5" x14ac:dyDescent="0.25">
      <c r="A1404">
        <v>34</v>
      </c>
      <c r="B1404">
        <v>40</v>
      </c>
      <c r="C1404" t="s">
        <v>34</v>
      </c>
      <c r="D1404" t="s">
        <v>40</v>
      </c>
      <c r="E1404">
        <f t="shared" ca="1" si="22"/>
        <v>31826.999999999993</v>
      </c>
    </row>
    <row r="1405" spans="1:5" x14ac:dyDescent="0.25">
      <c r="A1405">
        <v>35</v>
      </c>
      <c r="B1405">
        <v>1</v>
      </c>
      <c r="C1405" t="s">
        <v>35</v>
      </c>
      <c r="D1405" t="s">
        <v>0</v>
      </c>
      <c r="E1405">
        <f t="shared" ca="1" si="22"/>
        <v>94588.302197802172</v>
      </c>
    </row>
    <row r="1406" spans="1:5" x14ac:dyDescent="0.25">
      <c r="A1406">
        <v>35</v>
      </c>
      <c r="B1406">
        <v>2</v>
      </c>
      <c r="C1406" t="s">
        <v>35</v>
      </c>
      <c r="D1406" t="s">
        <v>1</v>
      </c>
      <c r="E1406">
        <f t="shared" ca="1" si="22"/>
        <v>23327.302197802168</v>
      </c>
    </row>
    <row r="1407" spans="1:5" x14ac:dyDescent="0.25">
      <c r="A1407">
        <v>35</v>
      </c>
      <c r="B1407">
        <v>3</v>
      </c>
      <c r="C1407" t="s">
        <v>35</v>
      </c>
      <c r="D1407" t="s">
        <v>2</v>
      </c>
      <c r="E1407">
        <f t="shared" ca="1" si="22"/>
        <v>18591.94505494507</v>
      </c>
    </row>
    <row r="1408" spans="1:5" x14ac:dyDescent="0.25">
      <c r="A1408">
        <v>35</v>
      </c>
      <c r="B1408">
        <v>4</v>
      </c>
      <c r="C1408" t="s">
        <v>35</v>
      </c>
      <c r="D1408" t="s">
        <v>3</v>
      </c>
      <c r="E1408">
        <f t="shared" ca="1" si="22"/>
        <v>33248.302197802164</v>
      </c>
    </row>
    <row r="1409" spans="1:5" x14ac:dyDescent="0.25">
      <c r="A1409">
        <v>35</v>
      </c>
      <c r="B1409">
        <v>5</v>
      </c>
      <c r="C1409" t="s">
        <v>35</v>
      </c>
      <c r="D1409" t="s">
        <v>4</v>
      </c>
      <c r="E1409">
        <f t="shared" ca="1" si="22"/>
        <v>66984.873626373665</v>
      </c>
    </row>
    <row r="1410" spans="1:5" x14ac:dyDescent="0.25">
      <c r="A1410">
        <v>35</v>
      </c>
      <c r="B1410">
        <v>6</v>
      </c>
      <c r="C1410" t="s">
        <v>35</v>
      </c>
      <c r="D1410" t="s">
        <v>5</v>
      </c>
      <c r="E1410">
        <f t="shared" ca="1" si="22"/>
        <v>15313.016483516469</v>
      </c>
    </row>
    <row r="1411" spans="1:5" x14ac:dyDescent="0.25">
      <c r="A1411">
        <v>35</v>
      </c>
      <c r="B1411">
        <v>7</v>
      </c>
      <c r="C1411" t="s">
        <v>35</v>
      </c>
      <c r="D1411" t="s">
        <v>6</v>
      </c>
      <c r="E1411">
        <f t="shared" ca="1" si="22"/>
        <v>7063.0164835164796</v>
      </c>
    </row>
    <row r="1412" spans="1:5" x14ac:dyDescent="0.25">
      <c r="A1412">
        <v>35</v>
      </c>
      <c r="B1412">
        <v>8</v>
      </c>
      <c r="C1412" t="s">
        <v>35</v>
      </c>
      <c r="D1412" t="s">
        <v>7</v>
      </c>
      <c r="E1412">
        <f t="shared" ca="1" si="22"/>
        <v>36710.087912087867</v>
      </c>
    </row>
    <row r="1413" spans="1:5" x14ac:dyDescent="0.25">
      <c r="A1413">
        <v>35</v>
      </c>
      <c r="B1413">
        <v>9</v>
      </c>
      <c r="C1413" t="s">
        <v>35</v>
      </c>
      <c r="D1413" t="s">
        <v>148</v>
      </c>
      <c r="E1413">
        <f t="shared" ca="1" si="22"/>
        <v>2705.6853146853141</v>
      </c>
    </row>
    <row r="1414" spans="1:5" x14ac:dyDescent="0.25">
      <c r="A1414">
        <v>35</v>
      </c>
      <c r="B1414">
        <v>10</v>
      </c>
      <c r="C1414" t="s">
        <v>35</v>
      </c>
      <c r="D1414" t="s">
        <v>9</v>
      </c>
      <c r="E1414">
        <f t="shared" ca="1" si="22"/>
        <v>23188.44505494507</v>
      </c>
    </row>
    <row r="1415" spans="1:5" x14ac:dyDescent="0.25">
      <c r="A1415">
        <v>35</v>
      </c>
      <c r="B1415">
        <v>11</v>
      </c>
      <c r="C1415" t="s">
        <v>35</v>
      </c>
      <c r="D1415" t="s">
        <v>10</v>
      </c>
      <c r="E1415">
        <f t="shared" ca="1" si="22"/>
        <v>23355.615384615368</v>
      </c>
    </row>
    <row r="1416" spans="1:5" x14ac:dyDescent="0.25">
      <c r="A1416">
        <v>35</v>
      </c>
      <c r="B1416">
        <v>12</v>
      </c>
      <c r="C1416" t="s">
        <v>35</v>
      </c>
      <c r="D1416" t="s">
        <v>11</v>
      </c>
      <c r="E1416">
        <f t="shared" ca="1" si="22"/>
        <v>20324.23076923077</v>
      </c>
    </row>
    <row r="1417" spans="1:5" x14ac:dyDescent="0.25">
      <c r="A1417">
        <v>35</v>
      </c>
      <c r="B1417">
        <v>13</v>
      </c>
      <c r="C1417" t="s">
        <v>35</v>
      </c>
      <c r="D1417" t="s">
        <v>12</v>
      </c>
      <c r="E1417">
        <f t="shared" ca="1" si="22"/>
        <v>5402.6153846153884</v>
      </c>
    </row>
    <row r="1418" spans="1:5" x14ac:dyDescent="0.25">
      <c r="A1418">
        <v>35</v>
      </c>
      <c r="B1418">
        <v>14</v>
      </c>
      <c r="C1418" t="s">
        <v>35</v>
      </c>
      <c r="D1418" t="s">
        <v>13</v>
      </c>
      <c r="E1418">
        <f t="shared" ca="1" si="22"/>
        <v>26027.615384615368</v>
      </c>
    </row>
    <row r="1419" spans="1:5" x14ac:dyDescent="0.25">
      <c r="A1419">
        <v>35</v>
      </c>
      <c r="B1419">
        <v>15</v>
      </c>
      <c r="C1419" t="s">
        <v>35</v>
      </c>
      <c r="D1419" t="s">
        <v>14</v>
      </c>
      <c r="E1419">
        <f t="shared" ca="1" si="22"/>
        <v>49826.999999999964</v>
      </c>
    </row>
    <row r="1420" spans="1:5" x14ac:dyDescent="0.25">
      <c r="A1420">
        <v>35</v>
      </c>
      <c r="B1420">
        <v>16</v>
      </c>
      <c r="C1420" t="s">
        <v>35</v>
      </c>
      <c r="D1420" t="s">
        <v>15</v>
      </c>
      <c r="E1420">
        <f t="shared" ca="1" si="22"/>
        <v>39519.461538461568</v>
      </c>
    </row>
    <row r="1421" spans="1:5" x14ac:dyDescent="0.25">
      <c r="A1421">
        <v>35</v>
      </c>
      <c r="B1421">
        <v>17</v>
      </c>
      <c r="C1421" t="s">
        <v>35</v>
      </c>
      <c r="D1421" t="s">
        <v>16</v>
      </c>
      <c r="E1421">
        <f t="shared" ca="1" si="22"/>
        <v>66578.538461538468</v>
      </c>
    </row>
    <row r="1422" spans="1:5" x14ac:dyDescent="0.25">
      <c r="A1422">
        <v>35</v>
      </c>
      <c r="B1422">
        <v>18</v>
      </c>
      <c r="C1422" t="s">
        <v>35</v>
      </c>
      <c r="D1422" t="s">
        <v>17</v>
      </c>
      <c r="E1422">
        <f t="shared" ca="1" si="22"/>
        <v>25844.999999999971</v>
      </c>
    </row>
    <row r="1423" spans="1:5" x14ac:dyDescent="0.25">
      <c r="A1423">
        <v>35</v>
      </c>
      <c r="B1423">
        <v>19</v>
      </c>
      <c r="C1423" t="s">
        <v>35</v>
      </c>
      <c r="D1423" t="s">
        <v>18</v>
      </c>
      <c r="E1423">
        <f t="shared" ca="1" si="22"/>
        <v>3396.1538461538494</v>
      </c>
    </row>
    <row r="1424" spans="1:5" x14ac:dyDescent="0.25">
      <c r="A1424">
        <v>35</v>
      </c>
      <c r="B1424">
        <v>20</v>
      </c>
      <c r="C1424" t="s">
        <v>35</v>
      </c>
      <c r="D1424" t="s">
        <v>19</v>
      </c>
      <c r="E1424">
        <f t="shared" ca="1" si="22"/>
        <v>60567.923076923063</v>
      </c>
    </row>
    <row r="1425" spans="1:5" x14ac:dyDescent="0.25">
      <c r="A1425">
        <v>35</v>
      </c>
      <c r="B1425">
        <v>21</v>
      </c>
      <c r="C1425" t="s">
        <v>35</v>
      </c>
      <c r="D1425" t="s">
        <v>20</v>
      </c>
      <c r="E1425">
        <f t="shared" ca="1" si="22"/>
        <v>39412.538461538468</v>
      </c>
    </row>
    <row r="1426" spans="1:5" x14ac:dyDescent="0.25">
      <c r="A1426">
        <v>35</v>
      </c>
      <c r="B1426">
        <v>22</v>
      </c>
      <c r="C1426" t="s">
        <v>35</v>
      </c>
      <c r="D1426" t="s">
        <v>21</v>
      </c>
      <c r="E1426">
        <f t="shared" ca="1" si="22"/>
        <v>23852.38461538457</v>
      </c>
    </row>
    <row r="1427" spans="1:5" x14ac:dyDescent="0.25">
      <c r="A1427">
        <v>35</v>
      </c>
      <c r="B1427">
        <v>23</v>
      </c>
      <c r="C1427" t="s">
        <v>35</v>
      </c>
      <c r="D1427" t="s">
        <v>22</v>
      </c>
      <c r="E1427">
        <f t="shared" ca="1" si="22"/>
        <v>8530.9230769230799</v>
      </c>
    </row>
    <row r="1428" spans="1:5" x14ac:dyDescent="0.25">
      <c r="A1428">
        <v>35</v>
      </c>
      <c r="B1428">
        <v>24</v>
      </c>
      <c r="C1428" t="s">
        <v>35</v>
      </c>
      <c r="D1428" t="s">
        <v>23</v>
      </c>
      <c r="E1428">
        <f t="shared" ca="1" si="22"/>
        <v>9693.3076923076896</v>
      </c>
    </row>
    <row r="1429" spans="1:5" x14ac:dyDescent="0.25">
      <c r="A1429">
        <v>35</v>
      </c>
      <c r="B1429">
        <v>25</v>
      </c>
      <c r="C1429" t="s">
        <v>35</v>
      </c>
      <c r="D1429" t="s">
        <v>24</v>
      </c>
      <c r="E1429">
        <f t="shared" ca="1" si="22"/>
        <v>7297.9230769230799</v>
      </c>
    </row>
    <row r="1430" spans="1:5" x14ac:dyDescent="0.25">
      <c r="A1430">
        <v>35</v>
      </c>
      <c r="B1430">
        <v>26</v>
      </c>
      <c r="C1430" t="s">
        <v>35</v>
      </c>
      <c r="D1430" t="s">
        <v>25</v>
      </c>
      <c r="E1430">
        <f t="shared" ca="1" si="22"/>
        <v>6376.9999999999982</v>
      </c>
    </row>
    <row r="1431" spans="1:5" x14ac:dyDescent="0.25">
      <c r="A1431">
        <v>35</v>
      </c>
      <c r="B1431">
        <v>27</v>
      </c>
      <c r="C1431" t="s">
        <v>35</v>
      </c>
      <c r="D1431" t="s">
        <v>145</v>
      </c>
      <c r="E1431">
        <f t="shared" ca="1" si="22"/>
        <v>61592.230769230766</v>
      </c>
    </row>
    <row r="1432" spans="1:5" x14ac:dyDescent="0.25">
      <c r="A1432">
        <v>35</v>
      </c>
      <c r="B1432">
        <v>28</v>
      </c>
      <c r="C1432" t="s">
        <v>35</v>
      </c>
      <c r="D1432" t="s">
        <v>147</v>
      </c>
      <c r="E1432">
        <f t="shared" ca="1" si="22"/>
        <v>38656.530769230769</v>
      </c>
    </row>
    <row r="1433" spans="1:5" x14ac:dyDescent="0.25">
      <c r="A1433">
        <v>35</v>
      </c>
      <c r="B1433">
        <v>29</v>
      </c>
      <c r="C1433" t="s">
        <v>35</v>
      </c>
      <c r="D1433" t="s">
        <v>146</v>
      </c>
      <c r="E1433">
        <f t="shared" ca="1" si="22"/>
        <v>9863.5307692307688</v>
      </c>
    </row>
    <row r="1434" spans="1:5" x14ac:dyDescent="0.25">
      <c r="A1434">
        <v>35</v>
      </c>
      <c r="B1434">
        <v>30</v>
      </c>
      <c r="C1434" t="s">
        <v>35</v>
      </c>
      <c r="D1434" t="s">
        <v>30</v>
      </c>
      <c r="E1434">
        <f t="shared" ca="1" si="22"/>
        <v>4752.6923076923085</v>
      </c>
    </row>
    <row r="1435" spans="1:5" x14ac:dyDescent="0.25">
      <c r="A1435">
        <v>35</v>
      </c>
      <c r="B1435">
        <v>31</v>
      </c>
      <c r="C1435" t="s">
        <v>35</v>
      </c>
      <c r="D1435" t="s">
        <v>31</v>
      </c>
      <c r="E1435">
        <f t="shared" ca="1" si="22"/>
        <v>2597.6153846153838</v>
      </c>
    </row>
    <row r="1436" spans="1:5" x14ac:dyDescent="0.25">
      <c r="A1436">
        <v>35</v>
      </c>
      <c r="B1436">
        <v>32</v>
      </c>
      <c r="C1436" t="s">
        <v>35</v>
      </c>
      <c r="D1436" t="s">
        <v>32</v>
      </c>
      <c r="E1436">
        <f t="shared" ca="1" si="22"/>
        <v>66274.999999999971</v>
      </c>
    </row>
    <row r="1437" spans="1:5" x14ac:dyDescent="0.25">
      <c r="A1437">
        <v>35</v>
      </c>
      <c r="B1437">
        <v>33</v>
      </c>
      <c r="C1437" t="s">
        <v>35</v>
      </c>
      <c r="D1437" t="s">
        <v>33</v>
      </c>
      <c r="E1437">
        <f t="shared" ca="1" si="22"/>
        <v>298885.53846153873</v>
      </c>
    </row>
    <row r="1438" spans="1:5" x14ac:dyDescent="0.25">
      <c r="A1438">
        <v>35</v>
      </c>
      <c r="B1438">
        <v>34</v>
      </c>
      <c r="C1438" t="s">
        <v>35</v>
      </c>
      <c r="D1438" t="s">
        <v>34</v>
      </c>
      <c r="E1438">
        <f t="shared" ca="1" si="22"/>
        <v>25203.846153846171</v>
      </c>
    </row>
    <row r="1439" spans="1:5" x14ac:dyDescent="0.25">
      <c r="A1439">
        <v>35</v>
      </c>
      <c r="B1439">
        <v>35</v>
      </c>
      <c r="C1439" t="s">
        <v>35</v>
      </c>
      <c r="D1439" t="s">
        <v>35</v>
      </c>
      <c r="E1439">
        <f t="shared" ca="1" si="22"/>
        <v>0</v>
      </c>
    </row>
    <row r="1440" spans="1:5" x14ac:dyDescent="0.25">
      <c r="A1440">
        <v>35</v>
      </c>
      <c r="B1440">
        <v>36</v>
      </c>
      <c r="C1440" t="s">
        <v>35</v>
      </c>
      <c r="D1440" t="s">
        <v>36</v>
      </c>
      <c r="E1440">
        <f t="shared" ca="1" si="22"/>
        <v>12247.076923076969</v>
      </c>
    </row>
    <row r="1441" spans="1:5" x14ac:dyDescent="0.25">
      <c r="A1441">
        <v>35</v>
      </c>
      <c r="B1441">
        <v>37</v>
      </c>
      <c r="C1441" t="s">
        <v>35</v>
      </c>
      <c r="D1441" t="s">
        <v>37</v>
      </c>
      <c r="E1441">
        <f t="shared" ca="1" si="22"/>
        <v>2215.2307692307691</v>
      </c>
    </row>
    <row r="1442" spans="1:5" x14ac:dyDescent="0.25">
      <c r="A1442">
        <v>35</v>
      </c>
      <c r="B1442">
        <v>38</v>
      </c>
      <c r="C1442" t="s">
        <v>35</v>
      </c>
      <c r="D1442" t="s">
        <v>38</v>
      </c>
      <c r="E1442">
        <f t="shared" ref="E1442:E1504" ca="1" si="23">OFFSET($B$2,A1442,B1442)</f>
        <v>5285.6153846153884</v>
      </c>
    </row>
    <row r="1443" spans="1:5" x14ac:dyDescent="0.25">
      <c r="A1443">
        <v>35</v>
      </c>
      <c r="B1443">
        <v>39</v>
      </c>
      <c r="C1443" t="s">
        <v>35</v>
      </c>
      <c r="D1443" t="s">
        <v>39</v>
      </c>
      <c r="E1443">
        <f t="shared" ca="1" si="23"/>
        <v>11832</v>
      </c>
    </row>
    <row r="1444" spans="1:5" x14ac:dyDescent="0.25">
      <c r="A1444">
        <v>35</v>
      </c>
      <c r="B1444">
        <v>40</v>
      </c>
      <c r="C1444" t="s">
        <v>35</v>
      </c>
      <c r="D1444" t="s">
        <v>40</v>
      </c>
      <c r="E1444">
        <f t="shared" ca="1" si="23"/>
        <v>24190.923076923071</v>
      </c>
    </row>
    <row r="1445" spans="1:5" x14ac:dyDescent="0.25">
      <c r="A1445">
        <v>36</v>
      </c>
      <c r="B1445">
        <v>1</v>
      </c>
      <c r="C1445" t="s">
        <v>36</v>
      </c>
      <c r="D1445" t="s">
        <v>0</v>
      </c>
      <c r="E1445">
        <f t="shared" ca="1" si="23"/>
        <v>98077.22527472525</v>
      </c>
    </row>
    <row r="1446" spans="1:5" x14ac:dyDescent="0.25">
      <c r="A1446">
        <v>36</v>
      </c>
      <c r="B1446">
        <v>2</v>
      </c>
      <c r="C1446" t="s">
        <v>36</v>
      </c>
      <c r="D1446" t="s">
        <v>1</v>
      </c>
      <c r="E1446">
        <f t="shared" ca="1" si="23"/>
        <v>26816.225274725242</v>
      </c>
    </row>
    <row r="1447" spans="1:5" x14ac:dyDescent="0.25">
      <c r="A1447">
        <v>36</v>
      </c>
      <c r="B1447">
        <v>3</v>
      </c>
      <c r="C1447" t="s">
        <v>36</v>
      </c>
      <c r="D1447" t="s">
        <v>2</v>
      </c>
      <c r="E1447">
        <f t="shared" ca="1" si="23"/>
        <v>22080.868131868148</v>
      </c>
    </row>
    <row r="1448" spans="1:5" x14ac:dyDescent="0.25">
      <c r="A1448">
        <v>36</v>
      </c>
      <c r="B1448">
        <v>4</v>
      </c>
      <c r="C1448" t="s">
        <v>36</v>
      </c>
      <c r="D1448" t="s">
        <v>3</v>
      </c>
      <c r="E1448">
        <f t="shared" ca="1" si="23"/>
        <v>36737.225274725242</v>
      </c>
    </row>
    <row r="1449" spans="1:5" x14ac:dyDescent="0.25">
      <c r="A1449">
        <v>36</v>
      </c>
      <c r="B1449">
        <v>5</v>
      </c>
      <c r="C1449" t="s">
        <v>36</v>
      </c>
      <c r="D1449" t="s">
        <v>4</v>
      </c>
      <c r="E1449">
        <f t="shared" ca="1" si="23"/>
        <v>70473.796703296743</v>
      </c>
    </row>
    <row r="1450" spans="1:5" x14ac:dyDescent="0.25">
      <c r="A1450">
        <v>36</v>
      </c>
      <c r="B1450">
        <v>6</v>
      </c>
      <c r="C1450" t="s">
        <v>36</v>
      </c>
      <c r="D1450" t="s">
        <v>5</v>
      </c>
      <c r="E1450">
        <f t="shared" ca="1" si="23"/>
        <v>18801.939560439547</v>
      </c>
    </row>
    <row r="1451" spans="1:5" x14ac:dyDescent="0.25">
      <c r="A1451">
        <v>36</v>
      </c>
      <c r="B1451">
        <v>7</v>
      </c>
      <c r="C1451" t="s">
        <v>36</v>
      </c>
      <c r="D1451" t="s">
        <v>6</v>
      </c>
      <c r="E1451">
        <f t="shared" ca="1" si="23"/>
        <v>10551.939560439556</v>
      </c>
    </row>
    <row r="1452" spans="1:5" x14ac:dyDescent="0.25">
      <c r="A1452">
        <v>36</v>
      </c>
      <c r="B1452">
        <v>8</v>
      </c>
      <c r="C1452" t="s">
        <v>36</v>
      </c>
      <c r="D1452" t="s">
        <v>7</v>
      </c>
      <c r="E1452">
        <f t="shared" ca="1" si="23"/>
        <v>40199.010989010945</v>
      </c>
    </row>
    <row r="1453" spans="1:5" x14ac:dyDescent="0.25">
      <c r="A1453">
        <v>36</v>
      </c>
      <c r="B1453">
        <v>9</v>
      </c>
      <c r="C1453" t="s">
        <v>36</v>
      </c>
      <c r="D1453" t="s">
        <v>148</v>
      </c>
      <c r="E1453">
        <f t="shared" ca="1" si="23"/>
        <v>6194.6083916083908</v>
      </c>
    </row>
    <row r="1454" spans="1:5" x14ac:dyDescent="0.25">
      <c r="A1454">
        <v>36</v>
      </c>
      <c r="B1454">
        <v>10</v>
      </c>
      <c r="C1454" t="s">
        <v>36</v>
      </c>
      <c r="D1454" t="s">
        <v>9</v>
      </c>
      <c r="E1454">
        <f t="shared" ca="1" si="23"/>
        <v>26677.368131868148</v>
      </c>
    </row>
    <row r="1455" spans="1:5" x14ac:dyDescent="0.25">
      <c r="A1455">
        <v>36</v>
      </c>
      <c r="B1455">
        <v>11</v>
      </c>
      <c r="C1455" t="s">
        <v>36</v>
      </c>
      <c r="D1455" t="s">
        <v>10</v>
      </c>
      <c r="E1455">
        <f t="shared" ca="1" si="23"/>
        <v>26844.538461538446</v>
      </c>
    </row>
    <row r="1456" spans="1:5" x14ac:dyDescent="0.25">
      <c r="A1456">
        <v>36</v>
      </c>
      <c r="B1456">
        <v>12</v>
      </c>
      <c r="C1456" t="s">
        <v>36</v>
      </c>
      <c r="D1456" t="s">
        <v>11</v>
      </c>
      <c r="E1456">
        <f t="shared" ca="1" si="23"/>
        <v>23813.153846153844</v>
      </c>
    </row>
    <row r="1457" spans="1:5" x14ac:dyDescent="0.25">
      <c r="A1457">
        <v>36</v>
      </c>
      <c r="B1457">
        <v>13</v>
      </c>
      <c r="C1457" t="s">
        <v>36</v>
      </c>
      <c r="D1457" t="s">
        <v>12</v>
      </c>
      <c r="E1457">
        <f t="shared" ca="1" si="23"/>
        <v>8891.5384615384646</v>
      </c>
    </row>
    <row r="1458" spans="1:5" x14ac:dyDescent="0.25">
      <c r="A1458">
        <v>36</v>
      </c>
      <c r="B1458">
        <v>14</v>
      </c>
      <c r="C1458" t="s">
        <v>36</v>
      </c>
      <c r="D1458" t="s">
        <v>13</v>
      </c>
      <c r="E1458">
        <f t="shared" ca="1" si="23"/>
        <v>29516.538461538446</v>
      </c>
    </row>
    <row r="1459" spans="1:5" x14ac:dyDescent="0.25">
      <c r="A1459">
        <v>36</v>
      </c>
      <c r="B1459">
        <v>15</v>
      </c>
      <c r="C1459" t="s">
        <v>36</v>
      </c>
      <c r="D1459" t="s">
        <v>14</v>
      </c>
      <c r="E1459">
        <f t="shared" ca="1" si="23"/>
        <v>53315.923076923042</v>
      </c>
    </row>
    <row r="1460" spans="1:5" x14ac:dyDescent="0.25">
      <c r="A1460">
        <v>36</v>
      </c>
      <c r="B1460">
        <v>16</v>
      </c>
      <c r="C1460" t="s">
        <v>36</v>
      </c>
      <c r="D1460" t="s">
        <v>15</v>
      </c>
      <c r="E1460">
        <f t="shared" ca="1" si="23"/>
        <v>43008.384615384646</v>
      </c>
    </row>
    <row r="1461" spans="1:5" x14ac:dyDescent="0.25">
      <c r="A1461">
        <v>36</v>
      </c>
      <c r="B1461">
        <v>17</v>
      </c>
      <c r="C1461" t="s">
        <v>36</v>
      </c>
      <c r="D1461" t="s">
        <v>16</v>
      </c>
      <c r="E1461">
        <f t="shared" ca="1" si="23"/>
        <v>70067.461538461546</v>
      </c>
    </row>
    <row r="1462" spans="1:5" x14ac:dyDescent="0.25">
      <c r="A1462">
        <v>36</v>
      </c>
      <c r="B1462">
        <v>18</v>
      </c>
      <c r="C1462" t="s">
        <v>36</v>
      </c>
      <c r="D1462" t="s">
        <v>17</v>
      </c>
      <c r="E1462">
        <f t="shared" ca="1" si="23"/>
        <v>29333.923076923049</v>
      </c>
    </row>
    <row r="1463" spans="1:5" x14ac:dyDescent="0.25">
      <c r="A1463">
        <v>36</v>
      </c>
      <c r="B1463">
        <v>19</v>
      </c>
      <c r="C1463" t="s">
        <v>36</v>
      </c>
      <c r="D1463" t="s">
        <v>18</v>
      </c>
      <c r="E1463">
        <f t="shared" ca="1" si="23"/>
        <v>6885.0769230769256</v>
      </c>
    </row>
    <row r="1464" spans="1:5" x14ac:dyDescent="0.25">
      <c r="A1464">
        <v>36</v>
      </c>
      <c r="B1464">
        <v>20</v>
      </c>
      <c r="C1464" t="s">
        <v>36</v>
      </c>
      <c r="D1464" t="s">
        <v>19</v>
      </c>
      <c r="E1464">
        <f t="shared" ca="1" si="23"/>
        <v>64056.846153846142</v>
      </c>
    </row>
    <row r="1465" spans="1:5" x14ac:dyDescent="0.25">
      <c r="A1465">
        <v>36</v>
      </c>
      <c r="B1465">
        <v>21</v>
      </c>
      <c r="C1465" t="s">
        <v>36</v>
      </c>
      <c r="D1465" t="s">
        <v>20</v>
      </c>
      <c r="E1465">
        <f t="shared" ca="1" si="23"/>
        <v>42901.461538461546</v>
      </c>
    </row>
    <row r="1466" spans="1:5" x14ac:dyDescent="0.25">
      <c r="A1466">
        <v>36</v>
      </c>
      <c r="B1466">
        <v>22</v>
      </c>
      <c r="C1466" t="s">
        <v>36</v>
      </c>
      <c r="D1466" t="s">
        <v>21</v>
      </c>
      <c r="E1466">
        <f t="shared" ca="1" si="23"/>
        <v>27341.307692307644</v>
      </c>
    </row>
    <row r="1467" spans="1:5" x14ac:dyDescent="0.25">
      <c r="A1467">
        <v>36</v>
      </c>
      <c r="B1467">
        <v>23</v>
      </c>
      <c r="C1467" t="s">
        <v>36</v>
      </c>
      <c r="D1467" t="s">
        <v>22</v>
      </c>
      <c r="E1467">
        <f t="shared" ca="1" si="23"/>
        <v>12019.846153846156</v>
      </c>
    </row>
    <row r="1468" spans="1:5" x14ac:dyDescent="0.25">
      <c r="A1468">
        <v>36</v>
      </c>
      <c r="B1468">
        <v>24</v>
      </c>
      <c r="C1468" t="s">
        <v>36</v>
      </c>
      <c r="D1468" t="s">
        <v>23</v>
      </c>
      <c r="E1468">
        <f t="shared" ca="1" si="23"/>
        <v>13182.230769230766</v>
      </c>
    </row>
    <row r="1469" spans="1:5" x14ac:dyDescent="0.25">
      <c r="A1469">
        <v>36</v>
      </c>
      <c r="B1469">
        <v>25</v>
      </c>
      <c r="C1469" t="s">
        <v>36</v>
      </c>
      <c r="D1469" t="s">
        <v>24</v>
      </c>
      <c r="E1469">
        <f t="shared" ca="1" si="23"/>
        <v>10786.846153846156</v>
      </c>
    </row>
    <row r="1470" spans="1:5" x14ac:dyDescent="0.25">
      <c r="A1470">
        <v>36</v>
      </c>
      <c r="B1470">
        <v>26</v>
      </c>
      <c r="C1470" t="s">
        <v>36</v>
      </c>
      <c r="D1470" t="s">
        <v>25</v>
      </c>
      <c r="E1470">
        <f t="shared" ca="1" si="23"/>
        <v>9865.9230769230744</v>
      </c>
    </row>
    <row r="1471" spans="1:5" x14ac:dyDescent="0.25">
      <c r="A1471">
        <v>36</v>
      </c>
      <c r="B1471">
        <v>27</v>
      </c>
      <c r="C1471" t="s">
        <v>36</v>
      </c>
      <c r="D1471" t="s">
        <v>145</v>
      </c>
      <c r="E1471">
        <f t="shared" ca="1" si="23"/>
        <v>65081.153846153844</v>
      </c>
    </row>
    <row r="1472" spans="1:5" x14ac:dyDescent="0.25">
      <c r="A1472">
        <v>36</v>
      </c>
      <c r="B1472">
        <v>28</v>
      </c>
      <c r="C1472" t="s">
        <v>36</v>
      </c>
      <c r="D1472" t="s">
        <v>147</v>
      </c>
      <c r="E1472">
        <f t="shared" ca="1" si="23"/>
        <v>42145.453846153847</v>
      </c>
    </row>
    <row r="1473" spans="1:5" x14ac:dyDescent="0.25">
      <c r="A1473">
        <v>36</v>
      </c>
      <c r="B1473">
        <v>29</v>
      </c>
      <c r="C1473" t="s">
        <v>36</v>
      </c>
      <c r="D1473" t="s">
        <v>146</v>
      </c>
      <c r="E1473">
        <f t="shared" ca="1" si="23"/>
        <v>13352.453846153847</v>
      </c>
    </row>
    <row r="1474" spans="1:5" x14ac:dyDescent="0.25">
      <c r="A1474">
        <v>36</v>
      </c>
      <c r="B1474">
        <v>30</v>
      </c>
      <c r="C1474" t="s">
        <v>36</v>
      </c>
      <c r="D1474" t="s">
        <v>30</v>
      </c>
      <c r="E1474">
        <f t="shared" ca="1" si="23"/>
        <v>8241.6153846153866</v>
      </c>
    </row>
    <row r="1475" spans="1:5" x14ac:dyDescent="0.25">
      <c r="A1475">
        <v>36</v>
      </c>
      <c r="B1475">
        <v>31</v>
      </c>
      <c r="C1475" t="s">
        <v>36</v>
      </c>
      <c r="D1475" t="s">
        <v>31</v>
      </c>
      <c r="E1475">
        <f t="shared" ca="1" si="23"/>
        <v>6086.538461538461</v>
      </c>
    </row>
    <row r="1476" spans="1:5" x14ac:dyDescent="0.25">
      <c r="A1476">
        <v>36</v>
      </c>
      <c r="B1476">
        <v>32</v>
      </c>
      <c r="C1476" t="s">
        <v>36</v>
      </c>
      <c r="D1476" t="s">
        <v>32</v>
      </c>
      <c r="E1476">
        <f t="shared" ca="1" si="23"/>
        <v>69763.923076923049</v>
      </c>
    </row>
    <row r="1477" spans="1:5" x14ac:dyDescent="0.25">
      <c r="A1477">
        <v>36</v>
      </c>
      <c r="B1477">
        <v>33</v>
      </c>
      <c r="C1477" t="s">
        <v>36</v>
      </c>
      <c r="D1477" t="s">
        <v>33</v>
      </c>
      <c r="E1477">
        <f t="shared" ca="1" si="23"/>
        <v>302374.46153846185</v>
      </c>
    </row>
    <row r="1478" spans="1:5" x14ac:dyDescent="0.25">
      <c r="A1478">
        <v>36</v>
      </c>
      <c r="B1478">
        <v>34</v>
      </c>
      <c r="C1478" t="s">
        <v>36</v>
      </c>
      <c r="D1478" t="s">
        <v>34</v>
      </c>
      <c r="E1478">
        <f t="shared" ca="1" si="23"/>
        <v>28692.769230769249</v>
      </c>
    </row>
    <row r="1479" spans="1:5" x14ac:dyDescent="0.25">
      <c r="A1479">
        <v>36</v>
      </c>
      <c r="B1479">
        <v>35</v>
      </c>
      <c r="C1479" t="s">
        <v>36</v>
      </c>
      <c r="D1479" t="s">
        <v>35</v>
      </c>
      <c r="E1479">
        <f t="shared" ca="1" si="23"/>
        <v>9316.9999999999964</v>
      </c>
    </row>
    <row r="1480" spans="1:5" x14ac:dyDescent="0.25">
      <c r="A1480">
        <v>36</v>
      </c>
      <c r="B1480">
        <v>36</v>
      </c>
      <c r="C1480" t="s">
        <v>36</v>
      </c>
      <c r="D1480" t="s">
        <v>36</v>
      </c>
      <c r="E1480">
        <f t="shared" ca="1" si="23"/>
        <v>0</v>
      </c>
    </row>
    <row r="1481" spans="1:5" x14ac:dyDescent="0.25">
      <c r="A1481">
        <v>36</v>
      </c>
      <c r="B1481">
        <v>37</v>
      </c>
      <c r="C1481" t="s">
        <v>36</v>
      </c>
      <c r="D1481" t="s">
        <v>37</v>
      </c>
      <c r="E1481">
        <f t="shared" ca="1" si="23"/>
        <v>5704.1538461538457</v>
      </c>
    </row>
    <row r="1482" spans="1:5" x14ac:dyDescent="0.25">
      <c r="A1482">
        <v>36</v>
      </c>
      <c r="B1482">
        <v>38</v>
      </c>
      <c r="C1482" t="s">
        <v>36</v>
      </c>
      <c r="D1482" t="s">
        <v>38</v>
      </c>
      <c r="E1482">
        <f t="shared" ca="1" si="23"/>
        <v>8774.5384615384646</v>
      </c>
    </row>
    <row r="1483" spans="1:5" x14ac:dyDescent="0.25">
      <c r="A1483">
        <v>36</v>
      </c>
      <c r="B1483">
        <v>39</v>
      </c>
      <c r="C1483" t="s">
        <v>36</v>
      </c>
      <c r="D1483" t="s">
        <v>39</v>
      </c>
      <c r="E1483">
        <f t="shared" ca="1" si="23"/>
        <v>15320.923076923076</v>
      </c>
    </row>
    <row r="1484" spans="1:5" x14ac:dyDescent="0.25">
      <c r="A1484">
        <v>36</v>
      </c>
      <c r="B1484">
        <v>40</v>
      </c>
      <c r="C1484" t="s">
        <v>36</v>
      </c>
      <c r="D1484" t="s">
        <v>40</v>
      </c>
      <c r="E1484">
        <f t="shared" ca="1" si="23"/>
        <v>27679.846153846149</v>
      </c>
    </row>
    <row r="1485" spans="1:5" x14ac:dyDescent="0.25">
      <c r="A1485">
        <v>37</v>
      </c>
      <c r="B1485">
        <v>1</v>
      </c>
      <c r="C1485" t="s">
        <v>37</v>
      </c>
      <c r="D1485" t="s">
        <v>0</v>
      </c>
      <c r="E1485">
        <f t="shared" ca="1" si="23"/>
        <v>92502.071428571406</v>
      </c>
    </row>
    <row r="1486" spans="1:5" x14ac:dyDescent="0.25">
      <c r="A1486">
        <v>37</v>
      </c>
      <c r="B1486">
        <v>2</v>
      </c>
      <c r="C1486" t="s">
        <v>37</v>
      </c>
      <c r="D1486" t="s">
        <v>1</v>
      </c>
      <c r="E1486">
        <f t="shared" ca="1" si="23"/>
        <v>21241.071428571398</v>
      </c>
    </row>
    <row r="1487" spans="1:5" x14ac:dyDescent="0.25">
      <c r="A1487">
        <v>37</v>
      </c>
      <c r="B1487">
        <v>3</v>
      </c>
      <c r="C1487" t="s">
        <v>37</v>
      </c>
      <c r="D1487" t="s">
        <v>2</v>
      </c>
      <c r="E1487">
        <f t="shared" ca="1" si="23"/>
        <v>16505.714285714301</v>
      </c>
    </row>
    <row r="1488" spans="1:5" x14ac:dyDescent="0.25">
      <c r="A1488">
        <v>37</v>
      </c>
      <c r="B1488">
        <v>4</v>
      </c>
      <c r="C1488" t="s">
        <v>37</v>
      </c>
      <c r="D1488" t="s">
        <v>3</v>
      </c>
      <c r="E1488">
        <f t="shared" ca="1" si="23"/>
        <v>31162.071428571398</v>
      </c>
    </row>
    <row r="1489" spans="1:5" x14ac:dyDescent="0.25">
      <c r="A1489">
        <v>37</v>
      </c>
      <c r="B1489">
        <v>5</v>
      </c>
      <c r="C1489" t="s">
        <v>37</v>
      </c>
      <c r="D1489" t="s">
        <v>4</v>
      </c>
      <c r="E1489">
        <f t="shared" ca="1" si="23"/>
        <v>64898.642857142899</v>
      </c>
    </row>
    <row r="1490" spans="1:5" x14ac:dyDescent="0.25">
      <c r="A1490">
        <v>37</v>
      </c>
      <c r="B1490">
        <v>6</v>
      </c>
      <c r="C1490" t="s">
        <v>37</v>
      </c>
      <c r="D1490" t="s">
        <v>5</v>
      </c>
      <c r="E1490">
        <f t="shared" ca="1" si="23"/>
        <v>13226.785714285699</v>
      </c>
    </row>
    <row r="1491" spans="1:5" x14ac:dyDescent="0.25">
      <c r="A1491">
        <v>37</v>
      </c>
      <c r="B1491">
        <v>7</v>
      </c>
      <c r="C1491" t="s">
        <v>37</v>
      </c>
      <c r="D1491" t="s">
        <v>6</v>
      </c>
      <c r="E1491">
        <f t="shared" ca="1" si="23"/>
        <v>4976.7857142857101</v>
      </c>
    </row>
    <row r="1492" spans="1:5" x14ac:dyDescent="0.25">
      <c r="A1492">
        <v>37</v>
      </c>
      <c r="B1492">
        <v>8</v>
      </c>
      <c r="C1492" t="s">
        <v>37</v>
      </c>
      <c r="D1492" t="s">
        <v>7</v>
      </c>
      <c r="E1492">
        <f t="shared" ca="1" si="23"/>
        <v>34623.857142857101</v>
      </c>
    </row>
    <row r="1493" spans="1:5" x14ac:dyDescent="0.25">
      <c r="A1493">
        <v>37</v>
      </c>
      <c r="B1493">
        <v>9</v>
      </c>
      <c r="C1493" t="s">
        <v>37</v>
      </c>
      <c r="D1493" t="s">
        <v>148</v>
      </c>
      <c r="E1493">
        <f t="shared" ca="1" si="23"/>
        <v>619.45454545454504</v>
      </c>
    </row>
    <row r="1494" spans="1:5" x14ac:dyDescent="0.25">
      <c r="A1494">
        <v>37</v>
      </c>
      <c r="B1494">
        <v>10</v>
      </c>
      <c r="C1494" t="s">
        <v>37</v>
      </c>
      <c r="D1494" t="s">
        <v>9</v>
      </c>
      <c r="E1494">
        <f t="shared" ca="1" si="23"/>
        <v>21102.214285714301</v>
      </c>
    </row>
    <row r="1495" spans="1:5" x14ac:dyDescent="0.25">
      <c r="A1495">
        <v>37</v>
      </c>
      <c r="B1495">
        <v>11</v>
      </c>
      <c r="C1495" t="s">
        <v>37</v>
      </c>
      <c r="D1495" t="s">
        <v>10</v>
      </c>
      <c r="E1495">
        <f t="shared" ca="1" si="23"/>
        <v>21269.384615384599</v>
      </c>
    </row>
    <row r="1496" spans="1:5" x14ac:dyDescent="0.25">
      <c r="A1496">
        <v>37</v>
      </c>
      <c r="B1496">
        <v>12</v>
      </c>
      <c r="C1496" t="s">
        <v>37</v>
      </c>
      <c r="D1496" t="s">
        <v>11</v>
      </c>
      <c r="E1496">
        <f t="shared" ca="1" si="23"/>
        <v>18238</v>
      </c>
    </row>
    <row r="1497" spans="1:5" x14ac:dyDescent="0.25">
      <c r="A1497">
        <v>37</v>
      </c>
      <c r="B1497">
        <v>13</v>
      </c>
      <c r="C1497" t="s">
        <v>37</v>
      </c>
      <c r="D1497" t="s">
        <v>12</v>
      </c>
      <c r="E1497">
        <f t="shared" ca="1" si="23"/>
        <v>3316.3846153846198</v>
      </c>
    </row>
    <row r="1498" spans="1:5" x14ac:dyDescent="0.25">
      <c r="A1498">
        <v>37</v>
      </c>
      <c r="B1498">
        <v>14</v>
      </c>
      <c r="C1498" t="s">
        <v>37</v>
      </c>
      <c r="D1498" t="s">
        <v>13</v>
      </c>
      <c r="E1498">
        <f t="shared" ca="1" si="23"/>
        <v>23941.384615384599</v>
      </c>
    </row>
    <row r="1499" spans="1:5" x14ac:dyDescent="0.25">
      <c r="A1499">
        <v>37</v>
      </c>
      <c r="B1499">
        <v>15</v>
      </c>
      <c r="C1499" t="s">
        <v>37</v>
      </c>
      <c r="D1499" t="s">
        <v>14</v>
      </c>
      <c r="E1499">
        <f t="shared" ca="1" si="23"/>
        <v>47740.769230769198</v>
      </c>
    </row>
    <row r="1500" spans="1:5" x14ac:dyDescent="0.25">
      <c r="A1500">
        <v>37</v>
      </c>
      <c r="B1500">
        <v>16</v>
      </c>
      <c r="C1500" t="s">
        <v>37</v>
      </c>
      <c r="D1500" t="s">
        <v>15</v>
      </c>
      <c r="E1500">
        <f t="shared" ca="1" si="23"/>
        <v>37433.230769230802</v>
      </c>
    </row>
    <row r="1501" spans="1:5" x14ac:dyDescent="0.25">
      <c r="A1501">
        <v>37</v>
      </c>
      <c r="B1501">
        <v>17</v>
      </c>
      <c r="C1501" t="s">
        <v>37</v>
      </c>
      <c r="D1501" t="s">
        <v>16</v>
      </c>
      <c r="E1501">
        <f t="shared" ca="1" si="23"/>
        <v>64492.307692307702</v>
      </c>
    </row>
    <row r="1502" spans="1:5" x14ac:dyDescent="0.25">
      <c r="A1502">
        <v>37</v>
      </c>
      <c r="B1502">
        <v>18</v>
      </c>
      <c r="C1502" t="s">
        <v>37</v>
      </c>
      <c r="D1502" t="s">
        <v>17</v>
      </c>
      <c r="E1502">
        <f t="shared" ca="1" si="23"/>
        <v>23758.769230769201</v>
      </c>
    </row>
    <row r="1503" spans="1:5" x14ac:dyDescent="0.25">
      <c r="A1503">
        <v>37</v>
      </c>
      <c r="B1503">
        <v>19</v>
      </c>
      <c r="C1503" t="s">
        <v>37</v>
      </c>
      <c r="D1503" t="s">
        <v>18</v>
      </c>
      <c r="E1503">
        <f t="shared" ca="1" si="23"/>
        <v>1309.9230769230801</v>
      </c>
    </row>
    <row r="1504" spans="1:5" x14ac:dyDescent="0.25">
      <c r="A1504">
        <v>37</v>
      </c>
      <c r="B1504">
        <v>20</v>
      </c>
      <c r="C1504" t="s">
        <v>37</v>
      </c>
      <c r="D1504" t="s">
        <v>19</v>
      </c>
      <c r="E1504">
        <f t="shared" ca="1" si="23"/>
        <v>58481.692307692298</v>
      </c>
    </row>
    <row r="1505" spans="1:5" x14ac:dyDescent="0.25">
      <c r="A1505">
        <v>37</v>
      </c>
      <c r="B1505">
        <v>21</v>
      </c>
      <c r="C1505" t="s">
        <v>37</v>
      </c>
      <c r="D1505" t="s">
        <v>20</v>
      </c>
      <c r="E1505">
        <f t="shared" ref="E1505:E1566" ca="1" si="24">OFFSET($B$2,A1505,B1505)</f>
        <v>37326.307692307702</v>
      </c>
    </row>
    <row r="1506" spans="1:5" x14ac:dyDescent="0.25">
      <c r="A1506">
        <v>37</v>
      </c>
      <c r="B1506">
        <v>22</v>
      </c>
      <c r="C1506" t="s">
        <v>37</v>
      </c>
      <c r="D1506" t="s">
        <v>21</v>
      </c>
      <c r="E1506">
        <f t="shared" ca="1" si="24"/>
        <v>21766.1538461538</v>
      </c>
    </row>
    <row r="1507" spans="1:5" x14ac:dyDescent="0.25">
      <c r="A1507">
        <v>37</v>
      </c>
      <c r="B1507">
        <v>23</v>
      </c>
      <c r="C1507" t="s">
        <v>37</v>
      </c>
      <c r="D1507" t="s">
        <v>22</v>
      </c>
      <c r="E1507">
        <f t="shared" ca="1" si="24"/>
        <v>6444.6923076923104</v>
      </c>
    </row>
    <row r="1508" spans="1:5" x14ac:dyDescent="0.25">
      <c r="A1508">
        <v>37</v>
      </c>
      <c r="B1508">
        <v>24</v>
      </c>
      <c r="C1508" t="s">
        <v>37</v>
      </c>
      <c r="D1508" t="s">
        <v>23</v>
      </c>
      <c r="E1508">
        <f t="shared" ca="1" si="24"/>
        <v>7607.0769230769201</v>
      </c>
    </row>
    <row r="1509" spans="1:5" x14ac:dyDescent="0.25">
      <c r="A1509">
        <v>37</v>
      </c>
      <c r="B1509">
        <v>25</v>
      </c>
      <c r="C1509" t="s">
        <v>37</v>
      </c>
      <c r="D1509" t="s">
        <v>24</v>
      </c>
      <c r="E1509">
        <f t="shared" ca="1" si="24"/>
        <v>5211.6923076923104</v>
      </c>
    </row>
    <row r="1510" spans="1:5" x14ac:dyDescent="0.25">
      <c r="A1510">
        <v>37</v>
      </c>
      <c r="B1510">
        <v>26</v>
      </c>
      <c r="C1510" t="s">
        <v>37</v>
      </c>
      <c r="D1510" t="s">
        <v>25</v>
      </c>
      <c r="E1510">
        <f t="shared" ca="1" si="24"/>
        <v>4290.7692307692296</v>
      </c>
    </row>
    <row r="1511" spans="1:5" x14ac:dyDescent="0.25">
      <c r="A1511">
        <v>37</v>
      </c>
      <c r="B1511">
        <v>27</v>
      </c>
      <c r="C1511" t="s">
        <v>37</v>
      </c>
      <c r="D1511" t="s">
        <v>145</v>
      </c>
      <c r="E1511">
        <f t="shared" ca="1" si="24"/>
        <v>59506</v>
      </c>
    </row>
    <row r="1512" spans="1:5" x14ac:dyDescent="0.25">
      <c r="A1512">
        <v>37</v>
      </c>
      <c r="B1512">
        <v>28</v>
      </c>
      <c r="C1512" t="s">
        <v>37</v>
      </c>
      <c r="D1512" t="s">
        <v>147</v>
      </c>
      <c r="E1512">
        <f t="shared" ca="1" si="24"/>
        <v>36570.300000000003</v>
      </c>
    </row>
    <row r="1513" spans="1:5" x14ac:dyDescent="0.25">
      <c r="A1513">
        <v>37</v>
      </c>
      <c r="B1513">
        <v>29</v>
      </c>
      <c r="C1513" t="s">
        <v>37</v>
      </c>
      <c r="D1513" t="s">
        <v>146</v>
      </c>
      <c r="E1513">
        <f t="shared" ca="1" si="24"/>
        <v>7777.3</v>
      </c>
    </row>
    <row r="1514" spans="1:5" x14ac:dyDescent="0.25">
      <c r="A1514">
        <v>37</v>
      </c>
      <c r="B1514">
        <v>30</v>
      </c>
      <c r="C1514" t="s">
        <v>37</v>
      </c>
      <c r="D1514" t="s">
        <v>30</v>
      </c>
      <c r="E1514">
        <f t="shared" ca="1" si="24"/>
        <v>2666.4615384615399</v>
      </c>
    </row>
    <row r="1515" spans="1:5" x14ac:dyDescent="0.25">
      <c r="A1515">
        <v>37</v>
      </c>
      <c r="B1515">
        <v>31</v>
      </c>
      <c r="C1515" t="s">
        <v>37</v>
      </c>
      <c r="D1515" t="s">
        <v>31</v>
      </c>
      <c r="E1515">
        <f t="shared" ca="1" si="24"/>
        <v>511.38461538461502</v>
      </c>
    </row>
    <row r="1516" spans="1:5" x14ac:dyDescent="0.25">
      <c r="A1516">
        <v>37</v>
      </c>
      <c r="B1516">
        <v>32</v>
      </c>
      <c r="C1516" t="s">
        <v>37</v>
      </c>
      <c r="D1516" t="s">
        <v>32</v>
      </c>
      <c r="E1516">
        <f t="shared" ca="1" si="24"/>
        <v>64188.769230769198</v>
      </c>
    </row>
    <row r="1517" spans="1:5" x14ac:dyDescent="0.25">
      <c r="A1517">
        <v>37</v>
      </c>
      <c r="B1517">
        <v>33</v>
      </c>
      <c r="C1517" t="s">
        <v>37</v>
      </c>
      <c r="D1517" t="s">
        <v>33</v>
      </c>
      <c r="E1517">
        <f t="shared" ca="1" si="24"/>
        <v>296799.30769230798</v>
      </c>
    </row>
    <row r="1518" spans="1:5" x14ac:dyDescent="0.25">
      <c r="A1518">
        <v>37</v>
      </c>
      <c r="B1518">
        <v>34</v>
      </c>
      <c r="C1518" t="s">
        <v>37</v>
      </c>
      <c r="D1518" t="s">
        <v>34</v>
      </c>
      <c r="E1518">
        <f t="shared" ca="1" si="24"/>
        <v>23117.615384615401</v>
      </c>
    </row>
    <row r="1519" spans="1:5" x14ac:dyDescent="0.25">
      <c r="A1519">
        <v>37</v>
      </c>
      <c r="B1519">
        <v>35</v>
      </c>
      <c r="C1519" t="s">
        <v>37</v>
      </c>
      <c r="D1519" t="s">
        <v>35</v>
      </c>
      <c r="E1519">
        <f t="shared" ca="1" si="24"/>
        <v>3741.8461538461502</v>
      </c>
    </row>
    <row r="1520" spans="1:5" x14ac:dyDescent="0.25">
      <c r="A1520">
        <v>37</v>
      </c>
      <c r="B1520">
        <v>36</v>
      </c>
      <c r="C1520" t="s">
        <v>37</v>
      </c>
      <c r="D1520" t="s">
        <v>36</v>
      </c>
      <c r="E1520">
        <f t="shared" ca="1" si="24"/>
        <v>10160.8461538462</v>
      </c>
    </row>
    <row r="1521" spans="1:5" x14ac:dyDescent="0.25">
      <c r="A1521">
        <v>37</v>
      </c>
      <c r="B1521">
        <v>37</v>
      </c>
      <c r="C1521" t="s">
        <v>37</v>
      </c>
      <c r="D1521" t="s">
        <v>37</v>
      </c>
      <c r="E1521">
        <f t="shared" ca="1" si="24"/>
        <v>0</v>
      </c>
    </row>
    <row r="1522" spans="1:5" x14ac:dyDescent="0.25">
      <c r="A1522">
        <v>37</v>
      </c>
      <c r="B1522">
        <v>38</v>
      </c>
      <c r="C1522" t="s">
        <v>37</v>
      </c>
      <c r="D1522" t="s">
        <v>38</v>
      </c>
      <c r="E1522">
        <f t="shared" ca="1" si="24"/>
        <v>3199.3846153846198</v>
      </c>
    </row>
    <row r="1523" spans="1:5" x14ac:dyDescent="0.25">
      <c r="A1523">
        <v>37</v>
      </c>
      <c r="B1523">
        <v>39</v>
      </c>
      <c r="C1523" t="s">
        <v>37</v>
      </c>
      <c r="D1523" t="s">
        <v>39</v>
      </c>
      <c r="E1523">
        <f t="shared" ca="1" si="24"/>
        <v>9745.7692307692305</v>
      </c>
    </row>
    <row r="1524" spans="1:5" x14ac:dyDescent="0.25">
      <c r="A1524">
        <v>37</v>
      </c>
      <c r="B1524">
        <v>40</v>
      </c>
      <c r="C1524" t="s">
        <v>37</v>
      </c>
      <c r="D1524" t="s">
        <v>40</v>
      </c>
      <c r="E1524">
        <f t="shared" ca="1" si="24"/>
        <v>22104.692307692301</v>
      </c>
    </row>
    <row r="1525" spans="1:5" x14ac:dyDescent="0.25">
      <c r="A1525">
        <v>37</v>
      </c>
      <c r="B1525">
        <v>1</v>
      </c>
      <c r="C1525" t="s">
        <v>38</v>
      </c>
      <c r="D1525" t="s">
        <v>0</v>
      </c>
      <c r="E1525">
        <f t="shared" ca="1" si="24"/>
        <v>92502.071428571406</v>
      </c>
    </row>
    <row r="1526" spans="1:5" x14ac:dyDescent="0.25">
      <c r="A1526">
        <v>37</v>
      </c>
      <c r="B1526">
        <v>2</v>
      </c>
      <c r="C1526" t="s">
        <v>38</v>
      </c>
      <c r="D1526" t="s">
        <v>1</v>
      </c>
      <c r="E1526">
        <f t="shared" ca="1" si="24"/>
        <v>21241.071428571398</v>
      </c>
    </row>
    <row r="1527" spans="1:5" x14ac:dyDescent="0.25">
      <c r="A1527">
        <v>37</v>
      </c>
      <c r="B1527">
        <v>3</v>
      </c>
      <c r="C1527" t="s">
        <v>38</v>
      </c>
      <c r="D1527" t="s">
        <v>2</v>
      </c>
      <c r="E1527">
        <f t="shared" ca="1" si="24"/>
        <v>16505.714285714301</v>
      </c>
    </row>
    <row r="1528" spans="1:5" x14ac:dyDescent="0.25">
      <c r="A1528">
        <v>37</v>
      </c>
      <c r="B1528">
        <v>4</v>
      </c>
      <c r="C1528" t="s">
        <v>38</v>
      </c>
      <c r="D1528" t="s">
        <v>3</v>
      </c>
      <c r="E1528">
        <f t="shared" ca="1" si="24"/>
        <v>31162.071428571398</v>
      </c>
    </row>
    <row r="1529" spans="1:5" x14ac:dyDescent="0.25">
      <c r="A1529">
        <v>37</v>
      </c>
      <c r="B1529">
        <v>5</v>
      </c>
      <c r="C1529" t="s">
        <v>38</v>
      </c>
      <c r="D1529" t="s">
        <v>4</v>
      </c>
      <c r="E1529">
        <f t="shared" ca="1" si="24"/>
        <v>64898.642857142899</v>
      </c>
    </row>
    <row r="1530" spans="1:5" x14ac:dyDescent="0.25">
      <c r="A1530">
        <v>37</v>
      </c>
      <c r="B1530">
        <v>6</v>
      </c>
      <c r="C1530" t="s">
        <v>38</v>
      </c>
      <c r="D1530" t="s">
        <v>5</v>
      </c>
      <c r="E1530">
        <f t="shared" ca="1" si="24"/>
        <v>13226.785714285699</v>
      </c>
    </row>
    <row r="1531" spans="1:5" x14ac:dyDescent="0.25">
      <c r="A1531">
        <v>37</v>
      </c>
      <c r="B1531">
        <v>7</v>
      </c>
      <c r="C1531" t="s">
        <v>38</v>
      </c>
      <c r="D1531" t="s">
        <v>6</v>
      </c>
      <c r="E1531">
        <f t="shared" ca="1" si="24"/>
        <v>4976.7857142857101</v>
      </c>
    </row>
    <row r="1532" spans="1:5" x14ac:dyDescent="0.25">
      <c r="A1532">
        <v>37</v>
      </c>
      <c r="B1532">
        <v>8</v>
      </c>
      <c r="C1532" t="s">
        <v>38</v>
      </c>
      <c r="D1532" t="s">
        <v>7</v>
      </c>
      <c r="E1532">
        <f t="shared" ca="1" si="24"/>
        <v>34623.857142857101</v>
      </c>
    </row>
    <row r="1533" spans="1:5" x14ac:dyDescent="0.25">
      <c r="A1533">
        <v>37</v>
      </c>
      <c r="B1533">
        <v>9</v>
      </c>
      <c r="C1533" t="s">
        <v>38</v>
      </c>
      <c r="D1533" t="s">
        <v>148</v>
      </c>
      <c r="E1533">
        <f t="shared" ca="1" si="24"/>
        <v>619.45454545454504</v>
      </c>
    </row>
    <row r="1534" spans="1:5" x14ac:dyDescent="0.25">
      <c r="A1534">
        <v>37</v>
      </c>
      <c r="B1534">
        <v>10</v>
      </c>
      <c r="C1534" t="s">
        <v>38</v>
      </c>
      <c r="D1534" t="s">
        <v>9</v>
      </c>
      <c r="E1534">
        <f t="shared" ca="1" si="24"/>
        <v>21102.214285714301</v>
      </c>
    </row>
    <row r="1535" spans="1:5" x14ac:dyDescent="0.25">
      <c r="A1535">
        <v>37</v>
      </c>
      <c r="B1535">
        <v>11</v>
      </c>
      <c r="C1535" t="s">
        <v>38</v>
      </c>
      <c r="D1535" t="s">
        <v>10</v>
      </c>
      <c r="E1535">
        <f t="shared" ca="1" si="24"/>
        <v>21269.384615384599</v>
      </c>
    </row>
    <row r="1536" spans="1:5" x14ac:dyDescent="0.25">
      <c r="A1536">
        <v>37</v>
      </c>
      <c r="B1536">
        <v>12</v>
      </c>
      <c r="C1536" t="s">
        <v>38</v>
      </c>
      <c r="D1536" t="s">
        <v>11</v>
      </c>
      <c r="E1536">
        <f t="shared" ca="1" si="24"/>
        <v>18238</v>
      </c>
    </row>
    <row r="1537" spans="1:5" x14ac:dyDescent="0.25">
      <c r="A1537">
        <v>37</v>
      </c>
      <c r="B1537">
        <v>13</v>
      </c>
      <c r="C1537" t="s">
        <v>38</v>
      </c>
      <c r="D1537" t="s">
        <v>12</v>
      </c>
      <c r="E1537">
        <f t="shared" ca="1" si="24"/>
        <v>3316.3846153846198</v>
      </c>
    </row>
    <row r="1538" spans="1:5" x14ac:dyDescent="0.25">
      <c r="A1538">
        <v>37</v>
      </c>
      <c r="B1538">
        <v>14</v>
      </c>
      <c r="C1538" t="s">
        <v>38</v>
      </c>
      <c r="D1538" t="s">
        <v>13</v>
      </c>
      <c r="E1538">
        <f t="shared" ca="1" si="24"/>
        <v>23941.384615384599</v>
      </c>
    </row>
    <row r="1539" spans="1:5" x14ac:dyDescent="0.25">
      <c r="A1539">
        <v>37</v>
      </c>
      <c r="B1539">
        <v>15</v>
      </c>
      <c r="C1539" t="s">
        <v>38</v>
      </c>
      <c r="D1539" t="s">
        <v>14</v>
      </c>
      <c r="E1539">
        <f t="shared" ca="1" si="24"/>
        <v>47740.769230769198</v>
      </c>
    </row>
    <row r="1540" spans="1:5" x14ac:dyDescent="0.25">
      <c r="A1540">
        <v>37</v>
      </c>
      <c r="B1540">
        <v>16</v>
      </c>
      <c r="C1540" t="s">
        <v>38</v>
      </c>
      <c r="D1540" t="s">
        <v>15</v>
      </c>
      <c r="E1540">
        <f t="shared" ca="1" si="24"/>
        <v>37433.230769230802</v>
      </c>
    </row>
    <row r="1541" spans="1:5" x14ac:dyDescent="0.25">
      <c r="A1541">
        <v>37</v>
      </c>
      <c r="B1541">
        <v>17</v>
      </c>
      <c r="C1541" t="s">
        <v>38</v>
      </c>
      <c r="D1541" t="s">
        <v>16</v>
      </c>
      <c r="E1541">
        <f t="shared" ca="1" si="24"/>
        <v>64492.307692307702</v>
      </c>
    </row>
    <row r="1542" spans="1:5" x14ac:dyDescent="0.25">
      <c r="A1542">
        <v>37</v>
      </c>
      <c r="B1542">
        <v>18</v>
      </c>
      <c r="C1542" t="s">
        <v>38</v>
      </c>
      <c r="D1542" t="s">
        <v>17</v>
      </c>
      <c r="E1542">
        <f t="shared" ca="1" si="24"/>
        <v>23758.769230769201</v>
      </c>
    </row>
    <row r="1543" spans="1:5" x14ac:dyDescent="0.25">
      <c r="A1543">
        <v>37</v>
      </c>
      <c r="B1543">
        <v>19</v>
      </c>
      <c r="C1543" t="s">
        <v>38</v>
      </c>
      <c r="D1543" t="s">
        <v>18</v>
      </c>
      <c r="E1543">
        <f t="shared" ca="1" si="24"/>
        <v>1309.9230769230801</v>
      </c>
    </row>
    <row r="1544" spans="1:5" x14ac:dyDescent="0.25">
      <c r="A1544">
        <v>37</v>
      </c>
      <c r="B1544">
        <v>20</v>
      </c>
      <c r="C1544" t="s">
        <v>38</v>
      </c>
      <c r="D1544" t="s">
        <v>19</v>
      </c>
      <c r="E1544">
        <f t="shared" ca="1" si="24"/>
        <v>58481.692307692298</v>
      </c>
    </row>
    <row r="1545" spans="1:5" x14ac:dyDescent="0.25">
      <c r="A1545">
        <v>37</v>
      </c>
      <c r="B1545">
        <v>21</v>
      </c>
      <c r="C1545" t="s">
        <v>38</v>
      </c>
      <c r="D1545" t="s">
        <v>20</v>
      </c>
      <c r="E1545">
        <f t="shared" ca="1" si="24"/>
        <v>37326.307692307702</v>
      </c>
    </row>
    <row r="1546" spans="1:5" x14ac:dyDescent="0.25">
      <c r="A1546">
        <v>37</v>
      </c>
      <c r="B1546">
        <v>22</v>
      </c>
      <c r="C1546" t="s">
        <v>38</v>
      </c>
      <c r="D1546" t="s">
        <v>21</v>
      </c>
      <c r="E1546">
        <f t="shared" ca="1" si="24"/>
        <v>21766.1538461538</v>
      </c>
    </row>
    <row r="1547" spans="1:5" x14ac:dyDescent="0.25">
      <c r="A1547">
        <v>37</v>
      </c>
      <c r="B1547">
        <v>23</v>
      </c>
      <c r="C1547" t="s">
        <v>38</v>
      </c>
      <c r="D1547" t="s">
        <v>22</v>
      </c>
      <c r="E1547">
        <f t="shared" ca="1" si="24"/>
        <v>6444.6923076923104</v>
      </c>
    </row>
    <row r="1548" spans="1:5" x14ac:dyDescent="0.25">
      <c r="A1548">
        <v>37</v>
      </c>
      <c r="B1548">
        <v>24</v>
      </c>
      <c r="C1548" t="s">
        <v>38</v>
      </c>
      <c r="D1548" t="s">
        <v>23</v>
      </c>
      <c r="E1548">
        <f t="shared" ca="1" si="24"/>
        <v>7607.0769230769201</v>
      </c>
    </row>
    <row r="1549" spans="1:5" x14ac:dyDescent="0.25">
      <c r="A1549">
        <v>37</v>
      </c>
      <c r="B1549">
        <v>25</v>
      </c>
      <c r="C1549" t="s">
        <v>38</v>
      </c>
      <c r="D1549" t="s">
        <v>24</v>
      </c>
      <c r="E1549">
        <f t="shared" ca="1" si="24"/>
        <v>5211.6923076923104</v>
      </c>
    </row>
    <row r="1550" spans="1:5" x14ac:dyDescent="0.25">
      <c r="A1550">
        <v>37</v>
      </c>
      <c r="B1550">
        <v>26</v>
      </c>
      <c r="C1550" t="s">
        <v>38</v>
      </c>
      <c r="D1550" t="s">
        <v>25</v>
      </c>
      <c r="E1550">
        <f t="shared" ca="1" si="24"/>
        <v>4290.7692307692296</v>
      </c>
    </row>
    <row r="1551" spans="1:5" x14ac:dyDescent="0.25">
      <c r="A1551">
        <v>37</v>
      </c>
      <c r="B1551">
        <v>27</v>
      </c>
      <c r="C1551" t="s">
        <v>38</v>
      </c>
      <c r="D1551" t="s">
        <v>145</v>
      </c>
      <c r="E1551">
        <f t="shared" ca="1" si="24"/>
        <v>59506</v>
      </c>
    </row>
    <row r="1552" spans="1:5" x14ac:dyDescent="0.25">
      <c r="A1552">
        <v>37</v>
      </c>
      <c r="B1552">
        <v>28</v>
      </c>
      <c r="C1552" t="s">
        <v>38</v>
      </c>
      <c r="D1552" t="s">
        <v>147</v>
      </c>
      <c r="E1552">
        <f t="shared" ca="1" si="24"/>
        <v>36570.300000000003</v>
      </c>
    </row>
    <row r="1553" spans="1:5" x14ac:dyDescent="0.25">
      <c r="A1553">
        <v>37</v>
      </c>
      <c r="B1553">
        <v>29</v>
      </c>
      <c r="C1553" t="s">
        <v>38</v>
      </c>
      <c r="D1553" t="s">
        <v>146</v>
      </c>
      <c r="E1553">
        <f t="shared" ca="1" si="24"/>
        <v>7777.3</v>
      </c>
    </row>
    <row r="1554" spans="1:5" x14ac:dyDescent="0.25">
      <c r="A1554">
        <v>37</v>
      </c>
      <c r="B1554">
        <v>30</v>
      </c>
      <c r="C1554" t="s">
        <v>38</v>
      </c>
      <c r="D1554" t="s">
        <v>30</v>
      </c>
      <c r="E1554">
        <f t="shared" ca="1" si="24"/>
        <v>2666.4615384615399</v>
      </c>
    </row>
    <row r="1555" spans="1:5" x14ac:dyDescent="0.25">
      <c r="A1555">
        <v>37</v>
      </c>
      <c r="B1555">
        <v>31</v>
      </c>
      <c r="C1555" t="s">
        <v>38</v>
      </c>
      <c r="D1555" t="s">
        <v>31</v>
      </c>
      <c r="E1555">
        <f t="shared" ca="1" si="24"/>
        <v>511.38461538461502</v>
      </c>
    </row>
    <row r="1556" spans="1:5" x14ac:dyDescent="0.25">
      <c r="A1556">
        <v>37</v>
      </c>
      <c r="B1556">
        <v>32</v>
      </c>
      <c r="C1556" t="s">
        <v>38</v>
      </c>
      <c r="D1556" t="s">
        <v>32</v>
      </c>
      <c r="E1556">
        <f t="shared" ca="1" si="24"/>
        <v>64188.769230769198</v>
      </c>
    </row>
    <row r="1557" spans="1:5" x14ac:dyDescent="0.25">
      <c r="A1557">
        <v>37</v>
      </c>
      <c r="B1557">
        <v>33</v>
      </c>
      <c r="C1557" t="s">
        <v>38</v>
      </c>
      <c r="D1557" t="s">
        <v>33</v>
      </c>
      <c r="E1557">
        <f t="shared" ca="1" si="24"/>
        <v>296799.30769230798</v>
      </c>
    </row>
    <row r="1558" spans="1:5" x14ac:dyDescent="0.25">
      <c r="A1558">
        <v>37</v>
      </c>
      <c r="B1558">
        <v>34</v>
      </c>
      <c r="C1558" t="s">
        <v>38</v>
      </c>
      <c r="D1558" t="s">
        <v>34</v>
      </c>
      <c r="E1558">
        <f t="shared" ca="1" si="24"/>
        <v>23117.615384615401</v>
      </c>
    </row>
    <row r="1559" spans="1:5" x14ac:dyDescent="0.25">
      <c r="A1559">
        <v>37</v>
      </c>
      <c r="B1559">
        <v>35</v>
      </c>
      <c r="C1559" t="s">
        <v>38</v>
      </c>
      <c r="D1559" t="s">
        <v>35</v>
      </c>
      <c r="E1559">
        <f t="shared" ca="1" si="24"/>
        <v>3741.8461538461502</v>
      </c>
    </row>
    <row r="1560" spans="1:5" x14ac:dyDescent="0.25">
      <c r="A1560">
        <v>37</v>
      </c>
      <c r="B1560">
        <v>36</v>
      </c>
      <c r="C1560" t="s">
        <v>38</v>
      </c>
      <c r="D1560" t="s">
        <v>36</v>
      </c>
      <c r="E1560">
        <f t="shared" ca="1" si="24"/>
        <v>10160.8461538462</v>
      </c>
    </row>
    <row r="1561" spans="1:5" x14ac:dyDescent="0.25">
      <c r="A1561">
        <v>37</v>
      </c>
      <c r="B1561">
        <v>37</v>
      </c>
      <c r="C1561" t="s">
        <v>38</v>
      </c>
      <c r="D1561" t="s">
        <v>37</v>
      </c>
      <c r="E1561">
        <f t="shared" ca="1" si="24"/>
        <v>0</v>
      </c>
    </row>
    <row r="1562" spans="1:5" x14ac:dyDescent="0.25">
      <c r="A1562">
        <v>37</v>
      </c>
      <c r="B1562">
        <v>38</v>
      </c>
      <c r="C1562" t="s">
        <v>38</v>
      </c>
      <c r="D1562" t="s">
        <v>38</v>
      </c>
      <c r="E1562">
        <f t="shared" ca="1" si="24"/>
        <v>3199.3846153846198</v>
      </c>
    </row>
    <row r="1563" spans="1:5" x14ac:dyDescent="0.25">
      <c r="A1563">
        <v>37</v>
      </c>
      <c r="B1563">
        <v>39</v>
      </c>
      <c r="C1563" t="s">
        <v>38</v>
      </c>
      <c r="D1563" t="s">
        <v>39</v>
      </c>
      <c r="E1563">
        <f t="shared" ca="1" si="24"/>
        <v>9745.7692307692305</v>
      </c>
    </row>
    <row r="1564" spans="1:5" x14ac:dyDescent="0.25">
      <c r="A1564">
        <v>37</v>
      </c>
      <c r="B1564">
        <v>40</v>
      </c>
      <c r="C1564" t="s">
        <v>38</v>
      </c>
      <c r="D1564" t="s">
        <v>40</v>
      </c>
      <c r="E1564">
        <f t="shared" ca="1" si="24"/>
        <v>22104.692307692301</v>
      </c>
    </row>
    <row r="1565" spans="1:5" x14ac:dyDescent="0.25">
      <c r="A1565">
        <v>38</v>
      </c>
      <c r="B1565">
        <v>1</v>
      </c>
      <c r="C1565" t="s">
        <v>39</v>
      </c>
      <c r="D1565" t="s">
        <v>0</v>
      </c>
      <c r="E1565">
        <f t="shared" ca="1" si="24"/>
        <v>95182.994505494484</v>
      </c>
    </row>
    <row r="1566" spans="1:5" x14ac:dyDescent="0.25">
      <c r="A1566">
        <v>38</v>
      </c>
      <c r="B1566">
        <v>2</v>
      </c>
      <c r="C1566" t="s">
        <v>39</v>
      </c>
      <c r="D1566" t="s">
        <v>1</v>
      </c>
      <c r="E1566">
        <f t="shared" ca="1" si="24"/>
        <v>23921.994505494476</v>
      </c>
    </row>
    <row r="1567" spans="1:5" x14ac:dyDescent="0.25">
      <c r="A1567">
        <v>38</v>
      </c>
      <c r="B1567">
        <v>3</v>
      </c>
      <c r="C1567" t="s">
        <v>39</v>
      </c>
      <c r="D1567" t="s">
        <v>2</v>
      </c>
      <c r="E1567">
        <f t="shared" ref="E1567:E1629" ca="1" si="25">OFFSET($B$2,A1567,B1567)</f>
        <v>19186.637362637379</v>
      </c>
    </row>
    <row r="1568" spans="1:5" x14ac:dyDescent="0.25">
      <c r="A1568">
        <v>38</v>
      </c>
      <c r="B1568">
        <v>4</v>
      </c>
      <c r="C1568" t="s">
        <v>39</v>
      </c>
      <c r="D1568" t="s">
        <v>3</v>
      </c>
      <c r="E1568">
        <f t="shared" ca="1" si="25"/>
        <v>33842.994505494476</v>
      </c>
    </row>
    <row r="1569" spans="1:5" x14ac:dyDescent="0.25">
      <c r="A1569">
        <v>38</v>
      </c>
      <c r="B1569">
        <v>5</v>
      </c>
      <c r="C1569" t="s">
        <v>39</v>
      </c>
      <c r="D1569" t="s">
        <v>4</v>
      </c>
      <c r="E1569">
        <f t="shared" ca="1" si="25"/>
        <v>67579.565934065977</v>
      </c>
    </row>
    <row r="1570" spans="1:5" x14ac:dyDescent="0.25">
      <c r="A1570">
        <v>38</v>
      </c>
      <c r="B1570">
        <v>6</v>
      </c>
      <c r="C1570" t="s">
        <v>39</v>
      </c>
      <c r="D1570" t="s">
        <v>5</v>
      </c>
      <c r="E1570">
        <f t="shared" ca="1" si="25"/>
        <v>15907.708791208777</v>
      </c>
    </row>
    <row r="1571" spans="1:5" x14ac:dyDescent="0.25">
      <c r="A1571">
        <v>38</v>
      </c>
      <c r="B1571">
        <v>7</v>
      </c>
      <c r="C1571" t="s">
        <v>39</v>
      </c>
      <c r="D1571" t="s">
        <v>6</v>
      </c>
      <c r="E1571">
        <f t="shared" ca="1" si="25"/>
        <v>7657.7087912087873</v>
      </c>
    </row>
    <row r="1572" spans="1:5" x14ac:dyDescent="0.25">
      <c r="A1572">
        <v>38</v>
      </c>
      <c r="B1572">
        <v>8</v>
      </c>
      <c r="C1572" t="s">
        <v>39</v>
      </c>
      <c r="D1572" t="s">
        <v>7</v>
      </c>
      <c r="E1572">
        <f t="shared" ca="1" si="25"/>
        <v>37304.780219780179</v>
      </c>
    </row>
    <row r="1573" spans="1:5" x14ac:dyDescent="0.25">
      <c r="A1573">
        <v>38</v>
      </c>
      <c r="B1573">
        <v>9</v>
      </c>
      <c r="C1573" t="s">
        <v>39</v>
      </c>
      <c r="D1573" t="s">
        <v>148</v>
      </c>
      <c r="E1573">
        <f t="shared" ca="1" si="25"/>
        <v>3300.3776223776222</v>
      </c>
    </row>
    <row r="1574" spans="1:5" x14ac:dyDescent="0.25">
      <c r="A1574">
        <v>38</v>
      </c>
      <c r="B1574">
        <v>10</v>
      </c>
      <c r="C1574" t="s">
        <v>39</v>
      </c>
      <c r="D1574" t="s">
        <v>9</v>
      </c>
      <c r="E1574">
        <f t="shared" ca="1" si="25"/>
        <v>23783.137362637379</v>
      </c>
    </row>
    <row r="1575" spans="1:5" x14ac:dyDescent="0.25">
      <c r="A1575">
        <v>38</v>
      </c>
      <c r="B1575">
        <v>11</v>
      </c>
      <c r="C1575" t="s">
        <v>39</v>
      </c>
      <c r="D1575" t="s">
        <v>10</v>
      </c>
      <c r="E1575">
        <f t="shared" ca="1" si="25"/>
        <v>23950.307692307677</v>
      </c>
    </row>
    <row r="1576" spans="1:5" x14ac:dyDescent="0.25">
      <c r="A1576">
        <v>38</v>
      </c>
      <c r="B1576">
        <v>12</v>
      </c>
      <c r="C1576" t="s">
        <v>39</v>
      </c>
      <c r="D1576" t="s">
        <v>11</v>
      </c>
      <c r="E1576">
        <f t="shared" ca="1" si="25"/>
        <v>20918.923076923078</v>
      </c>
    </row>
    <row r="1577" spans="1:5" x14ac:dyDescent="0.25">
      <c r="A1577">
        <v>38</v>
      </c>
      <c r="B1577">
        <v>13</v>
      </c>
      <c r="C1577" t="s">
        <v>39</v>
      </c>
      <c r="D1577" t="s">
        <v>12</v>
      </c>
      <c r="E1577">
        <f t="shared" ca="1" si="25"/>
        <v>5997.3076923076969</v>
      </c>
    </row>
    <row r="1578" spans="1:5" x14ac:dyDescent="0.25">
      <c r="A1578">
        <v>38</v>
      </c>
      <c r="B1578">
        <v>14</v>
      </c>
      <c r="C1578" t="s">
        <v>39</v>
      </c>
      <c r="D1578" t="s">
        <v>13</v>
      </c>
      <c r="E1578">
        <f t="shared" ca="1" si="25"/>
        <v>26622.307692307677</v>
      </c>
    </row>
    <row r="1579" spans="1:5" x14ac:dyDescent="0.25">
      <c r="A1579">
        <v>38</v>
      </c>
      <c r="B1579">
        <v>15</v>
      </c>
      <c r="C1579" t="s">
        <v>39</v>
      </c>
      <c r="D1579" t="s">
        <v>14</v>
      </c>
      <c r="E1579">
        <f t="shared" ca="1" si="25"/>
        <v>50421.692307692276</v>
      </c>
    </row>
    <row r="1580" spans="1:5" x14ac:dyDescent="0.25">
      <c r="A1580">
        <v>38</v>
      </c>
      <c r="B1580">
        <v>16</v>
      </c>
      <c r="C1580" t="s">
        <v>39</v>
      </c>
      <c r="D1580" t="s">
        <v>15</v>
      </c>
      <c r="E1580">
        <f t="shared" ca="1" si="25"/>
        <v>40114.15384615388</v>
      </c>
    </row>
    <row r="1581" spans="1:5" x14ac:dyDescent="0.25">
      <c r="A1581">
        <v>38</v>
      </c>
      <c r="B1581">
        <v>17</v>
      </c>
      <c r="C1581" t="s">
        <v>39</v>
      </c>
      <c r="D1581" t="s">
        <v>16</v>
      </c>
      <c r="E1581">
        <f t="shared" ca="1" si="25"/>
        <v>67173.23076923078</v>
      </c>
    </row>
    <row r="1582" spans="1:5" x14ac:dyDescent="0.25">
      <c r="A1582">
        <v>38</v>
      </c>
      <c r="B1582">
        <v>18</v>
      </c>
      <c r="C1582" t="s">
        <v>39</v>
      </c>
      <c r="D1582" t="s">
        <v>17</v>
      </c>
      <c r="E1582">
        <f t="shared" ca="1" si="25"/>
        <v>26439.692307692279</v>
      </c>
    </row>
    <row r="1583" spans="1:5" x14ac:dyDescent="0.25">
      <c r="A1583">
        <v>38</v>
      </c>
      <c r="B1583">
        <v>19</v>
      </c>
      <c r="C1583" t="s">
        <v>39</v>
      </c>
      <c r="D1583" t="s">
        <v>18</v>
      </c>
      <c r="E1583">
        <f t="shared" ca="1" si="25"/>
        <v>3990.846153846157</v>
      </c>
    </row>
    <row r="1584" spans="1:5" x14ac:dyDescent="0.25">
      <c r="A1584">
        <v>38</v>
      </c>
      <c r="B1584">
        <v>20</v>
      </c>
      <c r="C1584" t="s">
        <v>39</v>
      </c>
      <c r="D1584" t="s">
        <v>19</v>
      </c>
      <c r="E1584">
        <f t="shared" ca="1" si="25"/>
        <v>61162.615384615376</v>
      </c>
    </row>
    <row r="1585" spans="1:5" x14ac:dyDescent="0.25">
      <c r="A1585">
        <v>38</v>
      </c>
      <c r="B1585">
        <v>21</v>
      </c>
      <c r="C1585" t="s">
        <v>39</v>
      </c>
      <c r="D1585" t="s">
        <v>20</v>
      </c>
      <c r="E1585">
        <f t="shared" ca="1" si="25"/>
        <v>40007.23076923078</v>
      </c>
    </row>
    <row r="1586" spans="1:5" x14ac:dyDescent="0.25">
      <c r="A1586">
        <v>38</v>
      </c>
      <c r="B1586">
        <v>22</v>
      </c>
      <c r="C1586" t="s">
        <v>39</v>
      </c>
      <c r="D1586" t="s">
        <v>21</v>
      </c>
      <c r="E1586">
        <f t="shared" ca="1" si="25"/>
        <v>24447.076923076878</v>
      </c>
    </row>
    <row r="1587" spans="1:5" x14ac:dyDescent="0.25">
      <c r="A1587">
        <v>38</v>
      </c>
      <c r="B1587">
        <v>23</v>
      </c>
      <c r="C1587" t="s">
        <v>39</v>
      </c>
      <c r="D1587" t="s">
        <v>22</v>
      </c>
      <c r="E1587">
        <f t="shared" ca="1" si="25"/>
        <v>9125.6153846153866</v>
      </c>
    </row>
    <row r="1588" spans="1:5" x14ac:dyDescent="0.25">
      <c r="A1588">
        <v>38</v>
      </c>
      <c r="B1588">
        <v>24</v>
      </c>
      <c r="C1588" t="s">
        <v>39</v>
      </c>
      <c r="D1588" t="s">
        <v>23</v>
      </c>
      <c r="E1588">
        <f t="shared" ca="1" si="25"/>
        <v>10287.999999999996</v>
      </c>
    </row>
    <row r="1589" spans="1:5" x14ac:dyDescent="0.25">
      <c r="A1589">
        <v>38</v>
      </c>
      <c r="B1589">
        <v>25</v>
      </c>
      <c r="C1589" t="s">
        <v>39</v>
      </c>
      <c r="D1589" t="s">
        <v>24</v>
      </c>
      <c r="E1589">
        <f t="shared" ca="1" si="25"/>
        <v>7892.6153846153875</v>
      </c>
    </row>
    <row r="1590" spans="1:5" x14ac:dyDescent="0.25">
      <c r="A1590">
        <v>38</v>
      </c>
      <c r="B1590">
        <v>26</v>
      </c>
      <c r="C1590" t="s">
        <v>39</v>
      </c>
      <c r="D1590" t="s">
        <v>25</v>
      </c>
      <c r="E1590">
        <f t="shared" ca="1" si="25"/>
        <v>6971.6923076923067</v>
      </c>
    </row>
    <row r="1591" spans="1:5" x14ac:dyDescent="0.25">
      <c r="A1591">
        <v>38</v>
      </c>
      <c r="B1591">
        <v>27</v>
      </c>
      <c r="C1591" t="s">
        <v>39</v>
      </c>
      <c r="D1591" t="s">
        <v>145</v>
      </c>
      <c r="E1591">
        <f t="shared" ca="1" si="25"/>
        <v>62186.923076923078</v>
      </c>
    </row>
    <row r="1592" spans="1:5" x14ac:dyDescent="0.25">
      <c r="A1592">
        <v>38</v>
      </c>
      <c r="B1592">
        <v>28</v>
      </c>
      <c r="C1592" t="s">
        <v>39</v>
      </c>
      <c r="D1592" t="s">
        <v>147</v>
      </c>
      <c r="E1592">
        <f t="shared" ca="1" si="25"/>
        <v>39251.223076923081</v>
      </c>
    </row>
    <row r="1593" spans="1:5" x14ac:dyDescent="0.25">
      <c r="A1593">
        <v>38</v>
      </c>
      <c r="B1593">
        <v>29</v>
      </c>
      <c r="C1593" t="s">
        <v>39</v>
      </c>
      <c r="D1593" t="s">
        <v>146</v>
      </c>
      <c r="E1593">
        <f t="shared" ca="1" si="25"/>
        <v>10458.223076923077</v>
      </c>
    </row>
    <row r="1594" spans="1:5" x14ac:dyDescent="0.25">
      <c r="A1594">
        <v>38</v>
      </c>
      <c r="B1594">
        <v>30</v>
      </c>
      <c r="C1594" t="s">
        <v>39</v>
      </c>
      <c r="D1594" t="s">
        <v>30</v>
      </c>
      <c r="E1594">
        <f t="shared" ca="1" si="25"/>
        <v>5347.3846153846171</v>
      </c>
    </row>
    <row r="1595" spans="1:5" x14ac:dyDescent="0.25">
      <c r="A1595">
        <v>38</v>
      </c>
      <c r="B1595">
        <v>31</v>
      </c>
      <c r="C1595" t="s">
        <v>39</v>
      </c>
      <c r="D1595" t="s">
        <v>31</v>
      </c>
      <c r="E1595">
        <f t="shared" ca="1" si="25"/>
        <v>3192.3076923076924</v>
      </c>
    </row>
    <row r="1596" spans="1:5" x14ac:dyDescent="0.25">
      <c r="A1596">
        <v>38</v>
      </c>
      <c r="B1596">
        <v>32</v>
      </c>
      <c r="C1596" t="s">
        <v>39</v>
      </c>
      <c r="D1596" t="s">
        <v>32</v>
      </c>
      <c r="E1596">
        <f t="shared" ca="1" si="25"/>
        <v>66869.692307692269</v>
      </c>
    </row>
    <row r="1597" spans="1:5" x14ac:dyDescent="0.25">
      <c r="A1597">
        <v>38</v>
      </c>
      <c r="B1597">
        <v>33</v>
      </c>
      <c r="C1597" t="s">
        <v>39</v>
      </c>
      <c r="D1597" t="s">
        <v>33</v>
      </c>
      <c r="E1597">
        <f t="shared" ca="1" si="25"/>
        <v>299480.23076923104</v>
      </c>
    </row>
    <row r="1598" spans="1:5" x14ac:dyDescent="0.25">
      <c r="A1598">
        <v>38</v>
      </c>
      <c r="B1598">
        <v>34</v>
      </c>
      <c r="C1598" t="s">
        <v>39</v>
      </c>
      <c r="D1598" t="s">
        <v>34</v>
      </c>
      <c r="E1598">
        <f t="shared" ca="1" si="25"/>
        <v>25798.538461538479</v>
      </c>
    </row>
    <row r="1599" spans="1:5" x14ac:dyDescent="0.25">
      <c r="A1599">
        <v>38</v>
      </c>
      <c r="B1599">
        <v>35</v>
      </c>
      <c r="C1599" t="s">
        <v>39</v>
      </c>
      <c r="D1599" t="s">
        <v>35</v>
      </c>
      <c r="E1599">
        <f t="shared" ca="1" si="25"/>
        <v>6422.7692307692269</v>
      </c>
    </row>
    <row r="1600" spans="1:5" x14ac:dyDescent="0.25">
      <c r="A1600">
        <v>38</v>
      </c>
      <c r="B1600">
        <v>36</v>
      </c>
      <c r="C1600" t="s">
        <v>39</v>
      </c>
      <c r="D1600" t="s">
        <v>36</v>
      </c>
      <c r="E1600">
        <f t="shared" ca="1" si="25"/>
        <v>12841.769230769278</v>
      </c>
    </row>
    <row r="1601" spans="1:5" x14ac:dyDescent="0.25">
      <c r="A1601">
        <v>38</v>
      </c>
      <c r="B1601">
        <v>37</v>
      </c>
      <c r="C1601" t="s">
        <v>39</v>
      </c>
      <c r="D1601" t="s">
        <v>37</v>
      </c>
      <c r="E1601">
        <f t="shared" ca="1" si="25"/>
        <v>2809.9230769230771</v>
      </c>
    </row>
    <row r="1602" spans="1:5" x14ac:dyDescent="0.25">
      <c r="A1602">
        <v>38</v>
      </c>
      <c r="B1602">
        <v>38</v>
      </c>
      <c r="C1602" t="s">
        <v>39</v>
      </c>
      <c r="D1602" t="s">
        <v>38</v>
      </c>
      <c r="E1602">
        <f t="shared" ca="1" si="25"/>
        <v>0</v>
      </c>
    </row>
    <row r="1603" spans="1:5" x14ac:dyDescent="0.25">
      <c r="A1603">
        <v>38</v>
      </c>
      <c r="B1603">
        <v>39</v>
      </c>
      <c r="C1603" t="s">
        <v>39</v>
      </c>
      <c r="D1603" t="s">
        <v>39</v>
      </c>
      <c r="E1603">
        <f t="shared" ca="1" si="25"/>
        <v>12426.692307692309</v>
      </c>
    </row>
    <row r="1604" spans="1:5" x14ac:dyDescent="0.25">
      <c r="A1604">
        <v>38</v>
      </c>
      <c r="B1604">
        <v>40</v>
      </c>
      <c r="C1604" t="s">
        <v>39</v>
      </c>
      <c r="D1604" t="s">
        <v>40</v>
      </c>
      <c r="E1604">
        <f t="shared" ca="1" si="25"/>
        <v>24785.615384615379</v>
      </c>
    </row>
    <row r="1605" spans="1:5" x14ac:dyDescent="0.25">
      <c r="A1605">
        <v>39</v>
      </c>
      <c r="B1605">
        <v>1</v>
      </c>
      <c r="C1605" t="s">
        <v>40</v>
      </c>
      <c r="D1605" t="s">
        <v>0</v>
      </c>
      <c r="E1605">
        <f t="shared" ca="1" si="25"/>
        <v>100159.22527472525</v>
      </c>
    </row>
    <row r="1606" spans="1:5" x14ac:dyDescent="0.25">
      <c r="A1606">
        <v>39</v>
      </c>
      <c r="B1606">
        <v>2</v>
      </c>
      <c r="C1606" t="s">
        <v>40</v>
      </c>
      <c r="D1606" t="s">
        <v>1</v>
      </c>
      <c r="E1606">
        <f t="shared" ca="1" si="25"/>
        <v>28898.225274725242</v>
      </c>
    </row>
    <row r="1607" spans="1:5" x14ac:dyDescent="0.25">
      <c r="A1607">
        <v>39</v>
      </c>
      <c r="B1607">
        <v>3</v>
      </c>
      <c r="C1607" t="s">
        <v>40</v>
      </c>
      <c r="D1607" t="s">
        <v>2</v>
      </c>
      <c r="E1607">
        <f t="shared" ca="1" si="25"/>
        <v>24162.868131868148</v>
      </c>
    </row>
    <row r="1608" spans="1:5" x14ac:dyDescent="0.25">
      <c r="A1608">
        <v>39</v>
      </c>
      <c r="B1608">
        <v>4</v>
      </c>
      <c r="C1608" t="s">
        <v>40</v>
      </c>
      <c r="D1608" t="s">
        <v>3</v>
      </c>
      <c r="E1608">
        <f t="shared" ca="1" si="25"/>
        <v>38819.225274725242</v>
      </c>
    </row>
    <row r="1609" spans="1:5" x14ac:dyDescent="0.25">
      <c r="A1609">
        <v>39</v>
      </c>
      <c r="B1609">
        <v>5</v>
      </c>
      <c r="C1609" t="s">
        <v>40</v>
      </c>
      <c r="D1609" t="s">
        <v>4</v>
      </c>
      <c r="E1609">
        <f t="shared" ca="1" si="25"/>
        <v>72555.796703296743</v>
      </c>
    </row>
    <row r="1610" spans="1:5" x14ac:dyDescent="0.25">
      <c r="A1610">
        <v>39</v>
      </c>
      <c r="B1610">
        <v>6</v>
      </c>
      <c r="C1610" t="s">
        <v>40</v>
      </c>
      <c r="D1610" t="s">
        <v>5</v>
      </c>
      <c r="E1610">
        <f t="shared" ca="1" si="25"/>
        <v>20883.939560439547</v>
      </c>
    </row>
    <row r="1611" spans="1:5" x14ac:dyDescent="0.25">
      <c r="A1611">
        <v>39</v>
      </c>
      <c r="B1611">
        <v>7</v>
      </c>
      <c r="C1611" t="s">
        <v>40</v>
      </c>
      <c r="D1611" t="s">
        <v>6</v>
      </c>
      <c r="E1611">
        <f t="shared" ca="1" si="25"/>
        <v>12633.939560439556</v>
      </c>
    </row>
    <row r="1612" spans="1:5" x14ac:dyDescent="0.25">
      <c r="A1612">
        <v>39</v>
      </c>
      <c r="B1612">
        <v>8</v>
      </c>
      <c r="C1612" t="s">
        <v>40</v>
      </c>
      <c r="D1612" t="s">
        <v>7</v>
      </c>
      <c r="E1612">
        <f t="shared" ca="1" si="25"/>
        <v>42281.010989010945</v>
      </c>
    </row>
    <row r="1613" spans="1:5" x14ac:dyDescent="0.25">
      <c r="A1613">
        <v>39</v>
      </c>
      <c r="B1613">
        <v>9</v>
      </c>
      <c r="C1613" t="s">
        <v>40</v>
      </c>
      <c r="D1613" t="s">
        <v>148</v>
      </c>
      <c r="E1613">
        <f t="shared" ca="1" si="25"/>
        <v>8276.6083916083899</v>
      </c>
    </row>
    <row r="1614" spans="1:5" x14ac:dyDescent="0.25">
      <c r="A1614">
        <v>39</v>
      </c>
      <c r="B1614">
        <v>10</v>
      </c>
      <c r="C1614" t="s">
        <v>40</v>
      </c>
      <c r="D1614" t="s">
        <v>9</v>
      </c>
      <c r="E1614">
        <f t="shared" ca="1" si="25"/>
        <v>28759.368131868148</v>
      </c>
    </row>
    <row r="1615" spans="1:5" x14ac:dyDescent="0.25">
      <c r="A1615">
        <v>39</v>
      </c>
      <c r="B1615">
        <v>11</v>
      </c>
      <c r="C1615" t="s">
        <v>40</v>
      </c>
      <c r="D1615" t="s">
        <v>10</v>
      </c>
      <c r="E1615">
        <f t="shared" ca="1" si="25"/>
        <v>28926.538461538446</v>
      </c>
    </row>
    <row r="1616" spans="1:5" x14ac:dyDescent="0.25">
      <c r="A1616">
        <v>39</v>
      </c>
      <c r="B1616">
        <v>12</v>
      </c>
      <c r="C1616" t="s">
        <v>40</v>
      </c>
      <c r="D1616" t="s">
        <v>11</v>
      </c>
      <c r="E1616">
        <f t="shared" ca="1" si="25"/>
        <v>25895.153846153844</v>
      </c>
    </row>
    <row r="1617" spans="1:5" x14ac:dyDescent="0.25">
      <c r="A1617">
        <v>39</v>
      </c>
      <c r="B1617">
        <v>13</v>
      </c>
      <c r="C1617" t="s">
        <v>40</v>
      </c>
      <c r="D1617" t="s">
        <v>12</v>
      </c>
      <c r="E1617">
        <f t="shared" ca="1" si="25"/>
        <v>10973.538461538465</v>
      </c>
    </row>
    <row r="1618" spans="1:5" x14ac:dyDescent="0.25">
      <c r="A1618">
        <v>39</v>
      </c>
      <c r="B1618">
        <v>14</v>
      </c>
      <c r="C1618" t="s">
        <v>40</v>
      </c>
      <c r="D1618" t="s">
        <v>13</v>
      </c>
      <c r="E1618">
        <f t="shared" ca="1" si="25"/>
        <v>31598.538461538446</v>
      </c>
    </row>
    <row r="1619" spans="1:5" x14ac:dyDescent="0.25">
      <c r="A1619">
        <v>39</v>
      </c>
      <c r="B1619">
        <v>15</v>
      </c>
      <c r="C1619" t="s">
        <v>40</v>
      </c>
      <c r="D1619" t="s">
        <v>14</v>
      </c>
      <c r="E1619">
        <f t="shared" ca="1" si="25"/>
        <v>55397.923076923042</v>
      </c>
    </row>
    <row r="1620" spans="1:5" x14ac:dyDescent="0.25">
      <c r="A1620">
        <v>39</v>
      </c>
      <c r="B1620">
        <v>16</v>
      </c>
      <c r="C1620" t="s">
        <v>40</v>
      </c>
      <c r="D1620" t="s">
        <v>15</v>
      </c>
      <c r="E1620">
        <f t="shared" ca="1" si="25"/>
        <v>45090.384615384646</v>
      </c>
    </row>
    <row r="1621" spans="1:5" x14ac:dyDescent="0.25">
      <c r="A1621">
        <v>39</v>
      </c>
      <c r="B1621">
        <v>17</v>
      </c>
      <c r="C1621" t="s">
        <v>40</v>
      </c>
      <c r="D1621" t="s">
        <v>16</v>
      </c>
      <c r="E1621">
        <f t="shared" ca="1" si="25"/>
        <v>72149.461538461546</v>
      </c>
    </row>
    <row r="1622" spans="1:5" x14ac:dyDescent="0.25">
      <c r="A1622">
        <v>39</v>
      </c>
      <c r="B1622">
        <v>18</v>
      </c>
      <c r="C1622" t="s">
        <v>40</v>
      </c>
      <c r="D1622" t="s">
        <v>17</v>
      </c>
      <c r="E1622">
        <f t="shared" ca="1" si="25"/>
        <v>31415.923076923049</v>
      </c>
    </row>
    <row r="1623" spans="1:5" x14ac:dyDescent="0.25">
      <c r="A1623">
        <v>39</v>
      </c>
      <c r="B1623">
        <v>19</v>
      </c>
      <c r="C1623" t="s">
        <v>40</v>
      </c>
      <c r="D1623" t="s">
        <v>18</v>
      </c>
      <c r="E1623">
        <f t="shared" ca="1" si="25"/>
        <v>8967.0769230769256</v>
      </c>
    </row>
    <row r="1624" spans="1:5" x14ac:dyDescent="0.25">
      <c r="A1624">
        <v>39</v>
      </c>
      <c r="B1624">
        <v>20</v>
      </c>
      <c r="C1624" t="s">
        <v>40</v>
      </c>
      <c r="D1624" t="s">
        <v>19</v>
      </c>
      <c r="E1624">
        <f t="shared" ca="1" si="25"/>
        <v>66138.846153846142</v>
      </c>
    </row>
    <row r="1625" spans="1:5" x14ac:dyDescent="0.25">
      <c r="A1625">
        <v>39</v>
      </c>
      <c r="B1625">
        <v>21</v>
      </c>
      <c r="C1625" t="s">
        <v>40</v>
      </c>
      <c r="D1625" t="s">
        <v>20</v>
      </c>
      <c r="E1625">
        <f t="shared" ca="1" si="25"/>
        <v>44983.461538461546</v>
      </c>
    </row>
    <row r="1626" spans="1:5" x14ac:dyDescent="0.25">
      <c r="A1626">
        <v>39</v>
      </c>
      <c r="B1626">
        <v>22</v>
      </c>
      <c r="C1626" t="s">
        <v>40</v>
      </c>
      <c r="D1626" t="s">
        <v>21</v>
      </c>
      <c r="E1626">
        <f t="shared" ca="1" si="25"/>
        <v>29423.307692307644</v>
      </c>
    </row>
    <row r="1627" spans="1:5" x14ac:dyDescent="0.25">
      <c r="A1627">
        <v>39</v>
      </c>
      <c r="B1627">
        <v>23</v>
      </c>
      <c r="C1627" t="s">
        <v>40</v>
      </c>
      <c r="D1627" t="s">
        <v>22</v>
      </c>
      <c r="E1627">
        <f t="shared" ca="1" si="25"/>
        <v>14101.846153846156</v>
      </c>
    </row>
    <row r="1628" spans="1:5" x14ac:dyDescent="0.25">
      <c r="A1628">
        <v>39</v>
      </c>
      <c r="B1628">
        <v>24</v>
      </c>
      <c r="C1628" t="s">
        <v>40</v>
      </c>
      <c r="D1628" t="s">
        <v>23</v>
      </c>
      <c r="E1628">
        <f t="shared" ca="1" si="25"/>
        <v>15264.230769230766</v>
      </c>
    </row>
    <row r="1629" spans="1:5" x14ac:dyDescent="0.25">
      <c r="A1629">
        <v>39</v>
      </c>
      <c r="B1629">
        <v>25</v>
      </c>
      <c r="C1629" t="s">
        <v>40</v>
      </c>
      <c r="D1629" t="s">
        <v>24</v>
      </c>
      <c r="E1629">
        <f t="shared" ca="1" si="25"/>
        <v>12868.846153846156</v>
      </c>
    </row>
    <row r="1630" spans="1:5" x14ac:dyDescent="0.25">
      <c r="A1630">
        <v>39</v>
      </c>
      <c r="B1630">
        <v>26</v>
      </c>
      <c r="C1630" t="s">
        <v>40</v>
      </c>
      <c r="D1630" t="s">
        <v>25</v>
      </c>
      <c r="E1630">
        <f t="shared" ref="E1630:E1644" ca="1" si="26">OFFSET($B$2,A1630,B1630)</f>
        <v>11947.923076923074</v>
      </c>
    </row>
    <row r="1631" spans="1:5" x14ac:dyDescent="0.25">
      <c r="A1631">
        <v>39</v>
      </c>
      <c r="B1631">
        <v>27</v>
      </c>
      <c r="C1631" t="s">
        <v>40</v>
      </c>
      <c r="D1631" t="s">
        <v>145</v>
      </c>
      <c r="E1631">
        <f t="shared" ca="1" si="26"/>
        <v>67163.153846153844</v>
      </c>
    </row>
    <row r="1632" spans="1:5" x14ac:dyDescent="0.25">
      <c r="A1632">
        <v>39</v>
      </c>
      <c r="B1632">
        <v>28</v>
      </c>
      <c r="C1632" t="s">
        <v>40</v>
      </c>
      <c r="D1632" t="s">
        <v>147</v>
      </c>
      <c r="E1632">
        <f t="shared" ca="1" si="26"/>
        <v>44227.453846153847</v>
      </c>
    </row>
    <row r="1633" spans="1:5" x14ac:dyDescent="0.25">
      <c r="A1633">
        <v>39</v>
      </c>
      <c r="B1633">
        <v>29</v>
      </c>
      <c r="C1633" t="s">
        <v>40</v>
      </c>
      <c r="D1633" t="s">
        <v>146</v>
      </c>
      <c r="E1633">
        <f t="shared" ca="1" si="26"/>
        <v>15434.453846153847</v>
      </c>
    </row>
    <row r="1634" spans="1:5" x14ac:dyDescent="0.25">
      <c r="A1634">
        <v>39</v>
      </c>
      <c r="B1634">
        <v>30</v>
      </c>
      <c r="C1634" t="s">
        <v>40</v>
      </c>
      <c r="D1634" t="s">
        <v>30</v>
      </c>
      <c r="E1634">
        <f t="shared" ca="1" si="26"/>
        <v>10323.615384615387</v>
      </c>
    </row>
    <row r="1635" spans="1:5" x14ac:dyDescent="0.25">
      <c r="A1635">
        <v>39</v>
      </c>
      <c r="B1635">
        <v>31</v>
      </c>
      <c r="C1635" t="s">
        <v>40</v>
      </c>
      <c r="D1635" t="s">
        <v>31</v>
      </c>
      <c r="E1635">
        <f t="shared" ca="1" si="26"/>
        <v>8168.538461538461</v>
      </c>
    </row>
    <row r="1636" spans="1:5" x14ac:dyDescent="0.25">
      <c r="A1636">
        <v>39</v>
      </c>
      <c r="B1636">
        <v>32</v>
      </c>
      <c r="C1636" t="s">
        <v>40</v>
      </c>
      <c r="D1636" t="s">
        <v>32</v>
      </c>
      <c r="E1636">
        <f t="shared" ca="1" si="26"/>
        <v>71845.923076923049</v>
      </c>
    </row>
    <row r="1637" spans="1:5" x14ac:dyDescent="0.25">
      <c r="A1637">
        <v>39</v>
      </c>
      <c r="B1637">
        <v>33</v>
      </c>
      <c r="C1637" t="s">
        <v>40</v>
      </c>
      <c r="D1637" t="s">
        <v>33</v>
      </c>
      <c r="E1637">
        <f t="shared" ca="1" si="26"/>
        <v>304456.46153846185</v>
      </c>
    </row>
    <row r="1638" spans="1:5" x14ac:dyDescent="0.25">
      <c r="A1638">
        <v>39</v>
      </c>
      <c r="B1638">
        <v>34</v>
      </c>
      <c r="C1638" t="s">
        <v>40</v>
      </c>
      <c r="D1638" t="s">
        <v>34</v>
      </c>
      <c r="E1638">
        <f t="shared" ca="1" si="26"/>
        <v>30774.769230769249</v>
      </c>
    </row>
    <row r="1639" spans="1:5" x14ac:dyDescent="0.25">
      <c r="A1639">
        <v>39</v>
      </c>
      <c r="B1639">
        <v>35</v>
      </c>
      <c r="C1639" t="s">
        <v>40</v>
      </c>
      <c r="D1639" t="s">
        <v>35</v>
      </c>
      <c r="E1639">
        <f t="shared" ca="1" si="26"/>
        <v>11398.999999999996</v>
      </c>
    </row>
    <row r="1640" spans="1:5" x14ac:dyDescent="0.25">
      <c r="A1640">
        <v>39</v>
      </c>
      <c r="B1640">
        <v>36</v>
      </c>
      <c r="C1640" t="s">
        <v>40</v>
      </c>
      <c r="D1640" t="s">
        <v>36</v>
      </c>
      <c r="E1640">
        <f t="shared" ca="1" si="26"/>
        <v>17818.000000000044</v>
      </c>
    </row>
    <row r="1641" spans="1:5" x14ac:dyDescent="0.25">
      <c r="A1641">
        <v>39</v>
      </c>
      <c r="B1641">
        <v>37</v>
      </c>
      <c r="C1641" t="s">
        <v>40</v>
      </c>
      <c r="D1641" t="s">
        <v>37</v>
      </c>
      <c r="E1641">
        <f t="shared" ca="1" si="26"/>
        <v>7786.1538461538457</v>
      </c>
    </row>
    <row r="1642" spans="1:5" x14ac:dyDescent="0.25">
      <c r="A1642">
        <v>39</v>
      </c>
      <c r="B1642">
        <v>38</v>
      </c>
      <c r="C1642" t="s">
        <v>40</v>
      </c>
      <c r="D1642" t="s">
        <v>38</v>
      </c>
      <c r="E1642">
        <f t="shared" ca="1" si="26"/>
        <v>10856.538461538465</v>
      </c>
    </row>
    <row r="1643" spans="1:5" x14ac:dyDescent="0.25">
      <c r="A1643">
        <v>39</v>
      </c>
      <c r="B1643">
        <v>39</v>
      </c>
      <c r="C1643" t="s">
        <v>40</v>
      </c>
      <c r="D1643" t="s">
        <v>39</v>
      </c>
      <c r="E1643">
        <f t="shared" ca="1" si="26"/>
        <v>0</v>
      </c>
    </row>
    <row r="1644" spans="1:5" x14ac:dyDescent="0.25">
      <c r="A1644">
        <v>39</v>
      </c>
      <c r="B1644">
        <v>40</v>
      </c>
      <c r="C1644" t="s">
        <v>40</v>
      </c>
      <c r="D1644" t="s">
        <v>40</v>
      </c>
      <c r="E1644">
        <f t="shared" ca="1" si="26"/>
        <v>29761.846153846149</v>
      </c>
    </row>
  </sheetData>
  <autoFilter ref="A44:E1644" xr:uid="{DBBAD4BD-B5F7-4DC0-AE88-87AD43768B75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3679CF-34E0-416C-A41E-4D9013CAB2BA}">
  <dimension ref="A2:J1683"/>
  <sheetViews>
    <sheetView topLeftCell="B1" workbookViewId="0">
      <selection activeCell="G19" sqref="G19"/>
    </sheetView>
  </sheetViews>
  <sheetFormatPr baseColWidth="10" defaultRowHeight="15" x14ac:dyDescent="0.25"/>
  <cols>
    <col min="1" max="9" width="13.28515625" customWidth="1"/>
  </cols>
  <sheetData>
    <row r="2" spans="1:10" x14ac:dyDescent="0.25">
      <c r="A2" s="5" t="s">
        <v>117</v>
      </c>
      <c r="B2" s="5" t="s">
        <v>118</v>
      </c>
      <c r="C2" s="5" t="s">
        <v>119</v>
      </c>
      <c r="D2" s="5" t="s">
        <v>120</v>
      </c>
      <c r="E2" s="5" t="s">
        <v>116</v>
      </c>
      <c r="F2" s="5" t="s">
        <v>121</v>
      </c>
      <c r="G2" s="5" t="s">
        <v>123</v>
      </c>
      <c r="H2" s="5" t="s">
        <v>124</v>
      </c>
      <c r="I2" s="5" t="s">
        <v>125</v>
      </c>
      <c r="J2" s="5" t="s">
        <v>126</v>
      </c>
    </row>
    <row r="3" spans="1:10" x14ac:dyDescent="0.25">
      <c r="A3">
        <v>1</v>
      </c>
      <c r="B3">
        <v>1</v>
      </c>
      <c r="C3" t="s">
        <v>0</v>
      </c>
      <c r="D3" t="s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</row>
    <row r="4" spans="1:10" x14ac:dyDescent="0.25">
      <c r="A4">
        <v>1</v>
      </c>
      <c r="B4">
        <v>2</v>
      </c>
      <c r="C4" t="s">
        <v>0</v>
      </c>
      <c r="D4" t="s">
        <v>1</v>
      </c>
      <c r="E4">
        <v>106839.14285714284</v>
      </c>
      <c r="F4">
        <v>86946.23076923081</v>
      </c>
      <c r="G4">
        <v>260742355.88400012</v>
      </c>
      <c r="H4">
        <v>0</v>
      </c>
      <c r="I4">
        <v>0</v>
      </c>
      <c r="J4">
        <v>7094119.0857142843</v>
      </c>
    </row>
    <row r="5" spans="1:10" x14ac:dyDescent="0.25">
      <c r="A5">
        <v>1</v>
      </c>
      <c r="B5">
        <v>3</v>
      </c>
      <c r="C5" t="s">
        <v>0</v>
      </c>
      <c r="D5" t="s">
        <v>2</v>
      </c>
      <c r="E5">
        <v>102103.78571428574</v>
      </c>
      <c r="F5">
        <v>89980.461538461503</v>
      </c>
      <c r="G5">
        <v>529286670.07999974</v>
      </c>
      <c r="H5">
        <v>217233950.44224256</v>
      </c>
      <c r="I5">
        <v>671322.50130759634</v>
      </c>
      <c r="J5">
        <v>8699242.5428571459</v>
      </c>
    </row>
    <row r="6" spans="1:10" x14ac:dyDescent="0.25">
      <c r="A6">
        <v>1</v>
      </c>
      <c r="B6">
        <v>4</v>
      </c>
      <c r="C6" t="s">
        <v>0</v>
      </c>
      <c r="D6" t="s">
        <v>3</v>
      </c>
      <c r="E6">
        <v>116760.14285714284</v>
      </c>
      <c r="F6">
        <v>79087.384615384595</v>
      </c>
      <c r="G6">
        <v>1831768223.0399995</v>
      </c>
      <c r="H6">
        <v>267021151.05167991</v>
      </c>
      <c r="I6">
        <v>751590.74846721161</v>
      </c>
      <c r="J6">
        <v>23025100.171428565</v>
      </c>
    </row>
    <row r="7" spans="1:10" x14ac:dyDescent="0.25">
      <c r="A7">
        <v>1</v>
      </c>
      <c r="B7">
        <v>5</v>
      </c>
      <c r="C7" t="s">
        <v>0</v>
      </c>
      <c r="D7" t="s">
        <v>4</v>
      </c>
      <c r="E7">
        <v>150496.71428571432</v>
      </c>
      <c r="F7">
        <v>110887.4615384615</v>
      </c>
      <c r="G7">
        <v>3214742832.9599986</v>
      </c>
      <c r="H7">
        <v>183824287.37841323</v>
      </c>
      <c r="I7">
        <v>968742.23182830215</v>
      </c>
      <c r="J7">
        <v>36119211.42857144</v>
      </c>
    </row>
    <row r="8" spans="1:10" x14ac:dyDescent="0.25">
      <c r="A8">
        <v>1</v>
      </c>
      <c r="B8">
        <v>6</v>
      </c>
      <c r="C8" t="s">
        <v>0</v>
      </c>
      <c r="D8" t="s">
        <v>5</v>
      </c>
      <c r="E8">
        <v>98824.85714285713</v>
      </c>
      <c r="F8">
        <v>176676.77289377298</v>
      </c>
      <c r="G8">
        <v>7200553751.2076225</v>
      </c>
      <c r="H8">
        <v>311500538.67841327</v>
      </c>
      <c r="I8">
        <v>968748.21441691497</v>
      </c>
      <c r="J8">
        <v>31347244.685714282</v>
      </c>
    </row>
    <row r="9" spans="1:10" x14ac:dyDescent="0.25">
      <c r="A9">
        <v>1</v>
      </c>
      <c r="B9">
        <v>7</v>
      </c>
      <c r="C9" t="s">
        <v>0</v>
      </c>
      <c r="D9" t="s">
        <v>6</v>
      </c>
      <c r="E9">
        <v>90574.857142857145</v>
      </c>
      <c r="F9">
        <v>110223.07692307691</v>
      </c>
      <c r="G9">
        <v>3264948623.999999</v>
      </c>
      <c r="H9">
        <v>159263157.4455561</v>
      </c>
      <c r="I9">
        <v>968746.10886135942</v>
      </c>
      <c r="J9">
        <v>21737965.714285716</v>
      </c>
    </row>
    <row r="10" spans="1:10" x14ac:dyDescent="0.25">
      <c r="A10">
        <v>1</v>
      </c>
      <c r="B10">
        <v>8</v>
      </c>
      <c r="C10" t="s">
        <v>0</v>
      </c>
      <c r="D10" t="s">
        <v>7</v>
      </c>
      <c r="E10">
        <v>120221.92857142854</v>
      </c>
      <c r="F10">
        <v>167820.84615384601</v>
      </c>
      <c r="G10">
        <v>2353324874.2799983</v>
      </c>
      <c r="H10">
        <v>305476356.57510847</v>
      </c>
      <c r="I10">
        <v>751590.90180054493</v>
      </c>
      <c r="J10">
        <v>22842166.428571425</v>
      </c>
    </row>
    <row r="11" spans="1:10" x14ac:dyDescent="0.25">
      <c r="A11">
        <v>1</v>
      </c>
      <c r="B11">
        <v>9</v>
      </c>
      <c r="C11" t="s">
        <v>0</v>
      </c>
      <c r="D11" t="s">
        <v>8</v>
      </c>
      <c r="E11">
        <v>86217.525974025979</v>
      </c>
      <c r="F11">
        <v>618153.62179487199</v>
      </c>
      <c r="G11">
        <v>8246218767.0333376</v>
      </c>
      <c r="H11">
        <v>0</v>
      </c>
      <c r="I11">
        <v>0</v>
      </c>
      <c r="J11">
        <v>10518538.168831168</v>
      </c>
    </row>
    <row r="12" spans="1:10" x14ac:dyDescent="0.25">
      <c r="A12">
        <v>1</v>
      </c>
      <c r="B12">
        <v>10</v>
      </c>
      <c r="C12" t="s">
        <v>0</v>
      </c>
      <c r="D12" t="s">
        <v>9</v>
      </c>
      <c r="E12">
        <v>106700.28571428574</v>
      </c>
      <c r="F12">
        <v>142529.92307692312</v>
      </c>
      <c r="G12">
        <v>4715973082.8000011</v>
      </c>
      <c r="H12">
        <v>256446739.41412753</v>
      </c>
      <c r="I12">
        <v>968746.65775024833</v>
      </c>
      <c r="J12">
        <v>28809077.142857149</v>
      </c>
    </row>
    <row r="13" spans="1:10" x14ac:dyDescent="0.25">
      <c r="A13">
        <v>1</v>
      </c>
      <c r="B13">
        <v>11</v>
      </c>
      <c r="C13" t="s">
        <v>0</v>
      </c>
      <c r="D13" t="s">
        <v>10</v>
      </c>
      <c r="E13">
        <v>106867.45604395603</v>
      </c>
      <c r="F13">
        <v>145294</v>
      </c>
      <c r="G13">
        <v>14216256559.439999</v>
      </c>
      <c r="H13">
        <v>286426282.89268738</v>
      </c>
      <c r="I13">
        <v>702684.20219743077</v>
      </c>
      <c r="J13">
        <v>82758157.960439548</v>
      </c>
    </row>
    <row r="14" spans="1:10" x14ac:dyDescent="0.25">
      <c r="A14">
        <v>1</v>
      </c>
      <c r="B14">
        <v>12</v>
      </c>
      <c r="C14" t="s">
        <v>0</v>
      </c>
      <c r="D14" t="s">
        <v>11</v>
      </c>
      <c r="E14">
        <v>103836.07142857143</v>
      </c>
      <c r="F14">
        <v>90020.076923076907</v>
      </c>
      <c r="G14">
        <v>7271440128.7199993</v>
      </c>
      <c r="H14">
        <v>419456215.64823908</v>
      </c>
      <c r="I14">
        <v>735263.86339241406</v>
      </c>
      <c r="J14">
        <v>67493446.428571433</v>
      </c>
    </row>
    <row r="15" spans="1:10" x14ac:dyDescent="0.25">
      <c r="A15">
        <v>1</v>
      </c>
      <c r="B15">
        <v>13</v>
      </c>
      <c r="C15" t="s">
        <v>0</v>
      </c>
      <c r="D15" t="s">
        <v>12</v>
      </c>
      <c r="E15">
        <v>88914.456043956059</v>
      </c>
      <c r="F15">
        <v>71708.538461538497</v>
      </c>
      <c r="G15">
        <v>5253754753.8000031</v>
      </c>
      <c r="H15">
        <v>168571593.79438448</v>
      </c>
      <c r="I15">
        <v>584640.20737452444</v>
      </c>
      <c r="J15">
        <v>53384239.408791214</v>
      </c>
    </row>
    <row r="16" spans="1:10" x14ac:dyDescent="0.25">
      <c r="A16">
        <v>1</v>
      </c>
      <c r="B16">
        <v>14</v>
      </c>
      <c r="C16" t="s">
        <v>0</v>
      </c>
      <c r="D16" t="s">
        <v>13</v>
      </c>
      <c r="E16">
        <v>109539.45604395603</v>
      </c>
      <c r="F16" t="s">
        <v>122</v>
      </c>
      <c r="G16">
        <v>3188556005.4400001</v>
      </c>
      <c r="H16">
        <v>255529229.28238446</v>
      </c>
      <c r="I16">
        <v>584639.7095967466</v>
      </c>
      <c r="J16">
        <v>59195122.046153829</v>
      </c>
    </row>
    <row r="17" spans="1:10" x14ac:dyDescent="0.25">
      <c r="A17">
        <v>1</v>
      </c>
      <c r="B17">
        <v>15</v>
      </c>
      <c r="C17" t="s">
        <v>0</v>
      </c>
      <c r="D17" t="s">
        <v>14</v>
      </c>
      <c r="E17">
        <v>133338.84065934064</v>
      </c>
      <c r="F17">
        <v>340348.46153846203</v>
      </c>
      <c r="G17">
        <v>25632895120.800037</v>
      </c>
      <c r="H17">
        <v>362009251.66381174</v>
      </c>
      <c r="I17">
        <v>380063.44049306458</v>
      </c>
      <c r="J17">
        <v>76909843.292307675</v>
      </c>
    </row>
    <row r="18" spans="1:10" x14ac:dyDescent="0.25">
      <c r="A18">
        <v>1</v>
      </c>
      <c r="B18">
        <v>16</v>
      </c>
      <c r="C18" t="s">
        <v>0</v>
      </c>
      <c r="D18" t="s">
        <v>15</v>
      </c>
      <c r="E18">
        <v>123031.30219780223</v>
      </c>
      <c r="F18" t="s">
        <v>122</v>
      </c>
      <c r="G18">
        <v>20478202641.59996</v>
      </c>
      <c r="H18">
        <v>241255681.49233955</v>
      </c>
      <c r="I18">
        <v>848581.70570181904</v>
      </c>
      <c r="J18">
        <v>83956560.619780242</v>
      </c>
    </row>
    <row r="19" spans="1:10" x14ac:dyDescent="0.25">
      <c r="A19">
        <v>1</v>
      </c>
      <c r="B19">
        <v>17</v>
      </c>
      <c r="C19" t="s">
        <v>0</v>
      </c>
      <c r="D19" t="s">
        <v>16</v>
      </c>
      <c r="E19">
        <v>150090.37912087914</v>
      </c>
      <c r="F19">
        <v>223445.538461538</v>
      </c>
      <c r="G19">
        <v>23975339826.239952</v>
      </c>
      <c r="H19">
        <v>579336006.18942273</v>
      </c>
      <c r="I19">
        <v>1062801.4144005708</v>
      </c>
      <c r="J19">
        <v>128477364.52747254</v>
      </c>
    </row>
    <row r="20" spans="1:10" x14ac:dyDescent="0.25">
      <c r="A20">
        <v>1</v>
      </c>
      <c r="B20">
        <v>18</v>
      </c>
      <c r="C20" t="s">
        <v>0</v>
      </c>
      <c r="D20" t="s">
        <v>17</v>
      </c>
      <c r="E20">
        <v>109356.84065934064</v>
      </c>
      <c r="F20">
        <v>100616.3846153846</v>
      </c>
      <c r="G20">
        <v>10304526413.999996</v>
      </c>
      <c r="H20">
        <v>434545673.79233956</v>
      </c>
      <c r="I20">
        <v>848582.17125737458</v>
      </c>
      <c r="J20">
        <v>84423480.989010975</v>
      </c>
    </row>
    <row r="21" spans="1:10" x14ac:dyDescent="0.25">
      <c r="A21">
        <v>1</v>
      </c>
      <c r="B21">
        <v>19</v>
      </c>
      <c r="C21" t="s">
        <v>0</v>
      </c>
      <c r="D21" t="s">
        <v>18</v>
      </c>
      <c r="E21">
        <v>86907.994505494513</v>
      </c>
      <c r="F21">
        <v>139335.3846153846</v>
      </c>
      <c r="G21">
        <v>4024841919.9999995</v>
      </c>
      <c r="H21">
        <v>149606280.25250152</v>
      </c>
      <c r="I21">
        <v>571423.67692697363</v>
      </c>
      <c r="J21">
        <v>22804657.758241758</v>
      </c>
    </row>
    <row r="22" spans="1:10" x14ac:dyDescent="0.25">
      <c r="A22">
        <v>1</v>
      </c>
      <c r="B22">
        <v>20</v>
      </c>
      <c r="C22" t="s">
        <v>0</v>
      </c>
      <c r="D22" t="s">
        <v>19</v>
      </c>
      <c r="E22">
        <v>144079.76373626373</v>
      </c>
      <c r="F22">
        <v>111150.6666666667</v>
      </c>
      <c r="G22">
        <v>2305865040.2666674</v>
      </c>
      <c r="H22">
        <v>381742669.66261435</v>
      </c>
      <c r="I22">
        <v>927435.77376436791</v>
      </c>
      <c r="J22">
        <v>28815952.747252747</v>
      </c>
    </row>
    <row r="23" spans="1:10" x14ac:dyDescent="0.25">
      <c r="A23">
        <v>1</v>
      </c>
      <c r="B23">
        <v>21</v>
      </c>
      <c r="C23" t="s">
        <v>0</v>
      </c>
      <c r="D23" t="s">
        <v>20</v>
      </c>
      <c r="E23">
        <v>122924.37912087914</v>
      </c>
      <c r="F23">
        <v>155302.33333333299</v>
      </c>
      <c r="G23">
        <v>1313193046.0133302</v>
      </c>
      <c r="H23">
        <v>152929969.04028836</v>
      </c>
      <c r="I23">
        <v>671322.74130759633</v>
      </c>
      <c r="J23">
        <v>13275832.945054948</v>
      </c>
    </row>
    <row r="24" spans="1:10" x14ac:dyDescent="0.25">
      <c r="A24">
        <v>1</v>
      </c>
      <c r="B24">
        <v>22</v>
      </c>
      <c r="C24" t="s">
        <v>0</v>
      </c>
      <c r="D24" t="s">
        <v>21</v>
      </c>
      <c r="E24">
        <v>107364.22527472524</v>
      </c>
      <c r="F24">
        <v>174429.33333333299</v>
      </c>
      <c r="G24">
        <v>5450812009.0666552</v>
      </c>
      <c r="H24">
        <v>369760134.90737712</v>
      </c>
      <c r="I24">
        <v>14302239.56494347</v>
      </c>
      <c r="J24">
        <v>30491439.978021964</v>
      </c>
    </row>
    <row r="25" spans="1:10" x14ac:dyDescent="0.25">
      <c r="A25">
        <v>1</v>
      </c>
      <c r="B25">
        <v>23</v>
      </c>
      <c r="C25" t="s">
        <v>0</v>
      </c>
      <c r="D25" t="s">
        <v>22</v>
      </c>
      <c r="E25">
        <v>92042.763736263747</v>
      </c>
      <c r="F25">
        <v>158165.66666666701</v>
      </c>
      <c r="G25">
        <v>4892741019.0533438</v>
      </c>
      <c r="H25">
        <v>237690483.88762689</v>
      </c>
      <c r="I25">
        <v>605208.02887698309</v>
      </c>
      <c r="J25">
        <v>26250596.21758242</v>
      </c>
    </row>
    <row r="26" spans="1:10" x14ac:dyDescent="0.25">
      <c r="A26">
        <v>1</v>
      </c>
      <c r="B26">
        <v>24</v>
      </c>
      <c r="C26" t="s">
        <v>0</v>
      </c>
      <c r="D26" t="s">
        <v>23</v>
      </c>
      <c r="E26">
        <v>93205.148351648357</v>
      </c>
      <c r="F26">
        <v>115637.6666666667</v>
      </c>
      <c r="G26">
        <v>5745332579.6533346</v>
      </c>
      <c r="H26">
        <v>229342894.48762688</v>
      </c>
      <c r="I26">
        <v>605207.31776587199</v>
      </c>
      <c r="J26">
        <v>39183444.367032975</v>
      </c>
    </row>
    <row r="27" spans="1:10" x14ac:dyDescent="0.25">
      <c r="A27">
        <v>1</v>
      </c>
      <c r="B27">
        <v>25</v>
      </c>
      <c r="C27" t="s">
        <v>0</v>
      </c>
      <c r="D27" t="s">
        <v>24</v>
      </c>
      <c r="E27">
        <v>90809.763736263747</v>
      </c>
      <c r="F27">
        <v>108585.3333333333</v>
      </c>
      <c r="G27">
        <v>4596538775.5733318</v>
      </c>
      <c r="H27">
        <v>170631281.38762689</v>
      </c>
      <c r="I27">
        <v>605205.97887698305</v>
      </c>
      <c r="J27">
        <v>33163725.716483526</v>
      </c>
    </row>
    <row r="28" spans="1:10" x14ac:dyDescent="0.25">
      <c r="A28">
        <v>1</v>
      </c>
      <c r="B28">
        <v>26</v>
      </c>
      <c r="C28" t="s">
        <v>0</v>
      </c>
      <c r="D28" t="s">
        <v>25</v>
      </c>
      <c r="E28">
        <v>89888.840659340669</v>
      </c>
      <c r="F28">
        <v>94659</v>
      </c>
      <c r="G28">
        <v>5274751611.4799995</v>
      </c>
      <c r="H28">
        <v>218621707.81181175</v>
      </c>
      <c r="I28">
        <v>380066.13938195346</v>
      </c>
      <c r="J28">
        <v>41348866.703296706</v>
      </c>
    </row>
    <row r="29" spans="1:10" x14ac:dyDescent="0.25">
      <c r="A29">
        <v>1</v>
      </c>
      <c r="B29">
        <v>27</v>
      </c>
      <c r="C29" t="s">
        <v>0</v>
      </c>
      <c r="D29" t="s">
        <v>26</v>
      </c>
      <c r="E29">
        <v>145104.07142857142</v>
      </c>
      <c r="F29">
        <v>464592.1</v>
      </c>
      <c r="G29">
        <v>8296128211.2799988</v>
      </c>
      <c r="H29">
        <v>791900352.82261431</v>
      </c>
      <c r="I29">
        <v>927437.22043103445</v>
      </c>
      <c r="J29">
        <v>26873274.028571431</v>
      </c>
    </row>
    <row r="30" spans="1:10" x14ac:dyDescent="0.25">
      <c r="A30">
        <v>1</v>
      </c>
      <c r="B30">
        <v>28</v>
      </c>
      <c r="C30" t="s">
        <v>0</v>
      </c>
      <c r="D30" t="s">
        <v>27</v>
      </c>
      <c r="E30">
        <v>122168.37142857144</v>
      </c>
      <c r="F30">
        <v>164591.4</v>
      </c>
      <c r="G30" t="s">
        <v>122</v>
      </c>
      <c r="H30" t="s">
        <v>122</v>
      </c>
      <c r="I30">
        <v>605206.50665476092</v>
      </c>
      <c r="J30">
        <v>45394779.428571425</v>
      </c>
    </row>
    <row r="31" spans="1:10" x14ac:dyDescent="0.25">
      <c r="A31">
        <v>1</v>
      </c>
      <c r="B31">
        <v>29</v>
      </c>
      <c r="C31" t="s">
        <v>0</v>
      </c>
      <c r="D31" t="s">
        <v>28</v>
      </c>
      <c r="E31">
        <v>118215.57142857143</v>
      </c>
      <c r="F31">
        <v>409370.4</v>
      </c>
      <c r="G31">
        <v>1543709578.6943998</v>
      </c>
      <c r="H31">
        <v>549714864.90737712</v>
      </c>
      <c r="I31">
        <v>751592.00402276719</v>
      </c>
      <c r="J31">
        <v>13744854.674285715</v>
      </c>
    </row>
    <row r="32" spans="1:10" x14ac:dyDescent="0.25">
      <c r="A32">
        <v>1</v>
      </c>
      <c r="B32">
        <v>30</v>
      </c>
      <c r="C32" t="s">
        <v>0</v>
      </c>
      <c r="D32" t="s">
        <v>29</v>
      </c>
      <c r="E32">
        <v>93375.371428571438</v>
      </c>
      <c r="F32">
        <v>277520.09999999998</v>
      </c>
      <c r="G32">
        <v>1778193389.5440001</v>
      </c>
      <c r="H32">
        <v>201905982.69562688</v>
      </c>
      <c r="I32">
        <v>554294.03016514331</v>
      </c>
      <c r="J32">
        <v>12138798.285714285</v>
      </c>
    </row>
    <row r="33" spans="1:10" x14ac:dyDescent="0.25">
      <c r="A33">
        <v>1</v>
      </c>
      <c r="B33">
        <v>31</v>
      </c>
      <c r="C33" t="s">
        <v>0</v>
      </c>
      <c r="D33" t="s">
        <v>30</v>
      </c>
      <c r="E33">
        <v>88264.532967032981</v>
      </c>
      <c r="F33">
        <v>72271.692307692298</v>
      </c>
      <c r="G33">
        <v>1184261295.3599999</v>
      </c>
      <c r="H33">
        <v>171277147.40713573</v>
      </c>
      <c r="I33">
        <v>554292.72238736565</v>
      </c>
      <c r="J33">
        <v>8025401.3032967029</v>
      </c>
    </row>
    <row r="34" spans="1:10" x14ac:dyDescent="0.25">
      <c r="A34">
        <v>1</v>
      </c>
      <c r="B34">
        <v>32</v>
      </c>
      <c r="C34" t="s">
        <v>0</v>
      </c>
      <c r="D34" t="s">
        <v>31</v>
      </c>
      <c r="E34">
        <v>86109.456043956045</v>
      </c>
      <c r="F34">
        <v>97818.5</v>
      </c>
      <c r="G34">
        <v>1438479733.5999999</v>
      </c>
      <c r="H34">
        <v>149229037.9573994</v>
      </c>
      <c r="I34">
        <v>2285612.2929103854</v>
      </c>
      <c r="J34">
        <v>9945846.2197802179</v>
      </c>
    </row>
    <row r="35" spans="1:10" x14ac:dyDescent="0.25">
      <c r="A35">
        <v>1</v>
      </c>
      <c r="B35">
        <v>33</v>
      </c>
      <c r="C35" t="s">
        <v>0</v>
      </c>
      <c r="D35" t="s">
        <v>32</v>
      </c>
      <c r="E35">
        <v>149786.84065934064</v>
      </c>
      <c r="F35">
        <v>147528.72307692311</v>
      </c>
      <c r="G35">
        <v>1456663204.7680001</v>
      </c>
      <c r="H35">
        <v>228132658.32139939</v>
      </c>
      <c r="I35">
        <v>2285613.2173548299</v>
      </c>
      <c r="J35">
        <v>21108335.327472541</v>
      </c>
    </row>
    <row r="36" spans="1:10" x14ac:dyDescent="0.25">
      <c r="A36">
        <v>1</v>
      </c>
      <c r="B36">
        <v>34</v>
      </c>
      <c r="C36" t="s">
        <v>0</v>
      </c>
      <c r="D36" t="s">
        <v>33</v>
      </c>
      <c r="E36">
        <v>382397.3791208794</v>
      </c>
      <c r="F36">
        <v>315090.38888888899</v>
      </c>
      <c r="G36">
        <v>1919631478.0355561</v>
      </c>
      <c r="H36">
        <v>937877256.29513562</v>
      </c>
      <c r="I36">
        <v>0</v>
      </c>
      <c r="J36">
        <v>4696517.6703296714</v>
      </c>
    </row>
    <row r="37" spans="1:10" x14ac:dyDescent="0.25">
      <c r="A37">
        <v>1</v>
      </c>
      <c r="B37">
        <v>35</v>
      </c>
      <c r="C37" t="s">
        <v>0</v>
      </c>
      <c r="D37" t="s">
        <v>34</v>
      </c>
      <c r="E37">
        <v>108715.68681318684</v>
      </c>
      <c r="F37">
        <v>63500.538461538497</v>
      </c>
      <c r="G37">
        <v>416881035.00000024</v>
      </c>
      <c r="H37">
        <v>308142647.36713576</v>
      </c>
      <c r="I37">
        <v>572424.85729547578</v>
      </c>
      <c r="J37">
        <v>67112146.087912098</v>
      </c>
    </row>
    <row r="38" spans="1:10" x14ac:dyDescent="0.25">
      <c r="A38">
        <v>1</v>
      </c>
      <c r="B38">
        <v>36</v>
      </c>
      <c r="C38" t="s">
        <v>0</v>
      </c>
      <c r="D38" t="s">
        <v>35</v>
      </c>
      <c r="E38">
        <v>89339.917582417591</v>
      </c>
      <c r="F38">
        <v>139346.92307692312</v>
      </c>
      <c r="G38">
        <v>624999934.16000021</v>
      </c>
      <c r="H38">
        <v>0</v>
      </c>
      <c r="I38">
        <v>607071.39734916924</v>
      </c>
      <c r="J38">
        <v>89936775.393406644</v>
      </c>
    </row>
    <row r="39" spans="1:10" x14ac:dyDescent="0.25">
      <c r="A39">
        <v>1</v>
      </c>
      <c r="B39">
        <v>37</v>
      </c>
      <c r="C39" t="s">
        <v>0</v>
      </c>
      <c r="D39" t="s">
        <v>36</v>
      </c>
      <c r="E39">
        <v>95758.917582417635</v>
      </c>
      <c r="F39">
        <v>134162.42673992668</v>
      </c>
      <c r="G39">
        <v>12507023907.976185</v>
      </c>
      <c r="H39">
        <v>216629200.10618734</v>
      </c>
      <c r="I39">
        <v>572424.57951769803</v>
      </c>
      <c r="J39">
        <v>66729952.400000006</v>
      </c>
    </row>
    <row r="40" spans="1:10" x14ac:dyDescent="0.25">
      <c r="A40">
        <v>1</v>
      </c>
      <c r="B40">
        <v>38</v>
      </c>
      <c r="C40" t="s">
        <v>0</v>
      </c>
      <c r="D40" t="s">
        <v>37</v>
      </c>
      <c r="E40">
        <v>85727.071428571435</v>
      </c>
      <c r="F40">
        <v>55139.384615384617</v>
      </c>
      <c r="G40">
        <v>6553468046.2399998</v>
      </c>
      <c r="H40">
        <v>146627028.33889878</v>
      </c>
      <c r="I40">
        <v>530824.08296031202</v>
      </c>
      <c r="J40">
        <v>76472369.145054966</v>
      </c>
    </row>
    <row r="41" spans="1:10" x14ac:dyDescent="0.25">
      <c r="A41">
        <v>1</v>
      </c>
      <c r="B41">
        <v>39</v>
      </c>
      <c r="C41" t="s">
        <v>0</v>
      </c>
      <c r="D41" t="s">
        <v>38</v>
      </c>
      <c r="E41">
        <v>88797.456043956059</v>
      </c>
      <c r="F41">
        <v>139309.84249084251</v>
      </c>
      <c r="G41">
        <v>13638054657.081907</v>
      </c>
      <c r="H41">
        <v>163970862.42618734</v>
      </c>
      <c r="I41">
        <v>607070.79734916927</v>
      </c>
      <c r="J41">
        <v>83139829.054945052</v>
      </c>
    </row>
    <row r="42" spans="1:10" x14ac:dyDescent="0.25">
      <c r="A42">
        <v>1</v>
      </c>
      <c r="B42">
        <v>40</v>
      </c>
      <c r="C42" t="s">
        <v>0</v>
      </c>
      <c r="D42" t="s">
        <v>39</v>
      </c>
      <c r="E42">
        <v>95343.840659340669</v>
      </c>
      <c r="F42">
        <v>120629.1428571429</v>
      </c>
      <c r="G42">
        <v>13133372474.262859</v>
      </c>
      <c r="H42">
        <v>149480548.77375725</v>
      </c>
      <c r="I42">
        <v>69.716889399164785</v>
      </c>
      <c r="J42">
        <v>21.8</v>
      </c>
    </row>
    <row r="43" spans="1:10" x14ac:dyDescent="0.25">
      <c r="A43">
        <v>1</v>
      </c>
      <c r="B43">
        <v>41</v>
      </c>
      <c r="C43" t="s">
        <v>0</v>
      </c>
      <c r="D43" t="s">
        <v>40</v>
      </c>
      <c r="E43">
        <v>107702.76373626373</v>
      </c>
      <c r="F43">
        <v>68807.492673992703</v>
      </c>
      <c r="G43">
        <v>7429910123.3295259</v>
      </c>
      <c r="H43">
        <v>303593245.29889882</v>
      </c>
      <c r="I43">
        <v>0</v>
      </c>
      <c r="J43">
        <v>7094119.0857142843</v>
      </c>
    </row>
    <row r="44" spans="1:10" x14ac:dyDescent="0.25">
      <c r="A44">
        <v>2</v>
      </c>
      <c r="B44">
        <v>1</v>
      </c>
      <c r="C44" t="s">
        <v>1</v>
      </c>
      <c r="D44" t="s">
        <v>0</v>
      </c>
      <c r="E44">
        <v>98900.071428571435</v>
      </c>
      <c r="F44">
        <v>87125.8461538462</v>
      </c>
      <c r="G44">
        <v>261281003.02400017</v>
      </c>
      <c r="H44">
        <v>0</v>
      </c>
      <c r="I44">
        <v>0</v>
      </c>
      <c r="J44">
        <v>0</v>
      </c>
    </row>
    <row r="45" spans="1:10" x14ac:dyDescent="0.25">
      <c r="A45">
        <v>2</v>
      </c>
      <c r="B45">
        <v>2</v>
      </c>
      <c r="C45" t="s">
        <v>1</v>
      </c>
      <c r="D45" t="s">
        <v>1</v>
      </c>
      <c r="E45">
        <v>0</v>
      </c>
      <c r="F45">
        <v>0</v>
      </c>
      <c r="G45">
        <v>0</v>
      </c>
      <c r="H45">
        <v>0</v>
      </c>
      <c r="I45">
        <v>671322.87908537406</v>
      </c>
      <c r="J45">
        <v>650465.4857142861</v>
      </c>
    </row>
    <row r="46" spans="1:10" x14ac:dyDescent="0.25">
      <c r="A46">
        <v>2</v>
      </c>
      <c r="B46">
        <v>3</v>
      </c>
      <c r="C46" t="s">
        <v>1</v>
      </c>
      <c r="D46" t="s">
        <v>2</v>
      </c>
      <c r="E46">
        <v>22903.714285714301</v>
      </c>
      <c r="F46">
        <v>80548.461538461503</v>
      </c>
      <c r="G46">
        <v>247055663.67999986</v>
      </c>
      <c r="H46">
        <v>93702481.880814016</v>
      </c>
      <c r="I46">
        <v>751591.12624498946</v>
      </c>
      <c r="J46">
        <v>8188095.5714285644</v>
      </c>
    </row>
    <row r="47" spans="1:10" x14ac:dyDescent="0.25">
      <c r="A47">
        <v>2</v>
      </c>
      <c r="B47">
        <v>4</v>
      </c>
      <c r="C47" t="s">
        <v>1</v>
      </c>
      <c r="D47" t="s">
        <v>3</v>
      </c>
      <c r="E47">
        <v>37560.071428571398</v>
      </c>
      <c r="F47">
        <v>69655.384615384595</v>
      </c>
      <c r="G47">
        <v>1825492099.1999993</v>
      </c>
      <c r="H47">
        <v>143489682.49025133</v>
      </c>
      <c r="I47">
        <v>968746.04775024834</v>
      </c>
      <c r="J47">
        <v>18622683.114285722</v>
      </c>
    </row>
    <row r="48" spans="1:10" x14ac:dyDescent="0.25">
      <c r="A48">
        <v>2</v>
      </c>
      <c r="B48">
        <v>5</v>
      </c>
      <c r="C48" t="s">
        <v>1</v>
      </c>
      <c r="D48" t="s">
        <v>4</v>
      </c>
      <c r="E48">
        <v>71296.642857142899</v>
      </c>
      <c r="F48">
        <v>101455.4615384615</v>
      </c>
      <c r="G48">
        <v>3245020471.5599985</v>
      </c>
      <c r="H48">
        <v>839282495.03127038</v>
      </c>
      <c r="I48">
        <v>968748.5921946927</v>
      </c>
      <c r="J48">
        <v>6617477.7428571368</v>
      </c>
    </row>
    <row r="49" spans="1:10" x14ac:dyDescent="0.25">
      <c r="A49">
        <v>2</v>
      </c>
      <c r="B49">
        <v>6</v>
      </c>
      <c r="C49" t="s">
        <v>1</v>
      </c>
      <c r="D49" t="s">
        <v>5</v>
      </c>
      <c r="E49">
        <v>19624.785714285699</v>
      </c>
      <c r="F49">
        <v>167244.77289377298</v>
      </c>
      <c r="G49">
        <v>7316818328.4933376</v>
      </c>
      <c r="H49">
        <v>57612833.884127527</v>
      </c>
      <c r="I49">
        <v>968746.48663913715</v>
      </c>
      <c r="J49">
        <v>2961994.1999999988</v>
      </c>
    </row>
    <row r="50" spans="1:10" x14ac:dyDescent="0.25">
      <c r="A50">
        <v>2</v>
      </c>
      <c r="B50">
        <v>7</v>
      </c>
      <c r="C50" t="s">
        <v>1</v>
      </c>
      <c r="D50" t="s">
        <v>6</v>
      </c>
      <c r="E50">
        <v>11374.78571428571</v>
      </c>
      <c r="F50">
        <v>100791.07692307691</v>
      </c>
      <c r="G50">
        <v>3255531626.3999996</v>
      </c>
      <c r="H50">
        <v>35731688.884127527</v>
      </c>
      <c r="I50">
        <v>751591.27957832278</v>
      </c>
      <c r="J50">
        <v>8663816.2285714205</v>
      </c>
    </row>
    <row r="51" spans="1:10" x14ac:dyDescent="0.25">
      <c r="A51">
        <v>2</v>
      </c>
      <c r="B51">
        <v>8</v>
      </c>
      <c r="C51" t="s">
        <v>1</v>
      </c>
      <c r="D51" t="s">
        <v>7</v>
      </c>
      <c r="E51">
        <v>41021.857142857101</v>
      </c>
      <c r="F51">
        <v>158388.84615384601</v>
      </c>
      <c r="G51">
        <v>4076105277.9999971</v>
      </c>
      <c r="H51">
        <v>181944888.01367989</v>
      </c>
      <c r="I51">
        <v>0</v>
      </c>
      <c r="J51">
        <v>996478.5454545453</v>
      </c>
    </row>
    <row r="52" spans="1:10" x14ac:dyDescent="0.25">
      <c r="A52">
        <v>2</v>
      </c>
      <c r="B52">
        <v>9</v>
      </c>
      <c r="C52" t="s">
        <v>1</v>
      </c>
      <c r="D52" t="s">
        <v>8</v>
      </c>
      <c r="E52">
        <v>7017.454545454545</v>
      </c>
      <c r="F52">
        <v>608721.62179487199</v>
      </c>
      <c r="G52">
        <v>9942688528.3433361</v>
      </c>
      <c r="H52">
        <v>0</v>
      </c>
      <c r="I52">
        <v>968747.03552802606</v>
      </c>
      <c r="J52">
        <v>8008062.400000005</v>
      </c>
    </row>
    <row r="53" spans="1:10" x14ac:dyDescent="0.25">
      <c r="A53">
        <v>2</v>
      </c>
      <c r="B53">
        <v>10</v>
      </c>
      <c r="C53" t="s">
        <v>1</v>
      </c>
      <c r="D53" t="s">
        <v>9</v>
      </c>
      <c r="E53">
        <v>27500.214285714301</v>
      </c>
      <c r="F53">
        <v>133097.92307692312</v>
      </c>
      <c r="G53">
        <v>4802338106.0400009</v>
      </c>
      <c r="H53">
        <v>132915270.85269897</v>
      </c>
      <c r="I53">
        <v>702684.5799752085</v>
      </c>
      <c r="J53">
        <v>19843048.246153835</v>
      </c>
    </row>
    <row r="54" spans="1:10" x14ac:dyDescent="0.25">
      <c r="A54">
        <v>2</v>
      </c>
      <c r="B54">
        <v>11</v>
      </c>
      <c r="C54" t="s">
        <v>1</v>
      </c>
      <c r="D54" t="s">
        <v>10</v>
      </c>
      <c r="E54">
        <v>27667.384615384599</v>
      </c>
      <c r="F54">
        <v>135862</v>
      </c>
      <c r="G54">
        <v>12908069282.16</v>
      </c>
      <c r="H54">
        <v>162894814.3312588</v>
      </c>
      <c r="I54">
        <v>735264.24117019179</v>
      </c>
      <c r="J54">
        <v>14643638.4</v>
      </c>
    </row>
    <row r="55" spans="1:10" x14ac:dyDescent="0.25">
      <c r="A55">
        <v>2</v>
      </c>
      <c r="B55">
        <v>12</v>
      </c>
      <c r="C55" t="s">
        <v>1</v>
      </c>
      <c r="D55" t="s">
        <v>11</v>
      </c>
      <c r="E55">
        <v>24636</v>
      </c>
      <c r="F55">
        <v>80588.076923076907</v>
      </c>
      <c r="G55">
        <v>6281008927.1999989</v>
      </c>
      <c r="H55">
        <v>295924747.08681047</v>
      </c>
      <c r="I55">
        <v>584640.58515230217</v>
      </c>
      <c r="J55">
        <v>5315711.2615384646</v>
      </c>
    </row>
    <row r="56" spans="1:10" x14ac:dyDescent="0.25">
      <c r="A56">
        <v>2</v>
      </c>
      <c r="B56">
        <v>13</v>
      </c>
      <c r="C56" t="s">
        <v>1</v>
      </c>
      <c r="D56" t="s">
        <v>12</v>
      </c>
      <c r="E56">
        <v>9714.3846153846207</v>
      </c>
      <c r="F56">
        <v>62276.538461538497</v>
      </c>
      <c r="G56">
        <v>4389365019.6000023</v>
      </c>
      <c r="H56">
        <v>45040125.232955895</v>
      </c>
      <c r="I56">
        <v>584640.08737452445</v>
      </c>
      <c r="J56">
        <v>14744940.923076916</v>
      </c>
    </row>
    <row r="57" spans="1:10" x14ac:dyDescent="0.25">
      <c r="A57">
        <v>2</v>
      </c>
      <c r="B57">
        <v>14</v>
      </c>
      <c r="C57" t="s">
        <v>1</v>
      </c>
      <c r="D57" t="s">
        <v>13</v>
      </c>
      <c r="E57">
        <v>30339.384615384599</v>
      </c>
      <c r="F57">
        <v>208740.76923076899</v>
      </c>
      <c r="G57">
        <v>13177604370.399982</v>
      </c>
      <c r="H57">
        <v>131997760.72095588</v>
      </c>
      <c r="I57">
        <v>380063.81827084231</v>
      </c>
      <c r="J57">
        <v>28910102.769230746</v>
      </c>
    </row>
    <row r="58" spans="1:10" x14ac:dyDescent="0.25">
      <c r="A58">
        <v>2</v>
      </c>
      <c r="B58">
        <v>15</v>
      </c>
      <c r="C58" t="s">
        <v>1</v>
      </c>
      <c r="D58" t="s">
        <v>14</v>
      </c>
      <c r="E58">
        <v>54138.769230769198</v>
      </c>
      <c r="F58">
        <v>330916.46153846203</v>
      </c>
      <c r="G58">
        <v>22176538746.560036</v>
      </c>
      <c r="H58">
        <v>238477783.10238317</v>
      </c>
      <c r="I58">
        <v>848582.08347959677</v>
      </c>
      <c r="J58">
        <v>28630559.938461561</v>
      </c>
    </row>
    <row r="59" spans="1:10" x14ac:dyDescent="0.25">
      <c r="A59">
        <v>2</v>
      </c>
      <c r="B59">
        <v>16</v>
      </c>
      <c r="C59" t="s">
        <v>1</v>
      </c>
      <c r="D59" t="s">
        <v>15</v>
      </c>
      <c r="E59">
        <v>43831.230769230802</v>
      </c>
      <c r="F59">
        <v>569129.69230769202</v>
      </c>
      <c r="G59">
        <v>49648438481.839973</v>
      </c>
      <c r="H59">
        <v>117724212.93091096</v>
      </c>
      <c r="I59">
        <v>1062801.7921783486</v>
      </c>
      <c r="J59">
        <v>54613893.046153851</v>
      </c>
    </row>
    <row r="60" spans="1:10" x14ac:dyDescent="0.25">
      <c r="A60">
        <v>2</v>
      </c>
      <c r="B60">
        <v>17</v>
      </c>
      <c r="C60" t="s">
        <v>1</v>
      </c>
      <c r="D60" t="s">
        <v>16</v>
      </c>
      <c r="E60">
        <v>70890.307692307702</v>
      </c>
      <c r="F60">
        <v>214013.538461538</v>
      </c>
      <c r="G60">
        <v>22367582169.599953</v>
      </c>
      <c r="H60">
        <v>455804537.62799418</v>
      </c>
      <c r="I60">
        <v>848582.54903515242</v>
      </c>
      <c r="J60">
        <v>52685676.676923074</v>
      </c>
    </row>
    <row r="61" spans="1:10" x14ac:dyDescent="0.25">
      <c r="A61">
        <v>2</v>
      </c>
      <c r="B61">
        <v>18</v>
      </c>
      <c r="C61" t="s">
        <v>1</v>
      </c>
      <c r="D61" t="s">
        <v>17</v>
      </c>
      <c r="E61">
        <v>30156.769230769201</v>
      </c>
      <c r="F61">
        <v>91184.384615384595</v>
      </c>
      <c r="G61">
        <v>9079951356.4799976</v>
      </c>
      <c r="H61">
        <v>311014205.23091102</v>
      </c>
      <c r="I61">
        <v>571424.05470475135</v>
      </c>
      <c r="J61">
        <v>1587832.1538461545</v>
      </c>
    </row>
    <row r="62" spans="1:10" x14ac:dyDescent="0.25">
      <c r="A62">
        <v>2</v>
      </c>
      <c r="B62">
        <v>19</v>
      </c>
      <c r="C62" t="s">
        <v>1</v>
      </c>
      <c r="D62" t="s">
        <v>18</v>
      </c>
      <c r="E62">
        <v>7707.9230769230799</v>
      </c>
      <c r="F62">
        <v>129903.3846153846</v>
      </c>
      <c r="G62">
        <v>3383972776.9599991</v>
      </c>
      <c r="H62">
        <v>26074811.691072945</v>
      </c>
      <c r="I62">
        <v>927436.15154214564</v>
      </c>
      <c r="J62">
        <v>9212916.3076923061</v>
      </c>
    </row>
    <row r="63" spans="1:10" x14ac:dyDescent="0.25">
      <c r="A63">
        <v>2</v>
      </c>
      <c r="B63">
        <v>20</v>
      </c>
      <c r="C63" t="s">
        <v>1</v>
      </c>
      <c r="D63" t="s">
        <v>19</v>
      </c>
      <c r="E63">
        <v>64879.692307692298</v>
      </c>
      <c r="F63">
        <v>101718.6666666667</v>
      </c>
      <c r="G63">
        <v>1821712151.3066673</v>
      </c>
      <c r="H63">
        <v>258211201.10118574</v>
      </c>
      <c r="I63">
        <v>671323.11908537406</v>
      </c>
      <c r="J63">
        <v>2413581.7846153849</v>
      </c>
    </row>
    <row r="64" spans="1:10" x14ac:dyDescent="0.25">
      <c r="A64">
        <v>2</v>
      </c>
      <c r="B64">
        <v>21</v>
      </c>
      <c r="C64" t="s">
        <v>1</v>
      </c>
      <c r="D64" t="s">
        <v>20</v>
      </c>
      <c r="E64">
        <v>43724.307692307702</v>
      </c>
      <c r="F64">
        <v>145870.33333333299</v>
      </c>
      <c r="G64">
        <v>827399869.91999793</v>
      </c>
      <c r="H64">
        <v>29398500.478859786</v>
      </c>
      <c r="I64">
        <v>14302239.942721248</v>
      </c>
      <c r="J64">
        <v>6432692.738461528</v>
      </c>
    </row>
    <row r="65" spans="1:10" x14ac:dyDescent="0.25">
      <c r="A65">
        <v>2</v>
      </c>
      <c r="B65">
        <v>22</v>
      </c>
      <c r="C65" t="s">
        <v>1</v>
      </c>
      <c r="D65" t="s">
        <v>21</v>
      </c>
      <c r="E65">
        <v>28164.1538461538</v>
      </c>
      <c r="F65">
        <v>164997.33333333299</v>
      </c>
      <c r="G65">
        <v>4688122031.146656</v>
      </c>
      <c r="H65">
        <v>246228666.34594858</v>
      </c>
      <c r="I65">
        <v>605208.40665476094</v>
      </c>
      <c r="J65">
        <v>2958956.307692308</v>
      </c>
    </row>
    <row r="66" spans="1:10" x14ac:dyDescent="0.25">
      <c r="A66">
        <v>2</v>
      </c>
      <c r="B66">
        <v>23</v>
      </c>
      <c r="C66" t="s">
        <v>1</v>
      </c>
      <c r="D66" t="s">
        <v>22</v>
      </c>
      <c r="E66">
        <v>12842.69230769231</v>
      </c>
      <c r="F66">
        <v>148733.66666666701</v>
      </c>
      <c r="G66">
        <v>4186959804.9066763</v>
      </c>
      <c r="H66">
        <v>114159015.32619831</v>
      </c>
      <c r="I66">
        <v>605207.69554364984</v>
      </c>
      <c r="J66">
        <v>5131460.1846153839</v>
      </c>
    </row>
    <row r="67" spans="1:10" x14ac:dyDescent="0.25">
      <c r="A67">
        <v>2</v>
      </c>
      <c r="B67">
        <v>24</v>
      </c>
      <c r="C67" t="s">
        <v>1</v>
      </c>
      <c r="D67" t="s">
        <v>23</v>
      </c>
      <c r="E67">
        <v>14005.07692307692</v>
      </c>
      <c r="F67">
        <v>106205.6666666667</v>
      </c>
      <c r="G67">
        <v>4981084000.7066679</v>
      </c>
      <c r="H67">
        <v>105811425.9261983</v>
      </c>
      <c r="I67">
        <v>605206.35665476089</v>
      </c>
      <c r="J67">
        <v>3612936.2461538468</v>
      </c>
    </row>
    <row r="68" spans="1:10" x14ac:dyDescent="0.25">
      <c r="A68">
        <v>2</v>
      </c>
      <c r="B68">
        <v>25</v>
      </c>
      <c r="C68" t="s">
        <v>1</v>
      </c>
      <c r="D68" t="s">
        <v>24</v>
      </c>
      <c r="E68">
        <v>11609.69230769231</v>
      </c>
      <c r="F68">
        <v>99153.333333333299</v>
      </c>
      <c r="G68">
        <v>3921272399.1999989</v>
      </c>
      <c r="H68">
        <v>47099812.82619831</v>
      </c>
      <c r="I68">
        <v>380066.51715973124</v>
      </c>
      <c r="J68">
        <v>4343915.8153846152</v>
      </c>
    </row>
    <row r="69" spans="1:10" x14ac:dyDescent="0.25">
      <c r="A69">
        <v>2</v>
      </c>
      <c r="B69">
        <v>26</v>
      </c>
      <c r="C69" t="s">
        <v>1</v>
      </c>
      <c r="D69" t="s">
        <v>25</v>
      </c>
      <c r="E69">
        <v>10688.76923076923</v>
      </c>
      <c r="F69">
        <v>85227</v>
      </c>
      <c r="G69">
        <v>4507454894.2799997</v>
      </c>
      <c r="H69">
        <v>95090239.250383168</v>
      </c>
      <c r="I69">
        <v>927437.5982088123</v>
      </c>
      <c r="J69">
        <v>8567520</v>
      </c>
    </row>
    <row r="70" spans="1:10" x14ac:dyDescent="0.25">
      <c r="A70">
        <v>2</v>
      </c>
      <c r="B70">
        <v>27</v>
      </c>
      <c r="C70" t="s">
        <v>1</v>
      </c>
      <c r="D70" t="s">
        <v>26</v>
      </c>
      <c r="E70">
        <v>65904</v>
      </c>
      <c r="F70">
        <v>455160.1</v>
      </c>
      <c r="G70">
        <v>6836832417.2719994</v>
      </c>
      <c r="H70">
        <v>668368884.26118577</v>
      </c>
      <c r="I70">
        <v>605206.88443253865</v>
      </c>
      <c r="J70">
        <v>12890721.199999999</v>
      </c>
    </row>
    <row r="71" spans="1:10" x14ac:dyDescent="0.25">
      <c r="A71">
        <v>2</v>
      </c>
      <c r="B71">
        <v>28</v>
      </c>
      <c r="C71" t="s">
        <v>1</v>
      </c>
      <c r="D71" t="s">
        <v>27</v>
      </c>
      <c r="E71">
        <v>42968.3</v>
      </c>
      <c r="F71">
        <v>155159.4</v>
      </c>
      <c r="G71" t="s">
        <v>122</v>
      </c>
      <c r="H71" t="s">
        <v>122</v>
      </c>
      <c r="I71">
        <v>751592.38180054491</v>
      </c>
      <c r="J71">
        <v>2296398.6</v>
      </c>
    </row>
    <row r="72" spans="1:10" x14ac:dyDescent="0.25">
      <c r="A72">
        <v>2</v>
      </c>
      <c r="B72">
        <v>29</v>
      </c>
      <c r="C72" t="s">
        <v>1</v>
      </c>
      <c r="D72" t="s">
        <v>28</v>
      </c>
      <c r="E72">
        <v>39015.5</v>
      </c>
      <c r="F72">
        <v>399938.4</v>
      </c>
      <c r="G72">
        <v>10397358560.16</v>
      </c>
      <c r="H72">
        <v>426183396.34594858</v>
      </c>
      <c r="I72">
        <v>554294.40794292116</v>
      </c>
      <c r="J72">
        <v>1308908.2461538464</v>
      </c>
    </row>
    <row r="73" spans="1:10" x14ac:dyDescent="0.25">
      <c r="A73">
        <v>2</v>
      </c>
      <c r="B73">
        <v>30</v>
      </c>
      <c r="C73" t="s">
        <v>1</v>
      </c>
      <c r="D73" t="s">
        <v>29</v>
      </c>
      <c r="E73">
        <v>14175.3</v>
      </c>
      <c r="F73">
        <v>268088.09999999998</v>
      </c>
      <c r="G73">
        <v>7462393116.3599987</v>
      </c>
      <c r="H73">
        <v>78374514.134198308</v>
      </c>
      <c r="I73">
        <v>554293.10016514338</v>
      </c>
      <c r="J73">
        <v>740686.03076923068</v>
      </c>
    </row>
    <row r="74" spans="1:10" x14ac:dyDescent="0.25">
      <c r="A74">
        <v>2</v>
      </c>
      <c r="B74">
        <v>31</v>
      </c>
      <c r="C74" t="s">
        <v>1</v>
      </c>
      <c r="D74" t="s">
        <v>30</v>
      </c>
      <c r="E74">
        <v>9064.461538461539</v>
      </c>
      <c r="F74">
        <v>62839.692307692298</v>
      </c>
      <c r="G74">
        <v>1211225014.8799999</v>
      </c>
      <c r="H74">
        <v>47745678.845707156</v>
      </c>
      <c r="I74">
        <v>2285612.670688163</v>
      </c>
      <c r="J74">
        <v>5929288.6153846122</v>
      </c>
    </row>
    <row r="75" spans="1:10" x14ac:dyDescent="0.25">
      <c r="A75">
        <v>2</v>
      </c>
      <c r="B75">
        <v>32</v>
      </c>
      <c r="C75" t="s">
        <v>1</v>
      </c>
      <c r="D75" t="s">
        <v>31</v>
      </c>
      <c r="E75">
        <v>6909.3846153846152</v>
      </c>
      <c r="F75">
        <v>88386.5</v>
      </c>
      <c r="G75">
        <v>1555089758.3</v>
      </c>
      <c r="H75">
        <v>25697569.395970821</v>
      </c>
      <c r="I75">
        <v>2285613.5951326075</v>
      </c>
      <c r="J75">
        <v>24013226.76923079</v>
      </c>
    </row>
    <row r="76" spans="1:10" x14ac:dyDescent="0.25">
      <c r="A76">
        <v>2</v>
      </c>
      <c r="B76">
        <v>33</v>
      </c>
      <c r="C76" t="s">
        <v>1</v>
      </c>
      <c r="D76" t="s">
        <v>32</v>
      </c>
      <c r="E76">
        <v>70586.76923076919</v>
      </c>
      <c r="F76">
        <v>138096.72307692311</v>
      </c>
      <c r="G76">
        <v>1769692934.6240003</v>
      </c>
      <c r="H76">
        <v>104601189.75997083</v>
      </c>
      <c r="I76">
        <v>0</v>
      </c>
      <c r="J76">
        <v>1948030.6153846167</v>
      </c>
    </row>
    <row r="77" spans="1:10" x14ac:dyDescent="0.25">
      <c r="A77">
        <v>2</v>
      </c>
      <c r="B77">
        <v>34</v>
      </c>
      <c r="C77" t="s">
        <v>1</v>
      </c>
      <c r="D77" t="s">
        <v>33</v>
      </c>
      <c r="E77">
        <v>303197.30769230798</v>
      </c>
      <c r="F77">
        <v>305658.38888888899</v>
      </c>
      <c r="G77">
        <v>2745093537.940001</v>
      </c>
      <c r="H77">
        <v>814345787.73370707</v>
      </c>
      <c r="I77">
        <v>572425.23507325351</v>
      </c>
      <c r="J77">
        <v>7000549.7846153835</v>
      </c>
    </row>
    <row r="78" spans="1:10" x14ac:dyDescent="0.25">
      <c r="A78">
        <v>2</v>
      </c>
      <c r="B78">
        <v>35</v>
      </c>
      <c r="C78" t="s">
        <v>1</v>
      </c>
      <c r="D78" t="s">
        <v>34</v>
      </c>
      <c r="E78">
        <v>29515.615384615401</v>
      </c>
      <c r="F78">
        <v>54068.538461538497</v>
      </c>
      <c r="G78">
        <v>516821694.48000032</v>
      </c>
      <c r="H78">
        <v>184611178.80570716</v>
      </c>
      <c r="I78">
        <v>607071.77512694709</v>
      </c>
      <c r="J78">
        <v>13995536.769230809</v>
      </c>
    </row>
    <row r="79" spans="1:10" x14ac:dyDescent="0.25">
      <c r="A79">
        <v>2</v>
      </c>
      <c r="B79">
        <v>36</v>
      </c>
      <c r="C79" t="s">
        <v>1</v>
      </c>
      <c r="D79" t="s">
        <v>35</v>
      </c>
      <c r="E79">
        <v>10139.846153846151</v>
      </c>
      <c r="F79">
        <v>129914.92307692311</v>
      </c>
      <c r="G79">
        <v>1009823500.4800001</v>
      </c>
      <c r="H79">
        <v>0</v>
      </c>
      <c r="I79">
        <v>572424.95729547576</v>
      </c>
      <c r="J79">
        <v>4707272.4000000004</v>
      </c>
    </row>
    <row r="80" spans="1:10" x14ac:dyDescent="0.25">
      <c r="A80">
        <v>2</v>
      </c>
      <c r="B80">
        <v>37</v>
      </c>
      <c r="C80" t="s">
        <v>1</v>
      </c>
      <c r="D80" t="s">
        <v>36</v>
      </c>
      <c r="E80">
        <v>16558.8461538462</v>
      </c>
      <c r="F80">
        <v>124730.4267399267</v>
      </c>
      <c r="G80">
        <v>11273999103.307615</v>
      </c>
      <c r="H80">
        <v>93097731.544758767</v>
      </c>
      <c r="I80">
        <v>530824.46073808987</v>
      </c>
      <c r="J80">
        <v>5255540.4000000004</v>
      </c>
    </row>
    <row r="81" spans="1:10" x14ac:dyDescent="0.25">
      <c r="A81">
        <v>2</v>
      </c>
      <c r="B81">
        <v>38</v>
      </c>
      <c r="C81" t="s">
        <v>1</v>
      </c>
      <c r="D81" t="s">
        <v>37</v>
      </c>
      <c r="E81">
        <v>6527</v>
      </c>
      <c r="F81">
        <v>45707.384615384617</v>
      </c>
      <c r="G81">
        <v>5302819014.5600004</v>
      </c>
      <c r="H81">
        <v>23095559.777470205</v>
      </c>
      <c r="I81">
        <v>607071.17512694711</v>
      </c>
      <c r="J81">
        <v>7739330.9538461594</v>
      </c>
    </row>
    <row r="82" spans="1:10" x14ac:dyDescent="0.25">
      <c r="A82">
        <v>2</v>
      </c>
      <c r="B82">
        <v>39</v>
      </c>
      <c r="C82" t="s">
        <v>1</v>
      </c>
      <c r="D82" t="s">
        <v>38</v>
      </c>
      <c r="E82">
        <v>9597.3846153846207</v>
      </c>
      <c r="F82">
        <v>129877.84249084249</v>
      </c>
      <c r="G82">
        <v>12346343560.590475</v>
      </c>
      <c r="H82">
        <v>40439393.864758767</v>
      </c>
      <c r="I82">
        <v>70.094667176942565</v>
      </c>
      <c r="J82">
        <v>20.16</v>
      </c>
    </row>
    <row r="83" spans="1:10" x14ac:dyDescent="0.25">
      <c r="A83">
        <v>2</v>
      </c>
      <c r="B83">
        <v>40</v>
      </c>
      <c r="C83" t="s">
        <v>1</v>
      </c>
      <c r="D83" t="s">
        <v>39</v>
      </c>
      <c r="E83">
        <v>16143.76923076923</v>
      </c>
      <c r="F83">
        <v>111197.1428571429</v>
      </c>
      <c r="G83">
        <v>11796949364.57143</v>
      </c>
      <c r="H83">
        <v>25949080.21232868</v>
      </c>
      <c r="I83">
        <v>671322.50130759634</v>
      </c>
      <c r="J83">
        <v>8699242.5428571459</v>
      </c>
    </row>
    <row r="84" spans="1:10" x14ac:dyDescent="0.25">
      <c r="A84">
        <v>2</v>
      </c>
      <c r="B84">
        <v>41</v>
      </c>
      <c r="C84" t="s">
        <v>1</v>
      </c>
      <c r="D84" t="s">
        <v>40</v>
      </c>
      <c r="E84">
        <v>28502.692307692301</v>
      </c>
      <c r="F84">
        <v>59375.492673992703</v>
      </c>
      <c r="G84">
        <v>6243038552.2266693</v>
      </c>
      <c r="H84">
        <v>180061776.73747021</v>
      </c>
      <c r="I84">
        <v>671322.87908537406</v>
      </c>
      <c r="J84">
        <v>650465.4857142861</v>
      </c>
    </row>
    <row r="85" spans="1:10" x14ac:dyDescent="0.25">
      <c r="A85">
        <v>3</v>
      </c>
      <c r="B85">
        <v>1</v>
      </c>
      <c r="C85" t="s">
        <v>2</v>
      </c>
      <c r="D85" t="s">
        <v>0</v>
      </c>
      <c r="E85">
        <v>107457.64285714287</v>
      </c>
      <c r="F85">
        <v>86076.615384615434</v>
      </c>
      <c r="G85">
        <v>506323310.08000022</v>
      </c>
      <c r="H85">
        <v>217233950.44224256</v>
      </c>
      <c r="I85">
        <v>0</v>
      </c>
      <c r="J85">
        <v>0</v>
      </c>
    </row>
    <row r="86" spans="1:10" x14ac:dyDescent="0.25">
      <c r="A86">
        <v>3</v>
      </c>
      <c r="B86">
        <v>2</v>
      </c>
      <c r="C86" t="s">
        <v>2</v>
      </c>
      <c r="D86" t="s">
        <v>1</v>
      </c>
      <c r="E86">
        <v>36196.642857142855</v>
      </c>
      <c r="F86">
        <v>76465.000000000029</v>
      </c>
      <c r="G86">
        <v>234531001.12000009</v>
      </c>
      <c r="H86">
        <v>93702481.880814016</v>
      </c>
      <c r="I86">
        <v>303241.21413926757</v>
      </c>
      <c r="J86">
        <v>11160469.571428563</v>
      </c>
    </row>
    <row r="87" spans="1:10" x14ac:dyDescent="0.25">
      <c r="A87">
        <v>3</v>
      </c>
      <c r="B87">
        <v>3</v>
      </c>
      <c r="C87" t="s">
        <v>2</v>
      </c>
      <c r="D87" t="s">
        <v>2</v>
      </c>
      <c r="E87">
        <v>0</v>
      </c>
      <c r="F87">
        <v>0</v>
      </c>
      <c r="G87">
        <v>0</v>
      </c>
      <c r="H87">
        <v>0</v>
      </c>
      <c r="I87">
        <v>525051.44530393369</v>
      </c>
      <c r="J87">
        <v>22774421.914285727</v>
      </c>
    </row>
    <row r="88" spans="1:10" x14ac:dyDescent="0.25">
      <c r="A88">
        <v>3</v>
      </c>
      <c r="B88">
        <v>4</v>
      </c>
      <c r="C88" t="s">
        <v>2</v>
      </c>
      <c r="D88" t="s">
        <v>3</v>
      </c>
      <c r="E88">
        <v>46117.642857142826</v>
      </c>
      <c r="F88">
        <v>68606.153846153829</v>
      </c>
      <c r="G88">
        <v>1988963750.3999994</v>
      </c>
      <c r="H88">
        <v>185986421.93166041</v>
      </c>
      <c r="I88">
        <v>525053.98974837817</v>
      </c>
      <c r="J88">
        <v>10202013.285714282</v>
      </c>
    </row>
    <row r="89" spans="1:10" x14ac:dyDescent="0.25">
      <c r="A89">
        <v>3</v>
      </c>
      <c r="B89">
        <v>5</v>
      </c>
      <c r="C89" t="s">
        <v>2</v>
      </c>
      <c r="D89" t="s">
        <v>4</v>
      </c>
      <c r="E89">
        <v>79854.214285714334</v>
      </c>
      <c r="F89">
        <v>100406.23076923074</v>
      </c>
      <c r="G89">
        <v>3490947928.8799992</v>
      </c>
      <c r="H89">
        <v>881892494.23107564</v>
      </c>
      <c r="I89">
        <v>525051.88419282262</v>
      </c>
      <c r="J89">
        <v>5684708.2571428558</v>
      </c>
    </row>
    <row r="90" spans="1:10" x14ac:dyDescent="0.25">
      <c r="A90">
        <v>3</v>
      </c>
      <c r="B90">
        <v>6</v>
      </c>
      <c r="C90" t="s">
        <v>2</v>
      </c>
      <c r="D90" t="s">
        <v>5</v>
      </c>
      <c r="E90">
        <v>28182.35714285713</v>
      </c>
      <c r="F90">
        <v>166195.54212454223</v>
      </c>
      <c r="G90">
        <v>7733530626.9295292</v>
      </c>
      <c r="H90">
        <v>100222833.08393282</v>
      </c>
      <c r="I90">
        <v>303241.36747260095</v>
      </c>
      <c r="J90">
        <v>11661081.59999999</v>
      </c>
    </row>
    <row r="91" spans="1:10" x14ac:dyDescent="0.25">
      <c r="A91">
        <v>3</v>
      </c>
      <c r="B91">
        <v>7</v>
      </c>
      <c r="C91" t="s">
        <v>2</v>
      </c>
      <c r="D91" t="s">
        <v>6</v>
      </c>
      <c r="E91">
        <v>19932.357142857138</v>
      </c>
      <c r="F91">
        <v>99741.846153846127</v>
      </c>
      <c r="G91">
        <v>3504517537.4399986</v>
      </c>
      <c r="H91">
        <v>78341688.083932832</v>
      </c>
      <c r="I91">
        <v>671326.96241870744</v>
      </c>
      <c r="J91">
        <v>2572994.290909091</v>
      </c>
    </row>
    <row r="92" spans="1:10" x14ac:dyDescent="0.25">
      <c r="A92">
        <v>3</v>
      </c>
      <c r="B92">
        <v>8</v>
      </c>
      <c r="C92" t="s">
        <v>2</v>
      </c>
      <c r="D92" t="s">
        <v>7</v>
      </c>
      <c r="E92">
        <v>49579.428571428529</v>
      </c>
      <c r="F92">
        <v>157339.61538461523</v>
      </c>
      <c r="G92">
        <v>4495331270.3999958</v>
      </c>
      <c r="H92">
        <v>224441627.455089</v>
      </c>
      <c r="I92">
        <v>525052.43308171141</v>
      </c>
      <c r="J92">
        <v>11336567.828571433</v>
      </c>
    </row>
    <row r="93" spans="1:10" x14ac:dyDescent="0.25">
      <c r="A93">
        <v>3</v>
      </c>
      <c r="B93">
        <v>9</v>
      </c>
      <c r="C93" t="s">
        <v>2</v>
      </c>
      <c r="D93" t="s">
        <v>8</v>
      </c>
      <c r="E93">
        <v>15575.025974025973</v>
      </c>
      <c r="F93">
        <v>607672.39102564123</v>
      </c>
      <c r="G93">
        <v>11648958201.483337</v>
      </c>
      <c r="H93">
        <v>0</v>
      </c>
      <c r="I93">
        <v>239894.79370149653</v>
      </c>
      <c r="J93">
        <v>25879108.597802185</v>
      </c>
    </row>
    <row r="94" spans="1:10" x14ac:dyDescent="0.25">
      <c r="A94">
        <v>3</v>
      </c>
      <c r="B94">
        <v>10</v>
      </c>
      <c r="C94" t="s">
        <v>2</v>
      </c>
      <c r="D94" t="s">
        <v>9</v>
      </c>
      <c r="E94">
        <v>36057.785714285732</v>
      </c>
      <c r="F94">
        <v>132048.69230769234</v>
      </c>
      <c r="G94">
        <v>5138981214.1200008</v>
      </c>
      <c r="H94">
        <v>175525270.05250427</v>
      </c>
      <c r="I94">
        <v>238134.56074571045</v>
      </c>
      <c r="J94">
        <v>19584207.142857146</v>
      </c>
    </row>
    <row r="95" spans="1:10" x14ac:dyDescent="0.25">
      <c r="A95">
        <v>3</v>
      </c>
      <c r="B95">
        <v>11</v>
      </c>
      <c r="C95" t="s">
        <v>2</v>
      </c>
      <c r="D95" t="s">
        <v>10</v>
      </c>
      <c r="E95">
        <v>36224.95604395603</v>
      </c>
      <c r="F95">
        <v>134812.76923076925</v>
      </c>
      <c r="G95">
        <v>12695097385.52</v>
      </c>
      <c r="H95">
        <v>205501010.95539394</v>
      </c>
      <c r="I95">
        <v>121025.94768131501</v>
      </c>
      <c r="J95">
        <v>9910708.9582417607</v>
      </c>
    </row>
    <row r="96" spans="1:10" x14ac:dyDescent="0.25">
      <c r="A96">
        <v>3</v>
      </c>
      <c r="B96">
        <v>12</v>
      </c>
      <c r="C96" t="s">
        <v>2</v>
      </c>
      <c r="D96" t="s">
        <v>11</v>
      </c>
      <c r="E96">
        <v>33193.571428571428</v>
      </c>
      <c r="F96">
        <v>79538.846153846127</v>
      </c>
      <c r="G96">
        <v>6136571513.7999983</v>
      </c>
      <c r="H96">
        <v>338516976.73356545</v>
      </c>
      <c r="I96">
        <v>121025.44990353723</v>
      </c>
      <c r="J96">
        <v>18717215.248351637</v>
      </c>
    </row>
    <row r="97" spans="1:10" x14ac:dyDescent="0.25">
      <c r="A97">
        <v>3</v>
      </c>
      <c r="B97">
        <v>13</v>
      </c>
      <c r="C97" t="s">
        <v>2</v>
      </c>
      <c r="D97" t="s">
        <v>12</v>
      </c>
      <c r="E97">
        <v>18271.956043956048</v>
      </c>
      <c r="F97">
        <v>61227.307692307731</v>
      </c>
      <c r="G97">
        <v>4263962773.2000031</v>
      </c>
      <c r="H97">
        <v>87626998.12554881</v>
      </c>
      <c r="I97">
        <v>380620.0360038064</v>
      </c>
      <c r="J97">
        <v>34006495.173626356</v>
      </c>
    </row>
    <row r="98" spans="1:10" x14ac:dyDescent="0.25">
      <c r="A98">
        <v>3</v>
      </c>
      <c r="B98">
        <v>14</v>
      </c>
      <c r="C98" t="s">
        <v>2</v>
      </c>
      <c r="D98" t="s">
        <v>13</v>
      </c>
      <c r="E98">
        <v>38896.95604395603</v>
      </c>
      <c r="F98">
        <v>207691.53846153821</v>
      </c>
      <c r="G98">
        <v>12936840085.599981</v>
      </c>
      <c r="H98">
        <v>174584633.61354879</v>
      </c>
      <c r="I98">
        <v>344552.79561157041</v>
      </c>
      <c r="J98">
        <v>33968899.345054969</v>
      </c>
    </row>
    <row r="99" spans="1:10" x14ac:dyDescent="0.25">
      <c r="A99">
        <v>3</v>
      </c>
      <c r="B99">
        <v>15</v>
      </c>
      <c r="C99" t="s">
        <v>2</v>
      </c>
      <c r="D99" t="s">
        <v>14</v>
      </c>
      <c r="E99">
        <v>62696.340659340625</v>
      </c>
      <c r="F99">
        <v>329867.23076923128</v>
      </c>
      <c r="G99">
        <v>21829029969.600033</v>
      </c>
      <c r="H99">
        <v>281252949.49492621</v>
      </c>
      <c r="I99">
        <v>569926.49116793403</v>
      </c>
      <c r="J99">
        <v>63113395.173626393</v>
      </c>
    </row>
    <row r="100" spans="1:10" x14ac:dyDescent="0.25">
      <c r="A100">
        <v>3</v>
      </c>
      <c r="B100">
        <v>16</v>
      </c>
      <c r="C100" t="s">
        <v>2</v>
      </c>
      <c r="D100" t="s">
        <v>15</v>
      </c>
      <c r="E100">
        <v>52388.80219780223</v>
      </c>
      <c r="F100">
        <v>568080.46153846127</v>
      </c>
      <c r="G100">
        <v>49079538706.799973</v>
      </c>
      <c r="H100">
        <v>160488616.51286411</v>
      </c>
      <c r="I100">
        <v>344553.26116712601</v>
      </c>
      <c r="J100">
        <v>27920782.48351647</v>
      </c>
    </row>
    <row r="101" spans="1:10" x14ac:dyDescent="0.25">
      <c r="A101">
        <v>3</v>
      </c>
      <c r="B101">
        <v>17</v>
      </c>
      <c r="C101" t="s">
        <v>2</v>
      </c>
      <c r="D101" t="s">
        <v>16</v>
      </c>
      <c r="E101">
        <v>79447.879120879137</v>
      </c>
      <c r="F101">
        <v>212964.30769230722</v>
      </c>
      <c r="G101">
        <v>22078963858.559952</v>
      </c>
      <c r="H101">
        <v>498516618.76647937</v>
      </c>
      <c r="I101">
        <v>132922.34875133474</v>
      </c>
      <c r="J101">
        <v>3292136.0879120887</v>
      </c>
    </row>
    <row r="102" spans="1:10" x14ac:dyDescent="0.25">
      <c r="A102">
        <v>3</v>
      </c>
      <c r="B102">
        <v>18</v>
      </c>
      <c r="C102" t="s">
        <v>2</v>
      </c>
      <c r="D102" t="s">
        <v>17</v>
      </c>
      <c r="E102">
        <v>38714.340659340633</v>
      </c>
      <c r="F102">
        <v>90135.153846153844</v>
      </c>
      <c r="G102">
        <v>8904462664.6799984</v>
      </c>
      <c r="H102">
        <v>353778608.81286412</v>
      </c>
      <c r="I102">
        <v>482851.55328643927</v>
      </c>
      <c r="J102">
        <v>10163717.301098902</v>
      </c>
    </row>
    <row r="103" spans="1:10" x14ac:dyDescent="0.25">
      <c r="A103">
        <v>3</v>
      </c>
      <c r="B103">
        <v>19</v>
      </c>
      <c r="C103" t="s">
        <v>2</v>
      </c>
      <c r="D103" t="s">
        <v>18</v>
      </c>
      <c r="E103">
        <v>16265.494505494509</v>
      </c>
      <c r="F103">
        <v>128854.15384615383</v>
      </c>
      <c r="G103">
        <v>3255129096.9599996</v>
      </c>
      <c r="H103">
        <v>68524728.143978596</v>
      </c>
      <c r="I103">
        <v>318161.54809699254</v>
      </c>
      <c r="J103">
        <v>2718657.7142857146</v>
      </c>
    </row>
    <row r="104" spans="1:10" x14ac:dyDescent="0.25">
      <c r="A104">
        <v>3</v>
      </c>
      <c r="B104">
        <v>20</v>
      </c>
      <c r="C104" t="s">
        <v>2</v>
      </c>
      <c r="D104" t="s">
        <v>19</v>
      </c>
      <c r="E104">
        <v>73437.263736263732</v>
      </c>
      <c r="F104">
        <v>100669.43589743593</v>
      </c>
      <c r="G104">
        <v>1723613760.106667</v>
      </c>
      <c r="H104">
        <v>300698943.22586703</v>
      </c>
      <c r="I104">
        <v>243169.03997979005</v>
      </c>
      <c r="J104">
        <v>8225666.4615384508</v>
      </c>
    </row>
    <row r="105" spans="1:10" x14ac:dyDescent="0.25">
      <c r="A105">
        <v>3</v>
      </c>
      <c r="B105">
        <v>21</v>
      </c>
      <c r="C105" t="s">
        <v>2</v>
      </c>
      <c r="D105" t="s">
        <v>20</v>
      </c>
      <c r="E105">
        <v>52281.87912087913</v>
      </c>
      <c r="F105">
        <v>144821.10256410221</v>
      </c>
      <c r="G105">
        <v>698991795.7826649</v>
      </c>
      <c r="H105">
        <v>71742166.069161102</v>
      </c>
      <c r="I105">
        <v>243148.81076887748</v>
      </c>
      <c r="J105">
        <v>4836459.6043956056</v>
      </c>
    </row>
    <row r="106" spans="1:10" x14ac:dyDescent="0.25">
      <c r="A106">
        <v>3</v>
      </c>
      <c r="B106">
        <v>22</v>
      </c>
      <c r="C106" t="s">
        <v>2</v>
      </c>
      <c r="D106" t="s">
        <v>21</v>
      </c>
      <c r="E106">
        <v>36721.725274725228</v>
      </c>
      <c r="F106">
        <v>163948.10256410221</v>
      </c>
      <c r="G106">
        <v>4529151586.3466558</v>
      </c>
      <c r="H106">
        <v>288081512.48755938</v>
      </c>
      <c r="I106">
        <v>243148.09965776635</v>
      </c>
      <c r="J106">
        <v>8149628.5846153833</v>
      </c>
    </row>
    <row r="107" spans="1:10" x14ac:dyDescent="0.25">
      <c r="A107">
        <v>3</v>
      </c>
      <c r="B107">
        <v>23</v>
      </c>
      <c r="C107" t="s">
        <v>2</v>
      </c>
      <c r="D107" t="s">
        <v>22</v>
      </c>
      <c r="E107">
        <v>21400.26373626374</v>
      </c>
      <c r="F107">
        <v>147684.43589743623</v>
      </c>
      <c r="G107">
        <v>4033321018.1333423</v>
      </c>
      <c r="H107">
        <v>156557006.63423547</v>
      </c>
      <c r="I107">
        <v>243146.76076887746</v>
      </c>
      <c r="J107">
        <v>6171182.7032967051</v>
      </c>
    </row>
    <row r="108" spans="1:10" x14ac:dyDescent="0.25">
      <c r="A108">
        <v>3</v>
      </c>
      <c r="B108">
        <v>24</v>
      </c>
      <c r="C108" t="s">
        <v>2</v>
      </c>
      <c r="D108" t="s">
        <v>23</v>
      </c>
      <c r="E108">
        <v>22562.648351648349</v>
      </c>
      <c r="F108">
        <v>105156.43589743593</v>
      </c>
      <c r="G108">
        <v>4843509643.6933346</v>
      </c>
      <c r="H108">
        <v>148209417.23423547</v>
      </c>
      <c r="I108">
        <v>380622.73489269533</v>
      </c>
      <c r="J108">
        <v>7737028.9450549446</v>
      </c>
    </row>
    <row r="109" spans="1:10" x14ac:dyDescent="0.25">
      <c r="A109">
        <v>3</v>
      </c>
      <c r="B109">
        <v>25</v>
      </c>
      <c r="C109" t="s">
        <v>2</v>
      </c>
      <c r="D109" t="s">
        <v>24</v>
      </c>
      <c r="E109">
        <v>20167.26373626374</v>
      </c>
      <c r="F109">
        <v>98104.102564102534</v>
      </c>
      <c r="G109">
        <v>3797339042.9333315</v>
      </c>
      <c r="H109">
        <v>89497804.134235471</v>
      </c>
      <c r="I109">
        <v>482877.51436936238</v>
      </c>
      <c r="J109">
        <v>9411942.6285714284</v>
      </c>
    </row>
    <row r="110" spans="1:10" x14ac:dyDescent="0.25">
      <c r="A110">
        <v>3</v>
      </c>
      <c r="B110">
        <v>26</v>
      </c>
      <c r="C110" t="s">
        <v>2</v>
      </c>
      <c r="D110" t="s">
        <v>25</v>
      </c>
      <c r="E110">
        <v>19246.340659340658</v>
      </c>
      <c r="F110">
        <v>84177.769230769234</v>
      </c>
      <c r="G110">
        <v>4385648308.4799995</v>
      </c>
      <c r="H110">
        <v>137865405.64292625</v>
      </c>
      <c r="I110">
        <v>243147.28854665524</v>
      </c>
      <c r="J110">
        <v>15470762.828571429</v>
      </c>
    </row>
    <row r="111" spans="1:10" x14ac:dyDescent="0.25">
      <c r="A111">
        <v>3</v>
      </c>
      <c r="B111">
        <v>27</v>
      </c>
      <c r="C111" t="s">
        <v>2</v>
      </c>
      <c r="D111" t="s">
        <v>26</v>
      </c>
      <c r="E111">
        <v>74461.571428571435</v>
      </c>
      <c r="F111">
        <v>454110.86923076923</v>
      </c>
      <c r="G111">
        <v>6439473770.039999</v>
      </c>
      <c r="H111">
        <v>710856626.385867</v>
      </c>
      <c r="I111">
        <v>303242.46969482314</v>
      </c>
      <c r="J111">
        <v>4182848.3428571429</v>
      </c>
    </row>
    <row r="112" spans="1:10" x14ac:dyDescent="0.25">
      <c r="A112">
        <v>3</v>
      </c>
      <c r="B112">
        <v>28</v>
      </c>
      <c r="C112" t="s">
        <v>2</v>
      </c>
      <c r="D112" t="s">
        <v>27</v>
      </c>
      <c r="E112">
        <v>51525.87142857143</v>
      </c>
      <c r="F112">
        <v>154110.16923076921</v>
      </c>
      <c r="G112" t="s">
        <v>122</v>
      </c>
      <c r="H112" t="s">
        <v>122</v>
      </c>
      <c r="I112">
        <v>101719.39680415479</v>
      </c>
      <c r="J112">
        <v>2932306.2857142859</v>
      </c>
    </row>
    <row r="113" spans="1:10" x14ac:dyDescent="0.25">
      <c r="A113">
        <v>3</v>
      </c>
      <c r="B113">
        <v>29</v>
      </c>
      <c r="C113" t="s">
        <v>2</v>
      </c>
      <c r="D113" t="s">
        <v>28</v>
      </c>
      <c r="E113">
        <v>47573.071428571428</v>
      </c>
      <c r="F113">
        <v>398889.16923076927</v>
      </c>
      <c r="G113">
        <v>10034886741.472002</v>
      </c>
      <c r="H113">
        <v>468036242.48755938</v>
      </c>
      <c r="I113">
        <v>101718.08902637701</v>
      </c>
      <c r="J113">
        <v>2016891.0681318683</v>
      </c>
    </row>
    <row r="114" spans="1:10" x14ac:dyDescent="0.25">
      <c r="A114">
        <v>3</v>
      </c>
      <c r="B114">
        <v>30</v>
      </c>
      <c r="C114" t="s">
        <v>2</v>
      </c>
      <c r="D114" t="s">
        <v>29</v>
      </c>
      <c r="E114">
        <v>22732.87142857143</v>
      </c>
      <c r="F114">
        <v>267038.86923076923</v>
      </c>
      <c r="G114">
        <v>7222813927.1799984</v>
      </c>
      <c r="H114">
        <v>120772505.44223547</v>
      </c>
      <c r="I114">
        <v>1892074.3504607235</v>
      </c>
      <c r="J114">
        <v>8262669.1648351597</v>
      </c>
    </row>
    <row r="115" spans="1:10" x14ac:dyDescent="0.25">
      <c r="A115">
        <v>3</v>
      </c>
      <c r="B115">
        <v>31</v>
      </c>
      <c r="C115" t="s">
        <v>2</v>
      </c>
      <c r="D115" t="s">
        <v>30</v>
      </c>
      <c r="E115">
        <v>17622.03296703297</v>
      </c>
      <c r="F115">
        <v>61790.461538461532</v>
      </c>
      <c r="G115">
        <v>1366243951.8399997</v>
      </c>
      <c r="H115">
        <v>90432382.706712753</v>
      </c>
      <c r="I115">
        <v>1892075.274905168</v>
      </c>
      <c r="J115">
        <v>32422507.428571459</v>
      </c>
    </row>
    <row r="116" spans="1:10" x14ac:dyDescent="0.25">
      <c r="A116">
        <v>3</v>
      </c>
      <c r="B116">
        <v>32</v>
      </c>
      <c r="C116" t="s">
        <v>2</v>
      </c>
      <c r="D116" t="s">
        <v>31</v>
      </c>
      <c r="E116">
        <v>15466.956043956045</v>
      </c>
      <c r="F116">
        <v>87337.269230769234</v>
      </c>
      <c r="G116">
        <v>1784324864.8200002</v>
      </c>
      <c r="H116">
        <v>68219165.703197882</v>
      </c>
      <c r="I116">
        <v>671323.12130759633</v>
      </c>
      <c r="J116">
        <v>3502733.1868131883</v>
      </c>
    </row>
    <row r="117" spans="1:10" x14ac:dyDescent="0.25">
      <c r="A117">
        <v>3</v>
      </c>
      <c r="B117">
        <v>33</v>
      </c>
      <c r="C117" t="s">
        <v>2</v>
      </c>
      <c r="D117" t="s">
        <v>32</v>
      </c>
      <c r="E117">
        <v>79144.340659340625</v>
      </c>
      <c r="F117">
        <v>137047.49230769233</v>
      </c>
      <c r="G117">
        <v>2137727085.9119999</v>
      </c>
      <c r="H117">
        <v>147122786.06719789</v>
      </c>
      <c r="I117">
        <v>177900.9893362335</v>
      </c>
      <c r="J117">
        <v>12796512.593406592</v>
      </c>
    </row>
    <row r="118" spans="1:10" x14ac:dyDescent="0.25">
      <c r="A118">
        <v>3</v>
      </c>
      <c r="B118">
        <v>34</v>
      </c>
      <c r="C118" t="s">
        <v>2</v>
      </c>
      <c r="D118" t="s">
        <v>33</v>
      </c>
      <c r="E118">
        <v>311754.8791208794</v>
      </c>
      <c r="F118">
        <v>304609.15811965824</v>
      </c>
      <c r="G118">
        <v>3583568348.5155563</v>
      </c>
      <c r="H118">
        <v>857032491.59471262</v>
      </c>
      <c r="I118">
        <v>133237.00513236489</v>
      </c>
      <c r="J118">
        <v>21127930.470329709</v>
      </c>
    </row>
    <row r="119" spans="1:10" x14ac:dyDescent="0.25">
      <c r="A119">
        <v>3</v>
      </c>
      <c r="B119">
        <v>35</v>
      </c>
      <c r="C119" t="s">
        <v>2</v>
      </c>
      <c r="D119" t="s">
        <v>34</v>
      </c>
      <c r="E119">
        <v>38073.186813186832</v>
      </c>
      <c r="F119">
        <v>53019.307692307731</v>
      </c>
      <c r="G119">
        <v>657159473.44000053</v>
      </c>
      <c r="H119">
        <v>227297882.66671276</v>
      </c>
      <c r="I119">
        <v>177900.71155845572</v>
      </c>
      <c r="J119">
        <v>10800553.142857142</v>
      </c>
    </row>
    <row r="120" spans="1:10" x14ac:dyDescent="0.25">
      <c r="A120">
        <v>3</v>
      </c>
      <c r="B120">
        <v>36</v>
      </c>
      <c r="C120" t="s">
        <v>2</v>
      </c>
      <c r="D120" t="s">
        <v>35</v>
      </c>
      <c r="E120">
        <v>18697.41758241758</v>
      </c>
      <c r="F120">
        <v>128865.69230769234</v>
      </c>
      <c r="G120">
        <v>1360373258.1600003</v>
      </c>
      <c r="H120">
        <v>0</v>
      </c>
      <c r="I120">
        <v>128619.19901464572</v>
      </c>
      <c r="J120">
        <v>14509440.870329676</v>
      </c>
    </row>
    <row r="121" spans="1:10" x14ac:dyDescent="0.25">
      <c r="A121">
        <v>3</v>
      </c>
      <c r="B121">
        <v>37</v>
      </c>
      <c r="C121" t="s">
        <v>2</v>
      </c>
      <c r="D121" t="s">
        <v>36</v>
      </c>
      <c r="E121">
        <v>25116.417582417627</v>
      </c>
      <c r="F121">
        <v>123681.19597069593</v>
      </c>
      <c r="G121">
        <v>11075230583.10952</v>
      </c>
      <c r="H121">
        <v>135816461.96655169</v>
      </c>
      <c r="I121">
        <v>133236.40513236489</v>
      </c>
      <c r="J121">
        <v>19810475.208791211</v>
      </c>
    </row>
    <row r="122" spans="1:10" x14ac:dyDescent="0.25">
      <c r="A122">
        <v>3</v>
      </c>
      <c r="B122">
        <v>38</v>
      </c>
      <c r="C122" t="s">
        <v>2</v>
      </c>
      <c r="D122" t="s">
        <v>37</v>
      </c>
      <c r="E122">
        <v>15084.571428571429</v>
      </c>
      <c r="F122">
        <v>44658.153846153851</v>
      </c>
      <c r="G122">
        <v>5143563604.3200006</v>
      </c>
      <c r="H122">
        <v>65819639.853282109</v>
      </c>
      <c r="I122">
        <v>64.050452561936936</v>
      </c>
      <c r="J122">
        <v>20.05</v>
      </c>
    </row>
    <row r="123" spans="1:10" x14ac:dyDescent="0.25">
      <c r="A123">
        <v>3</v>
      </c>
      <c r="B123">
        <v>39</v>
      </c>
      <c r="C123" t="s">
        <v>2</v>
      </c>
      <c r="D123" t="s">
        <v>38</v>
      </c>
      <c r="E123">
        <v>18154.956043956048</v>
      </c>
      <c r="F123">
        <v>128828.61172161173</v>
      </c>
      <c r="G123">
        <v>12138345165.588572</v>
      </c>
      <c r="H123">
        <v>83158124.286551684</v>
      </c>
      <c r="I123">
        <v>751590.74846721161</v>
      </c>
      <c r="J123">
        <v>23025100.171428565</v>
      </c>
    </row>
    <row r="124" spans="1:10" x14ac:dyDescent="0.25">
      <c r="A124">
        <v>3</v>
      </c>
      <c r="B124">
        <v>40</v>
      </c>
      <c r="C124" t="s">
        <v>2</v>
      </c>
      <c r="D124" t="s">
        <v>39</v>
      </c>
      <c r="E124">
        <v>24701.340659340662</v>
      </c>
      <c r="F124">
        <v>110147.91208791213</v>
      </c>
      <c r="G124">
        <v>11593076559.08572</v>
      </c>
      <c r="H124">
        <v>68702282.151169956</v>
      </c>
      <c r="I124">
        <v>751591.12624498946</v>
      </c>
      <c r="J124">
        <v>8188095.5714285644</v>
      </c>
    </row>
    <row r="125" spans="1:10" x14ac:dyDescent="0.25">
      <c r="A125">
        <v>3</v>
      </c>
      <c r="B125">
        <v>41</v>
      </c>
      <c r="C125" t="s">
        <v>2</v>
      </c>
      <c r="D125" t="s">
        <v>40</v>
      </c>
      <c r="E125">
        <v>37060.263736263732</v>
      </c>
      <c r="F125">
        <v>58326.261904761937</v>
      </c>
      <c r="G125">
        <v>6086767711.8980989</v>
      </c>
      <c r="H125">
        <v>222785856.81328213</v>
      </c>
      <c r="I125">
        <v>303241.21413926757</v>
      </c>
      <c r="J125">
        <v>11160469.571428563</v>
      </c>
    </row>
    <row r="126" spans="1:10" x14ac:dyDescent="0.25">
      <c r="A126">
        <v>4</v>
      </c>
      <c r="B126">
        <v>1</v>
      </c>
      <c r="C126" t="s">
        <v>3</v>
      </c>
      <c r="D126" t="s">
        <v>0</v>
      </c>
      <c r="E126">
        <v>122097.21428571426</v>
      </c>
      <c r="F126">
        <v>79704.000000000044</v>
      </c>
      <c r="G126">
        <v>1846049849.2800012</v>
      </c>
      <c r="H126">
        <v>267021151.05167991</v>
      </c>
      <c r="I126">
        <v>0</v>
      </c>
      <c r="J126">
        <v>0</v>
      </c>
    </row>
    <row r="127" spans="1:10" x14ac:dyDescent="0.25">
      <c r="A127">
        <v>4</v>
      </c>
      <c r="B127">
        <v>2</v>
      </c>
      <c r="C127" t="s">
        <v>3</v>
      </c>
      <c r="D127" t="s">
        <v>1</v>
      </c>
      <c r="E127">
        <v>50836.214285714261</v>
      </c>
      <c r="F127">
        <v>70092.384615384653</v>
      </c>
      <c r="G127">
        <v>1836944767.960001</v>
      </c>
      <c r="H127">
        <v>143489682.49025133</v>
      </c>
      <c r="I127">
        <v>608253.1228396548</v>
      </c>
      <c r="J127">
        <v>5480639.5714285746</v>
      </c>
    </row>
    <row r="128" spans="1:10" x14ac:dyDescent="0.25">
      <c r="A128">
        <v>4</v>
      </c>
      <c r="B128">
        <v>3</v>
      </c>
      <c r="C128" t="s">
        <v>3</v>
      </c>
      <c r="D128" t="s">
        <v>2</v>
      </c>
      <c r="E128">
        <v>46100.857142857159</v>
      </c>
      <c r="F128">
        <v>73126.615384615347</v>
      </c>
      <c r="G128">
        <v>2120016631.6799989</v>
      </c>
      <c r="H128">
        <v>185986421.93166041</v>
      </c>
      <c r="I128">
        <v>608255.66728409915</v>
      </c>
      <c r="J128">
        <v>5823782.2857142845</v>
      </c>
    </row>
    <row r="129" spans="1:10" x14ac:dyDescent="0.25">
      <c r="A129">
        <v>4</v>
      </c>
      <c r="B129">
        <v>4</v>
      </c>
      <c r="C129" t="s">
        <v>3</v>
      </c>
      <c r="D129" t="s">
        <v>3</v>
      </c>
      <c r="E129">
        <v>0</v>
      </c>
      <c r="F129">
        <v>0</v>
      </c>
      <c r="G129">
        <v>0</v>
      </c>
      <c r="H129">
        <v>0</v>
      </c>
      <c r="I129">
        <v>608253.5617285436</v>
      </c>
      <c r="J129">
        <v>1949856.7714285711</v>
      </c>
    </row>
    <row r="130" spans="1:10" x14ac:dyDescent="0.25">
      <c r="A130">
        <v>4</v>
      </c>
      <c r="B130">
        <v>5</v>
      </c>
      <c r="C130" t="s">
        <v>3</v>
      </c>
      <c r="D130" t="s">
        <v>4</v>
      </c>
      <c r="E130">
        <v>94493.785714285754</v>
      </c>
      <c r="F130">
        <v>94033.615384615347</v>
      </c>
      <c r="G130">
        <v>632146621.4399997</v>
      </c>
      <c r="H130">
        <v>932136939.63337195</v>
      </c>
      <c r="I130">
        <v>0</v>
      </c>
      <c r="J130">
        <v>719252.79999999958</v>
      </c>
    </row>
    <row r="131" spans="1:10" x14ac:dyDescent="0.25">
      <c r="A131">
        <v>4</v>
      </c>
      <c r="B131">
        <v>6</v>
      </c>
      <c r="C131" t="s">
        <v>3</v>
      </c>
      <c r="D131" t="s">
        <v>5</v>
      </c>
      <c r="E131">
        <v>42821.928571428558</v>
      </c>
      <c r="F131">
        <v>159822.92673992686</v>
      </c>
      <c r="G131">
        <v>2954652839.5580969</v>
      </c>
      <c r="H131">
        <v>150467278.48622906</v>
      </c>
      <c r="I131">
        <v>751593.20957832271</v>
      </c>
      <c r="J131">
        <v>3202747.3246753244</v>
      </c>
    </row>
    <row r="132" spans="1:10" x14ac:dyDescent="0.25">
      <c r="A132">
        <v>4</v>
      </c>
      <c r="B132">
        <v>7</v>
      </c>
      <c r="C132" t="s">
        <v>3</v>
      </c>
      <c r="D132" t="s">
        <v>6</v>
      </c>
      <c r="E132">
        <v>34571.928571428565</v>
      </c>
      <c r="F132">
        <v>93369.230769230751</v>
      </c>
      <c r="G132">
        <v>686525279.99999988</v>
      </c>
      <c r="H132">
        <v>128586133.48622906</v>
      </c>
      <c r="I132">
        <v>608254.11061743251</v>
      </c>
      <c r="J132">
        <v>4481646.3714285726</v>
      </c>
    </row>
    <row r="133" spans="1:10" x14ac:dyDescent="0.25">
      <c r="A133">
        <v>4</v>
      </c>
      <c r="B133">
        <v>8</v>
      </c>
      <c r="C133" t="s">
        <v>3</v>
      </c>
      <c r="D133" t="s">
        <v>7</v>
      </c>
      <c r="E133">
        <v>64218.999999999956</v>
      </c>
      <c r="F133">
        <v>150966.99999999985</v>
      </c>
      <c r="G133">
        <v>110210137.07599989</v>
      </c>
      <c r="H133">
        <v>274586903.70057142</v>
      </c>
      <c r="I133">
        <v>334496.41387249361</v>
      </c>
      <c r="J133">
        <v>45940841.2131868</v>
      </c>
    </row>
    <row r="134" spans="1:10" x14ac:dyDescent="0.25">
      <c r="A134">
        <v>4</v>
      </c>
      <c r="B134">
        <v>9</v>
      </c>
      <c r="C134" t="s">
        <v>3</v>
      </c>
      <c r="D134" t="s">
        <v>8</v>
      </c>
      <c r="E134">
        <v>30214.597402597403</v>
      </c>
      <c r="F134">
        <v>601299.77564102586</v>
      </c>
      <c r="G134">
        <v>7452942355.1333361</v>
      </c>
      <c r="H134">
        <v>122149190.98869289</v>
      </c>
      <c r="I134">
        <v>338752.23890231573</v>
      </c>
      <c r="J134">
        <v>39720641.828571431</v>
      </c>
    </row>
    <row r="135" spans="1:10" x14ac:dyDescent="0.25">
      <c r="A135">
        <v>4</v>
      </c>
      <c r="B135">
        <v>10</v>
      </c>
      <c r="C135" t="s">
        <v>3</v>
      </c>
      <c r="D135" t="s">
        <v>9</v>
      </c>
      <c r="E135">
        <v>50697.357142857159</v>
      </c>
      <c r="F135">
        <v>125676.07692307695</v>
      </c>
      <c r="G135">
        <v>1366305064.9200003</v>
      </c>
      <c r="H135">
        <v>225769715.45480049</v>
      </c>
      <c r="I135">
        <v>216450.84972684633</v>
      </c>
      <c r="J135">
        <v>25486686.874725278</v>
      </c>
    </row>
    <row r="136" spans="1:10" x14ac:dyDescent="0.25">
      <c r="A136">
        <v>4</v>
      </c>
      <c r="B136">
        <v>11</v>
      </c>
      <c r="C136" t="s">
        <v>3</v>
      </c>
      <c r="D136" t="s">
        <v>10</v>
      </c>
      <c r="E136">
        <v>50864.527472527458</v>
      </c>
      <c r="F136">
        <v>128440.15384615384</v>
      </c>
      <c r="G136">
        <v>15535293854.639999</v>
      </c>
      <c r="H136">
        <v>255770028.31865242</v>
      </c>
      <c r="I136">
        <v>216450.35194906854</v>
      </c>
      <c r="J136">
        <v>37796788.395604379</v>
      </c>
    </row>
    <row r="137" spans="1:10" x14ac:dyDescent="0.25">
      <c r="A137">
        <v>4</v>
      </c>
      <c r="B137">
        <v>12</v>
      </c>
      <c r="C137" t="s">
        <v>3</v>
      </c>
      <c r="D137" t="s">
        <v>11</v>
      </c>
      <c r="E137">
        <v>47833.142857142855</v>
      </c>
      <c r="F137">
        <v>73166.230769230751</v>
      </c>
      <c r="G137">
        <v>7600841690.3199978</v>
      </c>
      <c r="H137">
        <v>388787039.7045387</v>
      </c>
      <c r="I137">
        <v>380080.50233527785</v>
      </c>
      <c r="J137">
        <v>54011401.00219778</v>
      </c>
    </row>
    <row r="138" spans="1:10" x14ac:dyDescent="0.25">
      <c r="A138">
        <v>4</v>
      </c>
      <c r="B138">
        <v>13</v>
      </c>
      <c r="C138" t="s">
        <v>3</v>
      </c>
      <c r="D138" t="s">
        <v>12</v>
      </c>
      <c r="E138">
        <v>32911.527472527479</v>
      </c>
      <c r="F138">
        <v>54854.692307692349</v>
      </c>
      <c r="G138">
        <v>5286577087.4000034</v>
      </c>
      <c r="H138">
        <v>137887702.19168621</v>
      </c>
      <c r="I138">
        <v>431573.27982582623</v>
      </c>
      <c r="J138">
        <v>55231379.868131906</v>
      </c>
    </row>
    <row r="139" spans="1:10" x14ac:dyDescent="0.25">
      <c r="A139">
        <v>4</v>
      </c>
      <c r="B139">
        <v>14</v>
      </c>
      <c r="C139" t="s">
        <v>3</v>
      </c>
      <c r="D139" t="s">
        <v>13</v>
      </c>
      <c r="E139">
        <v>53536.527472527458</v>
      </c>
      <c r="F139">
        <v>201318.92307692283</v>
      </c>
      <c r="G139">
        <v>17932265648.63998</v>
      </c>
      <c r="H139">
        <v>224845337.67968619</v>
      </c>
      <c r="I139">
        <v>666291.33584850037</v>
      </c>
      <c r="J139">
        <v>94087450.549450576</v>
      </c>
    </row>
    <row r="140" spans="1:10" x14ac:dyDescent="0.25">
      <c r="A140">
        <v>4</v>
      </c>
      <c r="B140">
        <v>15</v>
      </c>
      <c r="C140" t="s">
        <v>3</v>
      </c>
      <c r="D140" t="s">
        <v>14</v>
      </c>
      <c r="E140">
        <v>77335.91208791206</v>
      </c>
      <c r="F140">
        <v>323494.6153846159</v>
      </c>
      <c r="G140">
        <v>29783359911.600048</v>
      </c>
      <c r="H140">
        <v>331352775.20625347</v>
      </c>
      <c r="I140">
        <v>431573.74538138177</v>
      </c>
      <c r="J140">
        <v>47484981.758241728</v>
      </c>
    </row>
    <row r="141" spans="1:10" x14ac:dyDescent="0.25">
      <c r="A141">
        <v>4</v>
      </c>
      <c r="B141">
        <v>16</v>
      </c>
      <c r="C141" t="s">
        <v>3</v>
      </c>
      <c r="D141" t="s">
        <v>15</v>
      </c>
      <c r="E141">
        <v>67028.373626373665</v>
      </c>
      <c r="F141">
        <v>561707.84615384589</v>
      </c>
      <c r="G141">
        <v>59975321730.639969</v>
      </c>
      <c r="H141">
        <v>210676749.43866956</v>
      </c>
      <c r="I141">
        <v>203231.06701274664</v>
      </c>
      <c r="J141">
        <v>13165558.087912092</v>
      </c>
    </row>
    <row r="142" spans="1:10" x14ac:dyDescent="0.25">
      <c r="A142">
        <v>4</v>
      </c>
      <c r="B142">
        <v>17</v>
      </c>
      <c r="C142" t="s">
        <v>3</v>
      </c>
      <c r="D142" t="s">
        <v>16</v>
      </c>
      <c r="E142">
        <v>94087.450549450557</v>
      </c>
      <c r="F142">
        <v>206591.69230769185</v>
      </c>
      <c r="G142">
        <v>26941035873.439938</v>
      </c>
      <c r="H142">
        <v>548734792.46738946</v>
      </c>
      <c r="I142">
        <v>566970.77795634489</v>
      </c>
      <c r="J142">
        <v>31742891.393406592</v>
      </c>
    </row>
    <row r="143" spans="1:10" x14ac:dyDescent="0.25">
      <c r="A143">
        <v>4</v>
      </c>
      <c r="B143">
        <v>18</v>
      </c>
      <c r="C143" t="s">
        <v>3</v>
      </c>
      <c r="D143" t="s">
        <v>17</v>
      </c>
      <c r="E143">
        <v>53353.91208791206</v>
      </c>
      <c r="F143">
        <v>83762.538461538454</v>
      </c>
      <c r="G143">
        <v>9981804131.8799973</v>
      </c>
      <c r="H143">
        <v>403966741.73866957</v>
      </c>
      <c r="I143">
        <v>440020.46766686928</v>
      </c>
      <c r="J143">
        <v>18523857.512087911</v>
      </c>
    </row>
    <row r="144" spans="1:10" x14ac:dyDescent="0.25">
      <c r="A144">
        <v>4</v>
      </c>
      <c r="B144">
        <v>19</v>
      </c>
      <c r="C144" t="s">
        <v>3</v>
      </c>
      <c r="D144" t="s">
        <v>18</v>
      </c>
      <c r="E144">
        <v>30905.06593406594</v>
      </c>
      <c r="F144">
        <v>122481.53846153844</v>
      </c>
      <c r="G144">
        <v>6368403095.9999981</v>
      </c>
      <c r="H144">
        <v>118906419.60119826</v>
      </c>
      <c r="I144">
        <v>4663603.4649617476</v>
      </c>
      <c r="J144">
        <v>22824960.254945029</v>
      </c>
    </row>
    <row r="145" spans="1:10" x14ac:dyDescent="0.25">
      <c r="A145">
        <v>4</v>
      </c>
      <c r="B145">
        <v>20</v>
      </c>
      <c r="C145" t="s">
        <v>3</v>
      </c>
      <c r="D145" t="s">
        <v>19</v>
      </c>
      <c r="E145">
        <v>88076.835164835153</v>
      </c>
      <c r="F145">
        <v>94296.820512820545</v>
      </c>
      <c r="G145">
        <v>4135311626.1333351</v>
      </c>
      <c r="H145">
        <v>351016493.94587946</v>
      </c>
      <c r="I145">
        <v>237021.03072637529</v>
      </c>
      <c r="J145">
        <v>16088182.417582419</v>
      </c>
    </row>
    <row r="146" spans="1:10" x14ac:dyDescent="0.25">
      <c r="A146">
        <v>4</v>
      </c>
      <c r="B146">
        <v>21</v>
      </c>
      <c r="C146" t="s">
        <v>3</v>
      </c>
      <c r="D146" t="s">
        <v>20</v>
      </c>
      <c r="E146">
        <v>66921.450549450557</v>
      </c>
      <c r="F146">
        <v>138448.48717948684</v>
      </c>
      <c r="G146">
        <v>4370060042.5466557</v>
      </c>
      <c r="H146">
        <v>122065096.32160801</v>
      </c>
      <c r="I146">
        <v>237020.31961526416</v>
      </c>
      <c r="J146">
        <v>21517763.920879122</v>
      </c>
    </row>
    <row r="147" spans="1:10" x14ac:dyDescent="0.25">
      <c r="A147">
        <v>4</v>
      </c>
      <c r="B147">
        <v>22</v>
      </c>
      <c r="C147" t="s">
        <v>3</v>
      </c>
      <c r="D147" t="s">
        <v>21</v>
      </c>
      <c r="E147">
        <v>51361.296703296655</v>
      </c>
      <c r="F147">
        <v>157575.48717948684</v>
      </c>
      <c r="G147">
        <v>8565519847.1999817</v>
      </c>
      <c r="H147">
        <v>339553851.68852723</v>
      </c>
      <c r="I147">
        <v>237018.98072637527</v>
      </c>
      <c r="J147">
        <v>18350163.498901099</v>
      </c>
    </row>
    <row r="148" spans="1:10" x14ac:dyDescent="0.25">
      <c r="A148">
        <v>4</v>
      </c>
      <c r="B148">
        <v>23</v>
      </c>
      <c r="C148" t="s">
        <v>3</v>
      </c>
      <c r="D148" t="s">
        <v>22</v>
      </c>
      <c r="E148">
        <v>36039.835164835167</v>
      </c>
      <c r="F148">
        <v>141311.82051282085</v>
      </c>
      <c r="G148">
        <v>7636926020.9200182</v>
      </c>
      <c r="H148">
        <v>207018675.40244392</v>
      </c>
      <c r="I148">
        <v>380083.20122416678</v>
      </c>
      <c r="J148">
        <v>19802927.024175826</v>
      </c>
    </row>
    <row r="149" spans="1:10" x14ac:dyDescent="0.25">
      <c r="A149">
        <v>4</v>
      </c>
      <c r="B149">
        <v>24</v>
      </c>
      <c r="C149" t="s">
        <v>3</v>
      </c>
      <c r="D149" t="s">
        <v>23</v>
      </c>
      <c r="E149">
        <v>37202.219780219777</v>
      </c>
      <c r="F149">
        <v>98783.820512820545</v>
      </c>
      <c r="G149">
        <v>7190742987.1200027</v>
      </c>
      <c r="H149">
        <v>198671086.00244391</v>
      </c>
      <c r="I149">
        <v>566972.22462301154</v>
      </c>
      <c r="J149">
        <v>30757714.514285717</v>
      </c>
    </row>
    <row r="150" spans="1:10" x14ac:dyDescent="0.25">
      <c r="A150">
        <v>4</v>
      </c>
      <c r="B150">
        <v>25</v>
      </c>
      <c r="C150" t="s">
        <v>3</v>
      </c>
      <c r="D150" t="s">
        <v>24</v>
      </c>
      <c r="E150">
        <v>34806.835164835167</v>
      </c>
      <c r="F150">
        <v>91731.487179487143</v>
      </c>
      <c r="G150">
        <v>6002901182.5066633</v>
      </c>
      <c r="H150">
        <v>139959472.90244392</v>
      </c>
      <c r="I150">
        <v>237019.50850415305</v>
      </c>
      <c r="J150">
        <v>33918332.885714285</v>
      </c>
    </row>
    <row r="151" spans="1:10" x14ac:dyDescent="0.25">
      <c r="A151">
        <v>4</v>
      </c>
      <c r="B151">
        <v>26</v>
      </c>
      <c r="C151" t="s">
        <v>3</v>
      </c>
      <c r="D151" t="s">
        <v>25</v>
      </c>
      <c r="E151">
        <v>33885.912087912089</v>
      </c>
      <c r="F151">
        <v>77805.153846153844</v>
      </c>
      <c r="G151">
        <v>5802583885.5999985</v>
      </c>
      <c r="H151">
        <v>187965231.35425347</v>
      </c>
      <c r="I151">
        <v>0</v>
      </c>
      <c r="J151">
        <v>3034642.36</v>
      </c>
    </row>
    <row r="152" spans="1:10" x14ac:dyDescent="0.25">
      <c r="A152">
        <v>4</v>
      </c>
      <c r="B152">
        <v>27</v>
      </c>
      <c r="C152" t="s">
        <v>3</v>
      </c>
      <c r="D152" t="s">
        <v>26</v>
      </c>
      <c r="E152">
        <v>89101.142857142855</v>
      </c>
      <c r="F152">
        <v>447738.25384615385</v>
      </c>
      <c r="G152">
        <v>18318350998.668003</v>
      </c>
      <c r="H152">
        <v>761174177.10587943</v>
      </c>
      <c r="I152">
        <v>193812.95149694686</v>
      </c>
      <c r="J152">
        <v>3510062.558241759</v>
      </c>
    </row>
    <row r="153" spans="1:10" x14ac:dyDescent="0.25">
      <c r="A153">
        <v>4</v>
      </c>
      <c r="B153">
        <v>28</v>
      </c>
      <c r="C153" t="s">
        <v>3</v>
      </c>
      <c r="D153" t="s">
        <v>27</v>
      </c>
      <c r="E153">
        <v>66165.442857142858</v>
      </c>
      <c r="F153">
        <v>147737.55384615384</v>
      </c>
      <c r="G153" t="s">
        <v>122</v>
      </c>
      <c r="H153" t="s">
        <v>122</v>
      </c>
      <c r="I153">
        <v>193811.64371916908</v>
      </c>
      <c r="J153">
        <v>4913385.2835164834</v>
      </c>
    </row>
    <row r="154" spans="1:10" x14ac:dyDescent="0.25">
      <c r="A154">
        <v>4</v>
      </c>
      <c r="B154">
        <v>29</v>
      </c>
      <c r="C154" t="s">
        <v>3</v>
      </c>
      <c r="D154" t="s">
        <v>28</v>
      </c>
      <c r="E154">
        <v>62212.642857142855</v>
      </c>
      <c r="F154">
        <v>392516.5538461539</v>
      </c>
      <c r="G154">
        <v>20388204744.512001</v>
      </c>
      <c r="H154">
        <v>519508581.68852723</v>
      </c>
      <c r="I154">
        <v>1950889.1464550518</v>
      </c>
      <c r="J154">
        <v>15755697.230769226</v>
      </c>
    </row>
    <row r="155" spans="1:10" x14ac:dyDescent="0.25">
      <c r="A155">
        <v>4</v>
      </c>
      <c r="B155">
        <v>30</v>
      </c>
      <c r="C155" t="s">
        <v>3</v>
      </c>
      <c r="D155" t="s">
        <v>29</v>
      </c>
      <c r="E155">
        <v>37372.442857142858</v>
      </c>
      <c r="F155">
        <v>260666.25384615385</v>
      </c>
      <c r="G155">
        <v>10719420063.515999</v>
      </c>
      <c r="H155">
        <v>171234174.21044391</v>
      </c>
      <c r="I155">
        <v>1950890.0708994963</v>
      </c>
      <c r="J155">
        <v>48567494.24175828</v>
      </c>
    </row>
    <row r="156" spans="1:10" x14ac:dyDescent="0.25">
      <c r="A156">
        <v>4</v>
      </c>
      <c r="B156">
        <v>31</v>
      </c>
      <c r="C156" t="s">
        <v>3</v>
      </c>
      <c r="D156" t="s">
        <v>30</v>
      </c>
      <c r="E156">
        <v>32261.604395604398</v>
      </c>
      <c r="F156">
        <v>55417.846153846149</v>
      </c>
      <c r="G156">
        <v>535540331.51999992</v>
      </c>
      <c r="H156">
        <v>140630323.11302742</v>
      </c>
      <c r="I156">
        <v>751591.36846721161</v>
      </c>
      <c r="J156">
        <v>8918998.6945054978</v>
      </c>
    </row>
    <row r="157" spans="1:10" x14ac:dyDescent="0.25">
      <c r="A157">
        <v>4</v>
      </c>
      <c r="B157">
        <v>32</v>
      </c>
      <c r="C157" t="s">
        <v>3</v>
      </c>
      <c r="D157" t="s">
        <v>31</v>
      </c>
      <c r="E157">
        <v>30106.527472527472</v>
      </c>
      <c r="F157">
        <v>80964.653846153844</v>
      </c>
      <c r="G157">
        <v>1046056850.5199999</v>
      </c>
      <c r="H157">
        <v>118430096.72168599</v>
      </c>
      <c r="I157">
        <v>237703.25631669498</v>
      </c>
      <c r="J157">
        <v>30963395.393406592</v>
      </c>
    </row>
    <row r="158" spans="1:10" x14ac:dyDescent="0.25">
      <c r="A158">
        <v>4</v>
      </c>
      <c r="B158">
        <v>33</v>
      </c>
      <c r="C158" t="s">
        <v>3</v>
      </c>
      <c r="D158" t="s">
        <v>32</v>
      </c>
      <c r="E158">
        <v>93783.91208791206</v>
      </c>
      <c r="F158">
        <v>130674.87692307694</v>
      </c>
      <c r="G158">
        <v>2566778656.4640002</v>
      </c>
      <c r="H158">
        <v>197333717.085686</v>
      </c>
      <c r="I158">
        <v>210552.41709999164</v>
      </c>
      <c r="J158">
        <v>41346228.571428619</v>
      </c>
    </row>
    <row r="159" spans="1:10" x14ac:dyDescent="0.25">
      <c r="A159">
        <v>4</v>
      </c>
      <c r="B159">
        <v>34</v>
      </c>
      <c r="C159" t="s">
        <v>3</v>
      </c>
      <c r="D159" t="s">
        <v>33</v>
      </c>
      <c r="E159">
        <v>326394.45054945082</v>
      </c>
      <c r="F159">
        <v>298236.54273504287</v>
      </c>
      <c r="G159">
        <v>6046065924.6355581</v>
      </c>
      <c r="H159">
        <v>907230432.00102735</v>
      </c>
      <c r="I159">
        <v>237702.9785389172</v>
      </c>
      <c r="J159">
        <v>27025190.68571429</v>
      </c>
    </row>
    <row r="160" spans="1:10" x14ac:dyDescent="0.25">
      <c r="A160">
        <v>4</v>
      </c>
      <c r="B160">
        <v>35</v>
      </c>
      <c r="C160" t="s">
        <v>3</v>
      </c>
      <c r="D160" t="s">
        <v>34</v>
      </c>
      <c r="E160">
        <v>52712.75824175826</v>
      </c>
      <c r="F160">
        <v>46646.692307692349</v>
      </c>
      <c r="G160">
        <v>845210076.60000062</v>
      </c>
      <c r="H160">
        <v>277495823.07302743</v>
      </c>
      <c r="I160">
        <v>340128.08571900416</v>
      </c>
      <c r="J160">
        <v>32794527.472527482</v>
      </c>
    </row>
    <row r="161" spans="1:10" x14ac:dyDescent="0.25">
      <c r="A161">
        <v>4</v>
      </c>
      <c r="B161">
        <v>36</v>
      </c>
      <c r="C161" t="s">
        <v>3</v>
      </c>
      <c r="D161" t="s">
        <v>35</v>
      </c>
      <c r="E161">
        <v>33336.989010989011</v>
      </c>
      <c r="F161">
        <v>122493.07692307695</v>
      </c>
      <c r="G161">
        <v>2451101168.4000006</v>
      </c>
      <c r="H161">
        <v>132361119.95996562</v>
      </c>
      <c r="I161">
        <v>210551.81709999166</v>
      </c>
      <c r="J161">
        <v>39340912.08791209</v>
      </c>
    </row>
    <row r="162" spans="1:10" x14ac:dyDescent="0.25">
      <c r="A162">
        <v>4</v>
      </c>
      <c r="B162">
        <v>37</v>
      </c>
      <c r="C162" t="s">
        <v>3</v>
      </c>
      <c r="D162" t="s">
        <v>36</v>
      </c>
      <c r="E162">
        <v>39755.989010989055</v>
      </c>
      <c r="F162">
        <v>117308.58058608054</v>
      </c>
      <c r="G162">
        <v>13646718335.023804</v>
      </c>
      <c r="H162">
        <v>185885575.18341815</v>
      </c>
      <c r="I162">
        <v>78.219398842201571</v>
      </c>
      <c r="J162">
        <v>25</v>
      </c>
    </row>
    <row r="163" spans="1:10" x14ac:dyDescent="0.25">
      <c r="A163">
        <v>4</v>
      </c>
      <c r="B163">
        <v>38</v>
      </c>
      <c r="C163" t="s">
        <v>3</v>
      </c>
      <c r="D163" t="s">
        <v>37</v>
      </c>
      <c r="E163">
        <v>29724.142857142859</v>
      </c>
      <c r="F163">
        <v>38285.538461538468</v>
      </c>
      <c r="G163">
        <v>5435074765.4400015</v>
      </c>
      <c r="H163">
        <v>115968462.17503692</v>
      </c>
      <c r="I163">
        <v>968742.23182830215</v>
      </c>
      <c r="J163">
        <v>36119211.42857144</v>
      </c>
    </row>
    <row r="164" spans="1:10" x14ac:dyDescent="0.25">
      <c r="A164">
        <v>4</v>
      </c>
      <c r="B164">
        <v>39</v>
      </c>
      <c r="C164" t="s">
        <v>3</v>
      </c>
      <c r="D164" t="s">
        <v>38</v>
      </c>
      <c r="E164">
        <v>32794.527472527479</v>
      </c>
      <c r="F164">
        <v>122455.99633699634</v>
      </c>
      <c r="G164">
        <v>14817920089.234283</v>
      </c>
      <c r="H164">
        <v>133227237.50341816</v>
      </c>
      <c r="I164">
        <v>968746.04775024834</v>
      </c>
      <c r="J164">
        <v>18622683.114285722</v>
      </c>
    </row>
    <row r="165" spans="1:10" x14ac:dyDescent="0.25">
      <c r="A165">
        <v>4</v>
      </c>
      <c r="B165">
        <v>40</v>
      </c>
      <c r="C165" t="s">
        <v>3</v>
      </c>
      <c r="D165" t="s">
        <v>39</v>
      </c>
      <c r="E165">
        <v>39340.912087912089</v>
      </c>
      <c r="F165">
        <v>103775.29670329674</v>
      </c>
      <c r="G165">
        <v>13696550078.720005</v>
      </c>
      <c r="H165">
        <v>118440377.29239491</v>
      </c>
      <c r="I165">
        <v>525051.44530393369</v>
      </c>
      <c r="J165">
        <v>22774421.914285727</v>
      </c>
    </row>
    <row r="166" spans="1:10" x14ac:dyDescent="0.25">
      <c r="A166">
        <v>4</v>
      </c>
      <c r="B166">
        <v>41</v>
      </c>
      <c r="C166" t="s">
        <v>3</v>
      </c>
      <c r="D166" t="s">
        <v>40</v>
      </c>
      <c r="E166">
        <v>51699.83516483516</v>
      </c>
      <c r="F166">
        <v>51953.646520146547</v>
      </c>
      <c r="G166">
        <v>6810599366.0342894</v>
      </c>
      <c r="H166">
        <v>272934679.13503695</v>
      </c>
      <c r="I166">
        <v>608253.1228396548</v>
      </c>
      <c r="J166">
        <v>5480639.5714285746</v>
      </c>
    </row>
    <row r="167" spans="1:10" x14ac:dyDescent="0.25">
      <c r="A167">
        <v>5</v>
      </c>
      <c r="B167">
        <v>1</v>
      </c>
      <c r="C167" t="s">
        <v>4</v>
      </c>
      <c r="D167" t="s">
        <v>0</v>
      </c>
      <c r="E167">
        <v>139023.14285714284</v>
      </c>
      <c r="F167">
        <v>113793.92307692312</v>
      </c>
      <c r="G167">
        <v>3299004175.6800013</v>
      </c>
      <c r="H167">
        <v>183824287.37841323</v>
      </c>
      <c r="I167">
        <v>0</v>
      </c>
      <c r="J167">
        <v>0</v>
      </c>
    </row>
    <row r="168" spans="1:10" x14ac:dyDescent="0.25">
      <c r="A168">
        <v>5</v>
      </c>
      <c r="B168">
        <v>2</v>
      </c>
      <c r="C168" t="s">
        <v>4</v>
      </c>
      <c r="D168" t="s">
        <v>1</v>
      </c>
      <c r="E168">
        <v>67762.142857142826</v>
      </c>
      <c r="F168">
        <v>104182.30769230772</v>
      </c>
      <c r="G168">
        <v>3332237773.2000003</v>
      </c>
      <c r="H168">
        <v>839282495.03127038</v>
      </c>
      <c r="I168">
        <v>0</v>
      </c>
      <c r="J168">
        <v>5520701.9999999991</v>
      </c>
    </row>
    <row r="169" spans="1:10" x14ac:dyDescent="0.25">
      <c r="A169">
        <v>5</v>
      </c>
      <c r="B169">
        <v>3</v>
      </c>
      <c r="C169" t="s">
        <v>4</v>
      </c>
      <c r="D169" t="s">
        <v>2</v>
      </c>
      <c r="E169">
        <v>63026.785714285725</v>
      </c>
      <c r="F169">
        <v>107216.53846153842</v>
      </c>
      <c r="G169">
        <v>3727730341.1999989</v>
      </c>
      <c r="H169">
        <v>881892494.23107564</v>
      </c>
      <c r="I169">
        <v>0</v>
      </c>
      <c r="J169">
        <v>1235948.5714285711</v>
      </c>
    </row>
    <row r="170" spans="1:10" x14ac:dyDescent="0.25">
      <c r="A170">
        <v>5</v>
      </c>
      <c r="B170">
        <v>4</v>
      </c>
      <c r="C170" t="s">
        <v>4</v>
      </c>
      <c r="D170" t="s">
        <v>3</v>
      </c>
      <c r="E170">
        <v>77683.142857142826</v>
      </c>
      <c r="F170">
        <v>96323.461538461517</v>
      </c>
      <c r="G170">
        <v>647540249.5999999</v>
      </c>
      <c r="H170">
        <v>932136939.63337195</v>
      </c>
      <c r="I170">
        <v>608253.27617298812</v>
      </c>
      <c r="J170">
        <v>5939808.7714285683</v>
      </c>
    </row>
    <row r="171" spans="1:10" x14ac:dyDescent="0.25">
      <c r="A171">
        <v>5</v>
      </c>
      <c r="B171">
        <v>5</v>
      </c>
      <c r="C171" t="s">
        <v>4</v>
      </c>
      <c r="D171" t="s">
        <v>4</v>
      </c>
      <c r="E171">
        <v>0</v>
      </c>
      <c r="F171">
        <v>0</v>
      </c>
      <c r="G171">
        <v>0</v>
      </c>
      <c r="H171">
        <v>0</v>
      </c>
      <c r="I171">
        <v>968748.1310835816</v>
      </c>
      <c r="J171">
        <v>4751765.0181818185</v>
      </c>
    </row>
    <row r="172" spans="1:10" x14ac:dyDescent="0.25">
      <c r="A172">
        <v>5</v>
      </c>
      <c r="B172">
        <v>6</v>
      </c>
      <c r="C172" t="s">
        <v>4</v>
      </c>
      <c r="D172" t="s">
        <v>5</v>
      </c>
      <c r="E172">
        <v>59747.85714285713</v>
      </c>
      <c r="F172">
        <v>193912.84981684992</v>
      </c>
      <c r="G172">
        <v>2372942569.2647629</v>
      </c>
      <c r="H172">
        <v>0</v>
      </c>
      <c r="I172">
        <v>0</v>
      </c>
      <c r="J172">
        <v>3056572.5142857148</v>
      </c>
    </row>
    <row r="173" spans="1:10" x14ac:dyDescent="0.25">
      <c r="A173">
        <v>5</v>
      </c>
      <c r="B173">
        <v>7</v>
      </c>
      <c r="C173" t="s">
        <v>4</v>
      </c>
      <c r="D173" t="s">
        <v>6</v>
      </c>
      <c r="E173">
        <v>51497.857142857138</v>
      </c>
      <c r="F173">
        <v>127459.15384615381</v>
      </c>
      <c r="G173">
        <v>367509096.32399982</v>
      </c>
      <c r="H173">
        <v>0</v>
      </c>
      <c r="I173">
        <v>445782.21844929864</v>
      </c>
      <c r="J173">
        <v>67790456.043956026</v>
      </c>
    </row>
    <row r="174" spans="1:10" x14ac:dyDescent="0.25">
      <c r="A174">
        <v>5</v>
      </c>
      <c r="B174">
        <v>8</v>
      </c>
      <c r="C174" t="s">
        <v>4</v>
      </c>
      <c r="D174" t="s">
        <v>7</v>
      </c>
      <c r="E174">
        <v>81144.928571428522</v>
      </c>
      <c r="F174">
        <v>185056.92307692292</v>
      </c>
      <c r="G174">
        <v>1282933027.1999989</v>
      </c>
      <c r="H174">
        <v>186221554.8510862</v>
      </c>
      <c r="I174">
        <v>458597.88032827748</v>
      </c>
      <c r="J174">
        <v>57376537.285714284</v>
      </c>
    </row>
    <row r="175" spans="1:10" x14ac:dyDescent="0.25">
      <c r="A175">
        <v>5</v>
      </c>
      <c r="B175">
        <v>9</v>
      </c>
      <c r="C175" t="s">
        <v>4</v>
      </c>
      <c r="D175" t="s">
        <v>8</v>
      </c>
      <c r="E175">
        <v>47140.525974025972</v>
      </c>
      <c r="F175">
        <v>635389.69871794886</v>
      </c>
      <c r="G175">
        <v>11779845442.763336</v>
      </c>
      <c r="H175">
        <v>33699640.754670613</v>
      </c>
      <c r="I175">
        <v>327735.80785820697</v>
      </c>
      <c r="J175">
        <v>41484698.410989009</v>
      </c>
    </row>
    <row r="176" spans="1:10" x14ac:dyDescent="0.25">
      <c r="A176">
        <v>5</v>
      </c>
      <c r="B176">
        <v>10</v>
      </c>
      <c r="C176" t="s">
        <v>4</v>
      </c>
      <c r="D176" t="s">
        <v>9</v>
      </c>
      <c r="E176">
        <v>67623.285714285725</v>
      </c>
      <c r="F176">
        <v>159766.00000000003</v>
      </c>
      <c r="G176">
        <v>760216474.9920001</v>
      </c>
      <c r="H176">
        <v>136991849.37285715</v>
      </c>
      <c r="I176">
        <v>327735.31008042919</v>
      </c>
      <c r="J176">
        <v>54566125.960439548</v>
      </c>
    </row>
    <row r="177" spans="1:10" x14ac:dyDescent="0.25">
      <c r="A177">
        <v>5</v>
      </c>
      <c r="B177">
        <v>11</v>
      </c>
      <c r="C177" t="s">
        <v>4</v>
      </c>
      <c r="D177" t="s">
        <v>10</v>
      </c>
      <c r="E177">
        <v>67790.45604395603</v>
      </c>
      <c r="F177">
        <v>162530.07692307694</v>
      </c>
      <c r="G177">
        <v>20589024091.679996</v>
      </c>
      <c r="H177">
        <v>167171162.24805635</v>
      </c>
      <c r="I177">
        <v>380078.58387560723</v>
      </c>
      <c r="J177">
        <v>70960313.648351625</v>
      </c>
    </row>
    <row r="178" spans="1:10" x14ac:dyDescent="0.25">
      <c r="A178">
        <v>5</v>
      </c>
      <c r="B178">
        <v>12</v>
      </c>
      <c r="C178" t="s">
        <v>4</v>
      </c>
      <c r="D178" t="s">
        <v>11</v>
      </c>
      <c r="E178">
        <v>64759.071428571428</v>
      </c>
      <c r="F178">
        <v>107256.15384615381</v>
      </c>
      <c r="G178">
        <v>11761898601.599995</v>
      </c>
      <c r="H178">
        <v>300187564.72017276</v>
      </c>
      <c r="I178">
        <v>540520.06621326087</v>
      </c>
      <c r="J178">
        <v>70723104.171428591</v>
      </c>
    </row>
    <row r="179" spans="1:10" x14ac:dyDescent="0.25">
      <c r="A179">
        <v>5</v>
      </c>
      <c r="B179">
        <v>13</v>
      </c>
      <c r="C179" t="s">
        <v>4</v>
      </c>
      <c r="D179" t="s">
        <v>12</v>
      </c>
      <c r="E179">
        <v>49837.456043956045</v>
      </c>
      <c r="F179">
        <v>88944.615384615419</v>
      </c>
      <c r="G179">
        <v>9085816984.0000038</v>
      </c>
      <c r="H179">
        <v>49287682.373190686</v>
      </c>
      <c r="I179">
        <v>786136.52452227147</v>
      </c>
      <c r="J179">
        <v>115453914.2857143</v>
      </c>
    </row>
    <row r="180" spans="1:10" x14ac:dyDescent="0.25">
      <c r="A180">
        <v>5</v>
      </c>
      <c r="B180">
        <v>14</v>
      </c>
      <c r="C180" t="s">
        <v>4</v>
      </c>
      <c r="D180" t="s">
        <v>13</v>
      </c>
      <c r="E180">
        <v>70462.45604395603</v>
      </c>
      <c r="F180">
        <v>235408.84615384589</v>
      </c>
      <c r="G180">
        <v>22316429042.999973</v>
      </c>
      <c r="H180">
        <v>136245317.86119068</v>
      </c>
      <c r="I180">
        <v>540518.53176881652</v>
      </c>
      <c r="J180">
        <v>65304027.940659307</v>
      </c>
    </row>
    <row r="181" spans="1:10" x14ac:dyDescent="0.25">
      <c r="A181">
        <v>5</v>
      </c>
      <c r="B181">
        <v>15</v>
      </c>
      <c r="C181" t="s">
        <v>4</v>
      </c>
      <c r="D181" t="s">
        <v>14</v>
      </c>
      <c r="E181">
        <v>94261.840659340625</v>
      </c>
      <c r="F181">
        <v>357584.53846153896</v>
      </c>
      <c r="G181">
        <v>35213137425.000046</v>
      </c>
      <c r="H181">
        <v>242714815.64842823</v>
      </c>
      <c r="I181">
        <v>314515.33331555995</v>
      </c>
      <c r="J181">
        <v>22691023.793406591</v>
      </c>
    </row>
    <row r="182" spans="1:10" x14ac:dyDescent="0.25">
      <c r="A182">
        <v>5</v>
      </c>
      <c r="B182">
        <v>16</v>
      </c>
      <c r="C182" t="s">
        <v>4</v>
      </c>
      <c r="D182" t="s">
        <v>15</v>
      </c>
      <c r="E182">
        <v>83954.30219780223</v>
      </c>
      <c r="F182">
        <v>595797.7692307689</v>
      </c>
      <c r="G182">
        <v>67464040299.039963</v>
      </c>
      <c r="H182">
        <v>122012533.35683888</v>
      </c>
      <c r="I182">
        <v>675919.62951612973</v>
      </c>
      <c r="J182">
        <v>43387141.975824177</v>
      </c>
    </row>
    <row r="183" spans="1:10" x14ac:dyDescent="0.25">
      <c r="A183">
        <v>5</v>
      </c>
      <c r="B183">
        <v>17</v>
      </c>
      <c r="C183" t="s">
        <v>4</v>
      </c>
      <c r="D183" t="s">
        <v>16</v>
      </c>
      <c r="E183">
        <v>111013.37912087914</v>
      </c>
      <c r="F183">
        <v>240681.61538461491</v>
      </c>
      <c r="G183">
        <v>32979321329.959934</v>
      </c>
      <c r="H183">
        <v>460100318.59732985</v>
      </c>
      <c r="I183">
        <v>551306.01220091688</v>
      </c>
      <c r="J183">
        <v>27937946.723076928</v>
      </c>
    </row>
    <row r="184" spans="1:10" x14ac:dyDescent="0.25">
      <c r="A184">
        <v>5</v>
      </c>
      <c r="B184">
        <v>18</v>
      </c>
      <c r="C184" t="s">
        <v>4</v>
      </c>
      <c r="D184" t="s">
        <v>17</v>
      </c>
      <c r="E184">
        <v>70279.840659340625</v>
      </c>
      <c r="F184">
        <v>117852.46153846153</v>
      </c>
      <c r="G184">
        <v>14799360570.479998</v>
      </c>
      <c r="H184">
        <v>315302525.65683889</v>
      </c>
      <c r="I184">
        <v>6200448.6801705863</v>
      </c>
      <c r="J184">
        <v>33761204.17582415</v>
      </c>
    </row>
    <row r="185" spans="1:10" x14ac:dyDescent="0.25">
      <c r="A185">
        <v>5</v>
      </c>
      <c r="B185">
        <v>19</v>
      </c>
      <c r="C185" t="s">
        <v>4</v>
      </c>
      <c r="D185" t="s">
        <v>18</v>
      </c>
      <c r="E185">
        <v>47830.994505494506</v>
      </c>
      <c r="F185">
        <v>156571.4615384615</v>
      </c>
      <c r="G185">
        <v>9177016606.5599976</v>
      </c>
      <c r="H185">
        <v>30421800.918458298</v>
      </c>
      <c r="I185">
        <v>348300.84856265574</v>
      </c>
      <c r="J185">
        <v>26482881.868131865</v>
      </c>
    </row>
    <row r="186" spans="1:10" x14ac:dyDescent="0.25">
      <c r="A186">
        <v>5</v>
      </c>
      <c r="B186">
        <v>20</v>
      </c>
      <c r="C186" t="s">
        <v>4</v>
      </c>
      <c r="D186" t="s">
        <v>19</v>
      </c>
      <c r="E186">
        <v>105002.76373626373</v>
      </c>
      <c r="F186">
        <v>128386.74358974362</v>
      </c>
      <c r="G186">
        <v>6479899774.1733341</v>
      </c>
      <c r="H186">
        <v>262550362.43976513</v>
      </c>
      <c r="I186">
        <v>348300.13745154464</v>
      </c>
      <c r="J186">
        <v>34642014.945054948</v>
      </c>
    </row>
    <row r="187" spans="1:10" x14ac:dyDescent="0.25">
      <c r="A187">
        <v>5</v>
      </c>
      <c r="B187">
        <v>21</v>
      </c>
      <c r="C187" t="s">
        <v>4</v>
      </c>
      <c r="D187" t="s">
        <v>20</v>
      </c>
      <c r="E187">
        <v>83847.379120879137</v>
      </c>
      <c r="F187">
        <v>172538.4102564099</v>
      </c>
      <c r="G187">
        <v>8726433766.3199825</v>
      </c>
      <c r="H187">
        <v>33591149.587868482</v>
      </c>
      <c r="I187">
        <v>348298.79856265575</v>
      </c>
      <c r="J187">
        <v>29384209.802197799</v>
      </c>
    </row>
    <row r="188" spans="1:10" x14ac:dyDescent="0.25">
      <c r="A188">
        <v>5</v>
      </c>
      <c r="B188">
        <v>22</v>
      </c>
      <c r="C188" t="s">
        <v>4</v>
      </c>
      <c r="D188" t="s">
        <v>21</v>
      </c>
      <c r="E188">
        <v>68287.225274725235</v>
      </c>
      <c r="F188">
        <v>191665.4102564099</v>
      </c>
      <c r="G188">
        <v>11707068924.173313</v>
      </c>
      <c r="H188">
        <v>250637747.76555774</v>
      </c>
      <c r="I188">
        <v>380081.28276449617</v>
      </c>
      <c r="J188">
        <v>31340743.318681315</v>
      </c>
    </row>
    <row r="189" spans="1:10" x14ac:dyDescent="0.25">
      <c r="A189">
        <v>5</v>
      </c>
      <c r="B189">
        <v>23</v>
      </c>
      <c r="C189" t="s">
        <v>4</v>
      </c>
      <c r="D189" t="s">
        <v>22</v>
      </c>
      <c r="E189">
        <v>52965.76373626374</v>
      </c>
      <c r="F189">
        <v>175401.74358974391</v>
      </c>
      <c r="G189">
        <v>10667611305.920019</v>
      </c>
      <c r="H189">
        <v>118405066.56694569</v>
      </c>
      <c r="I189">
        <v>675921.07618279639</v>
      </c>
      <c r="J189">
        <v>42071541.942857139</v>
      </c>
    </row>
    <row r="190" spans="1:10" x14ac:dyDescent="0.25">
      <c r="A190">
        <v>5</v>
      </c>
      <c r="B190">
        <v>24</v>
      </c>
      <c r="C190" t="s">
        <v>4</v>
      </c>
      <c r="D190" t="s">
        <v>23</v>
      </c>
      <c r="E190">
        <v>54128.148351648349</v>
      </c>
      <c r="F190">
        <v>132873.74358974362</v>
      </c>
      <c r="G190">
        <v>10572471455.200003</v>
      </c>
      <c r="H190">
        <v>110057477.16694568</v>
      </c>
      <c r="I190">
        <v>348299.32634043356</v>
      </c>
      <c r="J190">
        <v>47483142.857142851</v>
      </c>
    </row>
    <row r="191" spans="1:10" x14ac:dyDescent="0.25">
      <c r="A191">
        <v>5</v>
      </c>
      <c r="B191">
        <v>25</v>
      </c>
      <c r="C191" t="s">
        <v>4</v>
      </c>
      <c r="D191" t="s">
        <v>24</v>
      </c>
      <c r="E191">
        <v>51732.76373626374</v>
      </c>
      <c r="F191">
        <v>125821.41025641022</v>
      </c>
      <c r="G191">
        <v>9086193141.6666641</v>
      </c>
      <c r="H191">
        <v>51345864.066945687</v>
      </c>
      <c r="I191">
        <v>608254.37839521025</v>
      </c>
      <c r="J191">
        <v>6863314.1485714288</v>
      </c>
    </row>
    <row r="192" spans="1:10" x14ac:dyDescent="0.25">
      <c r="A192">
        <v>5</v>
      </c>
      <c r="B192">
        <v>26</v>
      </c>
      <c r="C192" t="s">
        <v>4</v>
      </c>
      <c r="D192" t="s">
        <v>25</v>
      </c>
      <c r="E192">
        <v>50811.840659340654</v>
      </c>
      <c r="F192">
        <v>111895.07692307692</v>
      </c>
      <c r="G192">
        <v>9067793525.9200001</v>
      </c>
      <c r="H192">
        <v>99327271.796428218</v>
      </c>
      <c r="I192">
        <v>302764.75937123102</v>
      </c>
      <c r="J192">
        <v>4446552.9802197805</v>
      </c>
    </row>
    <row r="193" spans="1:10" x14ac:dyDescent="0.25">
      <c r="A193">
        <v>5</v>
      </c>
      <c r="B193">
        <v>27</v>
      </c>
      <c r="C193" t="s">
        <v>4</v>
      </c>
      <c r="D193" t="s">
        <v>26</v>
      </c>
      <c r="E193">
        <v>106027.07142857142</v>
      </c>
      <c r="F193">
        <v>481828.17692307691</v>
      </c>
      <c r="G193">
        <v>22977499193.615997</v>
      </c>
      <c r="H193">
        <v>672708045.59976506</v>
      </c>
      <c r="I193">
        <v>302763.45159345324</v>
      </c>
      <c r="J193">
        <v>9707498.9274725262</v>
      </c>
    </row>
    <row r="194" spans="1:10" x14ac:dyDescent="0.25">
      <c r="A194">
        <v>5</v>
      </c>
      <c r="B194">
        <v>28</v>
      </c>
      <c r="C194" t="s">
        <v>4</v>
      </c>
      <c r="D194" t="s">
        <v>27</v>
      </c>
      <c r="E194">
        <v>83091.371428571438</v>
      </c>
      <c r="F194">
        <v>181827.4769230769</v>
      </c>
      <c r="G194" t="s">
        <v>122</v>
      </c>
      <c r="H194" t="s">
        <v>122</v>
      </c>
      <c r="I194">
        <v>2052057.8046197651</v>
      </c>
      <c r="J194">
        <v>23470486.21978021</v>
      </c>
    </row>
    <row r="195" spans="1:10" x14ac:dyDescent="0.25">
      <c r="A195">
        <v>5</v>
      </c>
      <c r="B195">
        <v>29</v>
      </c>
      <c r="C195" t="s">
        <v>4</v>
      </c>
      <c r="D195" t="s">
        <v>28</v>
      </c>
      <c r="E195">
        <v>79138.57142857142</v>
      </c>
      <c r="F195">
        <v>426606.47692307696</v>
      </c>
      <c r="G195">
        <v>25026800711.656002</v>
      </c>
      <c r="H195">
        <v>430592477.76555771</v>
      </c>
      <c r="I195">
        <v>2052058.7290642096</v>
      </c>
      <c r="J195">
        <v>66329497.246153906</v>
      </c>
    </row>
    <row r="196" spans="1:10" x14ac:dyDescent="0.25">
      <c r="A196">
        <v>5</v>
      </c>
      <c r="B196">
        <v>30</v>
      </c>
      <c r="C196" t="s">
        <v>4</v>
      </c>
      <c r="D196" t="s">
        <v>29</v>
      </c>
      <c r="E196">
        <v>54298.37142857143</v>
      </c>
      <c r="F196">
        <v>294756.17692307691</v>
      </c>
      <c r="G196">
        <v>22338497736.515999</v>
      </c>
      <c r="H196">
        <v>82620565.374945685</v>
      </c>
      <c r="I196">
        <v>968746.28997247049</v>
      </c>
      <c r="J196">
        <v>14568413.281318687</v>
      </c>
    </row>
    <row r="197" spans="1:10" x14ac:dyDescent="0.25">
      <c r="A197">
        <v>5</v>
      </c>
      <c r="B197">
        <v>31</v>
      </c>
      <c r="C197" t="s">
        <v>4</v>
      </c>
      <c r="D197" t="s">
        <v>30</v>
      </c>
      <c r="E197">
        <v>49187.532967032967</v>
      </c>
      <c r="F197">
        <v>89507.76923076922</v>
      </c>
      <c r="G197">
        <v>1391480619.8399997</v>
      </c>
      <c r="H197">
        <v>52065853.352721281</v>
      </c>
      <c r="I197">
        <v>338866.9333107539</v>
      </c>
      <c r="J197">
        <v>50262917.582417578</v>
      </c>
    </row>
    <row r="198" spans="1:10" x14ac:dyDescent="0.25">
      <c r="A198">
        <v>5</v>
      </c>
      <c r="B198">
        <v>32</v>
      </c>
      <c r="C198" t="s">
        <v>4</v>
      </c>
      <c r="D198" t="s">
        <v>31</v>
      </c>
      <c r="E198">
        <v>47032.456043956045</v>
      </c>
      <c r="F198">
        <v>115054.57692307692</v>
      </c>
      <c r="G198">
        <v>2199530562.3199997</v>
      </c>
      <c r="H198">
        <v>29974138.925360691</v>
      </c>
      <c r="I198">
        <v>330393.64250702923</v>
      </c>
      <c r="J198">
        <v>61216470.989011042</v>
      </c>
    </row>
    <row r="199" spans="1:10" x14ac:dyDescent="0.25">
      <c r="A199">
        <v>5</v>
      </c>
      <c r="B199">
        <v>33</v>
      </c>
      <c r="C199" t="s">
        <v>4</v>
      </c>
      <c r="D199" t="s">
        <v>32</v>
      </c>
      <c r="E199">
        <v>110709.84065934063</v>
      </c>
      <c r="F199">
        <v>164764.80000000002</v>
      </c>
      <c r="G199">
        <v>4188268491.2640004</v>
      </c>
      <c r="H199">
        <v>108877759.2893607</v>
      </c>
      <c r="I199">
        <v>338866.65553297615</v>
      </c>
      <c r="J199">
        <v>44336227.885714285</v>
      </c>
    </row>
    <row r="200" spans="1:10" x14ac:dyDescent="0.25">
      <c r="A200">
        <v>5</v>
      </c>
      <c r="B200">
        <v>34</v>
      </c>
      <c r="C200" t="s">
        <v>4</v>
      </c>
      <c r="D200" t="s">
        <v>33</v>
      </c>
      <c r="E200">
        <v>343320.3791208794</v>
      </c>
      <c r="F200">
        <v>332326.46581196593</v>
      </c>
      <c r="G200">
        <v>8639624062.3000031</v>
      </c>
      <c r="H200">
        <v>818665962.24072123</v>
      </c>
      <c r="I200">
        <v>297267.72474839422</v>
      </c>
      <c r="J200">
        <v>51709274.285714284</v>
      </c>
    </row>
    <row r="201" spans="1:10" x14ac:dyDescent="0.25">
      <c r="A201">
        <v>5</v>
      </c>
      <c r="B201">
        <v>35</v>
      </c>
      <c r="C201" t="s">
        <v>4</v>
      </c>
      <c r="D201" t="s">
        <v>34</v>
      </c>
      <c r="E201">
        <v>69638.686813186825</v>
      </c>
      <c r="F201">
        <v>80736.615384615419</v>
      </c>
      <c r="G201">
        <v>1929330603.2000008</v>
      </c>
      <c r="H201">
        <v>188931353.31272128</v>
      </c>
      <c r="I201">
        <v>330393.0425070292</v>
      </c>
      <c r="J201">
        <v>58517514.285714284</v>
      </c>
    </row>
    <row r="202" spans="1:10" x14ac:dyDescent="0.25">
      <c r="A202">
        <v>5</v>
      </c>
      <c r="B202">
        <v>36</v>
      </c>
      <c r="C202" t="s">
        <v>4</v>
      </c>
      <c r="D202" t="s">
        <v>35</v>
      </c>
      <c r="E202">
        <v>50262.917582417576</v>
      </c>
      <c r="F202">
        <v>156583.00000000003</v>
      </c>
      <c r="G202">
        <v>4037855927.5600004</v>
      </c>
      <c r="H202">
        <v>43783342.195270389</v>
      </c>
      <c r="I202">
        <v>75.088484040681308</v>
      </c>
      <c r="J202">
        <v>26</v>
      </c>
    </row>
    <row r="203" spans="1:10" x14ac:dyDescent="0.25">
      <c r="A203">
        <v>5</v>
      </c>
      <c r="B203">
        <v>37</v>
      </c>
      <c r="C203" t="s">
        <v>4</v>
      </c>
      <c r="D203" t="s">
        <v>36</v>
      </c>
      <c r="E203">
        <v>56681.917582417627</v>
      </c>
      <c r="F203">
        <v>151398.50366300362</v>
      </c>
      <c r="G203">
        <v>18479168434.373329</v>
      </c>
      <c r="H203">
        <v>97312959.592130303</v>
      </c>
      <c r="I203">
        <v>968748.21441691497</v>
      </c>
      <c r="J203">
        <v>31347244.685714282</v>
      </c>
    </row>
    <row r="204" spans="1:10" x14ac:dyDescent="0.25">
      <c r="A204">
        <v>5</v>
      </c>
      <c r="B204">
        <v>38</v>
      </c>
      <c r="C204" t="s">
        <v>4</v>
      </c>
      <c r="D204" t="s">
        <v>37</v>
      </c>
      <c r="E204">
        <v>46650.071428571428</v>
      </c>
      <c r="F204">
        <v>72375.461538461546</v>
      </c>
      <c r="G204">
        <v>10761081808.440002</v>
      </c>
      <c r="H204">
        <v>27333963.85314095</v>
      </c>
      <c r="I204">
        <v>968748.5921946927</v>
      </c>
      <c r="J204">
        <v>6617477.7428571368</v>
      </c>
    </row>
    <row r="205" spans="1:10" x14ac:dyDescent="0.25">
      <c r="A205">
        <v>5</v>
      </c>
      <c r="B205">
        <v>39</v>
      </c>
      <c r="C205" t="s">
        <v>4</v>
      </c>
      <c r="D205" t="s">
        <v>38</v>
      </c>
      <c r="E205">
        <v>49720.456043956045</v>
      </c>
      <c r="F205">
        <v>156545.91941391942</v>
      </c>
      <c r="G205">
        <v>19995397384.289524</v>
      </c>
      <c r="H205">
        <v>44654621.912130296</v>
      </c>
      <c r="I205">
        <v>525053.98974837817</v>
      </c>
      <c r="J205">
        <v>10202013.285714282</v>
      </c>
    </row>
    <row r="206" spans="1:10" x14ac:dyDescent="0.25">
      <c r="A206">
        <v>5</v>
      </c>
      <c r="B206">
        <v>40</v>
      </c>
      <c r="C206" t="s">
        <v>4</v>
      </c>
      <c r="D206" t="s">
        <v>39</v>
      </c>
      <c r="E206">
        <v>56266.840659340654</v>
      </c>
      <c r="F206">
        <v>137865.21978021984</v>
      </c>
      <c r="G206">
        <v>19129880107.828575</v>
      </c>
      <c r="H206">
        <v>30194454.714626148</v>
      </c>
      <c r="I206">
        <v>608255.66728409915</v>
      </c>
      <c r="J206">
        <v>5823782.2857142845</v>
      </c>
    </row>
    <row r="207" spans="1:10" x14ac:dyDescent="0.25">
      <c r="A207">
        <v>5</v>
      </c>
      <c r="B207">
        <v>41</v>
      </c>
      <c r="C207" t="s">
        <v>4</v>
      </c>
      <c r="D207" t="s">
        <v>40</v>
      </c>
      <c r="E207">
        <v>68625.763736263732</v>
      </c>
      <c r="F207">
        <v>86043.569597069625</v>
      </c>
      <c r="G207">
        <v>11857877714.224764</v>
      </c>
      <c r="H207">
        <v>184300180.81314096</v>
      </c>
      <c r="I207">
        <v>0</v>
      </c>
      <c r="J207">
        <v>5520701.9999999991</v>
      </c>
    </row>
    <row r="208" spans="1:10" x14ac:dyDescent="0.25">
      <c r="A208">
        <v>6</v>
      </c>
      <c r="B208">
        <v>1</v>
      </c>
      <c r="C208" t="s">
        <v>5</v>
      </c>
      <c r="D208" t="s">
        <v>0</v>
      </c>
      <c r="E208">
        <v>103988.2857142857</v>
      </c>
      <c r="F208">
        <v>176348.54578754582</v>
      </c>
      <c r="G208">
        <v>7187176684.815239</v>
      </c>
      <c r="H208">
        <v>311500538.67841327</v>
      </c>
      <c r="I208">
        <v>0</v>
      </c>
      <c r="J208">
        <v>0</v>
      </c>
    </row>
    <row r="209" spans="1:10" x14ac:dyDescent="0.25">
      <c r="A209">
        <v>6</v>
      </c>
      <c r="B209">
        <v>2</v>
      </c>
      <c r="C209" t="s">
        <v>5</v>
      </c>
      <c r="D209" t="s">
        <v>1</v>
      </c>
      <c r="E209">
        <v>32727.285714285685</v>
      </c>
      <c r="F209">
        <v>166736.93040293042</v>
      </c>
      <c r="G209">
        <v>7294600646.1066675</v>
      </c>
      <c r="H209">
        <v>57612833.884127527</v>
      </c>
      <c r="I209">
        <v>0</v>
      </c>
      <c r="J209">
        <v>1764833.5999999996</v>
      </c>
    </row>
    <row r="210" spans="1:10" x14ac:dyDescent="0.25">
      <c r="A210">
        <v>6</v>
      </c>
      <c r="B210">
        <v>3</v>
      </c>
      <c r="C210" t="s">
        <v>5</v>
      </c>
      <c r="D210" t="s">
        <v>2</v>
      </c>
      <c r="E210">
        <v>27991.928571428587</v>
      </c>
      <c r="F210">
        <v>169771.16117216111</v>
      </c>
      <c r="G210">
        <v>7899913906.899045</v>
      </c>
      <c r="H210">
        <v>100222833.08393282</v>
      </c>
      <c r="I210">
        <v>608255.82061743247</v>
      </c>
      <c r="J210">
        <v>7377611.4285714217</v>
      </c>
    </row>
    <row r="211" spans="1:10" x14ac:dyDescent="0.25">
      <c r="A211">
        <v>6</v>
      </c>
      <c r="B211">
        <v>4</v>
      </c>
      <c r="C211" t="s">
        <v>5</v>
      </c>
      <c r="D211" t="s">
        <v>3</v>
      </c>
      <c r="E211">
        <v>42648.285714285681</v>
      </c>
      <c r="F211">
        <v>158878.08424908423</v>
      </c>
      <c r="G211">
        <v>2937185498.6361899</v>
      </c>
      <c r="H211">
        <v>150467278.48622906</v>
      </c>
      <c r="I211">
        <v>968750.67552802607</v>
      </c>
      <c r="J211">
        <v>10808200.742857134</v>
      </c>
    </row>
    <row r="212" spans="1:10" x14ac:dyDescent="0.25">
      <c r="A212">
        <v>6</v>
      </c>
      <c r="B212">
        <v>5</v>
      </c>
      <c r="C212" t="s">
        <v>5</v>
      </c>
      <c r="D212" t="s">
        <v>4</v>
      </c>
      <c r="E212">
        <v>76384.857142857189</v>
      </c>
      <c r="F212">
        <v>190678.16117216111</v>
      </c>
      <c r="G212">
        <v>2333359166.7695227</v>
      </c>
      <c r="H212">
        <v>0</v>
      </c>
      <c r="I212">
        <v>608255.95506187691</v>
      </c>
      <c r="J212">
        <v>1409099.8519480519</v>
      </c>
    </row>
    <row r="213" spans="1:10" x14ac:dyDescent="0.25">
      <c r="A213">
        <v>6</v>
      </c>
      <c r="B213">
        <v>6</v>
      </c>
      <c r="C213" t="s">
        <v>5</v>
      </c>
      <c r="D213" t="s">
        <v>5</v>
      </c>
      <c r="E213">
        <v>0</v>
      </c>
      <c r="F213">
        <v>0</v>
      </c>
      <c r="G213">
        <v>0</v>
      </c>
      <c r="H213">
        <v>0</v>
      </c>
      <c r="I213">
        <v>445784.76289374311</v>
      </c>
      <c r="J213">
        <v>33891965.714285731</v>
      </c>
    </row>
    <row r="214" spans="1:10" x14ac:dyDescent="0.25">
      <c r="A214">
        <v>6</v>
      </c>
      <c r="B214">
        <v>7</v>
      </c>
      <c r="C214" t="s">
        <v>5</v>
      </c>
      <c r="D214" t="s">
        <v>6</v>
      </c>
      <c r="E214">
        <v>16462.999999999996</v>
      </c>
      <c r="F214">
        <v>190013.77655677652</v>
      </c>
      <c r="G214">
        <v>2375126603.6533327</v>
      </c>
      <c r="H214">
        <v>0</v>
      </c>
      <c r="I214">
        <v>458600.42477272195</v>
      </c>
      <c r="J214">
        <v>29807594.999999985</v>
      </c>
    </row>
    <row r="215" spans="1:10" x14ac:dyDescent="0.25">
      <c r="A215">
        <v>6</v>
      </c>
      <c r="B215">
        <v>8</v>
      </c>
      <c r="C215" t="s">
        <v>5</v>
      </c>
      <c r="D215" t="s">
        <v>7</v>
      </c>
      <c r="E215">
        <v>46110.071428571391</v>
      </c>
      <c r="F215">
        <v>247611.54578754562</v>
      </c>
      <c r="G215">
        <v>4655631901.7447586</v>
      </c>
      <c r="H215">
        <v>305678328.61394334</v>
      </c>
      <c r="I215">
        <v>327738.35230265139</v>
      </c>
      <c r="J215">
        <v>13239444.457142862</v>
      </c>
    </row>
    <row r="216" spans="1:10" x14ac:dyDescent="0.25">
      <c r="A216">
        <v>6</v>
      </c>
      <c r="B216">
        <v>9</v>
      </c>
      <c r="C216" t="s">
        <v>5</v>
      </c>
      <c r="D216" t="s">
        <v>8</v>
      </c>
      <c r="E216">
        <v>12105.66883116883</v>
      </c>
      <c r="F216">
        <v>697944.32142857159</v>
      </c>
      <c r="G216">
        <v>21223844705.867146</v>
      </c>
      <c r="H216">
        <v>153156414.51752773</v>
      </c>
      <c r="I216">
        <v>327737.8545248736</v>
      </c>
      <c r="J216">
        <v>29830038.274725262</v>
      </c>
    </row>
    <row r="217" spans="1:10" x14ac:dyDescent="0.25">
      <c r="A217">
        <v>6</v>
      </c>
      <c r="B217">
        <v>10</v>
      </c>
      <c r="C217" t="s">
        <v>5</v>
      </c>
      <c r="D217" t="s">
        <v>9</v>
      </c>
      <c r="E217">
        <v>32588.428571428587</v>
      </c>
      <c r="F217">
        <v>222320.62271062273</v>
      </c>
      <c r="G217">
        <v>3082537683.6571426</v>
      </c>
      <c r="H217">
        <v>256448623.13571426</v>
      </c>
      <c r="I217">
        <v>380081.12832005171</v>
      </c>
      <c r="J217">
        <v>47263132.846153811</v>
      </c>
    </row>
    <row r="218" spans="1:10" x14ac:dyDescent="0.25">
      <c r="A218">
        <v>6</v>
      </c>
      <c r="B218">
        <v>11</v>
      </c>
      <c r="C218" t="s">
        <v>5</v>
      </c>
      <c r="D218" t="s">
        <v>10</v>
      </c>
      <c r="E218">
        <v>32755.598901098885</v>
      </c>
      <c r="F218">
        <v>225084.69963369961</v>
      </c>
      <c r="G218">
        <v>32591733307.068565</v>
      </c>
      <c r="H218">
        <v>286627936.01091349</v>
      </c>
      <c r="I218">
        <v>540520.61065770534</v>
      </c>
      <c r="J218">
        <v>44144907.217582434</v>
      </c>
    </row>
    <row r="219" spans="1:10" x14ac:dyDescent="0.25">
      <c r="A219">
        <v>6</v>
      </c>
      <c r="B219">
        <v>12</v>
      </c>
      <c r="C219" t="s">
        <v>5</v>
      </c>
      <c r="D219" t="s">
        <v>11</v>
      </c>
      <c r="E219">
        <v>29724.214285714286</v>
      </c>
      <c r="F219">
        <v>169810.77655677652</v>
      </c>
      <c r="G219">
        <v>20797853348.464756</v>
      </c>
      <c r="H219">
        <v>419644338.4830299</v>
      </c>
      <c r="I219">
        <v>786139.06896671583</v>
      </c>
      <c r="J219">
        <v>85095944.615384638</v>
      </c>
    </row>
    <row r="220" spans="1:10" x14ac:dyDescent="0.25">
      <c r="A220">
        <v>6</v>
      </c>
      <c r="B220">
        <v>13</v>
      </c>
      <c r="C220" t="s">
        <v>5</v>
      </c>
      <c r="D220" t="s">
        <v>12</v>
      </c>
      <c r="E220">
        <v>14802.598901098907</v>
      </c>
      <c r="F220">
        <v>151499.23809523814</v>
      </c>
      <c r="G220">
        <v>17425260566.628578</v>
      </c>
      <c r="H220">
        <v>168744456.13604778</v>
      </c>
      <c r="I220">
        <v>540521.07621326088</v>
      </c>
      <c r="J220">
        <v>35244983.516483486</v>
      </c>
    </row>
    <row r="221" spans="1:10" x14ac:dyDescent="0.25">
      <c r="A221">
        <v>6</v>
      </c>
      <c r="B221">
        <v>14</v>
      </c>
      <c r="C221" t="s">
        <v>5</v>
      </c>
      <c r="D221" t="s">
        <v>13</v>
      </c>
      <c r="E221">
        <v>35427.598901098885</v>
      </c>
      <c r="F221">
        <v>297963.46886446862</v>
      </c>
      <c r="G221">
        <v>32080534838.761879</v>
      </c>
      <c r="H221">
        <v>255702091.62404779</v>
      </c>
      <c r="I221">
        <v>314517.87776000437</v>
      </c>
      <c r="J221">
        <v>7037875.5494505512</v>
      </c>
    </row>
    <row r="222" spans="1:10" x14ac:dyDescent="0.25">
      <c r="A222">
        <v>6</v>
      </c>
      <c r="B222">
        <v>15</v>
      </c>
      <c r="C222" t="s">
        <v>5</v>
      </c>
      <c r="D222" t="s">
        <v>14</v>
      </c>
      <c r="E222">
        <v>59226.98351648348</v>
      </c>
      <c r="F222">
        <v>420139.16117216164</v>
      </c>
      <c r="G222">
        <v>45433294305.464813</v>
      </c>
      <c r="H222">
        <v>362171589.41128534</v>
      </c>
      <c r="I222">
        <v>675922.1739605742</v>
      </c>
      <c r="J222">
        <v>33948428.279120877</v>
      </c>
    </row>
    <row r="223" spans="1:10" x14ac:dyDescent="0.25">
      <c r="A223">
        <v>6</v>
      </c>
      <c r="B223">
        <v>16</v>
      </c>
      <c r="C223" t="s">
        <v>5</v>
      </c>
      <c r="D223" t="s">
        <v>15</v>
      </c>
      <c r="E223">
        <v>48919.445054945085</v>
      </c>
      <c r="F223">
        <v>658352.39194139163</v>
      </c>
      <c r="G223">
        <v>80874825574.318054</v>
      </c>
      <c r="H223">
        <v>241469307.11969602</v>
      </c>
      <c r="I223">
        <v>551308.55664536136</v>
      </c>
      <c r="J223">
        <v>19720258.879120883</v>
      </c>
    </row>
    <row r="224" spans="1:10" x14ac:dyDescent="0.25">
      <c r="A224">
        <v>6</v>
      </c>
      <c r="B224">
        <v>17</v>
      </c>
      <c r="C224" t="s">
        <v>5</v>
      </c>
      <c r="D224" t="s">
        <v>16</v>
      </c>
      <c r="E224">
        <v>75978.521978021992</v>
      </c>
      <c r="F224">
        <v>303236.23809523764</v>
      </c>
      <c r="G224">
        <v>45181969016.649445</v>
      </c>
      <c r="H224">
        <v>579557092.36018705</v>
      </c>
      <c r="I224">
        <v>6200451.2246150309</v>
      </c>
      <c r="J224">
        <v>18687830.890109867</v>
      </c>
    </row>
    <row r="225" spans="1:10" x14ac:dyDescent="0.25">
      <c r="A225">
        <v>6</v>
      </c>
      <c r="B225">
        <v>18</v>
      </c>
      <c r="C225" t="s">
        <v>5</v>
      </c>
      <c r="D225" t="s">
        <v>17</v>
      </c>
      <c r="E225">
        <v>35244.983516483488</v>
      </c>
      <c r="F225">
        <v>180407.08424908423</v>
      </c>
      <c r="G225">
        <v>24398073666.761902</v>
      </c>
      <c r="H225">
        <v>434759299.41969603</v>
      </c>
      <c r="I225">
        <v>348303.39300710021</v>
      </c>
      <c r="J225">
        <v>10077169.505494507</v>
      </c>
    </row>
    <row r="226" spans="1:10" x14ac:dyDescent="0.25">
      <c r="A226">
        <v>6</v>
      </c>
      <c r="B226">
        <v>19</v>
      </c>
      <c r="C226" t="s">
        <v>5</v>
      </c>
      <c r="D226" t="s">
        <v>18</v>
      </c>
      <c r="E226">
        <v>12796.137362637366</v>
      </c>
      <c r="F226">
        <v>219126.08424908423</v>
      </c>
      <c r="G226">
        <v>15467426613.76</v>
      </c>
      <c r="H226">
        <v>149878574.68131542</v>
      </c>
      <c r="I226">
        <v>348302.68189598911</v>
      </c>
      <c r="J226">
        <v>13556236.758241754</v>
      </c>
    </row>
    <row r="227" spans="1:10" x14ac:dyDescent="0.25">
      <c r="A227">
        <v>6</v>
      </c>
      <c r="B227">
        <v>20</v>
      </c>
      <c r="C227" t="s">
        <v>5</v>
      </c>
      <c r="D227" t="s">
        <v>19</v>
      </c>
      <c r="E227">
        <v>69967.906593406587</v>
      </c>
      <c r="F227">
        <v>190941.36630036632</v>
      </c>
      <c r="G227">
        <v>11923578023.575237</v>
      </c>
      <c r="H227">
        <v>382007136.20262223</v>
      </c>
      <c r="I227">
        <v>348301.34300710022</v>
      </c>
      <c r="J227">
        <v>10887035.0989011</v>
      </c>
    </row>
    <row r="228" spans="1:10" x14ac:dyDescent="0.25">
      <c r="A228">
        <v>6</v>
      </c>
      <c r="B228">
        <v>21</v>
      </c>
      <c r="C228" t="s">
        <v>5</v>
      </c>
      <c r="D228" t="s">
        <v>20</v>
      </c>
      <c r="E228">
        <v>48812.521978021992</v>
      </c>
      <c r="F228">
        <v>235093.03296703263</v>
      </c>
      <c r="G228">
        <v>11569219667.668554</v>
      </c>
      <c r="H228">
        <v>153047923.35072559</v>
      </c>
      <c r="I228">
        <v>380083.82720894058</v>
      </c>
      <c r="J228">
        <v>11018645.287912089</v>
      </c>
    </row>
    <row r="229" spans="1:10" x14ac:dyDescent="0.25">
      <c r="A229">
        <v>6</v>
      </c>
      <c r="B229">
        <v>22</v>
      </c>
      <c r="C229" t="s">
        <v>5</v>
      </c>
      <c r="D229" t="s">
        <v>21</v>
      </c>
      <c r="E229">
        <v>33252.36813186809</v>
      </c>
      <c r="F229">
        <v>254220.03296703263</v>
      </c>
      <c r="G229">
        <v>18545422586.55426</v>
      </c>
      <c r="H229">
        <v>370094521.52841485</v>
      </c>
      <c r="I229">
        <v>675923.62062724074</v>
      </c>
      <c r="J229">
        <v>32798403</v>
      </c>
    </row>
    <row r="230" spans="1:10" x14ac:dyDescent="0.25">
      <c r="A230">
        <v>6</v>
      </c>
      <c r="B230">
        <v>23</v>
      </c>
      <c r="C230" t="s">
        <v>5</v>
      </c>
      <c r="D230" t="s">
        <v>22</v>
      </c>
      <c r="E230">
        <v>17930.906593406595</v>
      </c>
      <c r="F230">
        <v>237956.36630036664</v>
      </c>
      <c r="G230">
        <v>17296496207.603832</v>
      </c>
      <c r="H230">
        <v>237861840.32980281</v>
      </c>
      <c r="I230">
        <v>348301.87078487797</v>
      </c>
      <c r="J230">
        <v>29655337.485714287</v>
      </c>
    </row>
    <row r="231" spans="1:10" x14ac:dyDescent="0.25">
      <c r="A231">
        <v>6</v>
      </c>
      <c r="B231">
        <v>24</v>
      </c>
      <c r="C231" t="s">
        <v>5</v>
      </c>
      <c r="D231" t="s">
        <v>23</v>
      </c>
      <c r="E231">
        <v>19093.291208791205</v>
      </c>
      <c r="F231">
        <v>195428.36630036632</v>
      </c>
      <c r="G231">
        <v>17869446066.48381</v>
      </c>
      <c r="H231">
        <v>229514250.92980281</v>
      </c>
      <c r="I231">
        <v>608256.92283965473</v>
      </c>
      <c r="J231">
        <v>4099275.8400000008</v>
      </c>
    </row>
    <row r="232" spans="1:10" x14ac:dyDescent="0.25">
      <c r="A232">
        <v>6</v>
      </c>
      <c r="B232">
        <v>25</v>
      </c>
      <c r="C232" t="s">
        <v>5</v>
      </c>
      <c r="D232" t="s">
        <v>24</v>
      </c>
      <c r="E232">
        <v>16697.906593406595</v>
      </c>
      <c r="F232">
        <v>188376.03296703292</v>
      </c>
      <c r="G232">
        <v>15839508311.537136</v>
      </c>
      <c r="H232">
        <v>170802637.82980281</v>
      </c>
      <c r="I232">
        <v>302767.30381567543</v>
      </c>
      <c r="J232">
        <v>2490870.9450549455</v>
      </c>
    </row>
    <row r="233" spans="1:10" x14ac:dyDescent="0.25">
      <c r="A233">
        <v>6</v>
      </c>
      <c r="B233">
        <v>26</v>
      </c>
      <c r="C233" t="s">
        <v>5</v>
      </c>
      <c r="D233" t="s">
        <v>25</v>
      </c>
      <c r="E233">
        <v>15776.983516483517</v>
      </c>
      <c r="F233">
        <v>174449.69963369961</v>
      </c>
      <c r="G233">
        <v>15813781535.939041</v>
      </c>
      <c r="H233">
        <v>218784045.55928534</v>
      </c>
      <c r="I233">
        <v>302765.99603789765</v>
      </c>
      <c r="J233">
        <v>3560887.3538461537</v>
      </c>
    </row>
    <row r="234" spans="1:10" x14ac:dyDescent="0.25">
      <c r="A234">
        <v>6</v>
      </c>
      <c r="B234">
        <v>27</v>
      </c>
      <c r="C234" t="s">
        <v>5</v>
      </c>
      <c r="D234" t="s">
        <v>26</v>
      </c>
      <c r="E234">
        <v>70992.21428571429</v>
      </c>
      <c r="F234">
        <v>544382.79963369959</v>
      </c>
      <c r="G234">
        <v>32422176578.087997</v>
      </c>
      <c r="H234">
        <v>792164819.36262226</v>
      </c>
      <c r="I234">
        <v>2052060.3490642097</v>
      </c>
      <c r="J234">
        <v>22641955.06813186</v>
      </c>
    </row>
    <row r="235" spans="1:10" x14ac:dyDescent="0.25">
      <c r="A235">
        <v>6</v>
      </c>
      <c r="B235">
        <v>28</v>
      </c>
      <c r="C235" t="s">
        <v>5</v>
      </c>
      <c r="D235" t="s">
        <v>27</v>
      </c>
      <c r="E235">
        <v>48056.514285714293</v>
      </c>
      <c r="F235">
        <v>244382.09963369963</v>
      </c>
      <c r="G235" t="s">
        <v>122</v>
      </c>
      <c r="H235" t="s">
        <v>122</v>
      </c>
      <c r="I235">
        <v>2052061.273508654</v>
      </c>
      <c r="J235">
        <v>87306459.824175894</v>
      </c>
    </row>
    <row r="236" spans="1:10" x14ac:dyDescent="0.25">
      <c r="A236">
        <v>6</v>
      </c>
      <c r="B236">
        <v>29</v>
      </c>
      <c r="C236" t="s">
        <v>5</v>
      </c>
      <c r="D236" t="s">
        <v>28</v>
      </c>
      <c r="E236">
        <v>44103.71428571429</v>
      </c>
      <c r="F236">
        <v>489161.09963369963</v>
      </c>
      <c r="G236">
        <v>34502665099.559235</v>
      </c>
      <c r="H236">
        <v>550049251.52841485</v>
      </c>
      <c r="I236">
        <v>968748.83441691496</v>
      </c>
      <c r="J236">
        <v>10381148.901098907</v>
      </c>
    </row>
    <row r="237" spans="1:10" x14ac:dyDescent="0.25">
      <c r="A237">
        <v>6</v>
      </c>
      <c r="B237">
        <v>30</v>
      </c>
      <c r="C237" t="s">
        <v>5</v>
      </c>
      <c r="D237" t="s">
        <v>29</v>
      </c>
      <c r="E237">
        <v>19263.514285714286</v>
      </c>
      <c r="F237">
        <v>357310.79963369964</v>
      </c>
      <c r="G237">
        <v>31320392575.395618</v>
      </c>
      <c r="H237">
        <v>202077339.13780281</v>
      </c>
      <c r="I237">
        <v>338869.47775519837</v>
      </c>
      <c r="J237">
        <v>15228060.439560438</v>
      </c>
    </row>
    <row r="238" spans="1:10" x14ac:dyDescent="0.25">
      <c r="A238">
        <v>6</v>
      </c>
      <c r="B238">
        <v>31</v>
      </c>
      <c r="C238" t="s">
        <v>5</v>
      </c>
      <c r="D238" t="s">
        <v>30</v>
      </c>
      <c r="E238">
        <v>14152.675824175825</v>
      </c>
      <c r="F238">
        <v>152062.39194139192</v>
      </c>
      <c r="G238">
        <v>4168857382.5257134</v>
      </c>
      <c r="H238">
        <v>171522627.11557838</v>
      </c>
      <c r="I238">
        <v>330396.18695147365</v>
      </c>
      <c r="J238">
        <v>25110590.109890159</v>
      </c>
    </row>
    <row r="239" spans="1:10" x14ac:dyDescent="0.25">
      <c r="A239">
        <v>6</v>
      </c>
      <c r="B239">
        <v>32</v>
      </c>
      <c r="C239" t="s">
        <v>5</v>
      </c>
      <c r="D239" t="s">
        <v>31</v>
      </c>
      <c r="E239">
        <v>11997.598901098901</v>
      </c>
      <c r="F239">
        <v>177609.19963369961</v>
      </c>
      <c r="G239">
        <v>5494212712.0447598</v>
      </c>
      <c r="H239">
        <v>149430912.68821782</v>
      </c>
      <c r="I239">
        <v>338869.19997742056</v>
      </c>
      <c r="J239">
        <v>12079822.857142856</v>
      </c>
    </row>
    <row r="240" spans="1:10" x14ac:dyDescent="0.25">
      <c r="A240">
        <v>6</v>
      </c>
      <c r="B240">
        <v>33</v>
      </c>
      <c r="C240" t="s">
        <v>5</v>
      </c>
      <c r="D240" t="s">
        <v>32</v>
      </c>
      <c r="E240">
        <v>75674.98351648348</v>
      </c>
      <c r="F240">
        <v>227319.42271062272</v>
      </c>
      <c r="G240">
        <v>8476559417.340951</v>
      </c>
      <c r="H240">
        <v>228334533.05221784</v>
      </c>
      <c r="I240">
        <v>297270.26919283863</v>
      </c>
      <c r="J240">
        <v>16447870.769230776</v>
      </c>
    </row>
    <row r="241" spans="1:10" x14ac:dyDescent="0.25">
      <c r="A241">
        <v>6</v>
      </c>
      <c r="B241">
        <v>34</v>
      </c>
      <c r="C241" t="s">
        <v>5</v>
      </c>
      <c r="D241" t="s">
        <v>33</v>
      </c>
      <c r="E241">
        <v>308285.52197802224</v>
      </c>
      <c r="F241">
        <v>394881.0885225886</v>
      </c>
      <c r="G241">
        <v>14952930588.59778</v>
      </c>
      <c r="H241">
        <v>938122736.00357831</v>
      </c>
      <c r="I241">
        <v>330395.58695147361</v>
      </c>
      <c r="J241">
        <v>23779821.538461536</v>
      </c>
    </row>
    <row r="242" spans="1:10" x14ac:dyDescent="0.25">
      <c r="A242">
        <v>6</v>
      </c>
      <c r="B242">
        <v>35</v>
      </c>
      <c r="C242" t="s">
        <v>5</v>
      </c>
      <c r="D242" t="s">
        <v>34</v>
      </c>
      <c r="E242">
        <v>34603.829670329687</v>
      </c>
      <c r="F242">
        <v>143291.23809523814</v>
      </c>
      <c r="G242">
        <v>5124971616.662859</v>
      </c>
      <c r="H242">
        <v>308388127.07557839</v>
      </c>
      <c r="I242">
        <v>77.632928485125746</v>
      </c>
      <c r="J242">
        <v>28</v>
      </c>
    </row>
    <row r="243" spans="1:10" x14ac:dyDescent="0.25">
      <c r="A243">
        <v>6</v>
      </c>
      <c r="B243">
        <v>36</v>
      </c>
      <c r="C243" t="s">
        <v>5</v>
      </c>
      <c r="D243" t="s">
        <v>35</v>
      </c>
      <c r="E243">
        <v>15228.060439560437</v>
      </c>
      <c r="F243">
        <v>219137.62271062273</v>
      </c>
      <c r="G243">
        <v>8252030396.3942852</v>
      </c>
      <c r="H243">
        <v>163240115.9581275</v>
      </c>
      <c r="I243">
        <v>968746.10886135942</v>
      </c>
      <c r="J243">
        <v>21737965.714285716</v>
      </c>
    </row>
    <row r="244" spans="1:10" x14ac:dyDescent="0.25">
      <c r="A244">
        <v>6</v>
      </c>
      <c r="B244">
        <v>37</v>
      </c>
      <c r="C244" t="s">
        <v>5</v>
      </c>
      <c r="D244" t="s">
        <v>36</v>
      </c>
      <c r="E244">
        <v>21647.060439560486</v>
      </c>
      <c r="F244">
        <v>213953.12637362632</v>
      </c>
      <c r="G244">
        <v>28867385948.459991</v>
      </c>
      <c r="H244">
        <v>216769733.35498744</v>
      </c>
      <c r="I244">
        <v>968746.48663913715</v>
      </c>
      <c r="J244">
        <v>2961994.1999999988</v>
      </c>
    </row>
    <row r="245" spans="1:10" x14ac:dyDescent="0.25">
      <c r="A245">
        <v>6</v>
      </c>
      <c r="B245">
        <v>38</v>
      </c>
      <c r="C245" t="s">
        <v>5</v>
      </c>
      <c r="D245" t="s">
        <v>37</v>
      </c>
      <c r="E245">
        <v>11615.214285714286</v>
      </c>
      <c r="F245">
        <v>134930.08424908423</v>
      </c>
      <c r="G245">
        <v>21663516171.69714</v>
      </c>
      <c r="H245">
        <v>146790737.61599806</v>
      </c>
      <c r="I245">
        <v>525051.88419282262</v>
      </c>
      <c r="J245">
        <v>5684708.2571428558</v>
      </c>
    </row>
    <row r="246" spans="1:10" x14ac:dyDescent="0.25">
      <c r="A246">
        <v>6</v>
      </c>
      <c r="B246">
        <v>39</v>
      </c>
      <c r="C246" t="s">
        <v>5</v>
      </c>
      <c r="D246" t="s">
        <v>38</v>
      </c>
      <c r="E246">
        <v>14685.598901098907</v>
      </c>
      <c r="F246">
        <v>219100.54212454212</v>
      </c>
      <c r="G246">
        <v>30586032535.58857</v>
      </c>
      <c r="H246">
        <v>164111395.67498744</v>
      </c>
      <c r="I246">
        <v>608253.5617285436</v>
      </c>
      <c r="J246">
        <v>1949856.7714285711</v>
      </c>
    </row>
    <row r="247" spans="1:10" x14ac:dyDescent="0.25">
      <c r="A247">
        <v>6</v>
      </c>
      <c r="B247">
        <v>40</v>
      </c>
      <c r="C247" t="s">
        <v>5</v>
      </c>
      <c r="D247" t="s">
        <v>39</v>
      </c>
      <c r="E247">
        <v>21231.983516483517</v>
      </c>
      <c r="F247">
        <v>200419.84249084251</v>
      </c>
      <c r="G247">
        <v>30188711766.011433</v>
      </c>
      <c r="H247">
        <v>149651228.47748324</v>
      </c>
      <c r="I247">
        <v>0</v>
      </c>
      <c r="J247">
        <v>1235948.5714285711</v>
      </c>
    </row>
    <row r="248" spans="1:10" x14ac:dyDescent="0.25">
      <c r="A248">
        <v>6</v>
      </c>
      <c r="B248">
        <v>41</v>
      </c>
      <c r="C248" t="s">
        <v>5</v>
      </c>
      <c r="D248" t="s">
        <v>40</v>
      </c>
      <c r="E248">
        <v>33590.906593406587</v>
      </c>
      <c r="F248">
        <v>148598.19230769231</v>
      </c>
      <c r="G248">
        <v>22242474621</v>
      </c>
      <c r="H248">
        <v>303756954.57599807</v>
      </c>
      <c r="I248">
        <v>0</v>
      </c>
      <c r="J248">
        <v>1764833.5999999996</v>
      </c>
    </row>
    <row r="249" spans="1:10" x14ac:dyDescent="0.25">
      <c r="A249">
        <v>7</v>
      </c>
      <c r="B249">
        <v>1</v>
      </c>
      <c r="C249" t="s">
        <v>6</v>
      </c>
      <c r="D249" t="s">
        <v>0</v>
      </c>
      <c r="E249">
        <v>95283.214285714261</v>
      </c>
      <c r="F249">
        <v>104655.53846153851</v>
      </c>
      <c r="G249">
        <v>3100031008.3200011</v>
      </c>
      <c r="H249">
        <v>159263157.4455561</v>
      </c>
      <c r="I249">
        <v>0</v>
      </c>
      <c r="J249">
        <v>0</v>
      </c>
    </row>
    <row r="250" spans="1:10" x14ac:dyDescent="0.25">
      <c r="A250">
        <v>7</v>
      </c>
      <c r="B250">
        <v>2</v>
      </c>
      <c r="C250" t="s">
        <v>6</v>
      </c>
      <c r="D250" t="s">
        <v>1</v>
      </c>
      <c r="E250">
        <v>24022.214285714257</v>
      </c>
      <c r="F250">
        <v>95043.923076923122</v>
      </c>
      <c r="G250">
        <v>3069899706.6000013</v>
      </c>
      <c r="H250">
        <v>35731688.884127527</v>
      </c>
      <c r="I250">
        <v>608253.71506187692</v>
      </c>
      <c r="J250">
        <v>2124603.9999999972</v>
      </c>
    </row>
    <row r="251" spans="1:10" x14ac:dyDescent="0.25">
      <c r="A251">
        <v>7</v>
      </c>
      <c r="B251">
        <v>3</v>
      </c>
      <c r="C251" t="s">
        <v>6</v>
      </c>
      <c r="D251" t="s">
        <v>2</v>
      </c>
      <c r="E251">
        <v>19286.857142857159</v>
      </c>
      <c r="F251">
        <v>98078.153846153815</v>
      </c>
      <c r="G251">
        <v>3446062244.1599984</v>
      </c>
      <c r="H251">
        <v>78341688.083932832</v>
      </c>
      <c r="I251">
        <v>968748.56997247052</v>
      </c>
      <c r="J251">
        <v>493766.74285714276</v>
      </c>
    </row>
    <row r="252" spans="1:10" x14ac:dyDescent="0.25">
      <c r="A252">
        <v>7</v>
      </c>
      <c r="B252">
        <v>4</v>
      </c>
      <c r="C252" t="s">
        <v>6</v>
      </c>
      <c r="D252" t="s">
        <v>3</v>
      </c>
      <c r="E252">
        <v>33943.214285714253</v>
      </c>
      <c r="F252">
        <v>87185.076923076907</v>
      </c>
      <c r="G252">
        <v>641054433.5999999</v>
      </c>
      <c r="H252">
        <v>128586133.48622906</v>
      </c>
      <c r="I252">
        <v>608253.84950632136</v>
      </c>
      <c r="J252">
        <v>1767368.4285714298</v>
      </c>
    </row>
    <row r="253" spans="1:10" x14ac:dyDescent="0.25">
      <c r="A253">
        <v>7</v>
      </c>
      <c r="B253">
        <v>5</v>
      </c>
      <c r="C253" t="s">
        <v>6</v>
      </c>
      <c r="D253" t="s">
        <v>4</v>
      </c>
      <c r="E253">
        <v>67679.785714285754</v>
      </c>
      <c r="F253">
        <v>118985.15384615381</v>
      </c>
      <c r="G253">
        <v>343075605.37199986</v>
      </c>
      <c r="H253">
        <v>0</v>
      </c>
      <c r="I253">
        <v>445782.65733818756</v>
      </c>
      <c r="J253">
        <v>22607495.824175812</v>
      </c>
    </row>
    <row r="254" spans="1:10" x14ac:dyDescent="0.25">
      <c r="A254">
        <v>7</v>
      </c>
      <c r="B254">
        <v>6</v>
      </c>
      <c r="C254" t="s">
        <v>6</v>
      </c>
      <c r="D254" t="s">
        <v>5</v>
      </c>
      <c r="E254">
        <v>16007.928571428556</v>
      </c>
      <c r="F254">
        <v>184774.4652014653</v>
      </c>
      <c r="G254">
        <v>2309636469.146668</v>
      </c>
      <c r="H254">
        <v>0</v>
      </c>
      <c r="I254">
        <v>458598.3192171664</v>
      </c>
      <c r="J254">
        <v>17387034.971428573</v>
      </c>
    </row>
    <row r="255" spans="1:10" x14ac:dyDescent="0.25">
      <c r="A255">
        <v>7</v>
      </c>
      <c r="B255">
        <v>7</v>
      </c>
      <c r="C255" t="s">
        <v>6</v>
      </c>
      <c r="D255" t="s">
        <v>6</v>
      </c>
      <c r="E255">
        <v>0</v>
      </c>
      <c r="F255">
        <v>0</v>
      </c>
      <c r="G255">
        <v>0</v>
      </c>
      <c r="H255">
        <v>0</v>
      </c>
      <c r="I255">
        <v>327736.24674709584</v>
      </c>
      <c r="J255">
        <v>4751193.4065934112</v>
      </c>
    </row>
    <row r="256" spans="1:10" x14ac:dyDescent="0.25">
      <c r="A256">
        <v>7</v>
      </c>
      <c r="B256">
        <v>8</v>
      </c>
      <c r="C256" t="s">
        <v>6</v>
      </c>
      <c r="D256" t="s">
        <v>7</v>
      </c>
      <c r="E256">
        <v>37404.999999999956</v>
      </c>
      <c r="F256">
        <v>175918.53846153832</v>
      </c>
      <c r="G256">
        <v>1348929279.4399986</v>
      </c>
      <c r="H256">
        <v>166989331.07965761</v>
      </c>
      <c r="I256">
        <v>327735.74896931805</v>
      </c>
      <c r="J256">
        <v>19165396.703296691</v>
      </c>
    </row>
    <row r="257" spans="1:10" x14ac:dyDescent="0.25">
      <c r="A257">
        <v>7</v>
      </c>
      <c r="B257">
        <v>9</v>
      </c>
      <c r="C257" t="s">
        <v>6</v>
      </c>
      <c r="D257" t="s">
        <v>8</v>
      </c>
      <c r="E257">
        <v>3400.5974025974024</v>
      </c>
      <c r="F257">
        <v>626251.31410256424</v>
      </c>
      <c r="G257">
        <v>10919718713.533335</v>
      </c>
      <c r="H257">
        <v>14467416.983242046</v>
      </c>
      <c r="I257">
        <v>380079.02276449616</v>
      </c>
      <c r="J257">
        <v>38396653.186813161</v>
      </c>
    </row>
    <row r="258" spans="1:10" x14ac:dyDescent="0.25">
      <c r="A258">
        <v>7</v>
      </c>
      <c r="B258">
        <v>10</v>
      </c>
      <c r="C258" t="s">
        <v>6</v>
      </c>
      <c r="D258" t="s">
        <v>9</v>
      </c>
      <c r="E258">
        <v>23883.357142857159</v>
      </c>
      <c r="F258">
        <v>150627.61538461543</v>
      </c>
      <c r="G258">
        <v>1155000504.5600002</v>
      </c>
      <c r="H258">
        <v>117759625.60142858</v>
      </c>
      <c r="I258">
        <v>540423.24745955854</v>
      </c>
      <c r="J258">
        <v>33780073.84615387</v>
      </c>
    </row>
    <row r="259" spans="1:10" x14ac:dyDescent="0.25">
      <c r="A259">
        <v>7</v>
      </c>
      <c r="B259">
        <v>11</v>
      </c>
      <c r="C259" t="s">
        <v>6</v>
      </c>
      <c r="D259" t="s">
        <v>10</v>
      </c>
      <c r="E259">
        <v>24050.527472527458</v>
      </c>
      <c r="F259">
        <v>153391.69230769231</v>
      </c>
      <c r="G259">
        <v>19415277348.800003</v>
      </c>
      <c r="H259">
        <v>147938938.47662777</v>
      </c>
      <c r="I259">
        <v>786136.96341116028</v>
      </c>
      <c r="J259">
        <v>67273450.549450561</v>
      </c>
    </row>
    <row r="260" spans="1:10" x14ac:dyDescent="0.25">
      <c r="A260">
        <v>7</v>
      </c>
      <c r="B260">
        <v>12</v>
      </c>
      <c r="C260" t="s">
        <v>6</v>
      </c>
      <c r="D260" t="s">
        <v>11</v>
      </c>
      <c r="E260">
        <v>21019.142857142859</v>
      </c>
      <c r="F260">
        <v>98117.76923076922</v>
      </c>
      <c r="G260">
        <v>10744307825.399998</v>
      </c>
      <c r="H260">
        <v>280955340.94874424</v>
      </c>
      <c r="I260">
        <v>540518.97065770533</v>
      </c>
      <c r="J260">
        <v>24607806.487912063</v>
      </c>
    </row>
    <row r="261" spans="1:10" x14ac:dyDescent="0.25">
      <c r="A261">
        <v>7</v>
      </c>
      <c r="B261">
        <v>13</v>
      </c>
      <c r="C261" t="s">
        <v>6</v>
      </c>
      <c r="D261" t="s">
        <v>12</v>
      </c>
      <c r="E261">
        <v>6097.5274725274776</v>
      </c>
      <c r="F261">
        <v>79806.23076923081</v>
      </c>
      <c r="G261">
        <v>8139743932.0800037</v>
      </c>
      <c r="H261">
        <v>30055458.601762112</v>
      </c>
      <c r="I261">
        <v>314515.77220444882</v>
      </c>
      <c r="J261">
        <v>1914618.8571428584</v>
      </c>
    </row>
    <row r="262" spans="1:10" x14ac:dyDescent="0.25">
      <c r="A262">
        <v>7</v>
      </c>
      <c r="B262">
        <v>14</v>
      </c>
      <c r="C262" t="s">
        <v>6</v>
      </c>
      <c r="D262" t="s">
        <v>13</v>
      </c>
      <c r="E262">
        <v>26722.527472527458</v>
      </c>
      <c r="F262">
        <v>226270.4615384613</v>
      </c>
      <c r="G262">
        <v>21414471801.279976</v>
      </c>
      <c r="H262">
        <v>117013094.08976211</v>
      </c>
      <c r="I262">
        <v>675920.06840501865</v>
      </c>
      <c r="J262">
        <v>24823700.808791209</v>
      </c>
    </row>
    <row r="263" spans="1:10" x14ac:dyDescent="0.25">
      <c r="A263">
        <v>7</v>
      </c>
      <c r="B263">
        <v>15</v>
      </c>
      <c r="C263" t="s">
        <v>6</v>
      </c>
      <c r="D263" t="s">
        <v>14</v>
      </c>
      <c r="E263">
        <v>50521.912087912053</v>
      </c>
      <c r="F263">
        <v>348446.15384615434</v>
      </c>
      <c r="G263">
        <v>33928926768.000042</v>
      </c>
      <c r="H263">
        <v>223482591.87699965</v>
      </c>
      <c r="I263">
        <v>551306.45108980581</v>
      </c>
      <c r="J263">
        <v>12850427.156043956</v>
      </c>
    </row>
    <row r="264" spans="1:10" x14ac:dyDescent="0.25">
      <c r="A264">
        <v>7</v>
      </c>
      <c r="B264">
        <v>16</v>
      </c>
      <c r="C264" t="s">
        <v>6</v>
      </c>
      <c r="D264" t="s">
        <v>15</v>
      </c>
      <c r="E264">
        <v>40214.373626373657</v>
      </c>
      <c r="F264">
        <v>586659.38461538428</v>
      </c>
      <c r="G264">
        <v>65751422777.91996</v>
      </c>
      <c r="H264">
        <v>102780309.58541033</v>
      </c>
      <c r="I264">
        <v>6200449.1190594751</v>
      </c>
      <c r="J264">
        <v>11782702.417582395</v>
      </c>
    </row>
    <row r="265" spans="1:10" x14ac:dyDescent="0.25">
      <c r="A265">
        <v>7</v>
      </c>
      <c r="B265">
        <v>17</v>
      </c>
      <c r="C265" t="s">
        <v>6</v>
      </c>
      <c r="D265" t="s">
        <v>16</v>
      </c>
      <c r="E265">
        <v>67273.450549450557</v>
      </c>
      <c r="F265">
        <v>231543.23076923031</v>
      </c>
      <c r="G265">
        <v>31496084743.199936</v>
      </c>
      <c r="H265">
        <v>440868094.82590133</v>
      </c>
      <c r="I265">
        <v>348301.28745154466</v>
      </c>
      <c r="J265">
        <v>4450542.8835164849</v>
      </c>
    </row>
    <row r="266" spans="1:10" x14ac:dyDescent="0.25">
      <c r="A266">
        <v>7</v>
      </c>
      <c r="B266">
        <v>18</v>
      </c>
      <c r="C266" t="s">
        <v>6</v>
      </c>
      <c r="D266" t="s">
        <v>17</v>
      </c>
      <c r="E266">
        <v>26539.91208791206</v>
      </c>
      <c r="F266">
        <v>108714.07692307691</v>
      </c>
      <c r="G266">
        <v>13531902068.399998</v>
      </c>
      <c r="H266">
        <v>296070301.88541037</v>
      </c>
      <c r="I266">
        <v>348300.57634043356</v>
      </c>
      <c r="J266">
        <v>6490559.7186813168</v>
      </c>
    </row>
    <row r="267" spans="1:10" x14ac:dyDescent="0.25">
      <c r="A267">
        <v>7</v>
      </c>
      <c r="B267">
        <v>19</v>
      </c>
      <c r="C267" t="s">
        <v>6</v>
      </c>
      <c r="D267" t="s">
        <v>18</v>
      </c>
      <c r="E267">
        <v>4091.0659340659377</v>
      </c>
      <c r="F267">
        <v>147433.07692307691</v>
      </c>
      <c r="G267">
        <v>8494274164.3999977</v>
      </c>
      <c r="H267">
        <v>11189577.147029728</v>
      </c>
      <c r="I267">
        <v>348299.23745154461</v>
      </c>
      <c r="J267">
        <v>4533536.1054945067</v>
      </c>
    </row>
    <row r="268" spans="1:10" x14ac:dyDescent="0.25">
      <c r="A268">
        <v>7</v>
      </c>
      <c r="B268">
        <v>20</v>
      </c>
      <c r="C268" t="s">
        <v>6</v>
      </c>
      <c r="D268" t="s">
        <v>19</v>
      </c>
      <c r="E268">
        <v>61262.835164835153</v>
      </c>
      <c r="F268">
        <v>119248.35897435901</v>
      </c>
      <c r="G268">
        <v>5899674232.1600008</v>
      </c>
      <c r="H268">
        <v>243318138.66833654</v>
      </c>
      <c r="I268">
        <v>380081.72165338503</v>
      </c>
      <c r="J268">
        <v>4421359.4373626374</v>
      </c>
    </row>
    <row r="269" spans="1:10" x14ac:dyDescent="0.25">
      <c r="A269">
        <v>7</v>
      </c>
      <c r="B269">
        <v>21</v>
      </c>
      <c r="C269" t="s">
        <v>6</v>
      </c>
      <c r="D269" t="s">
        <v>20</v>
      </c>
      <c r="E269">
        <v>40107.450549450557</v>
      </c>
      <c r="F269">
        <v>163400.02564102531</v>
      </c>
      <c r="G269">
        <v>6178873929.599987</v>
      </c>
      <c r="H269">
        <v>14358925.816439912</v>
      </c>
      <c r="I269">
        <v>675921.51507168519</v>
      </c>
      <c r="J269">
        <v>23968092.571428571</v>
      </c>
    </row>
    <row r="270" spans="1:10" x14ac:dyDescent="0.25">
      <c r="A270">
        <v>7</v>
      </c>
      <c r="B270">
        <v>22</v>
      </c>
      <c r="C270" t="s">
        <v>6</v>
      </c>
      <c r="D270" t="s">
        <v>21</v>
      </c>
      <c r="E270">
        <v>24547.296703296659</v>
      </c>
      <c r="F270">
        <v>182527.02564102531</v>
      </c>
      <c r="G270">
        <v>10947576739.573313</v>
      </c>
      <c r="H270">
        <v>231405523.99412915</v>
      </c>
      <c r="I270">
        <v>348299.76522932242</v>
      </c>
      <c r="J270">
        <v>20842720.914285716</v>
      </c>
    </row>
    <row r="271" spans="1:10" x14ac:dyDescent="0.25">
      <c r="A271">
        <v>7</v>
      </c>
      <c r="B271">
        <v>23</v>
      </c>
      <c r="C271" t="s">
        <v>6</v>
      </c>
      <c r="D271" t="s">
        <v>22</v>
      </c>
      <c r="E271">
        <v>9225.8351648351672</v>
      </c>
      <c r="F271">
        <v>166263.35897435932</v>
      </c>
      <c r="G271">
        <v>9919724232.7466869</v>
      </c>
      <c r="H271">
        <v>99172842.795517117</v>
      </c>
      <c r="I271">
        <v>608254.81728409918</v>
      </c>
      <c r="J271">
        <v>1376820.9485714287</v>
      </c>
    </row>
    <row r="272" spans="1:10" x14ac:dyDescent="0.25">
      <c r="A272">
        <v>7</v>
      </c>
      <c r="B272">
        <v>24</v>
      </c>
      <c r="C272" t="s">
        <v>6</v>
      </c>
      <c r="D272" t="s">
        <v>23</v>
      </c>
      <c r="E272">
        <v>10388.219780219777</v>
      </c>
      <c r="F272">
        <v>123735.35897435901</v>
      </c>
      <c r="G272">
        <v>9702381512.6266689</v>
      </c>
      <c r="H272">
        <v>90825253.395517111</v>
      </c>
      <c r="I272">
        <v>302765.19826011988</v>
      </c>
      <c r="J272">
        <v>514253.85494505515</v>
      </c>
    </row>
    <row r="273" spans="1:10" x14ac:dyDescent="0.25">
      <c r="A273">
        <v>7</v>
      </c>
      <c r="B273">
        <v>25</v>
      </c>
      <c r="C273" t="s">
        <v>6</v>
      </c>
      <c r="D273" t="s">
        <v>24</v>
      </c>
      <c r="E273">
        <v>7992.8351648351672</v>
      </c>
      <c r="F273">
        <v>116683.02564102561</v>
      </c>
      <c r="G273">
        <v>8291444461.5199995</v>
      </c>
      <c r="H273">
        <v>32113640.295517117</v>
      </c>
      <c r="I273">
        <v>302763.8904823421</v>
      </c>
      <c r="J273">
        <v>704600.87912087899</v>
      </c>
    </row>
    <row r="274" spans="1:10" x14ac:dyDescent="0.25">
      <c r="A274">
        <v>7</v>
      </c>
      <c r="B274">
        <v>26</v>
      </c>
      <c r="C274" t="s">
        <v>6</v>
      </c>
      <c r="D274" t="s">
        <v>25</v>
      </c>
      <c r="E274">
        <v>7071.9120879120874</v>
      </c>
      <c r="F274">
        <v>102756.69230769231</v>
      </c>
      <c r="G274">
        <v>8208504631.0800009</v>
      </c>
      <c r="H274">
        <v>80095048.024999648</v>
      </c>
      <c r="I274">
        <v>2052058.2435086542</v>
      </c>
      <c r="J274">
        <v>14679804.729670323</v>
      </c>
    </row>
    <row r="275" spans="1:10" x14ac:dyDescent="0.25">
      <c r="A275">
        <v>7</v>
      </c>
      <c r="B275">
        <v>27</v>
      </c>
      <c r="C275" t="s">
        <v>6</v>
      </c>
      <c r="D275" t="s">
        <v>26</v>
      </c>
      <c r="E275">
        <v>62287.142857142855</v>
      </c>
      <c r="F275">
        <v>472689.79230769229</v>
      </c>
      <c r="G275">
        <v>21995541752.312</v>
      </c>
      <c r="H275">
        <v>653475821.8283366</v>
      </c>
      <c r="I275">
        <v>2052059.1679530987</v>
      </c>
      <c r="J275">
        <v>59436761.38901104</v>
      </c>
    </row>
    <row r="276" spans="1:10" x14ac:dyDescent="0.25">
      <c r="A276">
        <v>7</v>
      </c>
      <c r="B276">
        <v>28</v>
      </c>
      <c r="C276" t="s">
        <v>6</v>
      </c>
      <c r="D276" t="s">
        <v>27</v>
      </c>
      <c r="E276">
        <v>39351.442857142858</v>
      </c>
      <c r="F276">
        <v>172689.09230769231</v>
      </c>
      <c r="G276" t="s">
        <v>122</v>
      </c>
      <c r="H276" t="s">
        <v>122</v>
      </c>
      <c r="I276">
        <v>968746.72886135941</v>
      </c>
      <c r="J276">
        <v>5645929.2967033004</v>
      </c>
    </row>
    <row r="277" spans="1:10" x14ac:dyDescent="0.25">
      <c r="A277">
        <v>7</v>
      </c>
      <c r="B277">
        <v>29</v>
      </c>
      <c r="C277" t="s">
        <v>6</v>
      </c>
      <c r="D277" t="s">
        <v>28</v>
      </c>
      <c r="E277">
        <v>35398.642857142855</v>
      </c>
      <c r="F277">
        <v>417468.09230769234</v>
      </c>
      <c r="G277">
        <v>24030264931.968002</v>
      </c>
      <c r="H277">
        <v>411360253.99412918</v>
      </c>
      <c r="I277">
        <v>338867.37219964276</v>
      </c>
      <c r="J277">
        <v>5995931.4989010952</v>
      </c>
    </row>
    <row r="278" spans="1:10" x14ac:dyDescent="0.25">
      <c r="A278">
        <v>7</v>
      </c>
      <c r="B278">
        <v>30</v>
      </c>
      <c r="C278" t="s">
        <v>6</v>
      </c>
      <c r="D278" t="s">
        <v>29</v>
      </c>
      <c r="E278">
        <v>10558.442857142858</v>
      </c>
      <c r="F278">
        <v>285617.79230769235</v>
      </c>
      <c r="G278">
        <v>21330919254.744003</v>
      </c>
      <c r="H278">
        <v>63388341.603517115</v>
      </c>
      <c r="I278">
        <v>330394.0813959181</v>
      </c>
      <c r="J278">
        <v>13977348.131868182</v>
      </c>
    </row>
    <row r="279" spans="1:10" x14ac:dyDescent="0.25">
      <c r="A279">
        <v>7</v>
      </c>
      <c r="B279">
        <v>31</v>
      </c>
      <c r="C279" t="s">
        <v>6</v>
      </c>
      <c r="D279" t="s">
        <v>30</v>
      </c>
      <c r="E279">
        <v>5447.6043956043977</v>
      </c>
      <c r="F279">
        <v>80369.38461538461</v>
      </c>
      <c r="G279">
        <v>1308510024.8</v>
      </c>
      <c r="H279">
        <v>32833629.581292711</v>
      </c>
      <c r="I279">
        <v>338867.09442186501</v>
      </c>
      <c r="J279">
        <v>2752995.1428571427</v>
      </c>
    </row>
    <row r="280" spans="1:10" x14ac:dyDescent="0.25">
      <c r="A280">
        <v>7</v>
      </c>
      <c r="B280">
        <v>32</v>
      </c>
      <c r="C280" t="s">
        <v>6</v>
      </c>
      <c r="D280" t="s">
        <v>31</v>
      </c>
      <c r="E280">
        <v>3292.5274725274721</v>
      </c>
      <c r="F280">
        <v>105916.19230769231</v>
      </c>
      <c r="G280">
        <v>2102707562.7600002</v>
      </c>
      <c r="H280">
        <v>10741915.153932123</v>
      </c>
      <c r="I280">
        <v>297268.16363728308</v>
      </c>
      <c r="J280">
        <v>6219748.5714285765</v>
      </c>
    </row>
    <row r="281" spans="1:10" x14ac:dyDescent="0.25">
      <c r="A281">
        <v>7</v>
      </c>
      <c r="B281">
        <v>33</v>
      </c>
      <c r="C281" t="s">
        <v>6</v>
      </c>
      <c r="D281" t="s">
        <v>32</v>
      </c>
      <c r="E281">
        <v>66969.91208791206</v>
      </c>
      <c r="F281">
        <v>155626.41538461542</v>
      </c>
      <c r="G281">
        <v>4070402669.328001</v>
      </c>
      <c r="H281">
        <v>89645535.517932132</v>
      </c>
      <c r="I281">
        <v>297269.61252617196</v>
      </c>
      <c r="J281">
        <v>13027988.571428571</v>
      </c>
    </row>
    <row r="282" spans="1:10" x14ac:dyDescent="0.25">
      <c r="A282">
        <v>7</v>
      </c>
      <c r="B282">
        <v>34</v>
      </c>
      <c r="C282" t="s">
        <v>6</v>
      </c>
      <c r="D282" t="s">
        <v>33</v>
      </c>
      <c r="E282">
        <v>299580.45054945082</v>
      </c>
      <c r="F282">
        <v>323188.0811965813</v>
      </c>
      <c r="G282">
        <v>8656657392.4666691</v>
      </c>
      <c r="H282">
        <v>799433738.46929264</v>
      </c>
      <c r="I282">
        <v>75.527372929570191</v>
      </c>
      <c r="J282">
        <v>26</v>
      </c>
    </row>
    <row r="283" spans="1:10" x14ac:dyDescent="0.25">
      <c r="A283">
        <v>7</v>
      </c>
      <c r="B283">
        <v>35</v>
      </c>
      <c r="C283" t="s">
        <v>6</v>
      </c>
      <c r="D283" t="s">
        <v>34</v>
      </c>
      <c r="E283">
        <v>25898.75824175826</v>
      </c>
      <c r="F283">
        <v>71598.23076923081</v>
      </c>
      <c r="G283">
        <v>1771119706.680001</v>
      </c>
      <c r="H283">
        <v>169699129.54129273</v>
      </c>
      <c r="I283">
        <v>751590.90180054493</v>
      </c>
      <c r="J283">
        <v>22842166.428571425</v>
      </c>
    </row>
    <row r="284" spans="1:10" x14ac:dyDescent="0.25">
      <c r="A284">
        <v>7</v>
      </c>
      <c r="B284">
        <v>36</v>
      </c>
      <c r="C284" t="s">
        <v>6</v>
      </c>
      <c r="D284" t="s">
        <v>35</v>
      </c>
      <c r="E284">
        <v>6522.9890109890075</v>
      </c>
      <c r="F284">
        <v>147444.61538461543</v>
      </c>
      <c r="G284">
        <v>3871895600.000001</v>
      </c>
      <c r="H284">
        <v>24551118.423841819</v>
      </c>
      <c r="I284">
        <v>751591.27957832278</v>
      </c>
      <c r="J284">
        <v>8663816.2285714205</v>
      </c>
    </row>
    <row r="285" spans="1:10" x14ac:dyDescent="0.25">
      <c r="A285">
        <v>7</v>
      </c>
      <c r="B285">
        <v>37</v>
      </c>
      <c r="C285" t="s">
        <v>6</v>
      </c>
      <c r="D285" t="s">
        <v>36</v>
      </c>
      <c r="E285">
        <v>12941.989010989057</v>
      </c>
      <c r="F285">
        <v>142260.11904761899</v>
      </c>
      <c r="G285">
        <v>17348826372.428562</v>
      </c>
      <c r="H285">
        <v>78080735.820701733</v>
      </c>
      <c r="I285">
        <v>303241.36747260095</v>
      </c>
      <c r="J285">
        <v>11661081.59999999</v>
      </c>
    </row>
    <row r="286" spans="1:10" x14ac:dyDescent="0.25">
      <c r="A286">
        <v>7</v>
      </c>
      <c r="B286">
        <v>38</v>
      </c>
      <c r="C286" t="s">
        <v>6</v>
      </c>
      <c r="D286" t="s">
        <v>37</v>
      </c>
      <c r="E286">
        <v>2910.1428571428573</v>
      </c>
      <c r="F286">
        <v>63237.076923076929</v>
      </c>
      <c r="G286">
        <v>9332603696.7999992</v>
      </c>
      <c r="H286">
        <v>8101740.0817123801</v>
      </c>
      <c r="I286">
        <v>0</v>
      </c>
      <c r="J286">
        <v>719252.79999999958</v>
      </c>
    </row>
    <row r="287" spans="1:10" x14ac:dyDescent="0.25">
      <c r="A287">
        <v>7</v>
      </c>
      <c r="B287">
        <v>39</v>
      </c>
      <c r="C287" t="s">
        <v>6</v>
      </c>
      <c r="D287" t="s">
        <v>38</v>
      </c>
      <c r="E287">
        <v>5980.5274725274776</v>
      </c>
      <c r="F287">
        <v>147407.53479853482</v>
      </c>
      <c r="G287">
        <v>18657843383.561909</v>
      </c>
      <c r="H287">
        <v>25422398.14070173</v>
      </c>
      <c r="I287">
        <v>608253.27617298812</v>
      </c>
      <c r="J287">
        <v>5939808.7714285683</v>
      </c>
    </row>
    <row r="288" spans="1:10" x14ac:dyDescent="0.25">
      <c r="A288">
        <v>7</v>
      </c>
      <c r="B288">
        <v>40</v>
      </c>
      <c r="C288" t="s">
        <v>6</v>
      </c>
      <c r="D288" t="s">
        <v>39</v>
      </c>
      <c r="E288">
        <v>12526.912087912087</v>
      </c>
      <c r="F288">
        <v>128726.83516483521</v>
      </c>
      <c r="G288">
        <v>17713121463.08572</v>
      </c>
      <c r="H288">
        <v>10962230.943197578</v>
      </c>
      <c r="I288">
        <v>608255.82061743247</v>
      </c>
      <c r="J288">
        <v>7377611.4285714217</v>
      </c>
    </row>
    <row r="289" spans="1:10" x14ac:dyDescent="0.25">
      <c r="A289">
        <v>7</v>
      </c>
      <c r="B289">
        <v>41</v>
      </c>
      <c r="C289" t="s">
        <v>6</v>
      </c>
      <c r="D289" t="s">
        <v>40</v>
      </c>
      <c r="E289">
        <v>24885.83516483516</v>
      </c>
      <c r="F289">
        <v>76905.184981685015</v>
      </c>
      <c r="G289">
        <v>10513674000.564766</v>
      </c>
      <c r="H289">
        <v>165067957.0417124</v>
      </c>
      <c r="I289">
        <v>608253.71506187692</v>
      </c>
      <c r="J289">
        <v>2124603.9999999972</v>
      </c>
    </row>
    <row r="290" spans="1:10" x14ac:dyDescent="0.25">
      <c r="A290">
        <v>8</v>
      </c>
      <c r="B290">
        <v>1</v>
      </c>
      <c r="C290" t="s">
        <v>7</v>
      </c>
      <c r="D290" t="s">
        <v>0</v>
      </c>
      <c r="E290">
        <v>99439.714285714261</v>
      </c>
      <c r="F290">
        <v>165651.76923076928</v>
      </c>
      <c r="G290">
        <v>2322908255.6400003</v>
      </c>
      <c r="H290">
        <v>305476356.57510847</v>
      </c>
      <c r="I290">
        <v>0</v>
      </c>
      <c r="J290">
        <v>0</v>
      </c>
    </row>
    <row r="291" spans="1:10" x14ac:dyDescent="0.25">
      <c r="A291">
        <v>8</v>
      </c>
      <c r="B291">
        <v>2</v>
      </c>
      <c r="C291" t="s">
        <v>7</v>
      </c>
      <c r="D291" t="s">
        <v>1</v>
      </c>
      <c r="E291">
        <v>28178.714285714253</v>
      </c>
      <c r="F291">
        <v>156040.15384615387</v>
      </c>
      <c r="G291">
        <v>4015662151.2000012</v>
      </c>
      <c r="H291">
        <v>181944888.01367989</v>
      </c>
      <c r="I291">
        <v>751593.36291165603</v>
      </c>
      <c r="J291">
        <v>755709.74025974015</v>
      </c>
    </row>
    <row r="292" spans="1:10" x14ac:dyDescent="0.25">
      <c r="A292">
        <v>8</v>
      </c>
      <c r="B292">
        <v>3</v>
      </c>
      <c r="C292" t="s">
        <v>7</v>
      </c>
      <c r="D292" t="s">
        <v>2</v>
      </c>
      <c r="E292">
        <v>23443.357142857159</v>
      </c>
      <c r="F292">
        <v>159074.38461538457</v>
      </c>
      <c r="G292">
        <v>4544895153.9199982</v>
      </c>
      <c r="H292">
        <v>224441627.455089</v>
      </c>
      <c r="I292">
        <v>608254.26395076583</v>
      </c>
      <c r="J292">
        <v>2332916.1142857159</v>
      </c>
    </row>
    <row r="293" spans="1:10" x14ac:dyDescent="0.25">
      <c r="A293">
        <v>8</v>
      </c>
      <c r="B293">
        <v>4</v>
      </c>
      <c r="C293" t="s">
        <v>7</v>
      </c>
      <c r="D293" t="s">
        <v>3</v>
      </c>
      <c r="E293">
        <v>38099.714285714253</v>
      </c>
      <c r="F293">
        <v>148181.30769230769</v>
      </c>
      <c r="G293">
        <v>108176503.69199997</v>
      </c>
      <c r="H293">
        <v>274586903.70057142</v>
      </c>
      <c r="I293">
        <v>334496.56720582693</v>
      </c>
      <c r="J293">
        <v>25171951.316483501</v>
      </c>
    </row>
    <row r="294" spans="1:10" x14ac:dyDescent="0.25">
      <c r="A294">
        <v>8</v>
      </c>
      <c r="B294">
        <v>5</v>
      </c>
      <c r="C294" t="s">
        <v>7</v>
      </c>
      <c r="D294" t="s">
        <v>4</v>
      </c>
      <c r="E294">
        <v>71836.285714285754</v>
      </c>
      <c r="F294">
        <v>179981.38461538457</v>
      </c>
      <c r="G294">
        <v>1247746146.2399998</v>
      </c>
      <c r="H294">
        <v>186221554.8510862</v>
      </c>
      <c r="I294">
        <v>338752.39223564905</v>
      </c>
      <c r="J294">
        <v>19637001.428571425</v>
      </c>
    </row>
    <row r="295" spans="1:10" x14ac:dyDescent="0.25">
      <c r="A295">
        <v>8</v>
      </c>
      <c r="B295">
        <v>6</v>
      </c>
      <c r="C295" t="s">
        <v>7</v>
      </c>
      <c r="D295" t="s">
        <v>5</v>
      </c>
      <c r="E295">
        <v>20164.428571428558</v>
      </c>
      <c r="F295">
        <v>245770.69597069608</v>
      </c>
      <c r="G295">
        <v>4621019948.952383</v>
      </c>
      <c r="H295">
        <v>305678328.61394334</v>
      </c>
      <c r="I295">
        <v>216451.00306017965</v>
      </c>
      <c r="J295">
        <v>8051462.3714285744</v>
      </c>
    </row>
    <row r="296" spans="1:10" x14ac:dyDescent="0.25">
      <c r="A296">
        <v>8</v>
      </c>
      <c r="B296">
        <v>7</v>
      </c>
      <c r="C296" t="s">
        <v>7</v>
      </c>
      <c r="D296" t="s">
        <v>6</v>
      </c>
      <c r="E296">
        <v>11914.428571428567</v>
      </c>
      <c r="F296">
        <v>179316.99999999997</v>
      </c>
      <c r="G296">
        <v>1374988410.6399996</v>
      </c>
      <c r="H296">
        <v>166989331.07965761</v>
      </c>
      <c r="I296">
        <v>216450.50528240186</v>
      </c>
      <c r="J296">
        <v>22269954.613186803</v>
      </c>
    </row>
    <row r="297" spans="1:10" x14ac:dyDescent="0.25">
      <c r="A297">
        <v>8</v>
      </c>
      <c r="B297">
        <v>8</v>
      </c>
      <c r="C297" t="s">
        <v>7</v>
      </c>
      <c r="D297" t="s">
        <v>7</v>
      </c>
      <c r="E297">
        <v>0</v>
      </c>
      <c r="F297">
        <v>0</v>
      </c>
      <c r="G297">
        <v>0</v>
      </c>
      <c r="H297">
        <v>0</v>
      </c>
      <c r="I297">
        <v>380080.65566861117</v>
      </c>
      <c r="J297">
        <v>39849626.729670301</v>
      </c>
    </row>
    <row r="298" spans="1:10" x14ac:dyDescent="0.25">
      <c r="A298">
        <v>8</v>
      </c>
      <c r="B298">
        <v>9</v>
      </c>
      <c r="C298" t="s">
        <v>7</v>
      </c>
      <c r="D298" t="s">
        <v>8</v>
      </c>
      <c r="E298">
        <v>7557.0974025974019</v>
      </c>
      <c r="F298">
        <v>687247.54487179511</v>
      </c>
      <c r="G298">
        <v>8012921514.5800018</v>
      </c>
      <c r="H298">
        <v>39128802.147584416</v>
      </c>
      <c r="I298">
        <v>380073.55694342119</v>
      </c>
      <c r="J298">
        <v>33384645.316483535</v>
      </c>
    </row>
    <row r="299" spans="1:10" x14ac:dyDescent="0.25">
      <c r="A299">
        <v>8</v>
      </c>
      <c r="B299">
        <v>10</v>
      </c>
      <c r="C299" t="s">
        <v>7</v>
      </c>
      <c r="D299" t="s">
        <v>9</v>
      </c>
      <c r="E299">
        <v>28039.857142857159</v>
      </c>
      <c r="F299">
        <v>211623.84615384619</v>
      </c>
      <c r="G299">
        <v>2300698270.8000007</v>
      </c>
      <c r="H299">
        <v>142833527.99822906</v>
      </c>
      <c r="I299">
        <v>666291.48918183369</v>
      </c>
      <c r="J299">
        <v>68572752.527472541</v>
      </c>
    </row>
    <row r="300" spans="1:10" x14ac:dyDescent="0.25">
      <c r="A300">
        <v>8</v>
      </c>
      <c r="B300">
        <v>11</v>
      </c>
      <c r="C300" t="s">
        <v>7</v>
      </c>
      <c r="D300" t="s">
        <v>10</v>
      </c>
      <c r="E300">
        <v>28207.027472527458</v>
      </c>
      <c r="F300">
        <v>214387.92307692306</v>
      </c>
      <c r="G300">
        <v>25773347365.079994</v>
      </c>
      <c r="H300">
        <v>172833840.86208099</v>
      </c>
      <c r="I300">
        <v>431573.89871471515</v>
      </c>
      <c r="J300">
        <v>27012842.637362614</v>
      </c>
    </row>
    <row r="301" spans="1:10" x14ac:dyDescent="0.25">
      <c r="A301">
        <v>8</v>
      </c>
      <c r="B301">
        <v>12</v>
      </c>
      <c r="C301" t="s">
        <v>7</v>
      </c>
      <c r="D301" t="s">
        <v>11</v>
      </c>
      <c r="E301">
        <v>25175.642857142855</v>
      </c>
      <c r="F301">
        <v>159113.99999999997</v>
      </c>
      <c r="G301">
        <v>16412494537.919998</v>
      </c>
      <c r="H301">
        <v>305850852.2479673</v>
      </c>
      <c r="I301">
        <v>203231.22034607996</v>
      </c>
      <c r="J301">
        <v>3506865.0351648368</v>
      </c>
    </row>
    <row r="302" spans="1:10" x14ac:dyDescent="0.25">
      <c r="A302">
        <v>8</v>
      </c>
      <c r="B302">
        <v>13</v>
      </c>
      <c r="C302" t="s">
        <v>7</v>
      </c>
      <c r="D302" t="s">
        <v>12</v>
      </c>
      <c r="E302">
        <v>10254.027472527476</v>
      </c>
      <c r="F302">
        <v>140802.46153846159</v>
      </c>
      <c r="G302">
        <v>13554934698.240004</v>
      </c>
      <c r="H302">
        <v>54951514.735114776</v>
      </c>
      <c r="I302">
        <v>566970.93128967821</v>
      </c>
      <c r="J302">
        <v>23812637.999999996</v>
      </c>
    </row>
    <row r="303" spans="1:10" x14ac:dyDescent="0.25">
      <c r="A303">
        <v>8</v>
      </c>
      <c r="B303">
        <v>14</v>
      </c>
      <c r="C303" t="s">
        <v>7</v>
      </c>
      <c r="D303" t="s">
        <v>13</v>
      </c>
      <c r="E303">
        <v>30879.027472527458</v>
      </c>
      <c r="F303">
        <v>287266.69230769208</v>
      </c>
      <c r="G303">
        <v>25542708629.239979</v>
      </c>
      <c r="H303">
        <v>141909150.22311476</v>
      </c>
      <c r="I303">
        <v>440020.62100020261</v>
      </c>
      <c r="J303">
        <v>12181439.191208791</v>
      </c>
    </row>
    <row r="304" spans="1:10" x14ac:dyDescent="0.25">
      <c r="A304">
        <v>8</v>
      </c>
      <c r="B304">
        <v>15</v>
      </c>
      <c r="C304" t="s">
        <v>7</v>
      </c>
      <c r="D304" t="s">
        <v>14</v>
      </c>
      <c r="E304">
        <v>54678.412087912053</v>
      </c>
      <c r="F304">
        <v>409442.38461538509</v>
      </c>
      <c r="G304">
        <v>37395306515.560043</v>
      </c>
      <c r="H304">
        <v>248416587.74968201</v>
      </c>
      <c r="I304">
        <v>4663603.6182950819</v>
      </c>
      <c r="J304">
        <v>12411521.694505475</v>
      </c>
    </row>
    <row r="305" spans="1:10" x14ac:dyDescent="0.25">
      <c r="A305">
        <v>8</v>
      </c>
      <c r="B305">
        <v>16</v>
      </c>
      <c r="C305" t="s">
        <v>7</v>
      </c>
      <c r="D305" t="s">
        <v>15</v>
      </c>
      <c r="E305">
        <v>44370.873626373657</v>
      </c>
      <c r="F305">
        <v>647655.61538461514</v>
      </c>
      <c r="G305">
        <v>68676028425.479973</v>
      </c>
      <c r="H305">
        <v>127740561.9820981</v>
      </c>
      <c r="I305">
        <v>237021.18405970861</v>
      </c>
      <c r="J305">
        <v>5850756.9340659352</v>
      </c>
    </row>
    <row r="306" spans="1:10" x14ac:dyDescent="0.25">
      <c r="A306">
        <v>8</v>
      </c>
      <c r="B306">
        <v>17</v>
      </c>
      <c r="C306" t="s">
        <v>7</v>
      </c>
      <c r="D306" t="s">
        <v>16</v>
      </c>
      <c r="E306">
        <v>71429.950549450557</v>
      </c>
      <c r="F306">
        <v>292539.4615384611</v>
      </c>
      <c r="G306">
        <v>37934141951.879944</v>
      </c>
      <c r="H306">
        <v>465798605.010818</v>
      </c>
      <c r="I306">
        <v>237020.47294859751</v>
      </c>
      <c r="J306">
        <v>8395212.2571428549</v>
      </c>
    </row>
    <row r="307" spans="1:10" x14ac:dyDescent="0.25">
      <c r="A307">
        <v>8</v>
      </c>
      <c r="B307">
        <v>18</v>
      </c>
      <c r="C307" t="s">
        <v>7</v>
      </c>
      <c r="D307" t="s">
        <v>17</v>
      </c>
      <c r="E307">
        <v>30696.41208791206</v>
      </c>
      <c r="F307">
        <v>169710.30769230769</v>
      </c>
      <c r="G307">
        <v>20099232986.799999</v>
      </c>
      <c r="H307">
        <v>321030554.28209811</v>
      </c>
      <c r="I307">
        <v>237019.13405970862</v>
      </c>
      <c r="J307">
        <v>6307934.8175824191</v>
      </c>
    </row>
    <row r="308" spans="1:10" x14ac:dyDescent="0.25">
      <c r="A308">
        <v>8</v>
      </c>
      <c r="B308">
        <v>19</v>
      </c>
      <c r="C308" t="s">
        <v>7</v>
      </c>
      <c r="D308" t="s">
        <v>18</v>
      </c>
      <c r="E308">
        <v>8247.5659340659367</v>
      </c>
      <c r="F308">
        <v>208429.30769230769</v>
      </c>
      <c r="G308">
        <v>10683986266.24</v>
      </c>
      <c r="H308">
        <v>35970232.144626826</v>
      </c>
      <c r="I308">
        <v>380083.3545575001</v>
      </c>
      <c r="J308">
        <v>6669676.7802197793</v>
      </c>
    </row>
    <row r="309" spans="1:10" x14ac:dyDescent="0.25">
      <c r="A309">
        <v>8</v>
      </c>
      <c r="B309">
        <v>20</v>
      </c>
      <c r="C309" t="s">
        <v>7</v>
      </c>
      <c r="D309" t="s">
        <v>19</v>
      </c>
      <c r="E309">
        <v>65419.335164835153</v>
      </c>
      <c r="F309">
        <v>180244.58974358978</v>
      </c>
      <c r="G309">
        <v>7771952045.586669</v>
      </c>
      <c r="H309">
        <v>268080306.48930803</v>
      </c>
      <c r="I309">
        <v>566972.37795634486</v>
      </c>
      <c r="J309">
        <v>23016077.885714289</v>
      </c>
    </row>
    <row r="310" spans="1:10" x14ac:dyDescent="0.25">
      <c r="A310">
        <v>8</v>
      </c>
      <c r="B310">
        <v>21</v>
      </c>
      <c r="C310" t="s">
        <v>7</v>
      </c>
      <c r="D310" t="s">
        <v>20</v>
      </c>
      <c r="E310">
        <v>44263.950549450557</v>
      </c>
      <c r="F310">
        <v>224396.25641025609</v>
      </c>
      <c r="G310">
        <v>8214348096.5066538</v>
      </c>
      <c r="H310">
        <v>39128908.865036577</v>
      </c>
      <c r="I310">
        <v>237019.66183748638</v>
      </c>
      <c r="J310">
        <v>21375599.199999999</v>
      </c>
    </row>
    <row r="311" spans="1:10" x14ac:dyDescent="0.25">
      <c r="A311">
        <v>8</v>
      </c>
      <c r="B311">
        <v>22</v>
      </c>
      <c r="C311" t="s">
        <v>7</v>
      </c>
      <c r="D311" t="s">
        <v>21</v>
      </c>
      <c r="E311">
        <v>28703.796703296655</v>
      </c>
      <c r="F311">
        <v>243523.25641025609</v>
      </c>
      <c r="G311">
        <v>13058428096.626648</v>
      </c>
      <c r="H311">
        <v>256617664.23195583</v>
      </c>
      <c r="I311">
        <v>0</v>
      </c>
      <c r="J311">
        <v>1135993.5885714286</v>
      </c>
    </row>
    <row r="312" spans="1:10" x14ac:dyDescent="0.25">
      <c r="A312">
        <v>8</v>
      </c>
      <c r="B312">
        <v>23</v>
      </c>
      <c r="C312" t="s">
        <v>7</v>
      </c>
      <c r="D312" t="s">
        <v>22</v>
      </c>
      <c r="E312">
        <v>13382.335164835167</v>
      </c>
      <c r="F312">
        <v>227259.5897435901</v>
      </c>
      <c r="G312">
        <v>12114708758.13335</v>
      </c>
      <c r="H312">
        <v>124082487.94587249</v>
      </c>
      <c r="I312">
        <v>193813.10483028021</v>
      </c>
      <c r="J312">
        <v>384164.17582417594</v>
      </c>
    </row>
    <row r="313" spans="1:10" x14ac:dyDescent="0.25">
      <c r="A313">
        <v>8</v>
      </c>
      <c r="B313">
        <v>24</v>
      </c>
      <c r="C313" t="s">
        <v>7</v>
      </c>
      <c r="D313" t="s">
        <v>23</v>
      </c>
      <c r="E313">
        <v>14544.719780219777</v>
      </c>
      <c r="F313">
        <v>184731.58974358978</v>
      </c>
      <c r="G313">
        <v>13320987547.146671</v>
      </c>
      <c r="H313">
        <v>115734898.54587248</v>
      </c>
      <c r="I313">
        <v>193811.79705250243</v>
      </c>
      <c r="J313">
        <v>1176946.3406593406</v>
      </c>
    </row>
    <row r="314" spans="1:10" x14ac:dyDescent="0.25">
      <c r="A314">
        <v>8</v>
      </c>
      <c r="B314">
        <v>25</v>
      </c>
      <c r="C314" t="s">
        <v>7</v>
      </c>
      <c r="D314" t="s">
        <v>24</v>
      </c>
      <c r="E314">
        <v>12149.335164835167</v>
      </c>
      <c r="F314">
        <v>177679.25641025638</v>
      </c>
      <c r="G314">
        <v>11496672321.493332</v>
      </c>
      <c r="H314">
        <v>57023285.445872486</v>
      </c>
      <c r="I314">
        <v>1950889.2997883852</v>
      </c>
      <c r="J314">
        <v>11522478.75824175</v>
      </c>
    </row>
    <row r="315" spans="1:10" x14ac:dyDescent="0.25">
      <c r="A315">
        <v>8</v>
      </c>
      <c r="B315">
        <v>26</v>
      </c>
      <c r="C315" t="s">
        <v>7</v>
      </c>
      <c r="D315" t="s">
        <v>25</v>
      </c>
      <c r="E315">
        <v>11228.412087912086</v>
      </c>
      <c r="F315">
        <v>163752.92307692306</v>
      </c>
      <c r="G315">
        <v>12092026749.119999</v>
      </c>
      <c r="H315">
        <v>105029043.89768201</v>
      </c>
      <c r="I315">
        <v>1950890.2242328296</v>
      </c>
      <c r="J315">
        <v>43495131.318681352</v>
      </c>
    </row>
    <row r="316" spans="1:10" x14ac:dyDescent="0.25">
      <c r="A316">
        <v>8</v>
      </c>
      <c r="B316">
        <v>27</v>
      </c>
      <c r="C316" t="s">
        <v>7</v>
      </c>
      <c r="D316" t="s">
        <v>26</v>
      </c>
      <c r="E316">
        <v>66443.642857142855</v>
      </c>
      <c r="F316">
        <v>533686.0230769231</v>
      </c>
      <c r="G316">
        <v>21470359487.911999</v>
      </c>
      <c r="H316">
        <v>678237989.64930809</v>
      </c>
      <c r="I316">
        <v>751591.52180054504</v>
      </c>
      <c r="J316">
        <v>4905018.1450549485</v>
      </c>
    </row>
    <row r="317" spans="1:10" x14ac:dyDescent="0.25">
      <c r="A317">
        <v>8</v>
      </c>
      <c r="B317">
        <v>28</v>
      </c>
      <c r="C317" t="s">
        <v>7</v>
      </c>
      <c r="D317" t="s">
        <v>27</v>
      </c>
      <c r="E317">
        <v>43507.942857142858</v>
      </c>
      <c r="F317">
        <v>233685.32307692309</v>
      </c>
      <c r="G317" t="s">
        <v>122</v>
      </c>
      <c r="H317" t="s">
        <v>122</v>
      </c>
      <c r="I317">
        <v>237703.40965002833</v>
      </c>
      <c r="J317">
        <v>9957555.5538461488</v>
      </c>
    </row>
    <row r="318" spans="1:10" x14ac:dyDescent="0.25">
      <c r="A318">
        <v>8</v>
      </c>
      <c r="B318">
        <v>29</v>
      </c>
      <c r="C318" t="s">
        <v>7</v>
      </c>
      <c r="D318" t="s">
        <v>28</v>
      </c>
      <c r="E318">
        <v>39555.142857142855</v>
      </c>
      <c r="F318">
        <v>478464.32307692309</v>
      </c>
      <c r="G318">
        <v>24500722591.799999</v>
      </c>
      <c r="H318">
        <v>436572394.23195583</v>
      </c>
      <c r="I318">
        <v>210552.57043332499</v>
      </c>
      <c r="J318">
        <v>17782428.571428619</v>
      </c>
    </row>
    <row r="319" spans="1:10" x14ac:dyDescent="0.25">
      <c r="A319">
        <v>8</v>
      </c>
      <c r="B319">
        <v>30</v>
      </c>
      <c r="C319" t="s">
        <v>7</v>
      </c>
      <c r="D319" t="s">
        <v>29</v>
      </c>
      <c r="E319">
        <v>14714.942857142858</v>
      </c>
      <c r="F319">
        <v>346614.0230769231</v>
      </c>
      <c r="G319">
        <v>23683623208.091999</v>
      </c>
      <c r="H319">
        <v>88297986.753872484</v>
      </c>
      <c r="I319">
        <v>237703.13187225052</v>
      </c>
      <c r="J319">
        <v>6348671.9428571425</v>
      </c>
    </row>
    <row r="320" spans="1:10" x14ac:dyDescent="0.25">
      <c r="A320">
        <v>8</v>
      </c>
      <c r="B320">
        <v>31</v>
      </c>
      <c r="C320" t="s">
        <v>7</v>
      </c>
      <c r="D320" t="s">
        <v>30</v>
      </c>
      <c r="E320">
        <v>9604.1043956043977</v>
      </c>
      <c r="F320">
        <v>141365.61538461538</v>
      </c>
      <c r="G320">
        <v>1284442326.7599998</v>
      </c>
      <c r="H320">
        <v>57694135.656455979</v>
      </c>
      <c r="I320">
        <v>196041.04087120833</v>
      </c>
      <c r="J320">
        <v>9731546.3736263774</v>
      </c>
    </row>
    <row r="321" spans="1:10" x14ac:dyDescent="0.25">
      <c r="A321">
        <v>8</v>
      </c>
      <c r="B321">
        <v>32</v>
      </c>
      <c r="C321" t="s">
        <v>7</v>
      </c>
      <c r="D321" t="s">
        <v>31</v>
      </c>
      <c r="E321">
        <v>7449.0274725274721</v>
      </c>
      <c r="F321">
        <v>166912.42307692306</v>
      </c>
      <c r="G321">
        <v>2103897710.4000001</v>
      </c>
      <c r="H321">
        <v>35493909.265114561</v>
      </c>
      <c r="I321">
        <v>210551.97043332498</v>
      </c>
      <c r="J321">
        <v>17350748.571428575</v>
      </c>
    </row>
    <row r="322" spans="1:10" x14ac:dyDescent="0.25">
      <c r="A322">
        <v>8</v>
      </c>
      <c r="B322">
        <v>33</v>
      </c>
      <c r="C322" t="s">
        <v>7</v>
      </c>
      <c r="D322" t="s">
        <v>32</v>
      </c>
      <c r="E322">
        <v>71126.41208791206</v>
      </c>
      <c r="F322">
        <v>216622.64615384617</v>
      </c>
      <c r="G322">
        <v>4095727695.3600011</v>
      </c>
      <c r="H322">
        <v>114397529.62911457</v>
      </c>
      <c r="I322">
        <v>78.372732175534907</v>
      </c>
      <c r="J322">
        <v>26</v>
      </c>
    </row>
    <row r="323" spans="1:10" x14ac:dyDescent="0.25">
      <c r="A323">
        <v>8</v>
      </c>
      <c r="B323">
        <v>34</v>
      </c>
      <c r="C323" t="s">
        <v>7</v>
      </c>
      <c r="D323" t="s">
        <v>33</v>
      </c>
      <c r="E323">
        <v>303736.95054945082</v>
      </c>
      <c r="F323">
        <v>384184.31196581206</v>
      </c>
      <c r="G323">
        <v>7505977943.9733343</v>
      </c>
      <c r="H323">
        <v>824294244.54445589</v>
      </c>
      <c r="I323">
        <v>0</v>
      </c>
      <c r="J323">
        <v>10518538.168831168</v>
      </c>
    </row>
    <row r="324" spans="1:10" x14ac:dyDescent="0.25">
      <c r="A324">
        <v>8</v>
      </c>
      <c r="B324">
        <v>35</v>
      </c>
      <c r="C324" t="s">
        <v>7</v>
      </c>
      <c r="D324" t="s">
        <v>34</v>
      </c>
      <c r="E324">
        <v>30055.25824175826</v>
      </c>
      <c r="F324">
        <v>132594.46153846159</v>
      </c>
      <c r="G324">
        <v>2305038030.7200012</v>
      </c>
      <c r="H324">
        <v>194559635.61645597</v>
      </c>
      <c r="I324">
        <v>0</v>
      </c>
      <c r="J324">
        <v>996478.5454545453</v>
      </c>
    </row>
    <row r="325" spans="1:10" x14ac:dyDescent="0.25">
      <c r="A325">
        <v>8</v>
      </c>
      <c r="B325">
        <v>36</v>
      </c>
      <c r="C325" t="s">
        <v>7</v>
      </c>
      <c r="D325" t="s">
        <v>35</v>
      </c>
      <c r="E325">
        <v>10679.489010989008</v>
      </c>
      <c r="F325">
        <v>208440.84615384619</v>
      </c>
      <c r="G325">
        <v>4017663959.0800004</v>
      </c>
      <c r="H325">
        <v>49424932.503394186</v>
      </c>
      <c r="I325">
        <v>671326.96241870744</v>
      </c>
      <c r="J325">
        <v>2572994.290909091</v>
      </c>
    </row>
    <row r="326" spans="1:10" x14ac:dyDescent="0.25">
      <c r="A326">
        <v>8</v>
      </c>
      <c r="B326">
        <v>37</v>
      </c>
      <c r="C326" t="s">
        <v>7</v>
      </c>
      <c r="D326" t="s">
        <v>36</v>
      </c>
      <c r="E326">
        <v>17098.489010989055</v>
      </c>
      <c r="F326">
        <v>203256.34981684978</v>
      </c>
      <c r="G326">
        <v>23495726706.730469</v>
      </c>
      <c r="H326">
        <v>102949387.72684674</v>
      </c>
      <c r="I326">
        <v>751593.20957832271</v>
      </c>
      <c r="J326">
        <v>3202747.3246753244</v>
      </c>
    </row>
    <row r="327" spans="1:10" x14ac:dyDescent="0.25">
      <c r="A327">
        <v>8</v>
      </c>
      <c r="B327">
        <v>38</v>
      </c>
      <c r="C327" t="s">
        <v>7</v>
      </c>
      <c r="D327" t="s">
        <v>37</v>
      </c>
      <c r="E327">
        <v>7066.6428571428569</v>
      </c>
      <c r="F327">
        <v>124233.3076923077</v>
      </c>
      <c r="G327">
        <v>17545007897.48</v>
      </c>
      <c r="H327">
        <v>33032274.718465488</v>
      </c>
      <c r="I327">
        <v>968748.1310835816</v>
      </c>
      <c r="J327">
        <v>4751765.0181818185</v>
      </c>
    </row>
    <row r="328" spans="1:10" x14ac:dyDescent="0.25">
      <c r="A328">
        <v>8</v>
      </c>
      <c r="B328">
        <v>39</v>
      </c>
      <c r="C328" t="s">
        <v>7</v>
      </c>
      <c r="D328" t="s">
        <v>38</v>
      </c>
      <c r="E328">
        <v>10137.027472527476</v>
      </c>
      <c r="F328">
        <v>208403.76556776557</v>
      </c>
      <c r="G328">
        <v>25064887607.847618</v>
      </c>
      <c r="H328">
        <v>50291050.046846732</v>
      </c>
      <c r="I328">
        <v>968750.67552802607</v>
      </c>
      <c r="J328">
        <v>10808200.742857134</v>
      </c>
    </row>
    <row r="329" spans="1:10" x14ac:dyDescent="0.25">
      <c r="A329">
        <v>8</v>
      </c>
      <c r="B329">
        <v>40</v>
      </c>
      <c r="C329" t="s">
        <v>7</v>
      </c>
      <c r="D329" t="s">
        <v>39</v>
      </c>
      <c r="E329">
        <v>16683.412087912089</v>
      </c>
      <c r="F329">
        <v>189723.06593406596</v>
      </c>
      <c r="G329">
        <v>24900674301.720001</v>
      </c>
      <c r="H329">
        <v>35504189.835823476</v>
      </c>
      <c r="I329">
        <v>968748.56997247052</v>
      </c>
      <c r="J329">
        <v>493766.74285714276</v>
      </c>
    </row>
    <row r="330" spans="1:10" x14ac:dyDescent="0.25">
      <c r="A330">
        <v>8</v>
      </c>
      <c r="B330">
        <v>41</v>
      </c>
      <c r="C330" t="s">
        <v>7</v>
      </c>
      <c r="D330" t="s">
        <v>40</v>
      </c>
      <c r="E330">
        <v>29042.33516483516</v>
      </c>
      <c r="F330">
        <v>137901.41575091577</v>
      </c>
      <c r="G330">
        <v>18048515229.253334</v>
      </c>
      <c r="H330">
        <v>189998491.67846549</v>
      </c>
      <c r="I330">
        <v>751593.36291165603</v>
      </c>
      <c r="J330">
        <v>755709.74025974015</v>
      </c>
    </row>
    <row r="331" spans="1:10" x14ac:dyDescent="0.25">
      <c r="A331">
        <v>9</v>
      </c>
      <c r="B331">
        <v>1</v>
      </c>
      <c r="C331" t="s">
        <v>8</v>
      </c>
      <c r="D331" t="s">
        <v>0</v>
      </c>
      <c r="E331">
        <v>93397.571428571406</v>
      </c>
      <c r="F331">
        <v>623704.14316239336</v>
      </c>
      <c r="G331">
        <v>8320263166.1177797</v>
      </c>
      <c r="H331">
        <v>0</v>
      </c>
      <c r="I331">
        <v>0</v>
      </c>
      <c r="J331">
        <v>0</v>
      </c>
    </row>
    <row r="332" spans="1:10" x14ac:dyDescent="0.25">
      <c r="A332">
        <v>9</v>
      </c>
      <c r="B332">
        <v>2</v>
      </c>
      <c r="C332" t="s">
        <v>8</v>
      </c>
      <c r="D332" t="s">
        <v>1</v>
      </c>
      <c r="E332">
        <v>22136.571428571398</v>
      </c>
      <c r="F332">
        <v>614092.52777777787</v>
      </c>
      <c r="G332">
        <v>10030415402.814445</v>
      </c>
      <c r="H332">
        <v>0</v>
      </c>
      <c r="I332">
        <v>968749.11886135943</v>
      </c>
      <c r="J332">
        <v>3924392.2285714317</v>
      </c>
    </row>
    <row r="333" spans="1:10" x14ac:dyDescent="0.25">
      <c r="A333">
        <v>9</v>
      </c>
      <c r="B333">
        <v>3</v>
      </c>
      <c r="C333" t="s">
        <v>8</v>
      </c>
      <c r="D333" t="s">
        <v>2</v>
      </c>
      <c r="E333">
        <v>17401.214285714301</v>
      </c>
      <c r="F333">
        <v>617126.75854700862</v>
      </c>
      <c r="G333">
        <v>11830196535.994446</v>
      </c>
      <c r="H333">
        <v>0</v>
      </c>
      <c r="I333">
        <v>702686.66330854187</v>
      </c>
      <c r="J333">
        <v>19531696.323076908</v>
      </c>
    </row>
    <row r="334" spans="1:10" x14ac:dyDescent="0.25">
      <c r="A334">
        <v>9</v>
      </c>
      <c r="B334">
        <v>4</v>
      </c>
      <c r="C334" t="s">
        <v>8</v>
      </c>
      <c r="D334" t="s">
        <v>3</v>
      </c>
      <c r="E334">
        <v>32057.571428571398</v>
      </c>
      <c r="F334">
        <v>606233.68162393174</v>
      </c>
      <c r="G334">
        <v>7514096738.29778</v>
      </c>
      <c r="H334">
        <v>122149190.98869289</v>
      </c>
      <c r="I334">
        <v>735266.32450352516</v>
      </c>
      <c r="J334">
        <v>13469984</v>
      </c>
    </row>
    <row r="335" spans="1:10" x14ac:dyDescent="0.25">
      <c r="A335">
        <v>9</v>
      </c>
      <c r="B335">
        <v>5</v>
      </c>
      <c r="C335" t="s">
        <v>8</v>
      </c>
      <c r="D335" t="s">
        <v>4</v>
      </c>
      <c r="E335">
        <v>65794.142857142899</v>
      </c>
      <c r="F335">
        <v>638033.75854700862</v>
      </c>
      <c r="G335">
        <v>11828865148.607779</v>
      </c>
      <c r="H335">
        <v>33699640.754670613</v>
      </c>
      <c r="I335">
        <v>584642.66848563554</v>
      </c>
      <c r="J335">
        <v>2953373.4923076956</v>
      </c>
    </row>
    <row r="336" spans="1:10" x14ac:dyDescent="0.25">
      <c r="A336">
        <v>9</v>
      </c>
      <c r="B336">
        <v>6</v>
      </c>
      <c r="C336" t="s">
        <v>8</v>
      </c>
      <c r="D336" t="s">
        <v>5</v>
      </c>
      <c r="E336">
        <v>14122.285714285699</v>
      </c>
      <c r="F336">
        <v>703823.06990232016</v>
      </c>
      <c r="G336">
        <v>21402612038.505245</v>
      </c>
      <c r="H336">
        <v>153156414.51752773</v>
      </c>
      <c r="I336">
        <v>584642.1707078577</v>
      </c>
      <c r="J336">
        <v>2675389.1076923106</v>
      </c>
    </row>
    <row r="337" spans="1:10" x14ac:dyDescent="0.25">
      <c r="A337">
        <v>9</v>
      </c>
      <c r="B337">
        <v>7</v>
      </c>
      <c r="C337" t="s">
        <v>8</v>
      </c>
      <c r="D337" t="s">
        <v>6</v>
      </c>
      <c r="E337">
        <v>5872.2857142857101</v>
      </c>
      <c r="F337">
        <v>637369.373931624</v>
      </c>
      <c r="G337">
        <v>11113580320.271111</v>
      </c>
      <c r="H337">
        <v>14467416.983242046</v>
      </c>
      <c r="I337">
        <v>380065.90160417568</v>
      </c>
      <c r="J337">
        <v>30660304.123076901</v>
      </c>
    </row>
    <row r="338" spans="1:10" x14ac:dyDescent="0.25">
      <c r="A338">
        <v>9</v>
      </c>
      <c r="B338">
        <v>8</v>
      </c>
      <c r="C338" t="s">
        <v>8</v>
      </c>
      <c r="D338" t="s">
        <v>7</v>
      </c>
      <c r="E338">
        <v>35519.357142857101</v>
      </c>
      <c r="F338">
        <v>694967.14316239313</v>
      </c>
      <c r="G338">
        <v>8102927707.6733322</v>
      </c>
      <c r="H338">
        <v>39128802.147584416</v>
      </c>
      <c r="I338">
        <v>380063.30532567063</v>
      </c>
      <c r="J338">
        <v>28516575.692307722</v>
      </c>
    </row>
    <row r="339" spans="1:10" x14ac:dyDescent="0.25">
      <c r="A339">
        <v>9</v>
      </c>
      <c r="B339">
        <v>9</v>
      </c>
      <c r="C339" t="s">
        <v>8</v>
      </c>
      <c r="D339" t="s">
        <v>8</v>
      </c>
      <c r="E339">
        <v>0</v>
      </c>
      <c r="F339">
        <v>0</v>
      </c>
      <c r="G339">
        <v>0</v>
      </c>
      <c r="H339">
        <v>0</v>
      </c>
      <c r="I339">
        <v>1062803.8755116819</v>
      </c>
      <c r="J339">
        <v>58482855.20000001</v>
      </c>
    </row>
    <row r="340" spans="1:10" x14ac:dyDescent="0.25">
      <c r="A340">
        <v>9</v>
      </c>
      <c r="B340">
        <v>10</v>
      </c>
      <c r="C340" t="s">
        <v>8</v>
      </c>
      <c r="D340" t="s">
        <v>9</v>
      </c>
      <c r="E340">
        <v>21997.714285714301</v>
      </c>
      <c r="F340">
        <v>669676.22008547024</v>
      </c>
      <c r="G340">
        <v>14947842908.527779</v>
      </c>
      <c r="H340">
        <v>123786113.15269896</v>
      </c>
      <c r="I340">
        <v>380063.77088122617</v>
      </c>
      <c r="J340">
        <v>20660277.61538459</v>
      </c>
    </row>
    <row r="341" spans="1:10" x14ac:dyDescent="0.25">
      <c r="A341">
        <v>9</v>
      </c>
      <c r="B341">
        <v>11</v>
      </c>
      <c r="C341" t="s">
        <v>8</v>
      </c>
      <c r="D341" t="s">
        <v>10</v>
      </c>
      <c r="E341">
        <v>22164.884615384599</v>
      </c>
      <c r="F341">
        <v>672440.29700854712</v>
      </c>
      <c r="G341">
        <v>73988202415.672226</v>
      </c>
      <c r="H341">
        <v>153765656.63125879</v>
      </c>
      <c r="I341">
        <v>571424.13803808473</v>
      </c>
      <c r="J341">
        <v>736611.30769230856</v>
      </c>
    </row>
    <row r="342" spans="1:10" x14ac:dyDescent="0.25">
      <c r="A342">
        <v>9</v>
      </c>
      <c r="B342">
        <v>12</v>
      </c>
      <c r="C342" t="s">
        <v>8</v>
      </c>
      <c r="D342" t="s">
        <v>11</v>
      </c>
      <c r="E342">
        <v>19133.5</v>
      </c>
      <c r="F342">
        <v>617166.373931624</v>
      </c>
      <c r="G342">
        <v>57404446565.192215</v>
      </c>
      <c r="H342">
        <v>286795589.38681048</v>
      </c>
      <c r="I342">
        <v>927438.23487547901</v>
      </c>
      <c r="J342">
        <v>16269350.692307688</v>
      </c>
    </row>
    <row r="343" spans="1:10" x14ac:dyDescent="0.25">
      <c r="A343">
        <v>9</v>
      </c>
      <c r="B343">
        <v>13</v>
      </c>
      <c r="C343" t="s">
        <v>8</v>
      </c>
      <c r="D343" t="s">
        <v>12</v>
      </c>
      <c r="E343">
        <v>4211.8846153846198</v>
      </c>
      <c r="F343">
        <v>598854.83547008561</v>
      </c>
      <c r="G343">
        <v>51203621501.071121</v>
      </c>
      <c r="H343">
        <v>35910967.5329559</v>
      </c>
      <c r="I343">
        <v>671325.82868089795</v>
      </c>
      <c r="J343">
        <v>7522051.7538461555</v>
      </c>
    </row>
    <row r="344" spans="1:10" x14ac:dyDescent="0.25">
      <c r="A344">
        <v>9</v>
      </c>
      <c r="B344">
        <v>14</v>
      </c>
      <c r="C344" t="s">
        <v>8</v>
      </c>
      <c r="D344" t="s">
        <v>13</v>
      </c>
      <c r="E344">
        <v>24836.884615384599</v>
      </c>
      <c r="F344">
        <v>745319.06623931613</v>
      </c>
      <c r="G344">
        <v>58246506150.026657</v>
      </c>
      <c r="H344">
        <v>122868603.02095589</v>
      </c>
      <c r="I344">
        <v>14302242.02605458</v>
      </c>
      <c r="J344">
        <v>8276035.9846153688</v>
      </c>
    </row>
    <row r="345" spans="1:10" x14ac:dyDescent="0.25">
      <c r="A345">
        <v>9</v>
      </c>
      <c r="B345">
        <v>15</v>
      </c>
      <c r="C345" t="s">
        <v>8</v>
      </c>
      <c r="D345" t="s">
        <v>14</v>
      </c>
      <c r="E345">
        <v>48636.269230769198</v>
      </c>
      <c r="F345">
        <v>867494.7585470092</v>
      </c>
      <c r="G345">
        <v>69890305118.775604</v>
      </c>
      <c r="H345">
        <v>229348625.40238318</v>
      </c>
      <c r="I345">
        <v>605210.4899880942</v>
      </c>
      <c r="J345">
        <v>2709999.0000000014</v>
      </c>
    </row>
    <row r="346" spans="1:10" x14ac:dyDescent="0.25">
      <c r="A346">
        <v>9</v>
      </c>
      <c r="B346">
        <v>16</v>
      </c>
      <c r="C346" t="s">
        <v>8</v>
      </c>
      <c r="D346" t="s">
        <v>15</v>
      </c>
      <c r="E346">
        <v>38328.730769230802</v>
      </c>
      <c r="F346">
        <v>1105707.989316239</v>
      </c>
      <c r="G346">
        <v>105400287231.98331</v>
      </c>
      <c r="H346">
        <v>108595055.23091096</v>
      </c>
      <c r="I346">
        <v>605209.77887698309</v>
      </c>
      <c r="J346">
        <v>4268293.6153846141</v>
      </c>
    </row>
    <row r="347" spans="1:10" x14ac:dyDescent="0.25">
      <c r="A347">
        <v>9</v>
      </c>
      <c r="B347">
        <v>17</v>
      </c>
      <c r="C347" t="s">
        <v>8</v>
      </c>
      <c r="D347" t="s">
        <v>16</v>
      </c>
      <c r="E347">
        <v>65387.807692307702</v>
      </c>
      <c r="F347">
        <v>750591.83547008515</v>
      </c>
      <c r="G347">
        <v>89722385360.671066</v>
      </c>
      <c r="H347">
        <v>446675379.92799413</v>
      </c>
      <c r="I347">
        <v>605208.43998809427</v>
      </c>
      <c r="J347">
        <v>2755565.1692307703</v>
      </c>
    </row>
    <row r="348" spans="1:10" x14ac:dyDescent="0.25">
      <c r="A348">
        <v>9</v>
      </c>
      <c r="B348">
        <v>18</v>
      </c>
      <c r="C348" t="s">
        <v>8</v>
      </c>
      <c r="D348" t="s">
        <v>17</v>
      </c>
      <c r="E348">
        <v>24654.269230769201</v>
      </c>
      <c r="F348">
        <v>627762.68162393174</v>
      </c>
      <c r="G348">
        <v>67588696879.722244</v>
      </c>
      <c r="H348">
        <v>301885047.53091097</v>
      </c>
      <c r="I348">
        <v>380068.60049306456</v>
      </c>
      <c r="J348">
        <v>2584836.5846153842</v>
      </c>
    </row>
    <row r="349" spans="1:10" x14ac:dyDescent="0.25">
      <c r="A349">
        <v>9</v>
      </c>
      <c r="B349">
        <v>19</v>
      </c>
      <c r="C349" t="s">
        <v>8</v>
      </c>
      <c r="D349" t="s">
        <v>18</v>
      </c>
      <c r="E349">
        <v>2205.4230769230799</v>
      </c>
      <c r="F349">
        <v>666481.68162393174</v>
      </c>
      <c r="G349">
        <v>27407832830.490005</v>
      </c>
      <c r="H349">
        <v>16945653.991072945</v>
      </c>
      <c r="I349">
        <v>927439.68154214555</v>
      </c>
      <c r="J349">
        <v>15897674.800000001</v>
      </c>
    </row>
    <row r="350" spans="1:10" x14ac:dyDescent="0.25">
      <c r="A350">
        <v>9</v>
      </c>
      <c r="B350">
        <v>20</v>
      </c>
      <c r="C350" t="s">
        <v>8</v>
      </c>
      <c r="D350" t="s">
        <v>19</v>
      </c>
      <c r="E350">
        <v>59377.192307692298</v>
      </c>
      <c r="F350">
        <v>638296.96367521386</v>
      </c>
      <c r="G350">
        <v>21052667902.235558</v>
      </c>
      <c r="H350">
        <v>249082043.40118572</v>
      </c>
      <c r="I350">
        <v>605208.96776587202</v>
      </c>
      <c r="J350">
        <v>15657273.6</v>
      </c>
    </row>
    <row r="351" spans="1:10" x14ac:dyDescent="0.25">
      <c r="A351">
        <v>9</v>
      </c>
      <c r="B351">
        <v>21</v>
      </c>
      <c r="C351" t="s">
        <v>8</v>
      </c>
      <c r="D351" t="s">
        <v>20</v>
      </c>
      <c r="E351">
        <v>38221.807692307702</v>
      </c>
      <c r="F351">
        <v>682448.63034188014</v>
      </c>
      <c r="G351">
        <v>14766987251.008884</v>
      </c>
      <c r="H351">
        <v>20269342.778859783</v>
      </c>
      <c r="I351">
        <v>751594.46513387829</v>
      </c>
      <c r="J351">
        <v>1092772.8</v>
      </c>
    </row>
    <row r="352" spans="1:10" x14ac:dyDescent="0.25">
      <c r="A352">
        <v>9</v>
      </c>
      <c r="B352">
        <v>22</v>
      </c>
      <c r="C352" t="s">
        <v>8</v>
      </c>
      <c r="D352" t="s">
        <v>21</v>
      </c>
      <c r="E352">
        <v>22661.6538461538</v>
      </c>
      <c r="F352">
        <v>701575.63034188014</v>
      </c>
      <c r="G352">
        <v>30509110743.39999</v>
      </c>
      <c r="H352">
        <v>237099508.64594859</v>
      </c>
      <c r="I352">
        <v>554296.49127625453</v>
      </c>
      <c r="J352">
        <v>478727.63076923095</v>
      </c>
    </row>
    <row r="353" spans="1:10" x14ac:dyDescent="0.25">
      <c r="A353">
        <v>9</v>
      </c>
      <c r="B353">
        <v>23</v>
      </c>
      <c r="C353" t="s">
        <v>8</v>
      </c>
      <c r="D353" t="s">
        <v>22</v>
      </c>
      <c r="E353">
        <v>7340.1923076923104</v>
      </c>
      <c r="F353">
        <v>685311.96367521409</v>
      </c>
      <c r="G353">
        <v>29585904321.086685</v>
      </c>
      <c r="H353">
        <v>105029857.62619831</v>
      </c>
      <c r="I353">
        <v>554295.18349847675</v>
      </c>
      <c r="J353">
        <v>175016.44615384607</v>
      </c>
    </row>
    <row r="354" spans="1:10" x14ac:dyDescent="0.25">
      <c r="A354">
        <v>9</v>
      </c>
      <c r="B354">
        <v>24</v>
      </c>
      <c r="C354" t="s">
        <v>8</v>
      </c>
      <c r="D354" t="s">
        <v>23</v>
      </c>
      <c r="E354">
        <v>8502.5769230769201</v>
      </c>
      <c r="F354">
        <v>642783.96367521386</v>
      </c>
      <c r="G354">
        <v>39801877237.450005</v>
      </c>
      <c r="H354">
        <v>96682268.226198301</v>
      </c>
      <c r="I354">
        <v>2285614.7540214965</v>
      </c>
      <c r="J354">
        <v>7810112.3076923033</v>
      </c>
    </row>
    <row r="355" spans="1:10" x14ac:dyDescent="0.25">
      <c r="A355">
        <v>9</v>
      </c>
      <c r="B355">
        <v>25</v>
      </c>
      <c r="C355" t="s">
        <v>8</v>
      </c>
      <c r="D355" t="s">
        <v>24</v>
      </c>
      <c r="E355">
        <v>6107.1923076923104</v>
      </c>
      <c r="F355">
        <v>635731.63034188037</v>
      </c>
      <c r="G355">
        <v>34690781609.352219</v>
      </c>
      <c r="H355">
        <v>37970655.126198307</v>
      </c>
      <c r="I355">
        <v>2285615.678465941</v>
      </c>
      <c r="J355">
        <v>25125441.76923079</v>
      </c>
    </row>
    <row r="356" spans="1:10" x14ac:dyDescent="0.25">
      <c r="A356">
        <v>9</v>
      </c>
      <c r="B356">
        <v>26</v>
      </c>
      <c r="C356" t="s">
        <v>8</v>
      </c>
      <c r="D356" t="s">
        <v>25</v>
      </c>
      <c r="E356">
        <v>5186.2692307692296</v>
      </c>
      <c r="F356">
        <v>621805.29700854712</v>
      </c>
      <c r="G356">
        <v>39253971467.064445</v>
      </c>
      <c r="H356">
        <v>85961081.55038318</v>
      </c>
      <c r="I356">
        <v>0</v>
      </c>
      <c r="J356">
        <v>2334074.8153846171</v>
      </c>
    </row>
    <row r="357" spans="1:10" x14ac:dyDescent="0.25">
      <c r="A357">
        <v>9</v>
      </c>
      <c r="B357">
        <v>27</v>
      </c>
      <c r="C357" t="s">
        <v>8</v>
      </c>
      <c r="D357" t="s">
        <v>26</v>
      </c>
      <c r="E357">
        <v>60401.5</v>
      </c>
      <c r="F357">
        <v>991738.39700854709</v>
      </c>
      <c r="G357">
        <v>29793249549.428444</v>
      </c>
      <c r="H357">
        <v>659239726.56118572</v>
      </c>
      <c r="I357">
        <v>572427.31840658688</v>
      </c>
      <c r="J357">
        <v>3691327.5384615357</v>
      </c>
    </row>
    <row r="358" spans="1:10" x14ac:dyDescent="0.25">
      <c r="A358">
        <v>9</v>
      </c>
      <c r="B358">
        <v>28</v>
      </c>
      <c r="C358" t="s">
        <v>8</v>
      </c>
      <c r="D358" t="s">
        <v>27</v>
      </c>
      <c r="E358">
        <v>37465.800000000003</v>
      </c>
      <c r="F358">
        <v>691737.69700854714</v>
      </c>
      <c r="G358" t="s">
        <v>122</v>
      </c>
      <c r="H358" t="s">
        <v>122</v>
      </c>
      <c r="I358">
        <v>607073.85846028035</v>
      </c>
      <c r="J358">
        <v>10614092.307692353</v>
      </c>
    </row>
    <row r="359" spans="1:10" x14ac:dyDescent="0.25">
      <c r="A359">
        <v>9</v>
      </c>
      <c r="B359">
        <v>29</v>
      </c>
      <c r="C359" t="s">
        <v>8</v>
      </c>
      <c r="D359" t="s">
        <v>28</v>
      </c>
      <c r="E359">
        <v>33513</v>
      </c>
      <c r="F359">
        <v>936516.69700854714</v>
      </c>
      <c r="G359">
        <v>38414154259.90023</v>
      </c>
      <c r="H359">
        <v>417054238.64594859</v>
      </c>
      <c r="I359">
        <v>572427.04062880913</v>
      </c>
      <c r="J359">
        <v>905658</v>
      </c>
    </row>
    <row r="360" spans="1:10" x14ac:dyDescent="0.25">
      <c r="A360">
        <v>9</v>
      </c>
      <c r="B360">
        <v>30</v>
      </c>
      <c r="C360" t="s">
        <v>8</v>
      </c>
      <c r="D360" t="s">
        <v>29</v>
      </c>
      <c r="E360">
        <v>8672.7999999999993</v>
      </c>
      <c r="F360">
        <v>804666.39700854709</v>
      </c>
      <c r="G360">
        <v>46825275721.344887</v>
      </c>
      <c r="H360">
        <v>69245356.434198305</v>
      </c>
      <c r="I360">
        <v>530826.54407142312</v>
      </c>
      <c r="J360">
        <v>3682120.2461538501</v>
      </c>
    </row>
    <row r="361" spans="1:10" x14ac:dyDescent="0.25">
      <c r="A361">
        <v>9</v>
      </c>
      <c r="B361">
        <v>31</v>
      </c>
      <c r="C361" t="s">
        <v>8</v>
      </c>
      <c r="D361" t="s">
        <v>30</v>
      </c>
      <c r="E361">
        <v>3561.9615384615399</v>
      </c>
      <c r="F361">
        <v>599417.98931623937</v>
      </c>
      <c r="G361">
        <v>8405542557.3033333</v>
      </c>
      <c r="H361">
        <v>38616521.145707153</v>
      </c>
      <c r="I361">
        <v>607073.25846028037</v>
      </c>
      <c r="J361">
        <v>9623963.8923076913</v>
      </c>
    </row>
    <row r="362" spans="1:10" x14ac:dyDescent="0.25">
      <c r="A362">
        <v>9</v>
      </c>
      <c r="B362">
        <v>32</v>
      </c>
      <c r="C362" t="s">
        <v>8</v>
      </c>
      <c r="D362" t="s">
        <v>31</v>
      </c>
      <c r="E362">
        <v>1406.884615384615</v>
      </c>
      <c r="F362">
        <v>624964.79700854712</v>
      </c>
      <c r="G362">
        <v>9846945341.6666679</v>
      </c>
      <c r="H362">
        <v>16568411.695970818</v>
      </c>
      <c r="I362">
        <v>72.178000510275893</v>
      </c>
      <c r="J362">
        <v>22.61</v>
      </c>
    </row>
    <row r="363" spans="1:10" x14ac:dyDescent="0.25">
      <c r="A363">
        <v>9</v>
      </c>
      <c r="B363">
        <v>33</v>
      </c>
      <c r="C363" t="s">
        <v>8</v>
      </c>
      <c r="D363" t="s">
        <v>32</v>
      </c>
      <c r="E363">
        <v>65084.269230769198</v>
      </c>
      <c r="F363">
        <v>674675.02008547017</v>
      </c>
      <c r="G363">
        <v>9850633111.2591133</v>
      </c>
      <c r="H363">
        <v>95472032.059970826</v>
      </c>
      <c r="I363">
        <v>968746.65775024833</v>
      </c>
      <c r="J363">
        <v>28809077.142857149</v>
      </c>
    </row>
    <row r="364" spans="1:10" x14ac:dyDescent="0.25">
      <c r="A364">
        <v>9</v>
      </c>
      <c r="B364">
        <v>34</v>
      </c>
      <c r="C364" t="s">
        <v>8</v>
      </c>
      <c r="D364" t="s">
        <v>33</v>
      </c>
      <c r="E364">
        <v>297694.80769230798</v>
      </c>
      <c r="F364">
        <v>842236.68589743611</v>
      </c>
      <c r="G364">
        <v>11899018829.956671</v>
      </c>
      <c r="H364">
        <v>805216630.03370702</v>
      </c>
      <c r="I364">
        <v>968747.03552802606</v>
      </c>
      <c r="J364">
        <v>8008062.400000005</v>
      </c>
    </row>
    <row r="365" spans="1:10" x14ac:dyDescent="0.25">
      <c r="A365">
        <v>9</v>
      </c>
      <c r="B365">
        <v>35</v>
      </c>
      <c r="C365" t="s">
        <v>8</v>
      </c>
      <c r="D365" t="s">
        <v>34</v>
      </c>
      <c r="E365">
        <v>24013.115384615401</v>
      </c>
      <c r="F365">
        <v>590646.83547008561</v>
      </c>
      <c r="G365">
        <v>5428635064.8055563</v>
      </c>
      <c r="H365">
        <v>175482021.10570717</v>
      </c>
      <c r="I365">
        <v>525052.43308171141</v>
      </c>
      <c r="J365">
        <v>11336567.828571433</v>
      </c>
    </row>
    <row r="366" spans="1:10" x14ac:dyDescent="0.25">
      <c r="A366">
        <v>9</v>
      </c>
      <c r="B366">
        <v>36</v>
      </c>
      <c r="C366" t="s">
        <v>8</v>
      </c>
      <c r="D366" t="s">
        <v>35</v>
      </c>
      <c r="E366">
        <v>4637.3461538461506</v>
      </c>
      <c r="F366">
        <v>666493.22008547024</v>
      </c>
      <c r="G366">
        <v>6720810992.4266682</v>
      </c>
      <c r="H366">
        <v>0</v>
      </c>
      <c r="I366">
        <v>608254.11061743251</v>
      </c>
      <c r="J366">
        <v>4481646.3714285726</v>
      </c>
    </row>
    <row r="367" spans="1:10" x14ac:dyDescent="0.25">
      <c r="A367">
        <v>9</v>
      </c>
      <c r="B367">
        <v>37</v>
      </c>
      <c r="C367" t="s">
        <v>8</v>
      </c>
      <c r="D367" t="s">
        <v>36</v>
      </c>
      <c r="E367">
        <v>11056.3461538462</v>
      </c>
      <c r="F367">
        <v>661308.7237484738</v>
      </c>
      <c r="G367">
        <v>69706991881.738571</v>
      </c>
      <c r="H367">
        <v>83968573.844758779</v>
      </c>
      <c r="I367">
        <v>0</v>
      </c>
      <c r="J367">
        <v>3056572.5142857148</v>
      </c>
    </row>
    <row r="368" spans="1:10" x14ac:dyDescent="0.25">
      <c r="A368">
        <v>9</v>
      </c>
      <c r="B368">
        <v>38</v>
      </c>
      <c r="C368" t="s">
        <v>8</v>
      </c>
      <c r="D368" t="s">
        <v>37</v>
      </c>
      <c r="E368">
        <v>1024.5</v>
      </c>
      <c r="F368">
        <v>582285.68162393174</v>
      </c>
      <c r="G368">
        <v>76331783421.226685</v>
      </c>
      <c r="H368">
        <v>13966402.077470206</v>
      </c>
      <c r="I368">
        <v>608255.95506187691</v>
      </c>
      <c r="J368">
        <v>1409099.8519480519</v>
      </c>
    </row>
    <row r="369" spans="1:10" x14ac:dyDescent="0.25">
      <c r="A369">
        <v>9</v>
      </c>
      <c r="B369">
        <v>39</v>
      </c>
      <c r="C369" t="s">
        <v>8</v>
      </c>
      <c r="D369" t="s">
        <v>38</v>
      </c>
      <c r="E369">
        <v>4094.8846153846198</v>
      </c>
      <c r="F369">
        <v>666456.13949938957</v>
      </c>
      <c r="G369">
        <v>73364771431.88063</v>
      </c>
      <c r="H369">
        <v>31310236.164758764</v>
      </c>
      <c r="I369">
        <v>608253.84950632136</v>
      </c>
      <c r="J369">
        <v>1767368.4285714298</v>
      </c>
    </row>
    <row r="370" spans="1:10" x14ac:dyDescent="0.25">
      <c r="A370">
        <v>9</v>
      </c>
      <c r="B370">
        <v>40</v>
      </c>
      <c r="C370" t="s">
        <v>8</v>
      </c>
      <c r="D370" t="s">
        <v>39</v>
      </c>
      <c r="E370">
        <v>10641.26923076923</v>
      </c>
      <c r="F370">
        <v>647775.43986568996</v>
      </c>
      <c r="G370">
        <v>78452809030.626358</v>
      </c>
      <c r="H370">
        <v>16819922.512328677</v>
      </c>
      <c r="I370">
        <v>608254.26395076583</v>
      </c>
      <c r="J370">
        <v>2332916.1142857159</v>
      </c>
    </row>
    <row r="371" spans="1:10" x14ac:dyDescent="0.25">
      <c r="A371">
        <v>9</v>
      </c>
      <c r="B371">
        <v>41</v>
      </c>
      <c r="C371" t="s">
        <v>8</v>
      </c>
      <c r="D371" t="s">
        <v>40</v>
      </c>
      <c r="E371">
        <v>23000.192307692301</v>
      </c>
      <c r="F371">
        <v>595953.78968253976</v>
      </c>
      <c r="G371">
        <v>71644539555.116684</v>
      </c>
      <c r="H371">
        <v>170932619.03747022</v>
      </c>
      <c r="I371">
        <v>968749.11886135943</v>
      </c>
      <c r="J371">
        <v>3924392.2285714317</v>
      </c>
    </row>
    <row r="372" spans="1:10" x14ac:dyDescent="0.25">
      <c r="A372">
        <v>10</v>
      </c>
      <c r="B372">
        <v>1</v>
      </c>
      <c r="C372" t="s">
        <v>9</v>
      </c>
      <c r="D372" t="s">
        <v>0</v>
      </c>
      <c r="E372">
        <v>106531.64285714284</v>
      </c>
      <c r="F372">
        <v>139196.76923076928</v>
      </c>
      <c r="G372">
        <v>4605687021.6000013</v>
      </c>
      <c r="H372">
        <v>256446739.41412753</v>
      </c>
      <c r="I372">
        <v>0</v>
      </c>
      <c r="J372">
        <v>0</v>
      </c>
    </row>
    <row r="373" spans="1:10" x14ac:dyDescent="0.25">
      <c r="A373">
        <v>10</v>
      </c>
      <c r="B373">
        <v>2</v>
      </c>
      <c r="C373" t="s">
        <v>9</v>
      </c>
      <c r="D373" t="s">
        <v>1</v>
      </c>
      <c r="E373">
        <v>35270.642857142826</v>
      </c>
      <c r="F373">
        <v>129585.15384615387</v>
      </c>
      <c r="G373">
        <v>4675593036.3600006</v>
      </c>
      <c r="H373">
        <v>132915270.85269897</v>
      </c>
      <c r="I373">
        <v>445783.20622707647</v>
      </c>
      <c r="J373">
        <v>33886997.802197784</v>
      </c>
    </row>
    <row r="374" spans="1:10" x14ac:dyDescent="0.25">
      <c r="A374">
        <v>10</v>
      </c>
      <c r="B374">
        <v>3</v>
      </c>
      <c r="C374" t="s">
        <v>9</v>
      </c>
      <c r="D374" t="s">
        <v>2</v>
      </c>
      <c r="E374">
        <v>30535.285714285732</v>
      </c>
      <c r="F374">
        <v>132619.38461538457</v>
      </c>
      <c r="G374">
        <v>5161191029.2799978</v>
      </c>
      <c r="H374">
        <v>175525270.05250427</v>
      </c>
      <c r="I374">
        <v>458598.86810605525</v>
      </c>
      <c r="J374">
        <v>27827553.600000001</v>
      </c>
    </row>
    <row r="375" spans="1:10" x14ac:dyDescent="0.25">
      <c r="A375">
        <v>10</v>
      </c>
      <c r="B375">
        <v>4</v>
      </c>
      <c r="C375" t="s">
        <v>9</v>
      </c>
      <c r="D375" t="s">
        <v>3</v>
      </c>
      <c r="E375">
        <v>45191.642857142826</v>
      </c>
      <c r="F375">
        <v>121726.30769230767</v>
      </c>
      <c r="G375">
        <v>1323364595.7599998</v>
      </c>
      <c r="H375">
        <v>225769715.45480049</v>
      </c>
      <c r="I375">
        <v>327736.79563598474</v>
      </c>
      <c r="J375">
        <v>14126546.602197807</v>
      </c>
    </row>
    <row r="376" spans="1:10" x14ac:dyDescent="0.25">
      <c r="A376">
        <v>10</v>
      </c>
      <c r="B376">
        <v>5</v>
      </c>
      <c r="C376" t="s">
        <v>9</v>
      </c>
      <c r="D376" t="s">
        <v>4</v>
      </c>
      <c r="E376">
        <v>78928.214285714334</v>
      </c>
      <c r="F376">
        <v>153526.38461538457</v>
      </c>
      <c r="G376">
        <v>730526438.23199975</v>
      </c>
      <c r="H376">
        <v>136991849.37285715</v>
      </c>
      <c r="I376">
        <v>327736.29785820696</v>
      </c>
      <c r="J376">
        <v>28599724.092307676</v>
      </c>
    </row>
    <row r="377" spans="1:10" x14ac:dyDescent="0.25">
      <c r="A377">
        <v>10</v>
      </c>
      <c r="B377">
        <v>6</v>
      </c>
      <c r="C377" t="s">
        <v>9</v>
      </c>
      <c r="D377" t="s">
        <v>5</v>
      </c>
      <c r="E377">
        <v>27256.35714285713</v>
      </c>
      <c r="F377">
        <v>219315.69597069608</v>
      </c>
      <c r="G377">
        <v>3040873533.028573</v>
      </c>
      <c r="H377">
        <v>256448623.13571426</v>
      </c>
      <c r="I377">
        <v>380079.57165338506</v>
      </c>
      <c r="J377">
        <v>49786894.571428545</v>
      </c>
    </row>
    <row r="378" spans="1:10" x14ac:dyDescent="0.25">
      <c r="A378">
        <v>10</v>
      </c>
      <c r="B378">
        <v>7</v>
      </c>
      <c r="C378" t="s">
        <v>9</v>
      </c>
      <c r="D378" t="s">
        <v>6</v>
      </c>
      <c r="E378">
        <v>19006.357142857138</v>
      </c>
      <c r="F378">
        <v>152861.99999999997</v>
      </c>
      <c r="G378">
        <v>1172133587.0399997</v>
      </c>
      <c r="H378">
        <v>117759625.60142858</v>
      </c>
      <c r="I378">
        <v>540519.0539910387</v>
      </c>
      <c r="J378">
        <v>45184340.329670355</v>
      </c>
    </row>
    <row r="379" spans="1:10" x14ac:dyDescent="0.25">
      <c r="A379">
        <v>10</v>
      </c>
      <c r="B379">
        <v>8</v>
      </c>
      <c r="C379" t="s">
        <v>9</v>
      </c>
      <c r="D379" t="s">
        <v>7</v>
      </c>
      <c r="E379">
        <v>48653.428571428529</v>
      </c>
      <c r="F379">
        <v>210459.76923076907</v>
      </c>
      <c r="G379">
        <v>2288042845.559998</v>
      </c>
      <c r="H379">
        <v>142833527.99822906</v>
      </c>
      <c r="I379">
        <v>786137.51230004919</v>
      </c>
      <c r="J379">
        <v>81662754.285714313</v>
      </c>
    </row>
    <row r="380" spans="1:10" x14ac:dyDescent="0.25">
      <c r="A380">
        <v>10</v>
      </c>
      <c r="B380">
        <v>9</v>
      </c>
      <c r="C380" t="s">
        <v>9</v>
      </c>
      <c r="D380" t="s">
        <v>8</v>
      </c>
      <c r="E380">
        <v>14649.025974025973</v>
      </c>
      <c r="F380">
        <v>660792.54487179511</v>
      </c>
      <c r="G380">
        <v>14749550394.083338</v>
      </c>
      <c r="H380">
        <v>123786113.15269896</v>
      </c>
      <c r="I380">
        <v>540519.51954659424</v>
      </c>
      <c r="J380">
        <v>39254528.276923053</v>
      </c>
    </row>
    <row r="381" spans="1:10" x14ac:dyDescent="0.25">
      <c r="A381">
        <v>10</v>
      </c>
      <c r="B381">
        <v>10</v>
      </c>
      <c r="C381" t="s">
        <v>9</v>
      </c>
      <c r="D381" t="s">
        <v>9</v>
      </c>
      <c r="E381">
        <v>0</v>
      </c>
      <c r="F381">
        <v>0</v>
      </c>
      <c r="G381">
        <v>0</v>
      </c>
      <c r="H381">
        <v>0</v>
      </c>
      <c r="I381">
        <v>314516.32109333773</v>
      </c>
      <c r="J381">
        <v>14725914.72527473</v>
      </c>
    </row>
    <row r="382" spans="1:10" x14ac:dyDescent="0.25">
      <c r="A382">
        <v>10</v>
      </c>
      <c r="B382">
        <v>11</v>
      </c>
      <c r="C382" t="s">
        <v>9</v>
      </c>
      <c r="D382" t="s">
        <v>10</v>
      </c>
      <c r="E382">
        <v>35298.95604395603</v>
      </c>
      <c r="F382">
        <v>187932.92307692306</v>
      </c>
      <c r="G382">
        <v>24586760665.919998</v>
      </c>
      <c r="H382">
        <v>214506939.30805635</v>
      </c>
      <c r="I382">
        <v>675920.61729390745</v>
      </c>
      <c r="J382">
        <v>36719703.956043959</v>
      </c>
    </row>
    <row r="383" spans="1:10" x14ac:dyDescent="0.25">
      <c r="A383">
        <v>10</v>
      </c>
      <c r="B383">
        <v>12</v>
      </c>
      <c r="C383" t="s">
        <v>9</v>
      </c>
      <c r="D383" t="s">
        <v>11</v>
      </c>
      <c r="E383">
        <v>32267.571428571428</v>
      </c>
      <c r="F383">
        <v>132658.99999999997</v>
      </c>
      <c r="G383">
        <v>15091064972.879997</v>
      </c>
      <c r="H383">
        <v>347523341.78017277</v>
      </c>
      <c r="I383">
        <v>551306.99997869472</v>
      </c>
      <c r="J383">
        <v>18077269.450549453</v>
      </c>
    </row>
    <row r="384" spans="1:10" x14ac:dyDescent="0.25">
      <c r="A384">
        <v>10</v>
      </c>
      <c r="B384">
        <v>13</v>
      </c>
      <c r="C384" t="s">
        <v>9</v>
      </c>
      <c r="D384" t="s">
        <v>12</v>
      </c>
      <c r="E384">
        <v>17345.956043956048</v>
      </c>
      <c r="F384">
        <v>114347.46153846158</v>
      </c>
      <c r="G384">
        <v>12155190048.320002</v>
      </c>
      <c r="H384">
        <v>96623459.433190688</v>
      </c>
      <c r="I384">
        <v>6200449.6679483643</v>
      </c>
      <c r="J384">
        <v>18656732.01318679</v>
      </c>
    </row>
    <row r="385" spans="1:10" x14ac:dyDescent="0.25">
      <c r="A385">
        <v>10</v>
      </c>
      <c r="B385">
        <v>14</v>
      </c>
      <c r="C385" t="s">
        <v>9</v>
      </c>
      <c r="D385" t="s">
        <v>13</v>
      </c>
      <c r="E385">
        <v>37970.95604395603</v>
      </c>
      <c r="F385">
        <v>260811.69230769208</v>
      </c>
      <c r="G385">
        <v>25806711870.719975</v>
      </c>
      <c r="H385">
        <v>183581094.92119068</v>
      </c>
      <c r="I385">
        <v>348301.83634043357</v>
      </c>
      <c r="J385">
        <v>10646617.142857146</v>
      </c>
    </row>
    <row r="386" spans="1:10" x14ac:dyDescent="0.25">
      <c r="A386">
        <v>10</v>
      </c>
      <c r="B386">
        <v>15</v>
      </c>
      <c r="C386" t="s">
        <v>9</v>
      </c>
      <c r="D386" t="s">
        <v>14</v>
      </c>
      <c r="E386">
        <v>61770.340659340625</v>
      </c>
      <c r="F386">
        <v>382987.38461538509</v>
      </c>
      <c r="G386">
        <v>39524987469.600052</v>
      </c>
      <c r="H386">
        <v>290050592.70842826</v>
      </c>
      <c r="I386">
        <v>348301.12522932241</v>
      </c>
      <c r="J386">
        <v>14366734.505494507</v>
      </c>
    </row>
    <row r="387" spans="1:10" x14ac:dyDescent="0.25">
      <c r="A387">
        <v>10</v>
      </c>
      <c r="B387">
        <v>16</v>
      </c>
      <c r="C387" t="s">
        <v>9</v>
      </c>
      <c r="D387" t="s">
        <v>15</v>
      </c>
      <c r="E387">
        <v>51462.80219780223</v>
      </c>
      <c r="F387">
        <v>621200.61538461514</v>
      </c>
      <c r="G387">
        <v>72461138486.719971</v>
      </c>
      <c r="H387">
        <v>169348310.41683888</v>
      </c>
      <c r="I387">
        <v>348299.78634043352</v>
      </c>
      <c r="J387">
        <v>11667902.329670332</v>
      </c>
    </row>
    <row r="388" spans="1:10" x14ac:dyDescent="0.25">
      <c r="A388">
        <v>10</v>
      </c>
      <c r="B388">
        <v>17</v>
      </c>
      <c r="C388" t="s">
        <v>9</v>
      </c>
      <c r="D388" t="s">
        <v>16</v>
      </c>
      <c r="E388">
        <v>78521.879120879137</v>
      </c>
      <c r="F388">
        <v>266084.4615384611</v>
      </c>
      <c r="G388">
        <v>37326573062.319931</v>
      </c>
      <c r="H388">
        <v>507436095.65732986</v>
      </c>
      <c r="I388">
        <v>380082.27054227394</v>
      </c>
      <c r="J388">
        <v>12259971.969230769</v>
      </c>
    </row>
    <row r="389" spans="1:10" x14ac:dyDescent="0.25">
      <c r="A389">
        <v>10</v>
      </c>
      <c r="B389">
        <v>18</v>
      </c>
      <c r="C389" t="s">
        <v>9</v>
      </c>
      <c r="D389" t="s">
        <v>17</v>
      </c>
      <c r="E389">
        <v>37788.340659340633</v>
      </c>
      <c r="F389">
        <v>143255.30769230769</v>
      </c>
      <c r="G389">
        <v>18666470293.559998</v>
      </c>
      <c r="H389">
        <v>362638302.71683896</v>
      </c>
      <c r="I389">
        <v>675922.0639605741</v>
      </c>
      <c r="J389">
        <v>30973182.68571429</v>
      </c>
    </row>
    <row r="390" spans="1:10" x14ac:dyDescent="0.25">
      <c r="A390">
        <v>10</v>
      </c>
      <c r="B390">
        <v>19</v>
      </c>
      <c r="C390" t="s">
        <v>9</v>
      </c>
      <c r="D390" t="s">
        <v>18</v>
      </c>
      <c r="E390">
        <v>15339.494505494509</v>
      </c>
      <c r="F390">
        <v>181974.30769230769</v>
      </c>
      <c r="G390">
        <v>11258488373.919998</v>
      </c>
      <c r="H390">
        <v>77757577.9784583</v>
      </c>
      <c r="I390">
        <v>348300.31411821133</v>
      </c>
      <c r="J390">
        <v>29313019.685714282</v>
      </c>
    </row>
    <row r="391" spans="1:10" x14ac:dyDescent="0.25">
      <c r="A391">
        <v>10</v>
      </c>
      <c r="B391">
        <v>20</v>
      </c>
      <c r="C391" t="s">
        <v>9</v>
      </c>
      <c r="D391" t="s">
        <v>19</v>
      </c>
      <c r="E391">
        <v>72511.263736263732</v>
      </c>
      <c r="F391">
        <v>153789.58974358978</v>
      </c>
      <c r="G391">
        <v>8262800926.1600018</v>
      </c>
      <c r="H391">
        <v>309886139.49976516</v>
      </c>
      <c r="I391">
        <v>608255.36617298808</v>
      </c>
      <c r="J391">
        <v>3532713.1714285715</v>
      </c>
    </row>
    <row r="392" spans="1:10" x14ac:dyDescent="0.25">
      <c r="A392">
        <v>10</v>
      </c>
      <c r="B392">
        <v>21</v>
      </c>
      <c r="C392" t="s">
        <v>9</v>
      </c>
      <c r="D392" t="s">
        <v>20</v>
      </c>
      <c r="E392">
        <v>51355.87912087913</v>
      </c>
      <c r="F392">
        <v>197941.25641025609</v>
      </c>
      <c r="G392">
        <v>8212741081.4666538</v>
      </c>
      <c r="H392">
        <v>80926926.647868484</v>
      </c>
      <c r="I392">
        <v>302765.74714900879</v>
      </c>
      <c r="J392">
        <v>2103700.153846154</v>
      </c>
    </row>
    <row r="393" spans="1:10" x14ac:dyDescent="0.25">
      <c r="A393">
        <v>10</v>
      </c>
      <c r="B393">
        <v>22</v>
      </c>
      <c r="C393" t="s">
        <v>9</v>
      </c>
      <c r="D393" t="s">
        <v>21</v>
      </c>
      <c r="E393">
        <v>35795.725274725228</v>
      </c>
      <c r="F393">
        <v>217068.25641025609</v>
      </c>
      <c r="G393">
        <v>13942719563.013311</v>
      </c>
      <c r="H393">
        <v>297973524.82555771</v>
      </c>
      <c r="I393">
        <v>302764.43937123101</v>
      </c>
      <c r="J393">
        <v>3577075.1868131869</v>
      </c>
    </row>
    <row r="394" spans="1:10" x14ac:dyDescent="0.25">
      <c r="A394">
        <v>10</v>
      </c>
      <c r="B394">
        <v>23</v>
      </c>
      <c r="C394" t="s">
        <v>9</v>
      </c>
      <c r="D394" t="s">
        <v>22</v>
      </c>
      <c r="E394">
        <v>20474.26373626374</v>
      </c>
      <c r="F394">
        <v>200804.5897435901</v>
      </c>
      <c r="G394">
        <v>12845341090.96002</v>
      </c>
      <c r="H394">
        <v>165740843.62694567</v>
      </c>
      <c r="I394">
        <v>2052058.7923975429</v>
      </c>
      <c r="J394">
        <v>19554585.164835155</v>
      </c>
    </row>
    <row r="395" spans="1:10" x14ac:dyDescent="0.25">
      <c r="A395">
        <v>10</v>
      </c>
      <c r="B395">
        <v>24</v>
      </c>
      <c r="C395" t="s">
        <v>9</v>
      </c>
      <c r="D395" t="s">
        <v>23</v>
      </c>
      <c r="E395">
        <v>21636.648351648349</v>
      </c>
      <c r="F395">
        <v>158276.58974358978</v>
      </c>
      <c r="G395">
        <v>13092481227.000004</v>
      </c>
      <c r="H395">
        <v>157393254.2269457</v>
      </c>
      <c r="I395">
        <v>2052059.7168419873</v>
      </c>
      <c r="J395">
        <v>71490642.197802261</v>
      </c>
    </row>
    <row r="396" spans="1:10" x14ac:dyDescent="0.25">
      <c r="A396">
        <v>10</v>
      </c>
      <c r="B396">
        <v>25</v>
      </c>
      <c r="C396" t="s">
        <v>9</v>
      </c>
      <c r="D396" t="s">
        <v>24</v>
      </c>
      <c r="E396">
        <v>19241.26373626374</v>
      </c>
      <c r="F396">
        <v>151224.25641025638</v>
      </c>
      <c r="G396">
        <v>11397197553.466663</v>
      </c>
      <c r="H396">
        <v>98681641.126945689</v>
      </c>
      <c r="I396">
        <v>968747.27775024832</v>
      </c>
      <c r="J396">
        <v>9286796.7032967079</v>
      </c>
    </row>
    <row r="397" spans="1:10" x14ac:dyDescent="0.25">
      <c r="A397">
        <v>10</v>
      </c>
      <c r="B397">
        <v>26</v>
      </c>
      <c r="C397" t="s">
        <v>9</v>
      </c>
      <c r="D397" t="s">
        <v>25</v>
      </c>
      <c r="E397">
        <v>18320.340659340658</v>
      </c>
      <c r="F397">
        <v>137297.92307692306</v>
      </c>
      <c r="G397">
        <v>11595106167.360001</v>
      </c>
      <c r="H397">
        <v>146663048.85642824</v>
      </c>
      <c r="I397">
        <v>338867.92108853167</v>
      </c>
      <c r="J397">
        <v>16961040.94065934</v>
      </c>
    </row>
    <row r="398" spans="1:10" x14ac:dyDescent="0.25">
      <c r="A398">
        <v>10</v>
      </c>
      <c r="B398">
        <v>27</v>
      </c>
      <c r="C398" t="s">
        <v>9</v>
      </c>
      <c r="D398" t="s">
        <v>26</v>
      </c>
      <c r="E398">
        <v>73535.571428571435</v>
      </c>
      <c r="F398">
        <v>507231.02307692304</v>
      </c>
      <c r="G398">
        <v>25787300585.375996</v>
      </c>
      <c r="H398">
        <v>720043822.65976512</v>
      </c>
      <c r="I398">
        <v>330394.63028480695</v>
      </c>
      <c r="J398">
        <v>27093267.69230774</v>
      </c>
    </row>
    <row r="399" spans="1:10" x14ac:dyDescent="0.25">
      <c r="A399">
        <v>10</v>
      </c>
      <c r="B399">
        <v>28</v>
      </c>
      <c r="C399" t="s">
        <v>9</v>
      </c>
      <c r="D399" t="s">
        <v>27</v>
      </c>
      <c r="E399">
        <v>50599.87142857143</v>
      </c>
      <c r="F399">
        <v>207230.32307692309</v>
      </c>
      <c r="G399" t="s">
        <v>122</v>
      </c>
      <c r="H399" t="s">
        <v>122</v>
      </c>
      <c r="I399">
        <v>338867.64331075386</v>
      </c>
      <c r="J399">
        <v>14158571.428571429</v>
      </c>
    </row>
    <row r="400" spans="1:10" x14ac:dyDescent="0.25">
      <c r="A400">
        <v>10</v>
      </c>
      <c r="B400">
        <v>29</v>
      </c>
      <c r="C400" t="s">
        <v>9</v>
      </c>
      <c r="D400" t="s">
        <v>28</v>
      </c>
      <c r="E400">
        <v>46647.071428571428</v>
      </c>
      <c r="F400">
        <v>452009.32307692309</v>
      </c>
      <c r="G400">
        <v>27941426395.695999</v>
      </c>
      <c r="H400">
        <v>477928254.82555771</v>
      </c>
      <c r="I400">
        <v>297268.71252617193</v>
      </c>
      <c r="J400">
        <v>17918114.285714291</v>
      </c>
    </row>
    <row r="401" spans="1:10" x14ac:dyDescent="0.25">
      <c r="A401">
        <v>10</v>
      </c>
      <c r="B401">
        <v>30</v>
      </c>
      <c r="C401" t="s">
        <v>9</v>
      </c>
      <c r="D401" t="s">
        <v>29</v>
      </c>
      <c r="E401">
        <v>21806.87142857143</v>
      </c>
      <c r="F401">
        <v>320159.0230769231</v>
      </c>
      <c r="G401">
        <v>25272572093.675995</v>
      </c>
      <c r="H401">
        <v>129956342.43494569</v>
      </c>
      <c r="I401">
        <v>330394.03028480697</v>
      </c>
      <c r="J401">
        <v>25677367.912087914</v>
      </c>
    </row>
    <row r="402" spans="1:10" x14ac:dyDescent="0.25">
      <c r="A402">
        <v>10</v>
      </c>
      <c r="B402">
        <v>31</v>
      </c>
      <c r="C402" t="s">
        <v>9</v>
      </c>
      <c r="D402" t="s">
        <v>30</v>
      </c>
      <c r="E402">
        <v>16696.03296703297</v>
      </c>
      <c r="F402">
        <v>114910.61538461538</v>
      </c>
      <c r="G402">
        <v>2293340097.5999999</v>
      </c>
      <c r="H402">
        <v>99401630.412721276</v>
      </c>
      <c r="I402">
        <v>76.076261818459074</v>
      </c>
      <c r="J402">
        <v>27</v>
      </c>
    </row>
    <row r="403" spans="1:10" x14ac:dyDescent="0.25">
      <c r="A403">
        <v>10</v>
      </c>
      <c r="B403">
        <v>32</v>
      </c>
      <c r="C403" t="s">
        <v>9</v>
      </c>
      <c r="D403" t="s">
        <v>31</v>
      </c>
      <c r="E403">
        <v>14540.956043956045</v>
      </c>
      <c r="F403">
        <v>140457.42307692306</v>
      </c>
      <c r="G403">
        <v>3260556146.1199999</v>
      </c>
      <c r="H403">
        <v>77309915.985360697</v>
      </c>
      <c r="I403">
        <v>702684.20219743077</v>
      </c>
      <c r="J403">
        <v>82758157.960439548</v>
      </c>
    </row>
    <row r="404" spans="1:10" x14ac:dyDescent="0.25">
      <c r="A404">
        <v>10</v>
      </c>
      <c r="B404">
        <v>33</v>
      </c>
      <c r="C404" t="s">
        <v>9</v>
      </c>
      <c r="D404" t="s">
        <v>32</v>
      </c>
      <c r="E404">
        <v>78218.340659340625</v>
      </c>
      <c r="F404">
        <v>190167.64615384617</v>
      </c>
      <c r="G404">
        <v>5613033884.1120005</v>
      </c>
      <c r="H404">
        <v>156213536.3493607</v>
      </c>
      <c r="I404">
        <v>702684.5799752085</v>
      </c>
      <c r="J404">
        <v>19843048.246153835</v>
      </c>
    </row>
    <row r="405" spans="1:10" x14ac:dyDescent="0.25">
      <c r="A405">
        <v>10</v>
      </c>
      <c r="B405">
        <v>34</v>
      </c>
      <c r="C405" t="s">
        <v>9</v>
      </c>
      <c r="D405" t="s">
        <v>33</v>
      </c>
      <c r="E405">
        <v>310828.8791208794</v>
      </c>
      <c r="F405">
        <v>357729.31196581206</v>
      </c>
      <c r="G405">
        <v>10784279548.591112</v>
      </c>
      <c r="H405">
        <v>866001739.30072117</v>
      </c>
      <c r="I405">
        <v>239894.79370149653</v>
      </c>
      <c r="J405">
        <v>25879108.597802185</v>
      </c>
    </row>
    <row r="406" spans="1:10" x14ac:dyDescent="0.25">
      <c r="A406">
        <v>10</v>
      </c>
      <c r="B406">
        <v>35</v>
      </c>
      <c r="C406" t="s">
        <v>9</v>
      </c>
      <c r="D406" t="s">
        <v>34</v>
      </c>
      <c r="E406">
        <v>37147.186813186832</v>
      </c>
      <c r="F406">
        <v>106139.46153846158</v>
      </c>
      <c r="G406">
        <v>2932157817.5200005</v>
      </c>
      <c r="H406">
        <v>236267130.37272128</v>
      </c>
      <c r="I406">
        <v>334496.41387249361</v>
      </c>
      <c r="J406">
        <v>45940841.2131868</v>
      </c>
    </row>
    <row r="407" spans="1:10" x14ac:dyDescent="0.25">
      <c r="A407">
        <v>10</v>
      </c>
      <c r="B407">
        <v>36</v>
      </c>
      <c r="C407" t="s">
        <v>9</v>
      </c>
      <c r="D407" t="s">
        <v>35</v>
      </c>
      <c r="E407">
        <v>17771.41758241758</v>
      </c>
      <c r="F407">
        <v>181985.84615384619</v>
      </c>
      <c r="G407">
        <v>5524464257.9200001</v>
      </c>
      <c r="H407">
        <v>91119119.255270392</v>
      </c>
      <c r="I407">
        <v>445782.21844929864</v>
      </c>
      <c r="J407">
        <v>67790456.043956026</v>
      </c>
    </row>
    <row r="408" spans="1:10" x14ac:dyDescent="0.25">
      <c r="A408">
        <v>10</v>
      </c>
      <c r="B408">
        <v>37</v>
      </c>
      <c r="C408" t="s">
        <v>9</v>
      </c>
      <c r="D408" t="s">
        <v>36</v>
      </c>
      <c r="E408">
        <v>24190.417582417627</v>
      </c>
      <c r="F408">
        <v>176801.34981684978</v>
      </c>
      <c r="G408">
        <v>22313313362.391418</v>
      </c>
      <c r="H408">
        <v>144648736.65213031</v>
      </c>
      <c r="I408">
        <v>445784.76289374311</v>
      </c>
      <c r="J408">
        <v>33891965.714285731</v>
      </c>
    </row>
    <row r="409" spans="1:10" x14ac:dyDescent="0.25">
      <c r="A409">
        <v>10</v>
      </c>
      <c r="B409">
        <v>38</v>
      </c>
      <c r="C409" t="s">
        <v>9</v>
      </c>
      <c r="D409" t="s">
        <v>37</v>
      </c>
      <c r="E409">
        <v>14158.571428571429</v>
      </c>
      <c r="F409">
        <v>97778.307692307702</v>
      </c>
      <c r="G409">
        <v>14846200637.52</v>
      </c>
      <c r="H409">
        <v>74669740.913140953</v>
      </c>
      <c r="I409">
        <v>445782.65733818756</v>
      </c>
      <c r="J409">
        <v>22607495.824175812</v>
      </c>
    </row>
    <row r="410" spans="1:10" x14ac:dyDescent="0.25">
      <c r="A410">
        <v>10</v>
      </c>
      <c r="B410">
        <v>39</v>
      </c>
      <c r="C410" t="s">
        <v>9</v>
      </c>
      <c r="D410" t="s">
        <v>38</v>
      </c>
      <c r="E410">
        <v>17228.956043956048</v>
      </c>
      <c r="F410">
        <v>181948.76556776557</v>
      </c>
      <c r="G410">
        <v>23813425325.706665</v>
      </c>
      <c r="H410">
        <v>91990398.972130299</v>
      </c>
      <c r="I410">
        <v>334496.56720582693</v>
      </c>
      <c r="J410">
        <v>25171951.316483501</v>
      </c>
    </row>
    <row r="411" spans="1:10" x14ac:dyDescent="0.25">
      <c r="A411">
        <v>10</v>
      </c>
      <c r="B411">
        <v>40</v>
      </c>
      <c r="C411" t="s">
        <v>9</v>
      </c>
      <c r="D411" t="s">
        <v>39</v>
      </c>
      <c r="E411">
        <v>23775.340659340662</v>
      </c>
      <c r="F411">
        <v>163268.06593406596</v>
      </c>
      <c r="G411">
        <v>23169214499.360001</v>
      </c>
      <c r="H411">
        <v>77530231.774626151</v>
      </c>
      <c r="I411">
        <v>702686.66330854187</v>
      </c>
      <c r="J411">
        <v>19531696.323076908</v>
      </c>
    </row>
    <row r="412" spans="1:10" x14ac:dyDescent="0.25">
      <c r="A412">
        <v>10</v>
      </c>
      <c r="B412">
        <v>41</v>
      </c>
      <c r="C412" t="s">
        <v>9</v>
      </c>
      <c r="D412" t="s">
        <v>40</v>
      </c>
      <c r="E412">
        <v>36134.263736263732</v>
      </c>
      <c r="F412">
        <v>111446.41575091578</v>
      </c>
      <c r="G412">
        <v>15709896887.059052</v>
      </c>
      <c r="H412">
        <v>231635957.87314096</v>
      </c>
      <c r="I412">
        <v>445783.20622707647</v>
      </c>
      <c r="J412">
        <v>33886997.802197784</v>
      </c>
    </row>
    <row r="413" spans="1:10" x14ac:dyDescent="0.25">
      <c r="A413">
        <v>11</v>
      </c>
      <c r="B413">
        <v>1</v>
      </c>
      <c r="C413" t="s">
        <v>10</v>
      </c>
      <c r="D413" t="s">
        <v>0</v>
      </c>
      <c r="E413">
        <v>103173.84065934064</v>
      </c>
      <c r="F413">
        <v>146255.07692307699</v>
      </c>
      <c r="G413">
        <v>14310292900.320005</v>
      </c>
      <c r="H413">
        <v>286426282.89268738</v>
      </c>
      <c r="I413">
        <v>0</v>
      </c>
      <c r="J413">
        <v>0</v>
      </c>
    </row>
    <row r="414" spans="1:10" x14ac:dyDescent="0.25">
      <c r="A414">
        <v>11</v>
      </c>
      <c r="B414">
        <v>2</v>
      </c>
      <c r="C414" t="s">
        <v>10</v>
      </c>
      <c r="D414" t="s">
        <v>1</v>
      </c>
      <c r="E414">
        <v>31912.840659340629</v>
      </c>
      <c r="F414">
        <v>136643.46153846159</v>
      </c>
      <c r="G414">
        <v>12982314911.400005</v>
      </c>
      <c r="H414">
        <v>162894814.3312588</v>
      </c>
      <c r="I414">
        <v>314517.44286523003</v>
      </c>
      <c r="J414">
        <v>4336465.384615385</v>
      </c>
    </row>
    <row r="415" spans="1:10" x14ac:dyDescent="0.25">
      <c r="A415">
        <v>11</v>
      </c>
      <c r="B415">
        <v>3</v>
      </c>
      <c r="C415" t="s">
        <v>10</v>
      </c>
      <c r="D415" t="s">
        <v>2</v>
      </c>
      <c r="E415">
        <v>27177.483516483531</v>
      </c>
      <c r="F415">
        <v>139677.69230769228</v>
      </c>
      <c r="G415">
        <v>13153219213.199999</v>
      </c>
      <c r="H415">
        <v>205501010.95539394</v>
      </c>
      <c r="I415">
        <v>92648.324104041807</v>
      </c>
      <c r="J415">
        <v>2965488.6153846164</v>
      </c>
    </row>
    <row r="416" spans="1:10" x14ac:dyDescent="0.25">
      <c r="A416">
        <v>11</v>
      </c>
      <c r="B416">
        <v>4</v>
      </c>
      <c r="C416" t="s">
        <v>10</v>
      </c>
      <c r="D416" t="s">
        <v>3</v>
      </c>
      <c r="E416">
        <v>41833.840659340625</v>
      </c>
      <c r="F416">
        <v>128784.61538461538</v>
      </c>
      <c r="G416">
        <v>15576957703.999998</v>
      </c>
      <c r="H416">
        <v>255770028.31865242</v>
      </c>
      <c r="I416">
        <v>92647.826326264025</v>
      </c>
      <c r="J416">
        <v>8307156.9230769202</v>
      </c>
    </row>
    <row r="417" spans="1:10" x14ac:dyDescent="0.25">
      <c r="A417">
        <v>11</v>
      </c>
      <c r="B417">
        <v>5</v>
      </c>
      <c r="C417" t="s">
        <v>10</v>
      </c>
      <c r="D417" t="s">
        <v>4</v>
      </c>
      <c r="E417">
        <v>75570.412087912133</v>
      </c>
      <c r="F417">
        <v>160584.69230769228</v>
      </c>
      <c r="G417">
        <v>20342586192.479996</v>
      </c>
      <c r="H417">
        <v>167171162.24805635</v>
      </c>
      <c r="I417">
        <v>1782371.7342849537</v>
      </c>
      <c r="J417">
        <v>23365015.384615369</v>
      </c>
    </row>
    <row r="418" spans="1:10" x14ac:dyDescent="0.25">
      <c r="A418">
        <v>11</v>
      </c>
      <c r="B418">
        <v>6</v>
      </c>
      <c r="C418" t="s">
        <v>10</v>
      </c>
      <c r="D418" t="s">
        <v>5</v>
      </c>
      <c r="E418">
        <v>23898.55494505493</v>
      </c>
      <c r="F418">
        <v>226374.00366300379</v>
      </c>
      <c r="G418">
        <v>32778421487.754307</v>
      </c>
      <c r="H418">
        <v>286627936.01091349</v>
      </c>
      <c r="I418">
        <v>316345.67452388123</v>
      </c>
      <c r="J418">
        <v>16663572.000000009</v>
      </c>
    </row>
    <row r="419" spans="1:10" x14ac:dyDescent="0.25">
      <c r="A419">
        <v>11</v>
      </c>
      <c r="B419">
        <v>7</v>
      </c>
      <c r="C419" t="s">
        <v>10</v>
      </c>
      <c r="D419" t="s">
        <v>6</v>
      </c>
      <c r="E419">
        <v>15648.554945054941</v>
      </c>
      <c r="F419">
        <v>159920.30769230769</v>
      </c>
      <c r="G419">
        <v>20241625089.599998</v>
      </c>
      <c r="H419">
        <v>147938938.47662777</v>
      </c>
      <c r="I419">
        <v>345082.06707120768</v>
      </c>
      <c r="J419">
        <v>28051233.507692315</v>
      </c>
    </row>
    <row r="420" spans="1:10" x14ac:dyDescent="0.25">
      <c r="A420">
        <v>11</v>
      </c>
      <c r="B420">
        <v>8</v>
      </c>
      <c r="C420" t="s">
        <v>10</v>
      </c>
      <c r="D420" t="s">
        <v>7</v>
      </c>
      <c r="E420">
        <v>45295.626373626335</v>
      </c>
      <c r="F420">
        <v>217518.07692307676</v>
      </c>
      <c r="G420">
        <v>26149649076.599979</v>
      </c>
      <c r="H420">
        <v>172833840.86208099</v>
      </c>
      <c r="I420">
        <v>316346.14007943682</v>
      </c>
      <c r="J420">
        <v>12092005.107692296</v>
      </c>
    </row>
    <row r="421" spans="1:10" x14ac:dyDescent="0.25">
      <c r="A421">
        <v>11</v>
      </c>
      <c r="B421">
        <v>9</v>
      </c>
      <c r="C421" t="s">
        <v>10</v>
      </c>
      <c r="D421" t="s">
        <v>8</v>
      </c>
      <c r="E421">
        <v>11291.223776223775</v>
      </c>
      <c r="F421">
        <v>667850.85256410274</v>
      </c>
      <c r="G421">
        <v>73483228597.116684</v>
      </c>
      <c r="H421">
        <v>153765656.63125879</v>
      </c>
      <c r="I421">
        <v>79381.456450463927</v>
      </c>
      <c r="J421">
        <v>7313624.9846153855</v>
      </c>
    </row>
    <row r="422" spans="1:10" x14ac:dyDescent="0.25">
      <c r="A422">
        <v>11</v>
      </c>
      <c r="B422">
        <v>10</v>
      </c>
      <c r="C422" t="s">
        <v>10</v>
      </c>
      <c r="D422" t="s">
        <v>9</v>
      </c>
      <c r="E422">
        <v>31773.983516483531</v>
      </c>
      <c r="F422">
        <v>192227.15384615387</v>
      </c>
      <c r="G422">
        <v>25148563368.920006</v>
      </c>
      <c r="H422">
        <v>214506939.30805635</v>
      </c>
      <c r="I422">
        <v>454723.16493940999</v>
      </c>
      <c r="J422">
        <v>43843294.615384616</v>
      </c>
    </row>
    <row r="423" spans="1:10" x14ac:dyDescent="0.25">
      <c r="A423">
        <v>11</v>
      </c>
      <c r="B423">
        <v>11</v>
      </c>
      <c r="C423" t="s">
        <v>10</v>
      </c>
      <c r="D423" t="s">
        <v>10</v>
      </c>
      <c r="E423">
        <v>0</v>
      </c>
      <c r="F423">
        <v>0</v>
      </c>
      <c r="G423">
        <v>0</v>
      </c>
      <c r="H423">
        <v>0</v>
      </c>
      <c r="I423">
        <v>317841.64258678776</v>
      </c>
      <c r="J423">
        <v>33080274.615384627</v>
      </c>
    </row>
    <row r="424" spans="1:10" x14ac:dyDescent="0.25">
      <c r="A424">
        <v>11</v>
      </c>
      <c r="B424">
        <v>12</v>
      </c>
      <c r="C424" t="s">
        <v>10</v>
      </c>
      <c r="D424" t="s">
        <v>11</v>
      </c>
      <c r="E424">
        <v>28909.76923076923</v>
      </c>
      <c r="F424">
        <v>139717.30769230769</v>
      </c>
      <c r="G424">
        <v>2384834724.9999995</v>
      </c>
      <c r="H424">
        <v>309284437.51163536</v>
      </c>
      <c r="I424">
        <v>222482.69142842884</v>
      </c>
      <c r="J424">
        <v>17295900.584615361</v>
      </c>
    </row>
    <row r="425" spans="1:10" x14ac:dyDescent="0.25">
      <c r="A425">
        <v>11</v>
      </c>
      <c r="B425">
        <v>13</v>
      </c>
      <c r="C425" t="s">
        <v>10</v>
      </c>
      <c r="D425" t="s">
        <v>12</v>
      </c>
      <c r="E425">
        <v>13988.153846153851</v>
      </c>
      <c r="F425">
        <v>121405.76923076928</v>
      </c>
      <c r="G425">
        <v>3468669664.000001</v>
      </c>
      <c r="H425">
        <v>93674262.388647661</v>
      </c>
      <c r="I425">
        <v>113371.70254299435</v>
      </c>
      <c r="J425">
        <v>9140190.461538462</v>
      </c>
    </row>
    <row r="426" spans="1:10" x14ac:dyDescent="0.25">
      <c r="A426">
        <v>11</v>
      </c>
      <c r="B426">
        <v>14</v>
      </c>
      <c r="C426" t="s">
        <v>10</v>
      </c>
      <c r="D426" t="s">
        <v>13</v>
      </c>
      <c r="E426">
        <v>34613.153846153829</v>
      </c>
      <c r="F426">
        <v>267869.99999999977</v>
      </c>
      <c r="G426">
        <v>8806901282.399992</v>
      </c>
      <c r="H426">
        <v>180631897.87664765</v>
      </c>
      <c r="I426">
        <v>113370.99143188323</v>
      </c>
      <c r="J426">
        <v>10638288.461538458</v>
      </c>
    </row>
    <row r="427" spans="1:10" x14ac:dyDescent="0.25">
      <c r="A427">
        <v>11</v>
      </c>
      <c r="B427">
        <v>15</v>
      </c>
      <c r="C427" t="s">
        <v>10</v>
      </c>
      <c r="D427" t="s">
        <v>14</v>
      </c>
      <c r="E427">
        <v>58412.538461538425</v>
      </c>
      <c r="F427">
        <v>390045.69230769284</v>
      </c>
      <c r="G427">
        <v>21120240952.560028</v>
      </c>
      <c r="H427">
        <v>287189423.3116287</v>
      </c>
      <c r="I427">
        <v>113369.65254299434</v>
      </c>
      <c r="J427">
        <v>6944249.3846153859</v>
      </c>
    </row>
    <row r="428" spans="1:10" x14ac:dyDescent="0.25">
      <c r="A428">
        <v>11</v>
      </c>
      <c r="B428">
        <v>16</v>
      </c>
      <c r="C428" t="s">
        <v>10</v>
      </c>
      <c r="D428" t="s">
        <v>15</v>
      </c>
      <c r="E428">
        <v>48105.000000000029</v>
      </c>
      <c r="F428">
        <v>628258.92307692277</v>
      </c>
      <c r="G428">
        <v>29630550458.719982</v>
      </c>
      <c r="H428">
        <v>166340990.26222861</v>
      </c>
      <c r="I428">
        <v>1782374.4331738425</v>
      </c>
      <c r="J428">
        <v>7319673.8153846143</v>
      </c>
    </row>
    <row r="429" spans="1:10" x14ac:dyDescent="0.25">
      <c r="A429">
        <v>11</v>
      </c>
      <c r="B429">
        <v>17</v>
      </c>
      <c r="C429" t="s">
        <v>10</v>
      </c>
      <c r="D429" t="s">
        <v>16</v>
      </c>
      <c r="E429">
        <v>75164.076923076937</v>
      </c>
      <c r="F429">
        <v>273142.76923076878</v>
      </c>
      <c r="G429">
        <v>14058549075.199978</v>
      </c>
      <c r="H429">
        <v>504421123.26714575</v>
      </c>
      <c r="I429">
        <v>454724.61160607665</v>
      </c>
      <c r="J429">
        <v>42331230.399999999</v>
      </c>
    </row>
    <row r="430" spans="1:10" x14ac:dyDescent="0.25">
      <c r="A430">
        <v>11</v>
      </c>
      <c r="B430">
        <v>18</v>
      </c>
      <c r="C430" t="s">
        <v>10</v>
      </c>
      <c r="D430" t="s">
        <v>17</v>
      </c>
      <c r="E430">
        <v>34430.538461538432</v>
      </c>
      <c r="F430">
        <v>150313.61538461538</v>
      </c>
      <c r="G430">
        <v>7460275170.5999975</v>
      </c>
      <c r="H430">
        <v>359630982.56222868</v>
      </c>
      <c r="I430">
        <v>113370.18032077211</v>
      </c>
      <c r="J430">
        <v>17107919.200000003</v>
      </c>
    </row>
    <row r="431" spans="1:10" x14ac:dyDescent="0.25">
      <c r="A431">
        <v>11</v>
      </c>
      <c r="B431">
        <v>19</v>
      </c>
      <c r="C431" t="s">
        <v>10</v>
      </c>
      <c r="D431" t="s">
        <v>18</v>
      </c>
      <c r="E431">
        <v>11981.69230769231</v>
      </c>
      <c r="F431">
        <v>189032.61538461538</v>
      </c>
      <c r="G431">
        <v>15269253172.479998</v>
      </c>
      <c r="H431">
        <v>74842203.710189223</v>
      </c>
      <c r="I431">
        <v>334497.66942804912</v>
      </c>
      <c r="J431">
        <v>16198282.784615381</v>
      </c>
    </row>
    <row r="432" spans="1:10" x14ac:dyDescent="0.25">
      <c r="A432">
        <v>11</v>
      </c>
      <c r="B432">
        <v>20</v>
      </c>
      <c r="C432" t="s">
        <v>10</v>
      </c>
      <c r="D432" t="s">
        <v>19</v>
      </c>
      <c r="E432">
        <v>69153.461538461532</v>
      </c>
      <c r="F432">
        <v>160847.8974358975</v>
      </c>
      <c r="G432">
        <v>13524818248.906672</v>
      </c>
      <c r="H432">
        <v>307049818.77859539</v>
      </c>
      <c r="I432">
        <v>73602.510604490875</v>
      </c>
      <c r="J432">
        <v>11486884.338461541</v>
      </c>
    </row>
    <row r="433" spans="1:10" x14ac:dyDescent="0.25">
      <c r="A433">
        <v>11</v>
      </c>
      <c r="B433">
        <v>21</v>
      </c>
      <c r="C433" t="s">
        <v>10</v>
      </c>
      <c r="D433" t="s">
        <v>20</v>
      </c>
      <c r="E433">
        <v>47998.076923076937</v>
      </c>
      <c r="F433">
        <v>204999.56410256377</v>
      </c>
      <c r="G433">
        <v>18647711548.746635</v>
      </c>
      <c r="H433">
        <v>78145216.941464931</v>
      </c>
      <c r="I433">
        <v>73601.202826713095</v>
      </c>
      <c r="J433">
        <v>8901790.4615384601</v>
      </c>
    </row>
    <row r="434" spans="1:10" x14ac:dyDescent="0.25">
      <c r="A434">
        <v>11</v>
      </c>
      <c r="B434">
        <v>22</v>
      </c>
      <c r="C434" t="s">
        <v>10</v>
      </c>
      <c r="D434" t="s">
        <v>21</v>
      </c>
      <c r="E434">
        <v>32437.923076923031</v>
      </c>
      <c r="F434">
        <v>224126.56410256377</v>
      </c>
      <c r="G434">
        <v>15561430087.893309</v>
      </c>
      <c r="H434">
        <v>294426577.03280091</v>
      </c>
      <c r="I434">
        <v>1866093.0173389856</v>
      </c>
      <c r="J434">
        <v>57642614.615384579</v>
      </c>
    </row>
    <row r="435" spans="1:10" x14ac:dyDescent="0.25">
      <c r="A435">
        <v>11</v>
      </c>
      <c r="B435">
        <v>23</v>
      </c>
      <c r="C435" t="s">
        <v>10</v>
      </c>
      <c r="D435" t="s">
        <v>22</v>
      </c>
      <c r="E435">
        <v>17116.461538461539</v>
      </c>
      <c r="F435">
        <v>207862.89743589779</v>
      </c>
      <c r="G435">
        <v>14934400422.720026</v>
      </c>
      <c r="H435">
        <v>162837851.38159639</v>
      </c>
      <c r="I435">
        <v>1866093.9417834301</v>
      </c>
      <c r="J435">
        <v>245361919.38461563</v>
      </c>
    </row>
    <row r="436" spans="1:10" x14ac:dyDescent="0.25">
      <c r="A436">
        <v>11</v>
      </c>
      <c r="B436">
        <v>24</v>
      </c>
      <c r="C436" t="s">
        <v>10</v>
      </c>
      <c r="D436" t="s">
        <v>23</v>
      </c>
      <c r="E436">
        <v>18278.846153846149</v>
      </c>
      <c r="F436">
        <v>165334.8974358975</v>
      </c>
      <c r="G436">
        <v>8214485817.4133358</v>
      </c>
      <c r="H436">
        <v>154490261.98159635</v>
      </c>
      <c r="I436">
        <v>702684.82219743077</v>
      </c>
      <c r="J436">
        <v>25585322.030769244</v>
      </c>
    </row>
    <row r="437" spans="1:10" x14ac:dyDescent="0.25">
      <c r="A437">
        <v>11</v>
      </c>
      <c r="B437">
        <v>25</v>
      </c>
      <c r="C437" t="s">
        <v>10</v>
      </c>
      <c r="D437" t="s">
        <v>24</v>
      </c>
      <c r="E437">
        <v>15883.461538461541</v>
      </c>
      <c r="F437">
        <v>158282.56410256407</v>
      </c>
      <c r="G437">
        <v>9219117295.7333317</v>
      </c>
      <c r="H437">
        <v>95778648.881596372</v>
      </c>
      <c r="I437">
        <v>0</v>
      </c>
      <c r="J437">
        <v>1401003.4153846151</v>
      </c>
    </row>
    <row r="438" spans="1:10" x14ac:dyDescent="0.25">
      <c r="A438">
        <v>11</v>
      </c>
      <c r="B438">
        <v>26</v>
      </c>
      <c r="C438" t="s">
        <v>10</v>
      </c>
      <c r="D438" t="s">
        <v>25</v>
      </c>
      <c r="E438">
        <v>14962.538461538461</v>
      </c>
      <c r="F438">
        <v>144356.23076923078</v>
      </c>
      <c r="G438">
        <v>9590710388.6000004</v>
      </c>
      <c r="H438">
        <v>143801879.4596287</v>
      </c>
      <c r="I438">
        <v>77502.031368696538</v>
      </c>
      <c r="J438">
        <v>6433111.6307692444</v>
      </c>
    </row>
    <row r="439" spans="1:10" x14ac:dyDescent="0.25">
      <c r="A439">
        <v>11</v>
      </c>
      <c r="B439">
        <v>27</v>
      </c>
      <c r="C439" t="s">
        <v>10</v>
      </c>
      <c r="D439" t="s">
        <v>26</v>
      </c>
      <c r="E439">
        <v>70177.769230769234</v>
      </c>
      <c r="F439">
        <v>514289.33076923073</v>
      </c>
      <c r="G439">
        <v>41299017271.907997</v>
      </c>
      <c r="H439">
        <v>717207501.93859541</v>
      </c>
      <c r="I439">
        <v>0</v>
      </c>
      <c r="J439">
        <v>1382498.4615384615</v>
      </c>
    </row>
    <row r="440" spans="1:10" x14ac:dyDescent="0.25">
      <c r="A440">
        <v>11</v>
      </c>
      <c r="B440">
        <v>28</v>
      </c>
      <c r="C440" t="s">
        <v>10</v>
      </c>
      <c r="D440" t="s">
        <v>27</v>
      </c>
      <c r="E440">
        <v>47242.069230769237</v>
      </c>
      <c r="F440">
        <v>214288.63076923077</v>
      </c>
      <c r="G440" t="s">
        <v>122</v>
      </c>
      <c r="H440" t="s">
        <v>122</v>
      </c>
      <c r="I440">
        <v>123944.31278894425</v>
      </c>
      <c r="J440">
        <v>3096041.5384615399</v>
      </c>
    </row>
    <row r="441" spans="1:10" x14ac:dyDescent="0.25">
      <c r="A441">
        <v>11</v>
      </c>
      <c r="B441">
        <v>29</v>
      </c>
      <c r="C441" t="s">
        <v>10</v>
      </c>
      <c r="D441" t="s">
        <v>28</v>
      </c>
      <c r="E441">
        <v>43289.269230769234</v>
      </c>
      <c r="F441">
        <v>459067.63076923077</v>
      </c>
      <c r="G441">
        <v>33609663363.391998</v>
      </c>
      <c r="H441">
        <v>474381307.03280091</v>
      </c>
      <c r="I441">
        <v>77501.431368696532</v>
      </c>
      <c r="J441">
        <v>5480067.3230769224</v>
      </c>
    </row>
    <row r="442" spans="1:10" x14ac:dyDescent="0.25">
      <c r="A442">
        <v>11</v>
      </c>
      <c r="B442">
        <v>30</v>
      </c>
      <c r="C442" t="s">
        <v>10</v>
      </c>
      <c r="D442" t="s">
        <v>29</v>
      </c>
      <c r="E442">
        <v>18449.06923076923</v>
      </c>
      <c r="F442">
        <v>327217.33076923079</v>
      </c>
      <c r="G442">
        <v>17082341486.727999</v>
      </c>
      <c r="H442">
        <v>127053350.18959637</v>
      </c>
      <c r="I442">
        <v>19.845161799983579</v>
      </c>
      <c r="J442">
        <v>6.71</v>
      </c>
    </row>
    <row r="443" spans="1:10" x14ac:dyDescent="0.25">
      <c r="A443">
        <v>11</v>
      </c>
      <c r="B443">
        <v>31</v>
      </c>
      <c r="C443" t="s">
        <v>10</v>
      </c>
      <c r="D443" t="s">
        <v>30</v>
      </c>
      <c r="E443">
        <v>13338.23076923077</v>
      </c>
      <c r="F443">
        <v>121968.92307692308</v>
      </c>
      <c r="G443">
        <v>13926226244.16</v>
      </c>
      <c r="H443">
        <v>96659673.828218699</v>
      </c>
      <c r="I443">
        <v>735263.86339241406</v>
      </c>
      <c r="J443">
        <v>67493446.428571433</v>
      </c>
    </row>
    <row r="444" spans="1:10" x14ac:dyDescent="0.25">
      <c r="A444">
        <v>11</v>
      </c>
      <c r="B444">
        <v>32</v>
      </c>
      <c r="C444" t="s">
        <v>10</v>
      </c>
      <c r="D444" t="s">
        <v>31</v>
      </c>
      <c r="E444">
        <v>11183.153846153846</v>
      </c>
      <c r="F444">
        <v>147515.73076923078</v>
      </c>
      <c r="G444">
        <v>16587453551.379999</v>
      </c>
      <c r="H444">
        <v>74602635.604967341</v>
      </c>
      <c r="I444">
        <v>735264.24117019179</v>
      </c>
      <c r="J444">
        <v>14643638.4</v>
      </c>
    </row>
    <row r="445" spans="1:10" x14ac:dyDescent="0.25">
      <c r="A445">
        <v>11</v>
      </c>
      <c r="B445">
        <v>33</v>
      </c>
      <c r="C445" t="s">
        <v>10</v>
      </c>
      <c r="D445" t="s">
        <v>32</v>
      </c>
      <c r="E445">
        <v>74860.538461538425</v>
      </c>
      <c r="F445">
        <v>197225.95384615386</v>
      </c>
      <c r="G445">
        <v>21234529546.799999</v>
      </c>
      <c r="H445">
        <v>153506255.96896735</v>
      </c>
      <c r="I445">
        <v>238134.56074571045</v>
      </c>
      <c r="J445">
        <v>19584207.142857146</v>
      </c>
    </row>
    <row r="446" spans="1:10" x14ac:dyDescent="0.25">
      <c r="A446">
        <v>11</v>
      </c>
      <c r="B446">
        <v>34</v>
      </c>
      <c r="C446" t="s">
        <v>10</v>
      </c>
      <c r="D446" t="s">
        <v>33</v>
      </c>
      <c r="E446">
        <v>307471.07692307723</v>
      </c>
      <c r="F446">
        <v>364787.61965811974</v>
      </c>
      <c r="G446">
        <v>37953277298.984451</v>
      </c>
      <c r="H446">
        <v>863259782.71621859</v>
      </c>
      <c r="I446">
        <v>338752.23890231573</v>
      </c>
      <c r="J446">
        <v>39720641.828571431</v>
      </c>
    </row>
    <row r="447" spans="1:10" x14ac:dyDescent="0.25">
      <c r="A447">
        <v>11</v>
      </c>
      <c r="B447">
        <v>35</v>
      </c>
      <c r="C447" t="s">
        <v>10</v>
      </c>
      <c r="D447" t="s">
        <v>34</v>
      </c>
      <c r="E447">
        <v>33789.384615384632</v>
      </c>
      <c r="F447">
        <v>113197.76923076928</v>
      </c>
      <c r="G447">
        <v>11824897064.760004</v>
      </c>
      <c r="H447">
        <v>233525173.78821871</v>
      </c>
      <c r="I447">
        <v>458597.88032827748</v>
      </c>
      <c r="J447">
        <v>57376537.285714284</v>
      </c>
    </row>
    <row r="448" spans="1:10" x14ac:dyDescent="0.25">
      <c r="A448">
        <v>11</v>
      </c>
      <c r="B448">
        <v>36</v>
      </c>
      <c r="C448" t="s">
        <v>10</v>
      </c>
      <c r="D448" t="s">
        <v>35</v>
      </c>
      <c r="E448">
        <v>14413.615384615381</v>
      </c>
      <c r="F448">
        <v>189044.15384615387</v>
      </c>
      <c r="G448">
        <v>19400482367.840004</v>
      </c>
      <c r="H448">
        <v>88430764.91525878</v>
      </c>
      <c r="I448">
        <v>458600.42477272195</v>
      </c>
      <c r="J448">
        <v>29807594.999999985</v>
      </c>
    </row>
    <row r="449" spans="1:10" x14ac:dyDescent="0.25">
      <c r="A449">
        <v>11</v>
      </c>
      <c r="B449">
        <v>37</v>
      </c>
      <c r="C449" t="s">
        <v>10</v>
      </c>
      <c r="D449" t="s">
        <v>36</v>
      </c>
      <c r="E449">
        <v>20832.61538461543</v>
      </c>
      <c r="F449">
        <v>183859.65750915749</v>
      </c>
      <c r="G449">
        <v>2201638500.4228568</v>
      </c>
      <c r="H449">
        <v>141580750.8906135</v>
      </c>
      <c r="I449">
        <v>458598.3192171664</v>
      </c>
      <c r="J449">
        <v>17387034.971428573</v>
      </c>
    </row>
    <row r="450" spans="1:10" x14ac:dyDescent="0.25">
      <c r="A450">
        <v>11</v>
      </c>
      <c r="B450">
        <v>38</v>
      </c>
      <c r="C450" t="s">
        <v>10</v>
      </c>
      <c r="D450" t="s">
        <v>37</v>
      </c>
      <c r="E450">
        <v>10800.76923076923</v>
      </c>
      <c r="F450">
        <v>104836.6153846154</v>
      </c>
      <c r="G450">
        <v>4316718927.3600016</v>
      </c>
      <c r="H450">
        <v>71572546.841239139</v>
      </c>
      <c r="I450">
        <v>338752.39223564905</v>
      </c>
      <c r="J450">
        <v>19637001.428571425</v>
      </c>
    </row>
    <row r="451" spans="1:10" x14ac:dyDescent="0.25">
      <c r="A451">
        <v>11</v>
      </c>
      <c r="B451">
        <v>39</v>
      </c>
      <c r="C451" t="s">
        <v>10</v>
      </c>
      <c r="D451" t="s">
        <v>38</v>
      </c>
      <c r="E451">
        <v>13871.153846153851</v>
      </c>
      <c r="F451">
        <v>189007.07326007326</v>
      </c>
      <c r="G451">
        <v>3017702052.2361903</v>
      </c>
      <c r="H451">
        <v>88922413.210613504</v>
      </c>
      <c r="I451">
        <v>735266.32450352516</v>
      </c>
      <c r="J451">
        <v>13469984</v>
      </c>
    </row>
    <row r="452" spans="1:10" x14ac:dyDescent="0.25">
      <c r="A452">
        <v>11</v>
      </c>
      <c r="B452">
        <v>40</v>
      </c>
      <c r="C452" t="s">
        <v>10</v>
      </c>
      <c r="D452" t="s">
        <v>39</v>
      </c>
      <c r="E452">
        <v>20417.538461538461</v>
      </c>
      <c r="F452">
        <v>170326.37362637368</v>
      </c>
      <c r="G452">
        <v>4857428840.5714302</v>
      </c>
      <c r="H452">
        <v>74394857.477691799</v>
      </c>
      <c r="I452">
        <v>458598.86810605525</v>
      </c>
      <c r="J452">
        <v>27827553.600000001</v>
      </c>
    </row>
    <row r="453" spans="1:10" x14ac:dyDescent="0.25">
      <c r="A453">
        <v>11</v>
      </c>
      <c r="B453">
        <v>41</v>
      </c>
      <c r="C453" t="s">
        <v>10</v>
      </c>
      <c r="D453" t="s">
        <v>40</v>
      </c>
      <c r="E453">
        <v>32776.461538461532</v>
      </c>
      <c r="F453">
        <v>118504.72344322348</v>
      </c>
      <c r="G453">
        <v>4325588312.2904768</v>
      </c>
      <c r="H453">
        <v>228538763.80123913</v>
      </c>
      <c r="I453">
        <v>314517.44286523003</v>
      </c>
      <c r="J453">
        <v>4336465.384615385</v>
      </c>
    </row>
    <row r="454" spans="1:10" x14ac:dyDescent="0.25">
      <c r="A454">
        <v>12</v>
      </c>
      <c r="B454">
        <v>1</v>
      </c>
      <c r="C454" t="s">
        <v>11</v>
      </c>
      <c r="D454" t="s">
        <v>0</v>
      </c>
      <c r="E454">
        <v>97836.456043956015</v>
      </c>
      <c r="F454">
        <v>90010.076923076966</v>
      </c>
      <c r="G454">
        <v>7270632371.1200037</v>
      </c>
      <c r="H454">
        <v>419456215.64823908</v>
      </c>
      <c r="I454">
        <v>0</v>
      </c>
      <c r="J454">
        <v>0</v>
      </c>
    </row>
    <row r="455" spans="1:10" x14ac:dyDescent="0.25">
      <c r="A455">
        <v>12</v>
      </c>
      <c r="B455">
        <v>2</v>
      </c>
      <c r="C455" t="s">
        <v>11</v>
      </c>
      <c r="D455" t="s">
        <v>1</v>
      </c>
      <c r="E455">
        <v>26575.456043956015</v>
      </c>
      <c r="F455">
        <v>80398.461538461561</v>
      </c>
      <c r="G455">
        <v>6266230364.8000021</v>
      </c>
      <c r="H455">
        <v>295924747.08681047</v>
      </c>
      <c r="I455">
        <v>62078.512062443609</v>
      </c>
      <c r="J455">
        <v>768188.30769230798</v>
      </c>
    </row>
    <row r="456" spans="1:10" x14ac:dyDescent="0.25">
      <c r="A456">
        <v>12</v>
      </c>
      <c r="B456">
        <v>3</v>
      </c>
      <c r="C456" t="s">
        <v>11</v>
      </c>
      <c r="D456" t="s">
        <v>2</v>
      </c>
      <c r="E456">
        <v>21840.098901098914</v>
      </c>
      <c r="F456">
        <v>83432.692307692269</v>
      </c>
      <c r="G456">
        <v>6436989064.9999981</v>
      </c>
      <c r="H456">
        <v>338516976.73356545</v>
      </c>
      <c r="I456">
        <v>62078.014284665835</v>
      </c>
      <c r="J456">
        <v>4356234.4615384592</v>
      </c>
    </row>
    <row r="457" spans="1:10" x14ac:dyDescent="0.25">
      <c r="A457">
        <v>12</v>
      </c>
      <c r="B457">
        <v>4</v>
      </c>
      <c r="C457" t="s">
        <v>11</v>
      </c>
      <c r="D457" t="s">
        <v>3</v>
      </c>
      <c r="E457">
        <v>36496.456043956015</v>
      </c>
      <c r="F457">
        <v>72539.615384615361</v>
      </c>
      <c r="G457">
        <v>7535746026.7999983</v>
      </c>
      <c r="H457">
        <v>388787039.7045387</v>
      </c>
      <c r="I457">
        <v>349038.15121189703</v>
      </c>
      <c r="J457">
        <v>17366190.338461529</v>
      </c>
    </row>
    <row r="458" spans="1:10" x14ac:dyDescent="0.25">
      <c r="A458">
        <v>12</v>
      </c>
      <c r="B458">
        <v>5</v>
      </c>
      <c r="C458" t="s">
        <v>11</v>
      </c>
      <c r="D458" t="s">
        <v>4</v>
      </c>
      <c r="E458">
        <v>70233.027472527509</v>
      </c>
      <c r="F458">
        <v>104339.69230769227</v>
      </c>
      <c r="G458">
        <v>11442074296.319996</v>
      </c>
      <c r="H458">
        <v>300187564.72017276</v>
      </c>
      <c r="I458">
        <v>494483.98806392547</v>
      </c>
      <c r="J458">
        <v>13429031.230769241</v>
      </c>
    </row>
    <row r="459" spans="1:10" x14ac:dyDescent="0.25">
      <c r="A459">
        <v>12</v>
      </c>
      <c r="B459">
        <v>6</v>
      </c>
      <c r="C459" t="s">
        <v>11</v>
      </c>
      <c r="D459" t="s">
        <v>5</v>
      </c>
      <c r="E459">
        <v>18561.170329670313</v>
      </c>
      <c r="F459">
        <v>170129.00366300376</v>
      </c>
      <c r="G459">
        <v>20836828735.19239</v>
      </c>
      <c r="H459">
        <v>419644338.4830299</v>
      </c>
      <c r="I459">
        <v>458598.29477272194</v>
      </c>
      <c r="J459">
        <v>23796936.738461543</v>
      </c>
    </row>
    <row r="460" spans="1:10" x14ac:dyDescent="0.25">
      <c r="A460">
        <v>12</v>
      </c>
      <c r="B460">
        <v>7</v>
      </c>
      <c r="C460" t="s">
        <v>11</v>
      </c>
      <c r="D460" t="s">
        <v>6</v>
      </c>
      <c r="E460">
        <v>10311.170329670325</v>
      </c>
      <c r="F460">
        <v>103675.30769230766</v>
      </c>
      <c r="G460">
        <v>11352881628.599997</v>
      </c>
      <c r="H460">
        <v>280955340.94874424</v>
      </c>
      <c r="I460">
        <v>494484.45361948106</v>
      </c>
      <c r="J460">
        <v>9228348.3999999892</v>
      </c>
    </row>
    <row r="461" spans="1:10" x14ac:dyDescent="0.25">
      <c r="A461">
        <v>12</v>
      </c>
      <c r="B461">
        <v>8</v>
      </c>
      <c r="C461" t="s">
        <v>11</v>
      </c>
      <c r="D461" t="s">
        <v>7</v>
      </c>
      <c r="E461">
        <v>39958.241758241718</v>
      </c>
      <c r="F461">
        <v>161273.07692307676</v>
      </c>
      <c r="G461">
        <v>16635201767.999981</v>
      </c>
      <c r="H461">
        <v>305850852.2479673</v>
      </c>
      <c r="I461">
        <v>47706.993499616961</v>
      </c>
      <c r="J461">
        <v>3255710.7692307704</v>
      </c>
    </row>
    <row r="462" spans="1:10" x14ac:dyDescent="0.25">
      <c r="A462">
        <v>12</v>
      </c>
      <c r="B462">
        <v>9</v>
      </c>
      <c r="C462" t="s">
        <v>11</v>
      </c>
      <c r="D462" t="s">
        <v>8</v>
      </c>
      <c r="E462">
        <v>5953.8391608391603</v>
      </c>
      <c r="F462">
        <v>611605.85256410274</v>
      </c>
      <c r="G462">
        <v>56887246236.076683</v>
      </c>
      <c r="H462">
        <v>286795589.38681048</v>
      </c>
      <c r="I462">
        <v>451897.73991786002</v>
      </c>
      <c r="J462">
        <v>32724884.246153843</v>
      </c>
    </row>
    <row r="463" spans="1:10" x14ac:dyDescent="0.25">
      <c r="A463">
        <v>12</v>
      </c>
      <c r="B463">
        <v>10</v>
      </c>
      <c r="C463" t="s">
        <v>11</v>
      </c>
      <c r="D463" t="s">
        <v>9</v>
      </c>
      <c r="E463">
        <v>26436.598901098914</v>
      </c>
      <c r="F463">
        <v>135982.15384615387</v>
      </c>
      <c r="G463">
        <v>15469101371.520006</v>
      </c>
      <c r="H463">
        <v>347523341.78017277</v>
      </c>
      <c r="I463">
        <v>306032.05782812892</v>
      </c>
      <c r="J463">
        <v>24145951.846153855</v>
      </c>
    </row>
    <row r="464" spans="1:10" x14ac:dyDescent="0.25">
      <c r="A464">
        <v>12</v>
      </c>
      <c r="B464">
        <v>11</v>
      </c>
      <c r="C464" t="s">
        <v>11</v>
      </c>
      <c r="D464" t="s">
        <v>10</v>
      </c>
      <c r="E464">
        <v>26603.769230769212</v>
      </c>
      <c r="F464">
        <v>138746.23076923075</v>
      </c>
      <c r="G464">
        <v>2368259412.9999995</v>
      </c>
      <c r="H464">
        <v>309284437.51163536</v>
      </c>
      <c r="I464">
        <v>2460744.7623826168</v>
      </c>
      <c r="J464">
        <v>11328025.076923057</v>
      </c>
    </row>
    <row r="465" spans="1:10" x14ac:dyDescent="0.25">
      <c r="A465">
        <v>12</v>
      </c>
      <c r="B465">
        <v>12</v>
      </c>
      <c r="C465" t="s">
        <v>11</v>
      </c>
      <c r="D465" t="s">
        <v>11</v>
      </c>
      <c r="E465">
        <v>0</v>
      </c>
      <c r="F465">
        <v>0</v>
      </c>
      <c r="G465">
        <v>0</v>
      </c>
      <c r="H465">
        <v>0</v>
      </c>
      <c r="I465">
        <v>84523.989033248392</v>
      </c>
      <c r="J465">
        <v>4881249.4769230774</v>
      </c>
    </row>
    <row r="466" spans="1:10" x14ac:dyDescent="0.25">
      <c r="A466">
        <v>12</v>
      </c>
      <c r="B466">
        <v>13</v>
      </c>
      <c r="C466" t="s">
        <v>11</v>
      </c>
      <c r="D466" t="s">
        <v>12</v>
      </c>
      <c r="E466">
        <v>8650.7692307692341</v>
      </c>
      <c r="F466">
        <v>65160.769230769263</v>
      </c>
      <c r="G466">
        <v>684448720.00000024</v>
      </c>
      <c r="H466">
        <v>104511454.44435397</v>
      </c>
      <c r="I466">
        <v>84523.277922137291</v>
      </c>
      <c r="J466">
        <v>3426899.0153846149</v>
      </c>
    </row>
    <row r="467" spans="1:10" x14ac:dyDescent="0.25">
      <c r="A467">
        <v>12</v>
      </c>
      <c r="B467">
        <v>14</v>
      </c>
      <c r="C467" t="s">
        <v>11</v>
      </c>
      <c r="D467" t="s">
        <v>13</v>
      </c>
      <c r="E467">
        <v>29275.769230769212</v>
      </c>
      <c r="F467">
        <v>211624.99999999977</v>
      </c>
      <c r="G467">
        <v>3945663474.9999952</v>
      </c>
      <c r="H467">
        <v>191469089.93235397</v>
      </c>
      <c r="I467">
        <v>84521.939033248404</v>
      </c>
      <c r="J467">
        <v>3429584.215384617</v>
      </c>
    </row>
    <row r="468" spans="1:10" x14ac:dyDescent="0.25">
      <c r="A468">
        <v>12</v>
      </c>
      <c r="B468">
        <v>15</v>
      </c>
      <c r="C468" t="s">
        <v>11</v>
      </c>
      <c r="D468" t="s">
        <v>14</v>
      </c>
      <c r="E468">
        <v>53075.153846153815</v>
      </c>
      <c r="F468">
        <v>333800.69230769278</v>
      </c>
      <c r="G468">
        <v>14533375046.440018</v>
      </c>
      <c r="H468">
        <v>297956408.41805959</v>
      </c>
      <c r="I468">
        <v>349040.8501007859</v>
      </c>
      <c r="J468">
        <v>3561306.9230769221</v>
      </c>
    </row>
    <row r="469" spans="1:10" x14ac:dyDescent="0.25">
      <c r="A469">
        <v>12</v>
      </c>
      <c r="B469">
        <v>16</v>
      </c>
      <c r="C469" t="s">
        <v>11</v>
      </c>
      <c r="D469" t="s">
        <v>15</v>
      </c>
      <c r="E469">
        <v>42767.615384615419</v>
      </c>
      <c r="F469">
        <v>572013.92307692277</v>
      </c>
      <c r="G469">
        <v>24153905676.959991</v>
      </c>
      <c r="H469">
        <v>177209408.75894949</v>
      </c>
      <c r="I469">
        <v>451899.18658452673</v>
      </c>
      <c r="J469">
        <v>31279001.538461544</v>
      </c>
    </row>
    <row r="470" spans="1:10" x14ac:dyDescent="0.25">
      <c r="A470">
        <v>12</v>
      </c>
      <c r="B470">
        <v>17</v>
      </c>
      <c r="C470" t="s">
        <v>11</v>
      </c>
      <c r="D470" t="s">
        <v>16</v>
      </c>
      <c r="E470">
        <v>69826.692307692312</v>
      </c>
      <c r="F470">
        <v>216897.76923076878</v>
      </c>
      <c r="G470">
        <v>10092843164.239979</v>
      </c>
      <c r="H470">
        <v>515247568.88600641</v>
      </c>
      <c r="I470">
        <v>84522.46681102617</v>
      </c>
      <c r="J470">
        <v>10808696.738461539</v>
      </c>
    </row>
    <row r="471" spans="1:10" x14ac:dyDescent="0.25">
      <c r="A471">
        <v>12</v>
      </c>
      <c r="B471">
        <v>18</v>
      </c>
      <c r="C471" t="s">
        <v>11</v>
      </c>
      <c r="D471" t="s">
        <v>17</v>
      </c>
      <c r="E471">
        <v>29093.153846153815</v>
      </c>
      <c r="F471">
        <v>94068.615384615376</v>
      </c>
      <c r="G471">
        <v>4199411127.9999995</v>
      </c>
      <c r="H471">
        <v>370499401.05894953</v>
      </c>
      <c r="I471">
        <v>338753.4944578713</v>
      </c>
      <c r="J471">
        <v>9623976.5076923091</v>
      </c>
    </row>
    <row r="472" spans="1:10" x14ac:dyDescent="0.25">
      <c r="A472">
        <v>12</v>
      </c>
      <c r="B472">
        <v>19</v>
      </c>
      <c r="C472" t="s">
        <v>11</v>
      </c>
      <c r="D472" t="s">
        <v>18</v>
      </c>
      <c r="E472">
        <v>6644.3076923076951</v>
      </c>
      <c r="F472">
        <v>132787.61538461538</v>
      </c>
      <c r="G472">
        <v>8445520733.1599989</v>
      </c>
      <c r="H472">
        <v>85691826.517095655</v>
      </c>
      <c r="I472">
        <v>492327.85823399771</v>
      </c>
      <c r="J472">
        <v>5882222.0923076924</v>
      </c>
    </row>
    <row r="473" spans="1:10" x14ac:dyDescent="0.25">
      <c r="A473">
        <v>12</v>
      </c>
      <c r="B473">
        <v>20</v>
      </c>
      <c r="C473" t="s">
        <v>11</v>
      </c>
      <c r="D473" t="s">
        <v>19</v>
      </c>
      <c r="E473">
        <v>63816.076923076915</v>
      </c>
      <c r="F473">
        <v>104602.89743589747</v>
      </c>
      <c r="G473">
        <v>6999030076.8266687</v>
      </c>
      <c r="H473">
        <v>317850265.0208649</v>
      </c>
      <c r="I473">
        <v>492326.55045621993</v>
      </c>
      <c r="J473">
        <v>4082685.2307692305</v>
      </c>
    </row>
    <row r="474" spans="1:10" x14ac:dyDescent="0.25">
      <c r="A474">
        <v>12</v>
      </c>
      <c r="B474">
        <v>21</v>
      </c>
      <c r="C474" t="s">
        <v>11</v>
      </c>
      <c r="D474" t="s">
        <v>20</v>
      </c>
      <c r="E474">
        <v>42660.692307692319</v>
      </c>
      <c r="F474">
        <v>148754.56410256377</v>
      </c>
      <c r="G474">
        <v>10984501127.573309</v>
      </c>
      <c r="H474">
        <v>88963378.237471625</v>
      </c>
      <c r="I474">
        <v>1986498.3436824314</v>
      </c>
      <c r="J474">
        <v>45690616.70769228</v>
      </c>
    </row>
    <row r="475" spans="1:10" x14ac:dyDescent="0.25">
      <c r="A475">
        <v>12</v>
      </c>
      <c r="B475">
        <v>22</v>
      </c>
      <c r="C475" t="s">
        <v>11</v>
      </c>
      <c r="D475" t="s">
        <v>21</v>
      </c>
      <c r="E475">
        <v>27100.538461538417</v>
      </c>
      <c r="F475">
        <v>167881.56410256377</v>
      </c>
      <c r="G475">
        <v>8773054047.9333153</v>
      </c>
      <c r="H475">
        <v>305456526.51799774</v>
      </c>
      <c r="I475">
        <v>1986499.2681268756</v>
      </c>
      <c r="J475">
        <v>203275548.18461558</v>
      </c>
    </row>
    <row r="476" spans="1:10" x14ac:dyDescent="0.25">
      <c r="A476">
        <v>12</v>
      </c>
      <c r="B476">
        <v>23</v>
      </c>
      <c r="C476" t="s">
        <v>11</v>
      </c>
      <c r="D476" t="s">
        <v>22</v>
      </c>
      <c r="E476">
        <v>11779.076923076926</v>
      </c>
      <c r="F476">
        <v>151617.89743589779</v>
      </c>
      <c r="G476">
        <v>8297416796.2133532</v>
      </c>
      <c r="H476">
        <v>173687737.94089377</v>
      </c>
      <c r="I476">
        <v>735264.48339241405</v>
      </c>
      <c r="J476">
        <v>18789700.800000012</v>
      </c>
    </row>
    <row r="477" spans="1:10" x14ac:dyDescent="0.25">
      <c r="A477">
        <v>12</v>
      </c>
      <c r="B477">
        <v>24</v>
      </c>
      <c r="C477" t="s">
        <v>11</v>
      </c>
      <c r="D477" t="s">
        <v>23</v>
      </c>
      <c r="E477">
        <v>12941.461538461535</v>
      </c>
      <c r="F477">
        <v>109089.89743589747</v>
      </c>
      <c r="G477">
        <v>3546499474.8533344</v>
      </c>
      <c r="H477">
        <v>165340148.54089376</v>
      </c>
      <c r="I477">
        <v>101904.95632183937</v>
      </c>
      <c r="J477">
        <v>1546589.7230769226</v>
      </c>
    </row>
    <row r="478" spans="1:10" x14ac:dyDescent="0.25">
      <c r="A478">
        <v>12</v>
      </c>
      <c r="B478">
        <v>25</v>
      </c>
      <c r="C478" t="s">
        <v>11</v>
      </c>
      <c r="D478" t="s">
        <v>24</v>
      </c>
      <c r="E478">
        <v>10546.076923076926</v>
      </c>
      <c r="F478">
        <v>102037.56410256407</v>
      </c>
      <c r="G478">
        <v>4190748061.7333312</v>
      </c>
      <c r="H478">
        <v>106628535.44089377</v>
      </c>
      <c r="I478">
        <v>42240.37952799911</v>
      </c>
      <c r="J478">
        <v>5751829.661538478</v>
      </c>
    </row>
    <row r="479" spans="1:10" x14ac:dyDescent="0.25">
      <c r="A479">
        <v>12</v>
      </c>
      <c r="B479">
        <v>26</v>
      </c>
      <c r="C479" t="s">
        <v>11</v>
      </c>
      <c r="D479" t="s">
        <v>25</v>
      </c>
      <c r="E479">
        <v>9625.1538461538439</v>
      </c>
      <c r="F479">
        <v>88111.230769230766</v>
      </c>
      <c r="G479">
        <v>4340690525.9200001</v>
      </c>
      <c r="H479">
        <v>154568864.56605959</v>
      </c>
      <c r="I479">
        <v>101904.67854406161</v>
      </c>
      <c r="J479">
        <v>1127642.5846153847</v>
      </c>
    </row>
    <row r="480" spans="1:10" x14ac:dyDescent="0.25">
      <c r="A480">
        <v>12</v>
      </c>
      <c r="B480">
        <v>27</v>
      </c>
      <c r="C480" t="s">
        <v>11</v>
      </c>
      <c r="D480" t="s">
        <v>26</v>
      </c>
      <c r="E480">
        <v>64840.384615384617</v>
      </c>
      <c r="F480">
        <v>458044.33076923073</v>
      </c>
      <c r="G480">
        <v>28915898878.903996</v>
      </c>
      <c r="H480">
        <v>728007948.18086493</v>
      </c>
      <c r="I480">
        <v>99184.202994987791</v>
      </c>
      <c r="J480">
        <v>2580611.8153846161</v>
      </c>
    </row>
    <row r="481" spans="1:10" x14ac:dyDescent="0.25">
      <c r="A481">
        <v>12</v>
      </c>
      <c r="B481">
        <v>28</v>
      </c>
      <c r="C481" t="s">
        <v>11</v>
      </c>
      <c r="D481" t="s">
        <v>27</v>
      </c>
      <c r="E481">
        <v>41904.68461538462</v>
      </c>
      <c r="F481">
        <v>158043.63076923077</v>
      </c>
      <c r="G481" t="s">
        <v>122</v>
      </c>
      <c r="H481" t="s">
        <v>122</v>
      </c>
      <c r="I481">
        <v>42239.779527999111</v>
      </c>
      <c r="J481">
        <v>4602462.9538461538</v>
      </c>
    </row>
    <row r="482" spans="1:10" x14ac:dyDescent="0.25">
      <c r="A482">
        <v>12</v>
      </c>
      <c r="B482">
        <v>29</v>
      </c>
      <c r="C482" t="s">
        <v>11</v>
      </c>
      <c r="D482" t="s">
        <v>28</v>
      </c>
      <c r="E482">
        <v>37951.884615384617</v>
      </c>
      <c r="F482">
        <v>402822.63076923077</v>
      </c>
      <c r="G482">
        <v>22594869198.624001</v>
      </c>
      <c r="H482">
        <v>485411256.51799774</v>
      </c>
      <c r="I482">
        <v>25.843188476562499</v>
      </c>
      <c r="J482">
        <v>7.63</v>
      </c>
    </row>
    <row r="483" spans="1:10" x14ac:dyDescent="0.25">
      <c r="A483">
        <v>12</v>
      </c>
      <c r="B483">
        <v>30</v>
      </c>
      <c r="C483" t="s">
        <v>11</v>
      </c>
      <c r="D483" t="s">
        <v>29</v>
      </c>
      <c r="E483">
        <v>13111.684615384616</v>
      </c>
      <c r="F483">
        <v>270972.33076923079</v>
      </c>
      <c r="G483">
        <v>9492388363.6040001</v>
      </c>
      <c r="H483">
        <v>137903236.74889377</v>
      </c>
      <c r="I483">
        <v>584640.20737452444</v>
      </c>
      <c r="J483">
        <v>53384239.408791214</v>
      </c>
    </row>
    <row r="484" spans="1:10" x14ac:dyDescent="0.25">
      <c r="A484">
        <v>12</v>
      </c>
      <c r="B484">
        <v>31</v>
      </c>
      <c r="C484" t="s">
        <v>11</v>
      </c>
      <c r="D484" t="s">
        <v>30</v>
      </c>
      <c r="E484">
        <v>8000.8461538461552</v>
      </c>
      <c r="F484">
        <v>65723.923076923063</v>
      </c>
      <c r="G484">
        <v>6375512352.6799984</v>
      </c>
      <c r="H484">
        <v>107484607.73785549</v>
      </c>
      <c r="I484">
        <v>584640.58515230217</v>
      </c>
      <c r="J484">
        <v>5315711.2615384646</v>
      </c>
    </row>
    <row r="485" spans="1:10" x14ac:dyDescent="0.25">
      <c r="A485">
        <v>12</v>
      </c>
      <c r="B485">
        <v>32</v>
      </c>
      <c r="C485" t="s">
        <v>11</v>
      </c>
      <c r="D485" t="s">
        <v>31</v>
      </c>
      <c r="E485">
        <v>5845.7692307692305</v>
      </c>
      <c r="F485">
        <v>91270.730769230766</v>
      </c>
      <c r="G485">
        <v>8700272885.6999989</v>
      </c>
      <c r="H485">
        <v>85440552.493586257</v>
      </c>
      <c r="I485">
        <v>121025.94768131501</v>
      </c>
      <c r="J485">
        <v>9910708.9582417607</v>
      </c>
    </row>
    <row r="486" spans="1:10" x14ac:dyDescent="0.25">
      <c r="A486">
        <v>12</v>
      </c>
      <c r="B486">
        <v>33</v>
      </c>
      <c r="C486" t="s">
        <v>11</v>
      </c>
      <c r="D486" t="s">
        <v>32</v>
      </c>
      <c r="E486">
        <v>69523.153846153815</v>
      </c>
      <c r="F486">
        <v>140980.95384615386</v>
      </c>
      <c r="G486">
        <v>12757642836.208</v>
      </c>
      <c r="H486">
        <v>164344172.85758626</v>
      </c>
      <c r="I486">
        <v>216450.84972684633</v>
      </c>
      <c r="J486">
        <v>25486686.874725278</v>
      </c>
    </row>
    <row r="487" spans="1:10" x14ac:dyDescent="0.25">
      <c r="A487">
        <v>12</v>
      </c>
      <c r="B487">
        <v>34</v>
      </c>
      <c r="C487" t="s">
        <v>11</v>
      </c>
      <c r="D487" t="s">
        <v>33</v>
      </c>
      <c r="E487">
        <v>302133.6923076926</v>
      </c>
      <c r="F487">
        <v>308542.61965811974</v>
      </c>
      <c r="G487">
        <v>26802504967.871117</v>
      </c>
      <c r="H487">
        <v>874084716.62585533</v>
      </c>
      <c r="I487">
        <v>327735.80785820697</v>
      </c>
      <c r="J487">
        <v>41484698.410989009</v>
      </c>
    </row>
    <row r="488" spans="1:10" x14ac:dyDescent="0.25">
      <c r="A488">
        <v>12</v>
      </c>
      <c r="B488">
        <v>35</v>
      </c>
      <c r="C488" t="s">
        <v>11</v>
      </c>
      <c r="D488" t="s">
        <v>34</v>
      </c>
      <c r="E488">
        <v>28452.000000000015</v>
      </c>
      <c r="F488">
        <v>56952.769230769263</v>
      </c>
      <c r="G488">
        <v>4971306989.2800026</v>
      </c>
      <c r="H488">
        <v>244350107.69785547</v>
      </c>
      <c r="I488">
        <v>327738.35230265139</v>
      </c>
      <c r="J488">
        <v>13239444.457142862</v>
      </c>
    </row>
    <row r="489" spans="1:10" x14ac:dyDescent="0.25">
      <c r="A489">
        <v>12</v>
      </c>
      <c r="B489">
        <v>36</v>
      </c>
      <c r="C489" t="s">
        <v>11</v>
      </c>
      <c r="D489" t="s">
        <v>35</v>
      </c>
      <c r="E489">
        <v>9076.2307692307659</v>
      </c>
      <c r="F489">
        <v>132799.15384615387</v>
      </c>
      <c r="G489">
        <v>11347693008.120001</v>
      </c>
      <c r="H489">
        <v>99272913.630810514</v>
      </c>
      <c r="I489">
        <v>327736.24674709584</v>
      </c>
      <c r="J489">
        <v>4751193.4065934112</v>
      </c>
    </row>
    <row r="490" spans="1:10" x14ac:dyDescent="0.25">
      <c r="A490">
        <v>12</v>
      </c>
      <c r="B490">
        <v>37</v>
      </c>
      <c r="C490" t="s">
        <v>11</v>
      </c>
      <c r="D490" t="s">
        <v>36</v>
      </c>
      <c r="E490">
        <v>15495.230769230815</v>
      </c>
      <c r="F490">
        <v>127614.65750915746</v>
      </c>
      <c r="G490">
        <v>2680928724.9523797</v>
      </c>
      <c r="H490">
        <v>152525693.44258243</v>
      </c>
      <c r="I490">
        <v>216451.00306017965</v>
      </c>
      <c r="J490">
        <v>8051462.3714285744</v>
      </c>
    </row>
    <row r="491" spans="1:10" x14ac:dyDescent="0.25">
      <c r="A491">
        <v>12</v>
      </c>
      <c r="B491">
        <v>38</v>
      </c>
      <c r="C491" t="s">
        <v>11</v>
      </c>
      <c r="D491" t="s">
        <v>37</v>
      </c>
      <c r="E491">
        <v>5463.3846153846152</v>
      </c>
      <c r="F491">
        <v>48591.615384615383</v>
      </c>
      <c r="G491">
        <v>2470366627.5199995</v>
      </c>
      <c r="H491">
        <v>82491301.054522008</v>
      </c>
      <c r="I491">
        <v>584642.66848563554</v>
      </c>
      <c r="J491">
        <v>2953373.4923076956</v>
      </c>
    </row>
    <row r="492" spans="1:10" x14ac:dyDescent="0.25">
      <c r="A492">
        <v>12</v>
      </c>
      <c r="B492">
        <v>39</v>
      </c>
      <c r="C492" t="s">
        <v>11</v>
      </c>
      <c r="D492" t="s">
        <v>38</v>
      </c>
      <c r="E492">
        <v>8533.7692307692341</v>
      </c>
      <c r="F492">
        <v>132762.07326007326</v>
      </c>
      <c r="G492">
        <v>3674593974.1752386</v>
      </c>
      <c r="H492">
        <v>99867355.762582421</v>
      </c>
      <c r="I492">
        <v>327736.79563598474</v>
      </c>
      <c r="J492">
        <v>14126546.602197807</v>
      </c>
    </row>
    <row r="493" spans="1:10" x14ac:dyDescent="0.25">
      <c r="A493">
        <v>12</v>
      </c>
      <c r="B493">
        <v>40</v>
      </c>
      <c r="C493" t="s">
        <v>11</v>
      </c>
      <c r="D493" t="s">
        <v>39</v>
      </c>
      <c r="E493">
        <v>15080.153846153846</v>
      </c>
      <c r="F493">
        <v>114081.37362637366</v>
      </c>
      <c r="G493">
        <v>4751302118.0857162</v>
      </c>
      <c r="H493">
        <v>85304617.797770664</v>
      </c>
      <c r="I493">
        <v>92648.324104041807</v>
      </c>
      <c r="J493">
        <v>2965488.6153846164</v>
      </c>
    </row>
    <row r="494" spans="1:10" x14ac:dyDescent="0.25">
      <c r="A494">
        <v>12</v>
      </c>
      <c r="B494">
        <v>41</v>
      </c>
      <c r="C494" t="s">
        <v>11</v>
      </c>
      <c r="D494" t="s">
        <v>40</v>
      </c>
      <c r="E494">
        <v>27439.076923076915</v>
      </c>
      <c r="F494">
        <v>62259.723443223469</v>
      </c>
      <c r="G494">
        <v>2488379193.8561912</v>
      </c>
      <c r="H494">
        <v>239457518.01452202</v>
      </c>
      <c r="I494">
        <v>62078.512062443609</v>
      </c>
      <c r="J494">
        <v>768188.30769230798</v>
      </c>
    </row>
    <row r="495" spans="1:10" x14ac:dyDescent="0.25">
      <c r="A495">
        <v>13</v>
      </c>
      <c r="B495">
        <v>1</v>
      </c>
      <c r="C495" t="s">
        <v>12</v>
      </c>
      <c r="D495" t="s">
        <v>0</v>
      </c>
      <c r="E495">
        <v>94288.917582417562</v>
      </c>
      <c r="F495">
        <v>71621.153846153888</v>
      </c>
      <c r="G495">
        <v>5247352485.0000029</v>
      </c>
      <c r="H495">
        <v>168571593.79438448</v>
      </c>
      <c r="I495">
        <v>0</v>
      </c>
      <c r="J495">
        <v>0</v>
      </c>
    </row>
    <row r="496" spans="1:10" x14ac:dyDescent="0.25">
      <c r="A496">
        <v>13</v>
      </c>
      <c r="B496">
        <v>2</v>
      </c>
      <c r="C496" t="s">
        <v>12</v>
      </c>
      <c r="D496" t="s">
        <v>1</v>
      </c>
      <c r="E496">
        <v>23027.917582417551</v>
      </c>
      <c r="F496">
        <v>62009.538461538497</v>
      </c>
      <c r="G496">
        <v>4370546368.3200026</v>
      </c>
      <c r="H496">
        <v>45040125.232955895</v>
      </c>
      <c r="I496">
        <v>0</v>
      </c>
      <c r="J496">
        <v>0</v>
      </c>
    </row>
    <row r="497" spans="1:10" x14ac:dyDescent="0.25">
      <c r="A497">
        <v>13</v>
      </c>
      <c r="B497">
        <v>3</v>
      </c>
      <c r="C497" t="s">
        <v>12</v>
      </c>
      <c r="D497" t="s">
        <v>2</v>
      </c>
      <c r="E497">
        <v>18292.560439560453</v>
      </c>
      <c r="F497">
        <v>65043.76923076919</v>
      </c>
      <c r="G497">
        <v>4529746955.7599974</v>
      </c>
      <c r="H497">
        <v>87626998.12554881</v>
      </c>
      <c r="I497">
        <v>300675.10368212534</v>
      </c>
      <c r="J497">
        <v>13729054.984615376</v>
      </c>
    </row>
    <row r="498" spans="1:10" x14ac:dyDescent="0.25">
      <c r="A498">
        <v>13</v>
      </c>
      <c r="B498">
        <v>4</v>
      </c>
      <c r="C498" t="s">
        <v>12</v>
      </c>
      <c r="D498" t="s">
        <v>3</v>
      </c>
      <c r="E498">
        <v>32948.917582417555</v>
      </c>
      <c r="F498">
        <v>54150.69230769229</v>
      </c>
      <c r="G498">
        <v>5218729650.5999985</v>
      </c>
      <c r="H498">
        <v>137887702.19168621</v>
      </c>
      <c r="I498">
        <v>300664.1646051089</v>
      </c>
      <c r="J498">
        <v>11577766.707692318</v>
      </c>
    </row>
    <row r="499" spans="1:10" x14ac:dyDescent="0.25">
      <c r="A499">
        <v>13</v>
      </c>
      <c r="B499">
        <v>5</v>
      </c>
      <c r="C499" t="s">
        <v>12</v>
      </c>
      <c r="D499" t="s">
        <v>4</v>
      </c>
      <c r="E499">
        <v>66685.489010989055</v>
      </c>
      <c r="F499">
        <v>85950.76923076919</v>
      </c>
      <c r="G499">
        <v>8779991407.9999962</v>
      </c>
      <c r="H499">
        <v>49287682.373190686</v>
      </c>
      <c r="I499">
        <v>475452.4465242218</v>
      </c>
      <c r="J499">
        <v>22269795.692307696</v>
      </c>
    </row>
    <row r="500" spans="1:10" x14ac:dyDescent="0.25">
      <c r="A500">
        <v>13</v>
      </c>
      <c r="B500">
        <v>6</v>
      </c>
      <c r="C500" t="s">
        <v>12</v>
      </c>
      <c r="D500" t="s">
        <v>5</v>
      </c>
      <c r="E500">
        <v>15013.631868131853</v>
      </c>
      <c r="F500">
        <v>151740.0805860807</v>
      </c>
      <c r="G500">
        <v>17452961980.914295</v>
      </c>
      <c r="H500">
        <v>168744456.13604778</v>
      </c>
      <c r="I500">
        <v>300664.63016066444</v>
      </c>
      <c r="J500">
        <v>7765867.0769230677</v>
      </c>
    </row>
    <row r="501" spans="1:10" x14ac:dyDescent="0.25">
      <c r="A501">
        <v>13</v>
      </c>
      <c r="B501">
        <v>7</v>
      </c>
      <c r="C501" t="s">
        <v>12</v>
      </c>
      <c r="D501" t="s">
        <v>6</v>
      </c>
      <c r="E501">
        <v>6763.6318681318644</v>
      </c>
      <c r="F501">
        <v>85286.384615384595</v>
      </c>
      <c r="G501">
        <v>8698685866.6399975</v>
      </c>
      <c r="H501">
        <v>30055458.601762112</v>
      </c>
      <c r="I501">
        <v>20548.625762668802</v>
      </c>
      <c r="J501">
        <v>1366294.5846153861</v>
      </c>
    </row>
    <row r="502" spans="1:10" x14ac:dyDescent="0.25">
      <c r="A502">
        <v>13</v>
      </c>
      <c r="B502">
        <v>8</v>
      </c>
      <c r="C502" t="s">
        <v>12</v>
      </c>
      <c r="D502" t="s">
        <v>7</v>
      </c>
      <c r="E502">
        <v>36410.703296703257</v>
      </c>
      <c r="F502">
        <v>142884.1538461537</v>
      </c>
      <c r="G502">
        <v>13755337468.079987</v>
      </c>
      <c r="H502">
        <v>54951514.735114776</v>
      </c>
      <c r="I502">
        <v>396292.91225121624</v>
      </c>
      <c r="J502">
        <v>28085138.92307692</v>
      </c>
    </row>
    <row r="503" spans="1:10" x14ac:dyDescent="0.25">
      <c r="A503">
        <v>13</v>
      </c>
      <c r="B503">
        <v>9</v>
      </c>
      <c r="C503" t="s">
        <v>12</v>
      </c>
      <c r="D503" t="s">
        <v>8</v>
      </c>
      <c r="E503">
        <v>2406.3006993006989</v>
      </c>
      <c r="F503">
        <v>593216.92948717973</v>
      </c>
      <c r="G503">
        <v>50721566106.493355</v>
      </c>
      <c r="H503">
        <v>35910967.5329559</v>
      </c>
      <c r="I503">
        <v>259006.16421370968</v>
      </c>
      <c r="J503">
        <v>20338840.000000004</v>
      </c>
    </row>
    <row r="504" spans="1:10" x14ac:dyDescent="0.25">
      <c r="A504">
        <v>13</v>
      </c>
      <c r="B504">
        <v>10</v>
      </c>
      <c r="C504" t="s">
        <v>12</v>
      </c>
      <c r="D504" t="s">
        <v>9</v>
      </c>
      <c r="E504">
        <v>22889.060439560453</v>
      </c>
      <c r="F504">
        <v>117593.23076923079</v>
      </c>
      <c r="G504">
        <v>12500216875.520002</v>
      </c>
      <c r="H504">
        <v>96623459.433190688</v>
      </c>
      <c r="I504">
        <v>786688614.47555387</v>
      </c>
      <c r="J504">
        <v>8789979.5999999829</v>
      </c>
    </row>
    <row r="505" spans="1:10" x14ac:dyDescent="0.25">
      <c r="A505">
        <v>13</v>
      </c>
      <c r="B505">
        <v>11</v>
      </c>
      <c r="C505" t="s">
        <v>12</v>
      </c>
      <c r="D505" t="s">
        <v>10</v>
      </c>
      <c r="E505">
        <v>23056.230769230751</v>
      </c>
      <c r="F505">
        <v>120357.30769230769</v>
      </c>
      <c r="G505">
        <v>3438714195.1999993</v>
      </c>
      <c r="H505">
        <v>93674262.388647661</v>
      </c>
      <c r="I505">
        <v>6076.4412639749953</v>
      </c>
      <c r="J505">
        <v>3068717.5384615399</v>
      </c>
    </row>
    <row r="506" spans="1:10" x14ac:dyDescent="0.25">
      <c r="A506">
        <v>13</v>
      </c>
      <c r="B506">
        <v>12</v>
      </c>
      <c r="C506" t="s">
        <v>12</v>
      </c>
      <c r="D506" t="s">
        <v>11</v>
      </c>
      <c r="E506">
        <v>20024.846153846152</v>
      </c>
      <c r="F506">
        <v>65083.384615384595</v>
      </c>
      <c r="G506">
        <v>683635871.99999964</v>
      </c>
      <c r="H506">
        <v>104511454.44435397</v>
      </c>
      <c r="I506">
        <v>6075.7301528638836</v>
      </c>
      <c r="J506">
        <v>2036602.5230769226</v>
      </c>
    </row>
    <row r="507" spans="1:10" x14ac:dyDescent="0.25">
      <c r="A507">
        <v>13</v>
      </c>
      <c r="B507">
        <v>13</v>
      </c>
      <c r="C507" t="s">
        <v>12</v>
      </c>
      <c r="D507" t="s">
        <v>12</v>
      </c>
      <c r="E507">
        <v>0</v>
      </c>
      <c r="F507">
        <v>0</v>
      </c>
      <c r="G507">
        <v>0</v>
      </c>
      <c r="H507">
        <v>0</v>
      </c>
      <c r="I507">
        <v>6074.3912639749951</v>
      </c>
      <c r="J507">
        <v>1976387.2615384622</v>
      </c>
    </row>
    <row r="508" spans="1:10" x14ac:dyDescent="0.25">
      <c r="A508">
        <v>13</v>
      </c>
      <c r="B508">
        <v>14</v>
      </c>
      <c r="C508" t="s">
        <v>12</v>
      </c>
      <c r="D508" t="s">
        <v>13</v>
      </c>
      <c r="E508">
        <v>25728.230769230751</v>
      </c>
      <c r="F508">
        <v>193236.07692307667</v>
      </c>
      <c r="G508">
        <v>2171834374.639997</v>
      </c>
      <c r="H508">
        <v>0</v>
      </c>
      <c r="I508">
        <v>300673.80257101427</v>
      </c>
      <c r="J508">
        <v>1964285.2923076919</v>
      </c>
    </row>
    <row r="509" spans="1:10" x14ac:dyDescent="0.25">
      <c r="A509">
        <v>13</v>
      </c>
      <c r="B509">
        <v>15</v>
      </c>
      <c r="C509" t="s">
        <v>12</v>
      </c>
      <c r="D509" t="s">
        <v>14</v>
      </c>
      <c r="E509">
        <v>49527.615384615354</v>
      </c>
      <c r="F509">
        <v>315411.76923076971</v>
      </c>
      <c r="G509">
        <v>9972386524.240015</v>
      </c>
      <c r="H509">
        <v>228897901.58001137</v>
      </c>
      <c r="I509">
        <v>396294.3589178829</v>
      </c>
      <c r="J509">
        <v>26846266.615384616</v>
      </c>
    </row>
    <row r="510" spans="1:10" x14ac:dyDescent="0.25">
      <c r="A510">
        <v>13</v>
      </c>
      <c r="B510">
        <v>16</v>
      </c>
      <c r="C510" t="s">
        <v>12</v>
      </c>
      <c r="D510" t="s">
        <v>15</v>
      </c>
      <c r="E510">
        <v>39220.076923076958</v>
      </c>
      <c r="F510">
        <v>553624.99999999977</v>
      </c>
      <c r="G510">
        <v>22039899829.999989</v>
      </c>
      <c r="H510">
        <v>108161190.91036703</v>
      </c>
      <c r="I510">
        <v>6074.9190417527725</v>
      </c>
      <c r="J510">
        <v>8298328.2923076935</v>
      </c>
    </row>
    <row r="511" spans="1:10" x14ac:dyDescent="0.25">
      <c r="A511">
        <v>13</v>
      </c>
      <c r="B511">
        <v>17</v>
      </c>
      <c r="C511" t="s">
        <v>12</v>
      </c>
      <c r="D511" t="s">
        <v>16</v>
      </c>
      <c r="E511">
        <v>66279.153846153858</v>
      </c>
      <c r="F511">
        <v>198508.84615384569</v>
      </c>
      <c r="G511">
        <v>8851406225.3999786</v>
      </c>
      <c r="H511">
        <v>446221290.63084048</v>
      </c>
      <c r="I511">
        <v>216456.35862778829</v>
      </c>
      <c r="J511">
        <v>6733158.8923076931</v>
      </c>
    </row>
    <row r="512" spans="1:10" x14ac:dyDescent="0.25">
      <c r="A512">
        <v>13</v>
      </c>
      <c r="B512">
        <v>18</v>
      </c>
      <c r="C512" t="s">
        <v>12</v>
      </c>
      <c r="D512" t="s">
        <v>17</v>
      </c>
      <c r="E512">
        <v>25545.615384615354</v>
      </c>
      <c r="F512">
        <v>75679.692307692298</v>
      </c>
      <c r="G512">
        <v>3179757951.9999995</v>
      </c>
      <c r="H512">
        <v>301451183.21036702</v>
      </c>
      <c r="I512">
        <v>433835.09881901339</v>
      </c>
      <c r="J512">
        <v>3069219.6615384622</v>
      </c>
    </row>
    <row r="513" spans="1:10" x14ac:dyDescent="0.25">
      <c r="A513">
        <v>13</v>
      </c>
      <c r="B513">
        <v>19</v>
      </c>
      <c r="C513" t="s">
        <v>12</v>
      </c>
      <c r="D513" t="s">
        <v>18</v>
      </c>
      <c r="E513">
        <v>3096.7692307692341</v>
      </c>
      <c r="F513">
        <v>114398.69230769228</v>
      </c>
      <c r="G513">
        <v>6428794672.3999987</v>
      </c>
      <c r="H513">
        <v>16571707.365730653</v>
      </c>
      <c r="I513">
        <v>433833.79104123561</v>
      </c>
      <c r="J513">
        <v>1494769.2923076919</v>
      </c>
    </row>
    <row r="514" spans="1:10" x14ac:dyDescent="0.25">
      <c r="A514">
        <v>13</v>
      </c>
      <c r="B514">
        <v>20</v>
      </c>
      <c r="C514" t="s">
        <v>12</v>
      </c>
      <c r="D514" t="s">
        <v>19</v>
      </c>
      <c r="E514">
        <v>60268.538461538454</v>
      </c>
      <c r="F514">
        <v>86213.974358974388</v>
      </c>
      <c r="G514">
        <v>5130176338.4666681</v>
      </c>
      <c r="H514">
        <v>248772715.87128532</v>
      </c>
      <c r="I514">
        <v>1812164.5732739132</v>
      </c>
      <c r="J514">
        <v>41221564.49230767</v>
      </c>
    </row>
    <row r="515" spans="1:10" x14ac:dyDescent="0.25">
      <c r="A515">
        <v>13</v>
      </c>
      <c r="B515">
        <v>21</v>
      </c>
      <c r="C515" t="s">
        <v>12</v>
      </c>
      <c r="D515" t="s">
        <v>20</v>
      </c>
      <c r="E515">
        <v>39113.153846153858</v>
      </c>
      <c r="F515">
        <v>130365.64102564068</v>
      </c>
      <c r="G515">
        <v>8661206385.3333092</v>
      </c>
      <c r="H515">
        <v>19881984.526039198</v>
      </c>
      <c r="I515">
        <v>1812165.4977183577</v>
      </c>
      <c r="J515">
        <v>186556628.92307708</v>
      </c>
    </row>
    <row r="516" spans="1:10" x14ac:dyDescent="0.25">
      <c r="A516">
        <v>13</v>
      </c>
      <c r="B516">
        <v>22</v>
      </c>
      <c r="C516" t="s">
        <v>12</v>
      </c>
      <c r="D516" t="s">
        <v>21</v>
      </c>
      <c r="E516">
        <v>23552.999999999953</v>
      </c>
      <c r="F516">
        <v>149492.64102564068</v>
      </c>
      <c r="G516">
        <v>6705055894.6933184</v>
      </c>
      <c r="H516">
        <v>236275200.3074829</v>
      </c>
      <c r="I516">
        <v>508966.67125478206</v>
      </c>
      <c r="J516">
        <v>15221606.892307701</v>
      </c>
    </row>
    <row r="517" spans="1:10" x14ac:dyDescent="0.25">
      <c r="A517">
        <v>13</v>
      </c>
      <c r="B517">
        <v>23</v>
      </c>
      <c r="C517" t="s">
        <v>12</v>
      </c>
      <c r="D517" t="s">
        <v>22</v>
      </c>
      <c r="E517">
        <v>8231.5384615384646</v>
      </c>
      <c r="F517">
        <v>133228.97435897469</v>
      </c>
      <c r="G517">
        <v>6304464345.7333488</v>
      </c>
      <c r="H517">
        <v>104583877.61689353</v>
      </c>
      <c r="I517">
        <v>72550.845265514392</v>
      </c>
      <c r="J517">
        <v>1127853.2307692301</v>
      </c>
    </row>
    <row r="518" spans="1:10" x14ac:dyDescent="0.25">
      <c r="A518">
        <v>13</v>
      </c>
      <c r="B518">
        <v>24</v>
      </c>
      <c r="C518" t="s">
        <v>12</v>
      </c>
      <c r="D518" t="s">
        <v>23</v>
      </c>
      <c r="E518">
        <v>9393.9230769230744</v>
      </c>
      <c r="F518">
        <v>90700.974358974388</v>
      </c>
      <c r="G518">
        <v>2277008052.8533335</v>
      </c>
      <c r="H518">
        <v>96236288.216893524</v>
      </c>
      <c r="I518">
        <v>13792.640357072287</v>
      </c>
      <c r="J518">
        <v>4540123.0769230947</v>
      </c>
    </row>
    <row r="519" spans="1:10" x14ac:dyDescent="0.25">
      <c r="A519">
        <v>13</v>
      </c>
      <c r="B519">
        <v>25</v>
      </c>
      <c r="C519" t="s">
        <v>12</v>
      </c>
      <c r="D519" t="s">
        <v>24</v>
      </c>
      <c r="E519">
        <v>6998.5384615384646</v>
      </c>
      <c r="F519">
        <v>83648.641025640987</v>
      </c>
      <c r="G519">
        <v>2816058267.6933317</v>
      </c>
      <c r="H519">
        <v>37524675.11689353</v>
      </c>
      <c r="I519">
        <v>72550.567487736611</v>
      </c>
      <c r="J519">
        <v>444476.30769230769</v>
      </c>
    </row>
    <row r="520" spans="1:10" x14ac:dyDescent="0.25">
      <c r="A520">
        <v>13</v>
      </c>
      <c r="B520">
        <v>26</v>
      </c>
      <c r="C520" t="s">
        <v>12</v>
      </c>
      <c r="D520" t="s">
        <v>25</v>
      </c>
      <c r="E520">
        <v>6077.6153846153829</v>
      </c>
      <c r="F520">
        <v>69722.307692307688</v>
      </c>
      <c r="G520">
        <v>2918467033.1999993</v>
      </c>
      <c r="H520">
        <v>85510357.72801137</v>
      </c>
      <c r="I520">
        <v>64212.665692399205</v>
      </c>
      <c r="J520">
        <v>1545731.5384615394</v>
      </c>
    </row>
    <row r="521" spans="1:10" x14ac:dyDescent="0.25">
      <c r="A521">
        <v>13</v>
      </c>
      <c r="B521">
        <v>27</v>
      </c>
      <c r="C521" t="s">
        <v>12</v>
      </c>
      <c r="D521" t="s">
        <v>26</v>
      </c>
      <c r="E521">
        <v>61292.846153846156</v>
      </c>
      <c r="F521">
        <v>439655.40769230766</v>
      </c>
      <c r="G521">
        <v>24499234834.731991</v>
      </c>
      <c r="H521">
        <v>658930399.03128529</v>
      </c>
      <c r="I521">
        <v>13792.040357072286</v>
      </c>
      <c r="J521">
        <v>3621241.2307692301</v>
      </c>
    </row>
    <row r="522" spans="1:10" x14ac:dyDescent="0.25">
      <c r="A522">
        <v>13</v>
      </c>
      <c r="B522">
        <v>28</v>
      </c>
      <c r="C522" t="s">
        <v>12</v>
      </c>
      <c r="D522" t="s">
        <v>27</v>
      </c>
      <c r="E522">
        <v>38357.146153846159</v>
      </c>
      <c r="F522">
        <v>139654.70769230768</v>
      </c>
      <c r="G522" t="s">
        <v>122</v>
      </c>
      <c r="H522" t="s">
        <v>122</v>
      </c>
      <c r="I522">
        <v>36.798977761941629</v>
      </c>
      <c r="J522">
        <v>7.85</v>
      </c>
    </row>
    <row r="523" spans="1:10" x14ac:dyDescent="0.25">
      <c r="A523">
        <v>13</v>
      </c>
      <c r="B523">
        <v>29</v>
      </c>
      <c r="C523" t="s">
        <v>12</v>
      </c>
      <c r="D523" t="s">
        <v>28</v>
      </c>
      <c r="E523">
        <v>34404.346153846156</v>
      </c>
      <c r="F523">
        <v>384433.70769230771</v>
      </c>
      <c r="G523">
        <v>18716554870.056</v>
      </c>
      <c r="H523">
        <v>416229930.3074829</v>
      </c>
      <c r="I523">
        <v>584639.7095967466</v>
      </c>
      <c r="J523">
        <v>59195122.046153829</v>
      </c>
    </row>
    <row r="524" spans="1:10" x14ac:dyDescent="0.25">
      <c r="A524">
        <v>13</v>
      </c>
      <c r="B524">
        <v>30</v>
      </c>
      <c r="C524" t="s">
        <v>12</v>
      </c>
      <c r="D524" t="s">
        <v>29</v>
      </c>
      <c r="E524">
        <v>9564.1461538461535</v>
      </c>
      <c r="F524">
        <v>252583.40769230769</v>
      </c>
      <c r="G524">
        <v>6977747980.8719997</v>
      </c>
      <c r="H524">
        <v>68799376.424893528</v>
      </c>
      <c r="I524">
        <v>584640.08737452445</v>
      </c>
      <c r="J524">
        <v>14744940.923076916</v>
      </c>
    </row>
    <row r="525" spans="1:10" x14ac:dyDescent="0.25">
      <c r="A525">
        <v>13</v>
      </c>
      <c r="B525">
        <v>31</v>
      </c>
      <c r="C525" t="s">
        <v>12</v>
      </c>
      <c r="D525" t="s">
        <v>30</v>
      </c>
      <c r="E525">
        <v>4453.3076923076933</v>
      </c>
      <c r="F525">
        <v>47334.999999999993</v>
      </c>
      <c r="G525">
        <v>4241174345.1999998</v>
      </c>
      <c r="H525">
        <v>38406546.142565504</v>
      </c>
      <c r="I525">
        <v>121025.44990353723</v>
      </c>
      <c r="J525">
        <v>18717215.248351637</v>
      </c>
    </row>
    <row r="526" spans="1:10" x14ac:dyDescent="0.25">
      <c r="A526">
        <v>13</v>
      </c>
      <c r="B526">
        <v>32</v>
      </c>
      <c r="C526" t="s">
        <v>12</v>
      </c>
      <c r="D526" t="s">
        <v>31</v>
      </c>
      <c r="E526">
        <v>2298.2307692307686</v>
      </c>
      <c r="F526">
        <v>72881.807692307688</v>
      </c>
      <c r="G526">
        <v>6407657751.9599981</v>
      </c>
      <c r="H526">
        <v>16331225.772286709</v>
      </c>
      <c r="I526">
        <v>216450.35194906854</v>
      </c>
      <c r="J526">
        <v>37796788.395604379</v>
      </c>
    </row>
    <row r="527" spans="1:10" x14ac:dyDescent="0.25">
      <c r="A527">
        <v>13</v>
      </c>
      <c r="B527">
        <v>33</v>
      </c>
      <c r="C527" t="s">
        <v>12</v>
      </c>
      <c r="D527" t="s">
        <v>32</v>
      </c>
      <c r="E527">
        <v>65975.615384615347</v>
      </c>
      <c r="F527">
        <v>122592.03076923078</v>
      </c>
      <c r="G527">
        <v>10185759927.391998</v>
      </c>
      <c r="H527">
        <v>95234846.136286721</v>
      </c>
      <c r="I527">
        <v>327735.31008042919</v>
      </c>
      <c r="J527">
        <v>54566125.960439548</v>
      </c>
    </row>
    <row r="528" spans="1:10" x14ac:dyDescent="0.25">
      <c r="A528">
        <v>13</v>
      </c>
      <c r="B528">
        <v>34</v>
      </c>
      <c r="C528" t="s">
        <v>12</v>
      </c>
      <c r="D528" t="s">
        <v>33</v>
      </c>
      <c r="E528">
        <v>298586.15384615411</v>
      </c>
      <c r="F528">
        <v>290153.69658119668</v>
      </c>
      <c r="G528">
        <v>23056413554.544449</v>
      </c>
      <c r="H528">
        <v>805006655.03056538</v>
      </c>
      <c r="I528">
        <v>327737.8545248736</v>
      </c>
      <c r="J528">
        <v>29830038.274725262</v>
      </c>
    </row>
    <row r="529" spans="1:10" x14ac:dyDescent="0.25">
      <c r="A529">
        <v>13</v>
      </c>
      <c r="B529">
        <v>35</v>
      </c>
      <c r="C529" t="s">
        <v>12</v>
      </c>
      <c r="D529" t="s">
        <v>34</v>
      </c>
      <c r="E529">
        <v>24904.461538461554</v>
      </c>
      <c r="F529">
        <v>38563.846153846192</v>
      </c>
      <c r="G529">
        <v>3080592637.2000027</v>
      </c>
      <c r="H529">
        <v>175272046.1025655</v>
      </c>
      <c r="I529">
        <v>327735.74896931805</v>
      </c>
      <c r="J529">
        <v>19165396.703296691</v>
      </c>
    </row>
    <row r="530" spans="1:10" x14ac:dyDescent="0.25">
      <c r="A530">
        <v>13</v>
      </c>
      <c r="B530">
        <v>36</v>
      </c>
      <c r="C530" t="s">
        <v>12</v>
      </c>
      <c r="D530" t="s">
        <v>35</v>
      </c>
      <c r="E530">
        <v>5528.692307692304</v>
      </c>
      <c r="F530">
        <v>114410.23076923079</v>
      </c>
      <c r="G530">
        <v>8929114425.5200024</v>
      </c>
      <c r="H530">
        <v>30183569.016955897</v>
      </c>
      <c r="I530">
        <v>216450.50528240186</v>
      </c>
      <c r="J530">
        <v>22269954.613186803</v>
      </c>
    </row>
    <row r="531" spans="1:10" x14ac:dyDescent="0.25">
      <c r="A531">
        <v>13</v>
      </c>
      <c r="B531">
        <v>37</v>
      </c>
      <c r="C531" t="s">
        <v>12</v>
      </c>
      <c r="D531" t="s">
        <v>36</v>
      </c>
      <c r="E531">
        <v>11947.692307692354</v>
      </c>
      <c r="F531">
        <v>109225.73443223439</v>
      </c>
      <c r="G531">
        <v>2816638966.0390463</v>
      </c>
      <c r="H531">
        <v>83485376.119589448</v>
      </c>
      <c r="I531">
        <v>584642.1707078577</v>
      </c>
      <c r="J531">
        <v>2675389.1076923106</v>
      </c>
    </row>
    <row r="532" spans="1:10" x14ac:dyDescent="0.25">
      <c r="A532">
        <v>13</v>
      </c>
      <c r="B532">
        <v>38</v>
      </c>
      <c r="C532" t="s">
        <v>12</v>
      </c>
      <c r="D532" t="s">
        <v>37</v>
      </c>
      <c r="E532">
        <v>1915.8461538461538</v>
      </c>
      <c r="F532">
        <v>30202.692307692312</v>
      </c>
      <c r="G532">
        <v>1552934246.6000001</v>
      </c>
      <c r="H532">
        <v>13460123.274745006</v>
      </c>
      <c r="I532">
        <v>327736.29785820696</v>
      </c>
      <c r="J532">
        <v>28599724.092307676</v>
      </c>
    </row>
    <row r="533" spans="1:10" x14ac:dyDescent="0.25">
      <c r="A533">
        <v>13</v>
      </c>
      <c r="B533">
        <v>39</v>
      </c>
      <c r="C533" t="s">
        <v>12</v>
      </c>
      <c r="D533" t="s">
        <v>38</v>
      </c>
      <c r="E533">
        <v>4986.2307692307731</v>
      </c>
      <c r="F533">
        <v>114373.15018315018</v>
      </c>
      <c r="G533">
        <v>3483989151.6190476</v>
      </c>
      <c r="H533">
        <v>30827038.439589433</v>
      </c>
      <c r="I533">
        <v>92647.826326264025</v>
      </c>
      <c r="J533">
        <v>8307156.9230769202</v>
      </c>
    </row>
    <row r="534" spans="1:10" x14ac:dyDescent="0.25">
      <c r="A534">
        <v>13</v>
      </c>
      <c r="B534">
        <v>40</v>
      </c>
      <c r="C534" t="s">
        <v>12</v>
      </c>
      <c r="D534" t="s">
        <v>39</v>
      </c>
      <c r="E534">
        <v>11532.615384615385</v>
      </c>
      <c r="F534">
        <v>95692.450549450587</v>
      </c>
      <c r="G534">
        <v>3970356327.2571445</v>
      </c>
      <c r="H534">
        <v>16299064.964632288</v>
      </c>
      <c r="I534">
        <v>62078.014284665835</v>
      </c>
      <c r="J534">
        <v>4356234.4615384592</v>
      </c>
    </row>
    <row r="535" spans="1:10" x14ac:dyDescent="0.25">
      <c r="A535">
        <v>13</v>
      </c>
      <c r="B535">
        <v>41</v>
      </c>
      <c r="C535" t="s">
        <v>12</v>
      </c>
      <c r="D535" t="s">
        <v>40</v>
      </c>
      <c r="E535">
        <v>23891.538461538454</v>
      </c>
      <c r="F535">
        <v>43870.800366300391</v>
      </c>
      <c r="G535">
        <v>1778760904.0038104</v>
      </c>
      <c r="H535">
        <v>170426340.23474503</v>
      </c>
      <c r="I535">
        <v>0</v>
      </c>
      <c r="J535">
        <v>0</v>
      </c>
    </row>
    <row r="536" spans="1:10" x14ac:dyDescent="0.25">
      <c r="A536">
        <v>14</v>
      </c>
      <c r="B536">
        <v>1</v>
      </c>
      <c r="C536" t="s">
        <v>13</v>
      </c>
      <c r="D536" t="s">
        <v>0</v>
      </c>
      <c r="E536">
        <v>104034.14835164833</v>
      </c>
      <c r="F536">
        <v>152668.46153846156</v>
      </c>
      <c r="G536">
        <v>10070793385.600002</v>
      </c>
      <c r="H536">
        <v>255529229.28238446</v>
      </c>
      <c r="I536">
        <v>0</v>
      </c>
      <c r="J536">
        <v>0</v>
      </c>
    </row>
    <row r="537" spans="1:10" x14ac:dyDescent="0.25">
      <c r="A537">
        <v>14</v>
      </c>
      <c r="B537">
        <v>2</v>
      </c>
      <c r="C537" t="s">
        <v>13</v>
      </c>
      <c r="D537" t="s">
        <v>1</v>
      </c>
      <c r="E537">
        <v>32773.14835164832</v>
      </c>
      <c r="F537">
        <v>143056.84615384619</v>
      </c>
      <c r="G537">
        <v>9031041363.1200008</v>
      </c>
      <c r="H537">
        <v>131997760.72095588</v>
      </c>
      <c r="I537">
        <v>300674.60590434761</v>
      </c>
      <c r="J537">
        <v>12328751.999999993</v>
      </c>
    </row>
    <row r="538" spans="1:10" x14ac:dyDescent="0.25">
      <c r="A538">
        <v>14</v>
      </c>
      <c r="B538">
        <v>3</v>
      </c>
      <c r="C538" t="s">
        <v>13</v>
      </c>
      <c r="D538" t="s">
        <v>2</v>
      </c>
      <c r="E538">
        <v>28037.791208791226</v>
      </c>
      <c r="F538">
        <v>146091.07692307688</v>
      </c>
      <c r="G538">
        <v>9099826184.9599972</v>
      </c>
      <c r="H538">
        <v>174584633.61354879</v>
      </c>
      <c r="I538">
        <v>300663.66682733112</v>
      </c>
      <c r="J538">
        <v>11555812.615384623</v>
      </c>
    </row>
    <row r="539" spans="1:10" x14ac:dyDescent="0.25">
      <c r="A539">
        <v>14</v>
      </c>
      <c r="B539">
        <v>4</v>
      </c>
      <c r="C539" t="s">
        <v>13</v>
      </c>
      <c r="D539" t="s">
        <v>3</v>
      </c>
      <c r="E539">
        <v>42694.14835164832</v>
      </c>
      <c r="F539">
        <v>135197.99999999997</v>
      </c>
      <c r="G539">
        <v>12042615836.159998</v>
      </c>
      <c r="H539">
        <v>224845337.67968619</v>
      </c>
      <c r="I539">
        <v>475451.94874644408</v>
      </c>
      <c r="J539">
        <v>24419032.338461537</v>
      </c>
    </row>
    <row r="540" spans="1:10" x14ac:dyDescent="0.25">
      <c r="A540">
        <v>14</v>
      </c>
      <c r="B540">
        <v>5</v>
      </c>
      <c r="C540" t="s">
        <v>13</v>
      </c>
      <c r="D540" t="s">
        <v>4</v>
      </c>
      <c r="E540">
        <v>76430.719780219821</v>
      </c>
      <c r="F540">
        <v>166998.07692307688</v>
      </c>
      <c r="G540">
        <v>15831183894.999994</v>
      </c>
      <c r="H540">
        <v>136245317.86119068</v>
      </c>
      <c r="I540">
        <v>300662.7810315353</v>
      </c>
      <c r="J540">
        <v>10248461.723076915</v>
      </c>
    </row>
    <row r="541" spans="1:10" x14ac:dyDescent="0.25">
      <c r="A541">
        <v>14</v>
      </c>
      <c r="B541">
        <v>6</v>
      </c>
      <c r="C541" t="s">
        <v>13</v>
      </c>
      <c r="D541" t="s">
        <v>5</v>
      </c>
      <c r="E541">
        <v>24758.862637362625</v>
      </c>
      <c r="F541">
        <v>232787.38827838836</v>
      </c>
      <c r="G541">
        <v>25063286946.380962</v>
      </c>
      <c r="H541">
        <v>255702091.62404779</v>
      </c>
      <c r="I541">
        <v>20548.127984891024</v>
      </c>
      <c r="J541">
        <v>4854276.0000000009</v>
      </c>
    </row>
    <row r="542" spans="1:10" x14ac:dyDescent="0.25">
      <c r="A542">
        <v>14</v>
      </c>
      <c r="B542">
        <v>7</v>
      </c>
      <c r="C542" t="s">
        <v>13</v>
      </c>
      <c r="D542" t="s">
        <v>6</v>
      </c>
      <c r="E542">
        <v>16508.862637362632</v>
      </c>
      <c r="F542">
        <v>166333.69230769228</v>
      </c>
      <c r="G542">
        <v>15741993627.039999</v>
      </c>
      <c r="H542">
        <v>117013094.08976211</v>
      </c>
      <c r="I542">
        <v>396292.41447343846</v>
      </c>
      <c r="J542">
        <v>28005507.692307688</v>
      </c>
    </row>
    <row r="543" spans="1:10" x14ac:dyDescent="0.25">
      <c r="A543">
        <v>14</v>
      </c>
      <c r="B543">
        <v>8</v>
      </c>
      <c r="C543" t="s">
        <v>13</v>
      </c>
      <c r="D543" t="s">
        <v>7</v>
      </c>
      <c r="E543">
        <v>46155.934065934023</v>
      </c>
      <c r="F543">
        <v>223931.46153846139</v>
      </c>
      <c r="G543">
        <v>19911170449.479988</v>
      </c>
      <c r="H543">
        <v>141909150.22311476</v>
      </c>
      <c r="I543">
        <v>259005.6664359319</v>
      </c>
      <c r="J543">
        <v>22044903.138461541</v>
      </c>
    </row>
    <row r="544" spans="1:10" x14ac:dyDescent="0.25">
      <c r="A544">
        <v>14</v>
      </c>
      <c r="B544">
        <v>9</v>
      </c>
      <c r="C544" t="s">
        <v>13</v>
      </c>
      <c r="D544" t="s">
        <v>8</v>
      </c>
      <c r="E544">
        <v>12151.531468531468</v>
      </c>
      <c r="F544">
        <v>674264.23717948736</v>
      </c>
      <c r="G544">
        <v>54322556768.046677</v>
      </c>
      <c r="H544">
        <v>122868603.02095589</v>
      </c>
      <c r="I544">
        <v>786688613.97777617</v>
      </c>
      <c r="J544">
        <v>10295812.95384614</v>
      </c>
    </row>
    <row r="545" spans="1:10" x14ac:dyDescent="0.25">
      <c r="A545">
        <v>14</v>
      </c>
      <c r="B545">
        <v>10</v>
      </c>
      <c r="C545" t="s">
        <v>13</v>
      </c>
      <c r="D545" t="s">
        <v>9</v>
      </c>
      <c r="E545">
        <v>32634.291208791226</v>
      </c>
      <c r="F545">
        <v>198640.5384615385</v>
      </c>
      <c r="G545">
        <v>19655020434.720005</v>
      </c>
      <c r="H545">
        <v>183581094.92119068</v>
      </c>
      <c r="I545">
        <v>6075.9434861972168</v>
      </c>
      <c r="J545">
        <v>5508082.0923076943</v>
      </c>
    </row>
    <row r="546" spans="1:10" x14ac:dyDescent="0.25">
      <c r="A546">
        <v>14</v>
      </c>
      <c r="B546">
        <v>11</v>
      </c>
      <c r="C546" t="s">
        <v>13</v>
      </c>
      <c r="D546" t="s">
        <v>10</v>
      </c>
      <c r="E546">
        <v>32801.461538461524</v>
      </c>
      <c r="F546">
        <v>201404.61538461538</v>
      </c>
      <c r="G546">
        <v>6621684270.3999987</v>
      </c>
      <c r="H546">
        <v>180631897.87664765</v>
      </c>
      <c r="I546">
        <v>6075.232375086106</v>
      </c>
      <c r="J546">
        <v>3008674.9846153841</v>
      </c>
    </row>
    <row r="547" spans="1:10" x14ac:dyDescent="0.25">
      <c r="A547">
        <v>14</v>
      </c>
      <c r="B547">
        <v>12</v>
      </c>
      <c r="C547" t="s">
        <v>13</v>
      </c>
      <c r="D547" t="s">
        <v>11</v>
      </c>
      <c r="E547">
        <v>29770.076923076922</v>
      </c>
      <c r="F547">
        <v>146130.69230769228</v>
      </c>
      <c r="G547">
        <v>2724548305.7999997</v>
      </c>
      <c r="H547">
        <v>191469089.93235397</v>
      </c>
      <c r="I547">
        <v>6073.8934861972175</v>
      </c>
      <c r="J547">
        <v>3656839.2000000007</v>
      </c>
    </row>
    <row r="548" spans="1:10" x14ac:dyDescent="0.25">
      <c r="A548">
        <v>14</v>
      </c>
      <c r="B548">
        <v>13</v>
      </c>
      <c r="C548" t="s">
        <v>13</v>
      </c>
      <c r="D548" t="s">
        <v>12</v>
      </c>
      <c r="E548">
        <v>14848.461538461543</v>
      </c>
      <c r="F548">
        <v>127819.15384615387</v>
      </c>
      <c r="G548">
        <v>1436595259.4400001</v>
      </c>
      <c r="H548">
        <v>0</v>
      </c>
      <c r="I548">
        <v>300673.30479323649</v>
      </c>
      <c r="J548">
        <v>4208877.0769230761</v>
      </c>
    </row>
    <row r="549" spans="1:10" x14ac:dyDescent="0.25">
      <c r="A549">
        <v>14</v>
      </c>
      <c r="B549">
        <v>14</v>
      </c>
      <c r="C549" t="s">
        <v>13</v>
      </c>
      <c r="D549" t="s">
        <v>13</v>
      </c>
      <c r="E549">
        <v>0</v>
      </c>
      <c r="F549">
        <v>0</v>
      </c>
      <c r="G549">
        <v>0</v>
      </c>
      <c r="H549">
        <v>0</v>
      </c>
      <c r="I549">
        <v>396293.86114010512</v>
      </c>
      <c r="J549">
        <v>26511410.307692308</v>
      </c>
    </row>
    <row r="550" spans="1:10" x14ac:dyDescent="0.25">
      <c r="A550">
        <v>14</v>
      </c>
      <c r="B550">
        <v>15</v>
      </c>
      <c r="C550" t="s">
        <v>13</v>
      </c>
      <c r="D550" t="s">
        <v>14</v>
      </c>
      <c r="E550">
        <v>59272.84615384612</v>
      </c>
      <c r="F550">
        <v>396459.0769230774</v>
      </c>
      <c r="G550">
        <v>10723345820.800013</v>
      </c>
      <c r="H550">
        <v>269020776.97201139</v>
      </c>
      <c r="I550">
        <v>6074.4212639749949</v>
      </c>
      <c r="J550">
        <v>7858624.692307692</v>
      </c>
    </row>
    <row r="551" spans="1:10" x14ac:dyDescent="0.25">
      <c r="A551">
        <v>14</v>
      </c>
      <c r="B551">
        <v>16</v>
      </c>
      <c r="C551" t="s">
        <v>13</v>
      </c>
      <c r="D551" t="s">
        <v>15</v>
      </c>
      <c r="E551">
        <v>48965.307692307724</v>
      </c>
      <c r="F551">
        <v>634672.3076923074</v>
      </c>
      <c r="G551">
        <v>19499798915.999989</v>
      </c>
      <c r="H551">
        <v>148284066.30236703</v>
      </c>
      <c r="I551">
        <v>216455.8608500105</v>
      </c>
      <c r="J551">
        <v>12249868.720000001</v>
      </c>
    </row>
    <row r="552" spans="1:10" x14ac:dyDescent="0.25">
      <c r="A552">
        <v>14</v>
      </c>
      <c r="B552">
        <v>17</v>
      </c>
      <c r="C552" t="s">
        <v>13</v>
      </c>
      <c r="D552" t="s">
        <v>16</v>
      </c>
      <c r="E552">
        <v>76024.384615384624</v>
      </c>
      <c r="F552">
        <v>279556.15384615341</v>
      </c>
      <c r="G552">
        <v>11877971962.799978</v>
      </c>
      <c r="H552">
        <v>486344166.0228405</v>
      </c>
      <c r="I552">
        <v>433834.60104123561</v>
      </c>
      <c r="J552">
        <v>8780376.1846153866</v>
      </c>
    </row>
    <row r="553" spans="1:10" x14ac:dyDescent="0.25">
      <c r="A553">
        <v>14</v>
      </c>
      <c r="B553">
        <v>18</v>
      </c>
      <c r="C553" t="s">
        <v>13</v>
      </c>
      <c r="D553" t="s">
        <v>17</v>
      </c>
      <c r="E553">
        <v>35290.846153846127</v>
      </c>
      <c r="F553">
        <v>156726.99999999997</v>
      </c>
      <c r="G553">
        <v>6239326946.3199987</v>
      </c>
      <c r="H553">
        <v>341574058.60236704</v>
      </c>
      <c r="I553">
        <v>433833.29326345783</v>
      </c>
      <c r="J553">
        <v>6975572.9230769239</v>
      </c>
    </row>
    <row r="554" spans="1:10" x14ac:dyDescent="0.25">
      <c r="A554">
        <v>14</v>
      </c>
      <c r="B554">
        <v>19</v>
      </c>
      <c r="C554" t="s">
        <v>13</v>
      </c>
      <c r="D554" t="s">
        <v>18</v>
      </c>
      <c r="E554">
        <v>12842.000000000004</v>
      </c>
      <c r="F554">
        <v>195445.99999999997</v>
      </c>
      <c r="G554">
        <v>9556551069.5199986</v>
      </c>
      <c r="H554">
        <v>56694582.757730663</v>
      </c>
      <c r="I554">
        <v>1812164.0754961355</v>
      </c>
      <c r="J554">
        <v>41888772.092307679</v>
      </c>
    </row>
    <row r="555" spans="1:10" x14ac:dyDescent="0.25">
      <c r="A555">
        <v>14</v>
      </c>
      <c r="B555">
        <v>20</v>
      </c>
      <c r="C555" t="s">
        <v>13</v>
      </c>
      <c r="D555" t="s">
        <v>19</v>
      </c>
      <c r="E555">
        <v>70013.76923076922</v>
      </c>
      <c r="F555">
        <v>167261.28205128206</v>
      </c>
      <c r="G555">
        <v>8731855158.1333313</v>
      </c>
      <c r="H555">
        <v>288895591.26328528</v>
      </c>
      <c r="I555">
        <v>1812164.99994058</v>
      </c>
      <c r="J555">
        <v>170815587.07692325</v>
      </c>
    </row>
    <row r="556" spans="1:10" x14ac:dyDescent="0.25">
      <c r="A556">
        <v>14</v>
      </c>
      <c r="B556">
        <v>21</v>
      </c>
      <c r="C556" t="s">
        <v>13</v>
      </c>
      <c r="D556" t="s">
        <v>20</v>
      </c>
      <c r="E556">
        <v>48858.384615384624</v>
      </c>
      <c r="F556">
        <v>211412.94871794837</v>
      </c>
      <c r="G556">
        <v>12502437483.066645</v>
      </c>
      <c r="H556">
        <v>60004859.918039203</v>
      </c>
      <c r="I556">
        <v>508966.17347700428</v>
      </c>
      <c r="J556">
        <v>18738553.600000009</v>
      </c>
    </row>
    <row r="557" spans="1:10" x14ac:dyDescent="0.25">
      <c r="A557">
        <v>14</v>
      </c>
      <c r="B557">
        <v>22</v>
      </c>
      <c r="C557" t="s">
        <v>13</v>
      </c>
      <c r="D557" t="s">
        <v>21</v>
      </c>
      <c r="E557">
        <v>33298.230769230722</v>
      </c>
      <c r="F557">
        <v>230539.94871794837</v>
      </c>
      <c r="G557">
        <v>8657190046.2666531</v>
      </c>
      <c r="H557">
        <v>276398075.69948292</v>
      </c>
      <c r="I557">
        <v>72550.34748773661</v>
      </c>
      <c r="J557">
        <v>3409139.63076923</v>
      </c>
    </row>
    <row r="558" spans="1:10" x14ac:dyDescent="0.25">
      <c r="A558">
        <v>14</v>
      </c>
      <c r="B558">
        <v>23</v>
      </c>
      <c r="C558" t="s">
        <v>13</v>
      </c>
      <c r="D558" t="s">
        <v>22</v>
      </c>
      <c r="E558">
        <v>17976.769230769234</v>
      </c>
      <c r="F558">
        <v>214276.28205128238</v>
      </c>
      <c r="G558">
        <v>8575388234.0000124</v>
      </c>
      <c r="H558">
        <v>144706753.00889355</v>
      </c>
      <c r="I558">
        <v>13792.142579294508</v>
      </c>
      <c r="J558">
        <v>8547011.6923077088</v>
      </c>
    </row>
    <row r="559" spans="1:10" x14ac:dyDescent="0.25">
      <c r="A559">
        <v>14</v>
      </c>
      <c r="B559">
        <v>24</v>
      </c>
      <c r="C559" t="s">
        <v>13</v>
      </c>
      <c r="D559" t="s">
        <v>23</v>
      </c>
      <c r="E559">
        <v>19139.153846153844</v>
      </c>
      <c r="F559">
        <v>171748.28205128206</v>
      </c>
      <c r="G559">
        <v>3057854503.1599998</v>
      </c>
      <c r="H559">
        <v>136359163.60889354</v>
      </c>
      <c r="I559">
        <v>72550.069709958829</v>
      </c>
      <c r="J559">
        <v>2891947.076923077</v>
      </c>
    </row>
    <row r="560" spans="1:10" x14ac:dyDescent="0.25">
      <c r="A560">
        <v>14</v>
      </c>
      <c r="B560">
        <v>25</v>
      </c>
      <c r="C560" t="s">
        <v>13</v>
      </c>
      <c r="D560" t="s">
        <v>24</v>
      </c>
      <c r="E560">
        <v>16743.769230769234</v>
      </c>
      <c r="F560">
        <v>164695.94871794869</v>
      </c>
      <c r="G560">
        <v>4342215275.7866659</v>
      </c>
      <c r="H560">
        <v>77647550.508893549</v>
      </c>
      <c r="I560">
        <v>64212.16791462143</v>
      </c>
      <c r="J560">
        <v>4790671.2923076935</v>
      </c>
    </row>
    <row r="561" spans="1:10" x14ac:dyDescent="0.25">
      <c r="A561">
        <v>14</v>
      </c>
      <c r="B561">
        <v>26</v>
      </c>
      <c r="C561" t="s">
        <v>13</v>
      </c>
      <c r="D561" t="s">
        <v>25</v>
      </c>
      <c r="E561">
        <v>15822.846153846152</v>
      </c>
      <c r="F561">
        <v>150769.61538461538</v>
      </c>
      <c r="G561">
        <v>5210320491.5999985</v>
      </c>
      <c r="H561">
        <v>125633233.12001137</v>
      </c>
      <c r="I561">
        <v>13791.54257929451</v>
      </c>
      <c r="J561">
        <v>7064244.9230769239</v>
      </c>
    </row>
    <row r="562" spans="1:10" x14ac:dyDescent="0.25">
      <c r="A562">
        <v>14</v>
      </c>
      <c r="B562">
        <v>27</v>
      </c>
      <c r="C562" t="s">
        <v>13</v>
      </c>
      <c r="D562" t="s">
        <v>26</v>
      </c>
      <c r="E562">
        <v>71038.076923076922</v>
      </c>
      <c r="F562">
        <v>520702.71538461535</v>
      </c>
      <c r="G562">
        <v>25214216696.264</v>
      </c>
      <c r="H562">
        <v>699053274.42328525</v>
      </c>
      <c r="I562">
        <v>36.301199984163851</v>
      </c>
      <c r="J562">
        <v>8.3000000000000007</v>
      </c>
    </row>
    <row r="563" spans="1:10" x14ac:dyDescent="0.25">
      <c r="A563">
        <v>14</v>
      </c>
      <c r="B563">
        <v>28</v>
      </c>
      <c r="C563" t="s">
        <v>13</v>
      </c>
      <c r="D563" t="s">
        <v>27</v>
      </c>
      <c r="E563">
        <v>48102.376923076925</v>
      </c>
      <c r="F563">
        <v>220702.01538461537</v>
      </c>
      <c r="G563" t="s">
        <v>122</v>
      </c>
      <c r="H563" t="s">
        <v>122</v>
      </c>
      <c r="I563">
        <v>380063.44049306458</v>
      </c>
      <c r="J563">
        <v>76909843.292307675</v>
      </c>
    </row>
    <row r="564" spans="1:10" x14ac:dyDescent="0.25">
      <c r="A564">
        <v>14</v>
      </c>
      <c r="B564">
        <v>29</v>
      </c>
      <c r="C564" t="s">
        <v>13</v>
      </c>
      <c r="D564" t="s">
        <v>28</v>
      </c>
      <c r="E564">
        <v>44149.576923076922</v>
      </c>
      <c r="F564">
        <v>465481.0153846154</v>
      </c>
      <c r="G564">
        <v>19264285587.264</v>
      </c>
      <c r="H564">
        <v>456352805.69948292</v>
      </c>
      <c r="I564">
        <v>380063.81827084231</v>
      </c>
      <c r="J564">
        <v>28910102.769230746</v>
      </c>
    </row>
    <row r="565" spans="1:10" x14ac:dyDescent="0.25">
      <c r="A565">
        <v>14</v>
      </c>
      <c r="B565">
        <v>30</v>
      </c>
      <c r="C565" t="s">
        <v>13</v>
      </c>
      <c r="D565" t="s">
        <v>29</v>
      </c>
      <c r="E565">
        <v>19309.376923076925</v>
      </c>
      <c r="F565">
        <v>333630.71538461535</v>
      </c>
      <c r="G565">
        <v>6781124361.5639992</v>
      </c>
      <c r="H565">
        <v>108922251.81689355</v>
      </c>
      <c r="I565">
        <v>380620.0360038064</v>
      </c>
      <c r="J565">
        <v>34006495.173626356</v>
      </c>
    </row>
    <row r="566" spans="1:10" x14ac:dyDescent="0.25">
      <c r="A566">
        <v>14</v>
      </c>
      <c r="B566">
        <v>31</v>
      </c>
      <c r="C566" t="s">
        <v>13</v>
      </c>
      <c r="D566" t="s">
        <v>30</v>
      </c>
      <c r="E566">
        <v>14198.538461538465</v>
      </c>
      <c r="F566">
        <v>128382.30769230767</v>
      </c>
      <c r="G566">
        <v>10565714999.599998</v>
      </c>
      <c r="H566">
        <v>78529421.534565508</v>
      </c>
      <c r="I566">
        <v>380080.50233527785</v>
      </c>
      <c r="J566">
        <v>54011401.00219778</v>
      </c>
    </row>
    <row r="567" spans="1:10" x14ac:dyDescent="0.25">
      <c r="A567">
        <v>14</v>
      </c>
      <c r="B567">
        <v>32</v>
      </c>
      <c r="C567" t="s">
        <v>13</v>
      </c>
      <c r="D567" t="s">
        <v>31</v>
      </c>
      <c r="E567">
        <v>12043.461538461539</v>
      </c>
      <c r="F567">
        <v>153929.11538461538</v>
      </c>
      <c r="G567">
        <v>12409488209.899998</v>
      </c>
      <c r="H567">
        <v>56454101.164286718</v>
      </c>
      <c r="I567">
        <v>380078.58387560723</v>
      </c>
      <c r="J567">
        <v>70960313.648351625</v>
      </c>
    </row>
    <row r="568" spans="1:10" x14ac:dyDescent="0.25">
      <c r="A568">
        <v>14</v>
      </c>
      <c r="B568">
        <v>33</v>
      </c>
      <c r="C568" t="s">
        <v>13</v>
      </c>
      <c r="D568" t="s">
        <v>32</v>
      </c>
      <c r="E568">
        <v>75720.846153846127</v>
      </c>
      <c r="F568">
        <v>203639.33846153849</v>
      </c>
      <c r="G568">
        <v>15433084214.808002</v>
      </c>
      <c r="H568">
        <v>135357721.52828673</v>
      </c>
      <c r="I568">
        <v>380081.12832005171</v>
      </c>
      <c r="J568">
        <v>47263132.846153811</v>
      </c>
    </row>
    <row r="569" spans="1:10" x14ac:dyDescent="0.25">
      <c r="A569">
        <v>14</v>
      </c>
      <c r="B569">
        <v>34</v>
      </c>
      <c r="C569" t="s">
        <v>13</v>
      </c>
      <c r="D569" t="s">
        <v>33</v>
      </c>
      <c r="E569">
        <v>308331.38461538492</v>
      </c>
      <c r="F569">
        <v>371201.00427350437</v>
      </c>
      <c r="G569">
        <v>26786785046.866673</v>
      </c>
      <c r="H569">
        <v>845129530.42256534</v>
      </c>
      <c r="I569">
        <v>380079.02276449616</v>
      </c>
      <c r="J569">
        <v>38396653.186813161</v>
      </c>
    </row>
    <row r="570" spans="1:10" x14ac:dyDescent="0.25">
      <c r="A570">
        <v>14</v>
      </c>
      <c r="B570">
        <v>35</v>
      </c>
      <c r="C570" t="s">
        <v>13</v>
      </c>
      <c r="D570" t="s">
        <v>34</v>
      </c>
      <c r="E570">
        <v>34649.692307692327</v>
      </c>
      <c r="F570">
        <v>119611.15384615387</v>
      </c>
      <c r="G570">
        <v>8681693319.6000023</v>
      </c>
      <c r="H570">
        <v>215394921.49456552</v>
      </c>
      <c r="I570">
        <v>380080.65566861117</v>
      </c>
      <c r="J570">
        <v>39849626.729670301</v>
      </c>
    </row>
    <row r="571" spans="1:10" x14ac:dyDescent="0.25">
      <c r="A571">
        <v>14</v>
      </c>
      <c r="B571">
        <v>36</v>
      </c>
      <c r="C571" t="s">
        <v>13</v>
      </c>
      <c r="D571" t="s">
        <v>35</v>
      </c>
      <c r="E571">
        <v>15273.923076923074</v>
      </c>
      <c r="F571">
        <v>195457.5384615385</v>
      </c>
      <c r="G571">
        <v>13827534102.240002</v>
      </c>
      <c r="H571">
        <v>70306444.408955902</v>
      </c>
      <c r="I571">
        <v>380065.90160417568</v>
      </c>
      <c r="J571">
        <v>30660304.123076901</v>
      </c>
    </row>
    <row r="572" spans="1:10" x14ac:dyDescent="0.25">
      <c r="A572">
        <v>14</v>
      </c>
      <c r="B572">
        <v>37</v>
      </c>
      <c r="C572" t="s">
        <v>13</v>
      </c>
      <c r="D572" t="s">
        <v>36</v>
      </c>
      <c r="E572">
        <v>21692.923076923122</v>
      </c>
      <c r="F572">
        <v>190273.04212454206</v>
      </c>
      <c r="G572">
        <v>5376309412.7409506</v>
      </c>
      <c r="H572">
        <v>123608251.51158944</v>
      </c>
      <c r="I572">
        <v>380079.57165338506</v>
      </c>
      <c r="J572">
        <v>49786894.571428545</v>
      </c>
    </row>
    <row r="573" spans="1:10" x14ac:dyDescent="0.25">
      <c r="A573">
        <v>14</v>
      </c>
      <c r="B573">
        <v>38</v>
      </c>
      <c r="C573" t="s">
        <v>13</v>
      </c>
      <c r="D573" t="s">
        <v>37</v>
      </c>
      <c r="E573">
        <v>11661.076923076924</v>
      </c>
      <c r="F573">
        <v>111250</v>
      </c>
      <c r="G573">
        <v>5994764100</v>
      </c>
      <c r="H573">
        <v>53582998.666745014</v>
      </c>
      <c r="I573">
        <v>1782371.7342849537</v>
      </c>
      <c r="J573">
        <v>23365015.384615369</v>
      </c>
    </row>
    <row r="574" spans="1:10" x14ac:dyDescent="0.25">
      <c r="A574">
        <v>14</v>
      </c>
      <c r="B574">
        <v>39</v>
      </c>
      <c r="C574" t="s">
        <v>13</v>
      </c>
      <c r="D574" t="s">
        <v>38</v>
      </c>
      <c r="E574">
        <v>14731.461538461543</v>
      </c>
      <c r="F574">
        <v>195420.45787545788</v>
      </c>
      <c r="G574">
        <v>6435203494.6571426</v>
      </c>
      <c r="H574">
        <v>70949913.831589431</v>
      </c>
      <c r="I574">
        <v>349038.15121189703</v>
      </c>
      <c r="J574">
        <v>17366190.338461529</v>
      </c>
    </row>
    <row r="575" spans="1:10" x14ac:dyDescent="0.25">
      <c r="A575">
        <v>14</v>
      </c>
      <c r="B575">
        <v>40</v>
      </c>
      <c r="C575" t="s">
        <v>13</v>
      </c>
      <c r="D575" t="s">
        <v>39</v>
      </c>
      <c r="E575">
        <v>21277.846153846156</v>
      </c>
      <c r="F575">
        <v>176739.75824175827</v>
      </c>
      <c r="G575">
        <v>7769345450.0914307</v>
      </c>
      <c r="H575">
        <v>56421940.356632292</v>
      </c>
      <c r="I575">
        <v>300675.10368212534</v>
      </c>
      <c r="J575">
        <v>13729054.984615376</v>
      </c>
    </row>
    <row r="576" spans="1:10" x14ac:dyDescent="0.25">
      <c r="A576">
        <v>14</v>
      </c>
      <c r="B576">
        <v>41</v>
      </c>
      <c r="C576" t="s">
        <v>13</v>
      </c>
      <c r="D576" t="s">
        <v>40</v>
      </c>
      <c r="E576">
        <v>33636.769230769227</v>
      </c>
      <c r="F576">
        <v>124918.10805860808</v>
      </c>
      <c r="G576">
        <v>5373212509.8600016</v>
      </c>
      <c r="H576">
        <v>210549215.62674502</v>
      </c>
      <c r="I576">
        <v>300674.60590434761</v>
      </c>
      <c r="J576">
        <v>12328751.999999993</v>
      </c>
    </row>
    <row r="577" spans="1:10" x14ac:dyDescent="0.25">
      <c r="A577">
        <v>15</v>
      </c>
      <c r="B577">
        <v>1</v>
      </c>
      <c r="C577" t="s">
        <v>14</v>
      </c>
      <c r="D577" t="s">
        <v>0</v>
      </c>
      <c r="E577">
        <v>118743.84065934064</v>
      </c>
      <c r="F577">
        <v>343957.76923076931</v>
      </c>
      <c r="G577">
        <v>25904725365.360008</v>
      </c>
      <c r="H577">
        <v>362009251.66381174</v>
      </c>
      <c r="I577">
        <v>0</v>
      </c>
      <c r="J577">
        <v>0</v>
      </c>
    </row>
    <row r="578" spans="1:10" x14ac:dyDescent="0.25">
      <c r="A578">
        <v>15</v>
      </c>
      <c r="B578">
        <v>2</v>
      </c>
      <c r="C578" t="s">
        <v>14</v>
      </c>
      <c r="D578" t="s">
        <v>1</v>
      </c>
      <c r="E578">
        <v>47482.840659340625</v>
      </c>
      <c r="F578">
        <v>334346.15384615393</v>
      </c>
      <c r="G578">
        <v>22406381360.000004</v>
      </c>
      <c r="H578">
        <v>238477783.10238317</v>
      </c>
      <c r="I578">
        <v>0</v>
      </c>
      <c r="J578">
        <v>9805950.0000000056</v>
      </c>
    </row>
    <row r="579" spans="1:10" x14ac:dyDescent="0.25">
      <c r="A579">
        <v>15</v>
      </c>
      <c r="B579">
        <v>3</v>
      </c>
      <c r="C579" t="s">
        <v>14</v>
      </c>
      <c r="D579" t="s">
        <v>2</v>
      </c>
      <c r="E579">
        <v>42747.483516483531</v>
      </c>
      <c r="F579">
        <v>337380.38461538462</v>
      </c>
      <c r="G579">
        <v>22326214428</v>
      </c>
      <c r="H579">
        <v>281252949.49492621</v>
      </c>
      <c r="I579">
        <v>271203.1936125409</v>
      </c>
      <c r="J579">
        <v>33208672.153846163</v>
      </c>
    </row>
    <row r="580" spans="1:10" x14ac:dyDescent="0.25">
      <c r="A580">
        <v>15</v>
      </c>
      <c r="B580">
        <v>4</v>
      </c>
      <c r="C580" t="s">
        <v>14</v>
      </c>
      <c r="D580" t="s">
        <v>3</v>
      </c>
      <c r="E580">
        <v>57403.840659340625</v>
      </c>
      <c r="F580">
        <v>326487.30769230775</v>
      </c>
      <c r="G580">
        <v>30058889790.200008</v>
      </c>
      <c r="H580">
        <v>331352775.20625347</v>
      </c>
      <c r="I580">
        <v>0</v>
      </c>
      <c r="J580">
        <v>12020129.446153838</v>
      </c>
    </row>
    <row r="581" spans="1:10" x14ac:dyDescent="0.25">
      <c r="A581">
        <v>15</v>
      </c>
      <c r="B581">
        <v>5</v>
      </c>
      <c r="C581" t="s">
        <v>14</v>
      </c>
      <c r="D581" t="s">
        <v>4</v>
      </c>
      <c r="E581">
        <v>91140.412087912133</v>
      </c>
      <c r="F581">
        <v>358287.38461538462</v>
      </c>
      <c r="G581">
        <v>35282350200</v>
      </c>
      <c r="H581">
        <v>242714815.64842823</v>
      </c>
      <c r="I581">
        <v>167319.32212718335</v>
      </c>
      <c r="J581">
        <v>13224812.307692308</v>
      </c>
    </row>
    <row r="582" spans="1:10" x14ac:dyDescent="0.25">
      <c r="A582">
        <v>15</v>
      </c>
      <c r="B582">
        <v>6</v>
      </c>
      <c r="C582" t="s">
        <v>14</v>
      </c>
      <c r="D582" t="s">
        <v>5</v>
      </c>
      <c r="E582">
        <v>39468.55494505493</v>
      </c>
      <c r="F582">
        <v>424076.69597069611</v>
      </c>
      <c r="G582">
        <v>45859094121.032402</v>
      </c>
      <c r="H582">
        <v>362171589.41128534</v>
      </c>
      <c r="I582">
        <v>117116162.81</v>
      </c>
      <c r="J582">
        <v>40057252.615384616</v>
      </c>
    </row>
    <row r="583" spans="1:10" x14ac:dyDescent="0.25">
      <c r="A583">
        <v>15</v>
      </c>
      <c r="B583">
        <v>7</v>
      </c>
      <c r="C583" t="s">
        <v>14</v>
      </c>
      <c r="D583" t="s">
        <v>6</v>
      </c>
      <c r="E583">
        <v>31218.554945054941</v>
      </c>
      <c r="F583">
        <v>357623</v>
      </c>
      <c r="G583">
        <v>34822495365.839996</v>
      </c>
      <c r="H583">
        <v>223482591.87699965</v>
      </c>
      <c r="I583">
        <v>385904.67275633803</v>
      </c>
      <c r="J583">
        <v>32114592.461538468</v>
      </c>
    </row>
    <row r="584" spans="1:10" x14ac:dyDescent="0.25">
      <c r="A584">
        <v>15</v>
      </c>
      <c r="B584">
        <v>8</v>
      </c>
      <c r="C584" t="s">
        <v>14</v>
      </c>
      <c r="D584" t="s">
        <v>7</v>
      </c>
      <c r="E584">
        <v>60865.626373626335</v>
      </c>
      <c r="F584">
        <v>415220.76923076913</v>
      </c>
      <c r="G584">
        <v>37923059557.199989</v>
      </c>
      <c r="H584">
        <v>248416587.74968201</v>
      </c>
      <c r="I584">
        <v>291447.56415266701</v>
      </c>
      <c r="J584">
        <v>19491216.769230753</v>
      </c>
    </row>
    <row r="585" spans="1:10" x14ac:dyDescent="0.25">
      <c r="A585">
        <v>15</v>
      </c>
      <c r="B585">
        <v>9</v>
      </c>
      <c r="C585" t="s">
        <v>14</v>
      </c>
      <c r="D585" t="s">
        <v>8</v>
      </c>
      <c r="E585">
        <v>26861.223776223775</v>
      </c>
      <c r="F585">
        <v>865553.54487179511</v>
      </c>
      <c r="G585">
        <v>82507853000.650009</v>
      </c>
      <c r="H585">
        <v>229348625.40238318</v>
      </c>
      <c r="I585">
        <v>291460.93835411454</v>
      </c>
      <c r="J585">
        <v>10616562.707692306</v>
      </c>
    </row>
    <row r="586" spans="1:10" x14ac:dyDescent="0.25">
      <c r="A586">
        <v>15</v>
      </c>
      <c r="B586">
        <v>10</v>
      </c>
      <c r="C586" t="s">
        <v>14</v>
      </c>
      <c r="D586" t="s">
        <v>9</v>
      </c>
      <c r="E586">
        <v>47343.983516483531</v>
      </c>
      <c r="F586">
        <v>389929.84615384624</v>
      </c>
      <c r="G586">
        <v>40241461996.800011</v>
      </c>
      <c r="H586">
        <v>290050592.70842826</v>
      </c>
      <c r="I586">
        <v>291460.22724300344</v>
      </c>
      <c r="J586">
        <v>8123723.076923077</v>
      </c>
    </row>
    <row r="587" spans="1:10" x14ac:dyDescent="0.25">
      <c r="A587">
        <v>15</v>
      </c>
      <c r="B587">
        <v>11</v>
      </c>
      <c r="C587" t="s">
        <v>14</v>
      </c>
      <c r="D587" t="s">
        <v>10</v>
      </c>
      <c r="E587">
        <v>47511.153846153829</v>
      </c>
      <c r="F587">
        <v>392693.92307692312</v>
      </c>
      <c r="G587">
        <v>21263637670.040005</v>
      </c>
      <c r="H587">
        <v>287189423.3116287</v>
      </c>
      <c r="I587">
        <v>291458.88835411455</v>
      </c>
      <c r="J587">
        <v>9851224.153846154</v>
      </c>
    </row>
    <row r="588" spans="1:10" x14ac:dyDescent="0.25">
      <c r="A588">
        <v>15</v>
      </c>
      <c r="B588">
        <v>12</v>
      </c>
      <c r="C588" t="s">
        <v>14</v>
      </c>
      <c r="D588" t="s">
        <v>11</v>
      </c>
      <c r="E588">
        <v>44479.769230769234</v>
      </c>
      <c r="F588">
        <v>337420</v>
      </c>
      <c r="G588">
        <v>14690956373.599998</v>
      </c>
      <c r="H588">
        <v>297956408.41805959</v>
      </c>
      <c r="I588">
        <v>0</v>
      </c>
      <c r="J588">
        <v>5276022.6461538468</v>
      </c>
    </row>
    <row r="589" spans="1:10" x14ac:dyDescent="0.25">
      <c r="A589">
        <v>15</v>
      </c>
      <c r="B589">
        <v>13</v>
      </c>
      <c r="C589" t="s">
        <v>14</v>
      </c>
      <c r="D589" t="s">
        <v>12</v>
      </c>
      <c r="E589">
        <v>29558.153846153851</v>
      </c>
      <c r="F589">
        <v>319108.46153846162</v>
      </c>
      <c r="G589">
        <v>10089264992.800003</v>
      </c>
      <c r="H589">
        <v>228897901.58001137</v>
      </c>
      <c r="I589">
        <v>117116164.25666666</v>
      </c>
      <c r="J589">
        <v>36219857.723076925</v>
      </c>
    </row>
    <row r="590" spans="1:10" x14ac:dyDescent="0.25">
      <c r="A590">
        <v>15</v>
      </c>
      <c r="B590">
        <v>14</v>
      </c>
      <c r="C590" t="s">
        <v>14</v>
      </c>
      <c r="D590" t="s">
        <v>13</v>
      </c>
      <c r="E590">
        <v>50183.153846153829</v>
      </c>
      <c r="F590">
        <v>465572.69230769214</v>
      </c>
      <c r="G590">
        <v>12592717066.999994</v>
      </c>
      <c r="H590">
        <v>269020776.97201139</v>
      </c>
      <c r="I590">
        <v>291459.41613189236</v>
      </c>
      <c r="J590">
        <v>16009721.230769232</v>
      </c>
    </row>
    <row r="591" spans="1:10" x14ac:dyDescent="0.25">
      <c r="A591">
        <v>15</v>
      </c>
      <c r="B591">
        <v>15</v>
      </c>
      <c r="C591" t="s">
        <v>14</v>
      </c>
      <c r="D591" t="s">
        <v>14</v>
      </c>
      <c r="E591">
        <v>0</v>
      </c>
      <c r="F591">
        <v>0</v>
      </c>
      <c r="G591">
        <v>0</v>
      </c>
      <c r="H591">
        <v>0</v>
      </c>
      <c r="I591">
        <v>380081.75789083343</v>
      </c>
      <c r="J591">
        <v>23432334.886153847</v>
      </c>
    </row>
    <row r="592" spans="1:10" x14ac:dyDescent="0.25">
      <c r="A592">
        <v>15</v>
      </c>
      <c r="B592">
        <v>16</v>
      </c>
      <c r="C592" t="s">
        <v>14</v>
      </c>
      <c r="D592" t="s">
        <v>15</v>
      </c>
      <c r="E592">
        <v>63675.000000000029</v>
      </c>
      <c r="F592">
        <v>825961.61538461514</v>
      </c>
      <c r="G592">
        <v>14054959308.959997</v>
      </c>
      <c r="H592">
        <v>213927020.06065246</v>
      </c>
      <c r="I592">
        <v>540637.37865147786</v>
      </c>
      <c r="J592">
        <v>19079432.307692304</v>
      </c>
    </row>
    <row r="593" spans="1:10" x14ac:dyDescent="0.25">
      <c r="A593">
        <v>15</v>
      </c>
      <c r="B593">
        <v>17</v>
      </c>
      <c r="C593" t="s">
        <v>14</v>
      </c>
      <c r="D593" t="s">
        <v>16</v>
      </c>
      <c r="E593">
        <v>90734.076923076937</v>
      </c>
      <c r="F593">
        <v>470845.46153846115</v>
      </c>
      <c r="G593">
        <v>21786076006.839981</v>
      </c>
      <c r="H593">
        <v>552023018.1792537</v>
      </c>
      <c r="I593">
        <v>540636.07087370008</v>
      </c>
      <c r="J593">
        <v>17015005.846153844</v>
      </c>
    </row>
    <row r="594" spans="1:10" x14ac:dyDescent="0.25">
      <c r="A594">
        <v>15</v>
      </c>
      <c r="B594">
        <v>18</v>
      </c>
      <c r="C594" t="s">
        <v>14</v>
      </c>
      <c r="D594" t="s">
        <v>17</v>
      </c>
      <c r="E594">
        <v>50000.538461538432</v>
      </c>
      <c r="F594">
        <v>348016.30769230775</v>
      </c>
      <c r="G594">
        <v>10235577228.800003</v>
      </c>
      <c r="H594">
        <v>407217012.36065251</v>
      </c>
      <c r="I594">
        <v>1782418.1993654834</v>
      </c>
      <c r="J594">
        <v>55162628.461538441</v>
      </c>
    </row>
    <row r="595" spans="1:10" x14ac:dyDescent="0.25">
      <c r="A595">
        <v>15</v>
      </c>
      <c r="B595">
        <v>19</v>
      </c>
      <c r="C595" t="s">
        <v>14</v>
      </c>
      <c r="D595" t="s">
        <v>18</v>
      </c>
      <c r="E595">
        <v>27551.692307692312</v>
      </c>
      <c r="F595">
        <v>386735.30769230775</v>
      </c>
      <c r="G595">
        <v>21976868105.520004</v>
      </c>
      <c r="H595">
        <v>122787646.26559041</v>
      </c>
      <c r="I595">
        <v>1782419.1238099278</v>
      </c>
      <c r="J595">
        <v>198347221.23076943</v>
      </c>
    </row>
    <row r="596" spans="1:10" x14ac:dyDescent="0.25">
      <c r="A596">
        <v>15</v>
      </c>
      <c r="B596">
        <v>20</v>
      </c>
      <c r="C596" t="s">
        <v>14</v>
      </c>
      <c r="D596" t="s">
        <v>19</v>
      </c>
      <c r="E596">
        <v>84723.461538461532</v>
      </c>
      <c r="F596">
        <v>358550.58974358981</v>
      </c>
      <c r="G596">
        <v>21053144056.186668</v>
      </c>
      <c r="H596">
        <v>354962090.74760556</v>
      </c>
      <c r="I596">
        <v>380064.06049306458</v>
      </c>
      <c r="J596">
        <v>29477424.4923077</v>
      </c>
    </row>
    <row r="597" spans="1:10" x14ac:dyDescent="0.25">
      <c r="A597">
        <v>15</v>
      </c>
      <c r="B597">
        <v>21</v>
      </c>
      <c r="C597" t="s">
        <v>14</v>
      </c>
      <c r="D597" t="s">
        <v>20</v>
      </c>
      <c r="E597">
        <v>63568.076923076937</v>
      </c>
      <c r="F597">
        <v>402702.25641025614</v>
      </c>
      <c r="G597">
        <v>25295307317.973316</v>
      </c>
      <c r="H597">
        <v>126122918.22180884</v>
      </c>
      <c r="I597">
        <v>200913.4287465204</v>
      </c>
      <c r="J597">
        <v>11429754.184615383</v>
      </c>
    </row>
    <row r="598" spans="1:10" x14ac:dyDescent="0.25">
      <c r="A598">
        <v>15</v>
      </c>
      <c r="B598">
        <v>22</v>
      </c>
      <c r="C598" t="s">
        <v>14</v>
      </c>
      <c r="D598" t="s">
        <v>21</v>
      </c>
      <c r="E598">
        <v>48007.923076923034</v>
      </c>
      <c r="F598">
        <v>421829.25641025614</v>
      </c>
      <c r="G598">
        <v>20603659468.399986</v>
      </c>
      <c r="H598">
        <v>342303573.87206</v>
      </c>
      <c r="I598">
        <v>173442.98587546192</v>
      </c>
      <c r="J598">
        <v>17589743.75384618</v>
      </c>
    </row>
    <row r="599" spans="1:10" x14ac:dyDescent="0.25">
      <c r="A599">
        <v>15</v>
      </c>
      <c r="B599">
        <v>23</v>
      </c>
      <c r="C599" t="s">
        <v>14</v>
      </c>
      <c r="D599" t="s">
        <v>22</v>
      </c>
      <c r="E599">
        <v>32686.461538461539</v>
      </c>
      <c r="F599">
        <v>405565.5897435901</v>
      </c>
      <c r="G599">
        <v>15890027360.906681</v>
      </c>
      <c r="H599">
        <v>210840503.37001586</v>
      </c>
      <c r="I599">
        <v>200913.15096874262</v>
      </c>
      <c r="J599">
        <v>10706532.307692308</v>
      </c>
    </row>
    <row r="600" spans="1:10" x14ac:dyDescent="0.25">
      <c r="A600">
        <v>15</v>
      </c>
      <c r="B600">
        <v>24</v>
      </c>
      <c r="C600" t="s">
        <v>14</v>
      </c>
      <c r="D600" t="s">
        <v>23</v>
      </c>
      <c r="E600">
        <v>33848.846153846149</v>
      </c>
      <c r="F600">
        <v>363037.58974358981</v>
      </c>
      <c r="G600">
        <v>10238836272.560001</v>
      </c>
      <c r="H600">
        <v>202492913.97001588</v>
      </c>
      <c r="I600">
        <v>198610.81692777271</v>
      </c>
      <c r="J600">
        <v>13542930.769230772</v>
      </c>
    </row>
    <row r="601" spans="1:10" x14ac:dyDescent="0.25">
      <c r="A601">
        <v>15</v>
      </c>
      <c r="B601">
        <v>25</v>
      </c>
      <c r="C601" t="s">
        <v>14</v>
      </c>
      <c r="D601" t="s">
        <v>24</v>
      </c>
      <c r="E601">
        <v>31453.461538461539</v>
      </c>
      <c r="F601">
        <v>355985.25641025644</v>
      </c>
      <c r="G601">
        <v>13423976188.666666</v>
      </c>
      <c r="H601">
        <v>143781300.87001586</v>
      </c>
      <c r="I601">
        <v>173442.38587546191</v>
      </c>
      <c r="J601">
        <v>15776936.861538462</v>
      </c>
    </row>
    <row r="602" spans="1:10" x14ac:dyDescent="0.25">
      <c r="A602">
        <v>15</v>
      </c>
      <c r="B602">
        <v>26</v>
      </c>
      <c r="C602" t="s">
        <v>14</v>
      </c>
      <c r="D602" t="s">
        <v>25</v>
      </c>
      <c r="E602">
        <v>30532.538461538461</v>
      </c>
      <c r="F602">
        <v>342058.92307692312</v>
      </c>
      <c r="G602">
        <v>6880569967.1200008</v>
      </c>
      <c r="H602">
        <v>191159423.56</v>
      </c>
      <c r="I602">
        <v>44.155990404466962</v>
      </c>
      <c r="J602">
        <v>10.96</v>
      </c>
    </row>
    <row r="603" spans="1:10" x14ac:dyDescent="0.25">
      <c r="A603">
        <v>15</v>
      </c>
      <c r="B603">
        <v>27</v>
      </c>
      <c r="C603" t="s">
        <v>14</v>
      </c>
      <c r="D603" t="s">
        <v>26</v>
      </c>
      <c r="E603">
        <v>85747.769230769234</v>
      </c>
      <c r="F603">
        <v>711992.0230769231</v>
      </c>
      <c r="G603">
        <v>37132064304.636002</v>
      </c>
      <c r="H603">
        <v>765119773.90760565</v>
      </c>
      <c r="I603">
        <v>848581.70570181904</v>
      </c>
      <c r="J603">
        <v>83956560.619780242</v>
      </c>
    </row>
    <row r="604" spans="1:10" x14ac:dyDescent="0.25">
      <c r="A604">
        <v>15</v>
      </c>
      <c r="B604">
        <v>28</v>
      </c>
      <c r="C604" t="s">
        <v>14</v>
      </c>
      <c r="D604" t="s">
        <v>27</v>
      </c>
      <c r="E604">
        <v>62812.069230769237</v>
      </c>
      <c r="F604">
        <v>411991.32307692314</v>
      </c>
      <c r="G604" t="s">
        <v>122</v>
      </c>
      <c r="H604" t="s">
        <v>122</v>
      </c>
      <c r="I604">
        <v>848582.08347959677</v>
      </c>
      <c r="J604">
        <v>28630559.938461561</v>
      </c>
    </row>
    <row r="605" spans="1:10" x14ac:dyDescent="0.25">
      <c r="A605">
        <v>15</v>
      </c>
      <c r="B605">
        <v>29</v>
      </c>
      <c r="C605" t="s">
        <v>14</v>
      </c>
      <c r="D605" t="s">
        <v>28</v>
      </c>
      <c r="E605">
        <v>58859.269230769234</v>
      </c>
      <c r="F605">
        <v>656770.32307692314</v>
      </c>
      <c r="G605">
        <v>32389469148.551998</v>
      </c>
      <c r="H605">
        <v>522258303.87206</v>
      </c>
      <c r="I605">
        <v>344552.79561157041</v>
      </c>
      <c r="J605">
        <v>33968899.345054969</v>
      </c>
    </row>
    <row r="606" spans="1:10" x14ac:dyDescent="0.25">
      <c r="A606">
        <v>15</v>
      </c>
      <c r="B606">
        <v>30</v>
      </c>
      <c r="C606" t="s">
        <v>14</v>
      </c>
      <c r="D606" t="s">
        <v>29</v>
      </c>
      <c r="E606">
        <v>34019.06923076923</v>
      </c>
      <c r="F606">
        <v>524920.0230769231</v>
      </c>
      <c r="G606">
        <v>16623986166.035999</v>
      </c>
      <c r="H606">
        <v>175056002.17801589</v>
      </c>
      <c r="I606">
        <v>431573.27982582623</v>
      </c>
      <c r="J606">
        <v>55231379.868131906</v>
      </c>
    </row>
    <row r="607" spans="1:10" x14ac:dyDescent="0.25">
      <c r="A607">
        <v>15</v>
      </c>
      <c r="B607">
        <v>31</v>
      </c>
      <c r="C607" t="s">
        <v>14</v>
      </c>
      <c r="D607" t="s">
        <v>30</v>
      </c>
      <c r="E607">
        <v>28908.23076923077</v>
      </c>
      <c r="F607">
        <v>319671.61538461543</v>
      </c>
      <c r="G607">
        <v>29213126637.599998</v>
      </c>
      <c r="H607">
        <v>144701926.06011951</v>
      </c>
      <c r="I607">
        <v>540520.06621326087</v>
      </c>
      <c r="J607">
        <v>70723104.171428591</v>
      </c>
    </row>
    <row r="608" spans="1:10" x14ac:dyDescent="0.25">
      <c r="A608">
        <v>15</v>
      </c>
      <c r="B608">
        <v>32</v>
      </c>
      <c r="C608" t="s">
        <v>14</v>
      </c>
      <c r="D608" t="s">
        <v>31</v>
      </c>
      <c r="E608">
        <v>26753.153846153844</v>
      </c>
      <c r="F608">
        <v>345218.42307692312</v>
      </c>
      <c r="G608">
        <v>31293884347.080006</v>
      </c>
      <c r="H608">
        <v>122581353.18531321</v>
      </c>
      <c r="I608">
        <v>540520.61065770534</v>
      </c>
      <c r="J608">
        <v>44144907.217582434</v>
      </c>
    </row>
    <row r="609" spans="1:10" x14ac:dyDescent="0.25">
      <c r="A609">
        <v>15</v>
      </c>
      <c r="B609">
        <v>33</v>
      </c>
      <c r="C609" t="s">
        <v>14</v>
      </c>
      <c r="D609" t="s">
        <v>32</v>
      </c>
      <c r="E609">
        <v>90430.538461538425</v>
      </c>
      <c r="F609">
        <v>394928.64615384623</v>
      </c>
      <c r="G609">
        <v>33891860178.464005</v>
      </c>
      <c r="H609">
        <v>201484973.54931322</v>
      </c>
      <c r="I609">
        <v>540423.24745955854</v>
      </c>
      <c r="J609">
        <v>33780073.84615387</v>
      </c>
    </row>
    <row r="610" spans="1:10" x14ac:dyDescent="0.25">
      <c r="A610">
        <v>15</v>
      </c>
      <c r="B610">
        <v>34</v>
      </c>
      <c r="C610" t="s">
        <v>14</v>
      </c>
      <c r="D610" t="s">
        <v>33</v>
      </c>
      <c r="E610">
        <v>323041.07692307723</v>
      </c>
      <c r="F610">
        <v>562490.31196581211</v>
      </c>
      <c r="G610">
        <v>46115048238.917786</v>
      </c>
      <c r="H610">
        <v>911302034.9481194</v>
      </c>
      <c r="I610">
        <v>380073.55694342119</v>
      </c>
      <c r="J610">
        <v>33384645.316483535</v>
      </c>
    </row>
    <row r="611" spans="1:10" x14ac:dyDescent="0.25">
      <c r="A611">
        <v>15</v>
      </c>
      <c r="B611">
        <v>35</v>
      </c>
      <c r="C611" t="s">
        <v>14</v>
      </c>
      <c r="D611" t="s">
        <v>34</v>
      </c>
      <c r="E611">
        <v>49359.384615384632</v>
      </c>
      <c r="F611">
        <v>310900.46153846162</v>
      </c>
      <c r="G611">
        <v>25080564080.640007</v>
      </c>
      <c r="H611">
        <v>281567426.02011955</v>
      </c>
      <c r="I611">
        <v>380063.30532567063</v>
      </c>
      <c r="J611">
        <v>28516575.692307722</v>
      </c>
    </row>
    <row r="612" spans="1:10" x14ac:dyDescent="0.25">
      <c r="A612">
        <v>15</v>
      </c>
      <c r="B612">
        <v>36</v>
      </c>
      <c r="C612" t="s">
        <v>14</v>
      </c>
      <c r="D612" t="s">
        <v>35</v>
      </c>
      <c r="E612">
        <v>29983.615384615379</v>
      </c>
      <c r="F612">
        <v>386746.84615384624</v>
      </c>
      <c r="G612">
        <v>30752283761.040005</v>
      </c>
      <c r="H612">
        <v>136385138.03438318</v>
      </c>
      <c r="I612">
        <v>540519.0539910387</v>
      </c>
      <c r="J612">
        <v>45184340.329670355</v>
      </c>
    </row>
    <row r="613" spans="1:10" x14ac:dyDescent="0.25">
      <c r="A613">
        <v>15</v>
      </c>
      <c r="B613">
        <v>37</v>
      </c>
      <c r="C613" t="s">
        <v>14</v>
      </c>
      <c r="D613" t="s">
        <v>36</v>
      </c>
      <c r="E613">
        <v>36402.615384615434</v>
      </c>
      <c r="F613">
        <v>381562.3498168498</v>
      </c>
      <c r="G613">
        <v>23967426916.407619</v>
      </c>
      <c r="H613">
        <v>189568125.96041259</v>
      </c>
      <c r="I613">
        <v>316345.67452388123</v>
      </c>
      <c r="J613">
        <v>16663572.000000009</v>
      </c>
    </row>
    <row r="614" spans="1:10" x14ac:dyDescent="0.25">
      <c r="A614">
        <v>15</v>
      </c>
      <c r="B614">
        <v>38</v>
      </c>
      <c r="C614" t="s">
        <v>14</v>
      </c>
      <c r="D614" t="s">
        <v>37</v>
      </c>
      <c r="E614">
        <v>26370.76923076923</v>
      </c>
      <c r="F614">
        <v>302539.30769230775</v>
      </c>
      <c r="G614">
        <v>18606445759.240005</v>
      </c>
      <c r="H614">
        <v>119456554.45268545</v>
      </c>
      <c r="I614">
        <v>494483.98806392547</v>
      </c>
      <c r="J614">
        <v>13429031.230769241</v>
      </c>
    </row>
    <row r="615" spans="1:10" x14ac:dyDescent="0.25">
      <c r="A615">
        <v>15</v>
      </c>
      <c r="B615">
        <v>39</v>
      </c>
      <c r="C615" t="s">
        <v>14</v>
      </c>
      <c r="D615" t="s">
        <v>38</v>
      </c>
      <c r="E615">
        <v>29441.153846153851</v>
      </c>
      <c r="F615">
        <v>386709.76556776563</v>
      </c>
      <c r="G615">
        <v>20797436812.921909</v>
      </c>
      <c r="H615">
        <v>136909788.28041258</v>
      </c>
      <c r="I615">
        <v>300664.1646051089</v>
      </c>
      <c r="J615">
        <v>11577766.707692318</v>
      </c>
    </row>
    <row r="616" spans="1:10" x14ac:dyDescent="0.25">
      <c r="A616">
        <v>15</v>
      </c>
      <c r="B616">
        <v>40</v>
      </c>
      <c r="C616" t="s">
        <v>14</v>
      </c>
      <c r="D616" t="s">
        <v>39</v>
      </c>
      <c r="E616">
        <v>35987.538461538461</v>
      </c>
      <c r="F616">
        <v>368029.06593406602</v>
      </c>
      <c r="G616">
        <v>22769428347.485718</v>
      </c>
      <c r="H616">
        <v>122311560.40166818</v>
      </c>
      <c r="I616">
        <v>300663.66682733112</v>
      </c>
      <c r="J616">
        <v>11555812.615384623</v>
      </c>
    </row>
    <row r="617" spans="1:10" x14ac:dyDescent="0.25">
      <c r="A617">
        <v>15</v>
      </c>
      <c r="B617">
        <v>41</v>
      </c>
      <c r="C617" t="s">
        <v>14</v>
      </c>
      <c r="D617" t="s">
        <v>40</v>
      </c>
      <c r="E617">
        <v>48346.461538461532</v>
      </c>
      <c r="F617">
        <v>316207.41575091582</v>
      </c>
      <c r="G617">
        <v>18434006957.51429</v>
      </c>
      <c r="H617">
        <v>276422771.41268545</v>
      </c>
      <c r="I617">
        <v>0</v>
      </c>
      <c r="J617">
        <v>9805950.0000000056</v>
      </c>
    </row>
    <row r="618" spans="1:10" x14ac:dyDescent="0.25">
      <c r="A618">
        <v>16</v>
      </c>
      <c r="B618">
        <v>1</v>
      </c>
      <c r="C618" t="s">
        <v>15</v>
      </c>
      <c r="D618" t="s">
        <v>0</v>
      </c>
      <c r="E618">
        <v>127798.53296703295</v>
      </c>
      <c r="F618">
        <v>217992.38461538468</v>
      </c>
      <c r="G618">
        <v>19978435269.800003</v>
      </c>
      <c r="H618">
        <v>241255681.49233955</v>
      </c>
      <c r="I618">
        <v>0</v>
      </c>
      <c r="J618">
        <v>0</v>
      </c>
    </row>
    <row r="619" spans="1:10" x14ac:dyDescent="0.25">
      <c r="A619">
        <v>16</v>
      </c>
      <c r="B619">
        <v>2</v>
      </c>
      <c r="C619" t="s">
        <v>15</v>
      </c>
      <c r="D619" t="s">
        <v>1</v>
      </c>
      <c r="E619">
        <v>56537.532967032937</v>
      </c>
      <c r="F619">
        <v>208380.76923076928</v>
      </c>
      <c r="G619">
        <v>18178246438.000004</v>
      </c>
      <c r="H619">
        <v>117724212.93091096</v>
      </c>
      <c r="I619">
        <v>706586.94628959871</v>
      </c>
      <c r="J619">
        <v>22672008.36923077</v>
      </c>
    </row>
    <row r="620" spans="1:10" x14ac:dyDescent="0.25">
      <c r="A620">
        <v>16</v>
      </c>
      <c r="B620">
        <v>3</v>
      </c>
      <c r="C620" t="s">
        <v>15</v>
      </c>
      <c r="D620" t="s">
        <v>2</v>
      </c>
      <c r="E620">
        <v>51802.175824175836</v>
      </c>
      <c r="F620">
        <v>211414.99999999997</v>
      </c>
      <c r="G620">
        <v>18265283490.999992</v>
      </c>
      <c r="H620">
        <v>160488616.51286411</v>
      </c>
      <c r="I620">
        <v>0</v>
      </c>
      <c r="J620">
        <v>5787412.6153846132</v>
      </c>
    </row>
    <row r="621" spans="1:10" x14ac:dyDescent="0.25">
      <c r="A621">
        <v>16</v>
      </c>
      <c r="B621">
        <v>4</v>
      </c>
      <c r="C621" t="s">
        <v>15</v>
      </c>
      <c r="D621" t="s">
        <v>3</v>
      </c>
      <c r="E621">
        <v>66458.532967032937</v>
      </c>
      <c r="F621">
        <v>200521.92307692306</v>
      </c>
      <c r="G621">
        <v>21410359376.199997</v>
      </c>
      <c r="H621">
        <v>210676749.43866956</v>
      </c>
      <c r="I621">
        <v>240797.66346072938</v>
      </c>
      <c r="J621">
        <v>20807069.015384618</v>
      </c>
    </row>
    <row r="622" spans="1:10" x14ac:dyDescent="0.25">
      <c r="A622">
        <v>16</v>
      </c>
      <c r="B622">
        <v>5</v>
      </c>
      <c r="C622" t="s">
        <v>15</v>
      </c>
      <c r="D622" t="s">
        <v>4</v>
      </c>
      <c r="E622">
        <v>100195.10439560443</v>
      </c>
      <c r="F622">
        <v>232321.99999999997</v>
      </c>
      <c r="G622">
        <v>26306544904.639996</v>
      </c>
      <c r="H622">
        <v>122012533.35683888</v>
      </c>
      <c r="I622">
        <v>603739.0381208295</v>
      </c>
      <c r="J622">
        <v>55554178.338461533</v>
      </c>
    </row>
    <row r="623" spans="1:10" x14ac:dyDescent="0.25">
      <c r="A623">
        <v>16</v>
      </c>
      <c r="B623">
        <v>6</v>
      </c>
      <c r="C623" t="s">
        <v>15</v>
      </c>
      <c r="D623" t="s">
        <v>5</v>
      </c>
      <c r="E623">
        <v>48523.247252747242</v>
      </c>
      <c r="F623">
        <v>298111.31135531148</v>
      </c>
      <c r="G623">
        <v>36621269403.299065</v>
      </c>
      <c r="H623">
        <v>241469307.11969602</v>
      </c>
      <c r="I623">
        <v>477581.87534301158</v>
      </c>
      <c r="J623">
        <v>46246179.446153857</v>
      </c>
    </row>
    <row r="624" spans="1:10" x14ac:dyDescent="0.25">
      <c r="A624">
        <v>16</v>
      </c>
      <c r="B624">
        <v>7</v>
      </c>
      <c r="C624" t="s">
        <v>15</v>
      </c>
      <c r="D624" t="s">
        <v>6</v>
      </c>
      <c r="E624">
        <v>40273.247252747249</v>
      </c>
      <c r="F624">
        <v>231657.61538461538</v>
      </c>
      <c r="G624">
        <v>25963648086.639996</v>
      </c>
      <c r="H624">
        <v>102780309.58541033</v>
      </c>
      <c r="I624">
        <v>1811154.589405339</v>
      </c>
      <c r="J624">
        <v>27983506.584615365</v>
      </c>
    </row>
    <row r="625" spans="1:10" x14ac:dyDescent="0.25">
      <c r="A625">
        <v>16</v>
      </c>
      <c r="B625">
        <v>8</v>
      </c>
      <c r="C625" t="s">
        <v>15</v>
      </c>
      <c r="D625" t="s">
        <v>7</v>
      </c>
      <c r="E625">
        <v>69920.318681318633</v>
      </c>
      <c r="F625">
        <v>289255.38461538445</v>
      </c>
      <c r="G625">
        <v>30672027763.199978</v>
      </c>
      <c r="H625">
        <v>127740561.9820981</v>
      </c>
      <c r="I625">
        <v>57700372.347707689</v>
      </c>
      <c r="J625">
        <v>18950483.846153844</v>
      </c>
    </row>
    <row r="626" spans="1:10" x14ac:dyDescent="0.25">
      <c r="A626">
        <v>16</v>
      </c>
      <c r="B626">
        <v>9</v>
      </c>
      <c r="C626" t="s">
        <v>15</v>
      </c>
      <c r="D626" t="s">
        <v>8</v>
      </c>
      <c r="E626">
        <v>35915.916083916083</v>
      </c>
      <c r="F626">
        <v>739588.16025641048</v>
      </c>
      <c r="G626">
        <v>88407055322.093353</v>
      </c>
      <c r="H626">
        <v>108595055.23091096</v>
      </c>
      <c r="I626">
        <v>57700371.636596575</v>
      </c>
      <c r="J626">
        <v>13866423.63076923</v>
      </c>
    </row>
    <row r="627" spans="1:10" x14ac:dyDescent="0.25">
      <c r="A627">
        <v>16</v>
      </c>
      <c r="B627">
        <v>10</v>
      </c>
      <c r="C627" t="s">
        <v>15</v>
      </c>
      <c r="D627" t="s">
        <v>9</v>
      </c>
      <c r="E627">
        <v>56398.675824175836</v>
      </c>
      <c r="F627">
        <v>263964.46153846156</v>
      </c>
      <c r="G627">
        <v>30790641427.919998</v>
      </c>
      <c r="H627">
        <v>169348310.41683888</v>
      </c>
      <c r="I627">
        <v>57700370.297707692</v>
      </c>
      <c r="J627">
        <v>15976415.876923077</v>
      </c>
    </row>
    <row r="628" spans="1:10" x14ac:dyDescent="0.25">
      <c r="A628">
        <v>16</v>
      </c>
      <c r="B628">
        <v>11</v>
      </c>
      <c r="C628" t="s">
        <v>15</v>
      </c>
      <c r="D628" t="s">
        <v>10</v>
      </c>
      <c r="E628">
        <v>56565.846153846142</v>
      </c>
      <c r="F628">
        <v>266728.5384615385</v>
      </c>
      <c r="G628">
        <v>12579707390.32</v>
      </c>
      <c r="H628">
        <v>166340990.26222861</v>
      </c>
      <c r="I628">
        <v>0</v>
      </c>
      <c r="J628">
        <v>10846901.230769228</v>
      </c>
    </row>
    <row r="629" spans="1:10" x14ac:dyDescent="0.25">
      <c r="A629">
        <v>16</v>
      </c>
      <c r="B629">
        <v>12</v>
      </c>
      <c r="C629" t="s">
        <v>15</v>
      </c>
      <c r="D629" t="s">
        <v>11</v>
      </c>
      <c r="E629">
        <v>53534.461538461539</v>
      </c>
      <c r="F629">
        <v>211454.61538461538</v>
      </c>
      <c r="G629">
        <v>8928899505.5999985</v>
      </c>
      <c r="H629">
        <v>177209408.75894949</v>
      </c>
      <c r="I629">
        <v>603740.48478749627</v>
      </c>
      <c r="J629">
        <v>52141353.84615384</v>
      </c>
    </row>
    <row r="630" spans="1:10" x14ac:dyDescent="0.25">
      <c r="A630">
        <v>16</v>
      </c>
      <c r="B630">
        <v>13</v>
      </c>
      <c r="C630" t="s">
        <v>15</v>
      </c>
      <c r="D630" t="s">
        <v>12</v>
      </c>
      <c r="E630">
        <v>38612.846153846156</v>
      </c>
      <c r="F630">
        <v>193143.07692307697</v>
      </c>
      <c r="G630">
        <v>7689056795.1999998</v>
      </c>
      <c r="H630">
        <v>108161190.91036703</v>
      </c>
      <c r="I630">
        <v>57700370.825485468</v>
      </c>
      <c r="J630">
        <v>23905714.461538464</v>
      </c>
    </row>
    <row r="631" spans="1:10" x14ac:dyDescent="0.25">
      <c r="A631">
        <v>16</v>
      </c>
      <c r="B631">
        <v>14</v>
      </c>
      <c r="C631" t="s">
        <v>15</v>
      </c>
      <c r="D631" t="s">
        <v>13</v>
      </c>
      <c r="E631">
        <v>59237.846153846142</v>
      </c>
      <c r="F631">
        <v>339607.30769230745</v>
      </c>
      <c r="G631">
        <v>10434162842.999992</v>
      </c>
      <c r="H631">
        <v>148284066.30236703</v>
      </c>
      <c r="I631">
        <v>431574.11538138177</v>
      </c>
      <c r="J631">
        <v>34028271.615384623</v>
      </c>
    </row>
    <row r="632" spans="1:10" x14ac:dyDescent="0.25">
      <c r="A632">
        <v>16</v>
      </c>
      <c r="B632">
        <v>15</v>
      </c>
      <c r="C632" t="s">
        <v>15</v>
      </c>
      <c r="D632" t="s">
        <v>14</v>
      </c>
      <c r="E632">
        <v>83037.230769230737</v>
      </c>
      <c r="F632">
        <v>461783.00000000047</v>
      </c>
      <c r="G632">
        <v>7857921183.8400078</v>
      </c>
      <c r="H632">
        <v>213927020.06065246</v>
      </c>
      <c r="I632">
        <v>65974.010189665001</v>
      </c>
      <c r="J632">
        <v>30567745.661538463</v>
      </c>
    </row>
    <row r="633" spans="1:10" x14ac:dyDescent="0.25">
      <c r="A633">
        <v>16</v>
      </c>
      <c r="B633">
        <v>16</v>
      </c>
      <c r="C633" t="s">
        <v>15</v>
      </c>
      <c r="D633" t="s">
        <v>15</v>
      </c>
      <c r="E633">
        <v>0</v>
      </c>
      <c r="F633">
        <v>0</v>
      </c>
      <c r="G633">
        <v>0</v>
      </c>
      <c r="H633">
        <v>0</v>
      </c>
      <c r="I633">
        <v>65972.702411887221</v>
      </c>
      <c r="J633">
        <v>26440513.600000005</v>
      </c>
    </row>
    <row r="634" spans="1:10" x14ac:dyDescent="0.25">
      <c r="A634">
        <v>16</v>
      </c>
      <c r="B634">
        <v>17</v>
      </c>
      <c r="C634" t="s">
        <v>15</v>
      </c>
      <c r="D634" t="s">
        <v>16</v>
      </c>
      <c r="E634">
        <v>99788.769230769249</v>
      </c>
      <c r="F634">
        <v>344880.07692307647</v>
      </c>
      <c r="G634">
        <v>10270128629.879986</v>
      </c>
      <c r="H634">
        <v>522644735.62077498</v>
      </c>
      <c r="I634">
        <v>1985061.5389775895</v>
      </c>
      <c r="J634">
        <v>74255776.246153817</v>
      </c>
    </row>
    <row r="635" spans="1:10" x14ac:dyDescent="0.25">
      <c r="A635">
        <v>16</v>
      </c>
      <c r="B635">
        <v>18</v>
      </c>
      <c r="C635" t="s">
        <v>15</v>
      </c>
      <c r="D635" t="s">
        <v>17</v>
      </c>
      <c r="E635">
        <v>59055.230769230737</v>
      </c>
      <c r="F635">
        <v>222050.92307692306</v>
      </c>
      <c r="G635">
        <v>2647299986.9599996</v>
      </c>
      <c r="H635">
        <v>377784566.45200002</v>
      </c>
      <c r="I635">
        <v>1985062.4634220337</v>
      </c>
      <c r="J635">
        <v>244422486.15384635</v>
      </c>
    </row>
    <row r="636" spans="1:10" x14ac:dyDescent="0.25">
      <c r="A636">
        <v>16</v>
      </c>
      <c r="B636">
        <v>19</v>
      </c>
      <c r="C636" t="s">
        <v>15</v>
      </c>
      <c r="D636" t="s">
        <v>18</v>
      </c>
      <c r="E636">
        <v>36606.384615384617</v>
      </c>
      <c r="F636">
        <v>260769.92307692306</v>
      </c>
      <c r="G636">
        <v>19173890903.999996</v>
      </c>
      <c r="H636">
        <v>93610441.973251596</v>
      </c>
      <c r="I636">
        <v>256769.17295019151</v>
      </c>
      <c r="J636">
        <v>42525448.000000007</v>
      </c>
    </row>
    <row r="637" spans="1:10" x14ac:dyDescent="0.25">
      <c r="A637">
        <v>16</v>
      </c>
      <c r="B637">
        <v>20</v>
      </c>
      <c r="C637" t="s">
        <v>15</v>
      </c>
      <c r="D637" t="s">
        <v>19</v>
      </c>
      <c r="E637">
        <v>93778.153846153844</v>
      </c>
      <c r="F637">
        <v>232585.20512820518</v>
      </c>
      <c r="G637">
        <v>17871093585.986671</v>
      </c>
      <c r="H637">
        <v>325797598.80067551</v>
      </c>
      <c r="I637">
        <v>271767.19451662357</v>
      </c>
      <c r="J637">
        <v>12617181.046153845</v>
      </c>
    </row>
    <row r="638" spans="1:10" x14ac:dyDescent="0.25">
      <c r="A638">
        <v>16</v>
      </c>
      <c r="B638">
        <v>21</v>
      </c>
      <c r="C638" t="s">
        <v>15</v>
      </c>
      <c r="D638" t="s">
        <v>20</v>
      </c>
      <c r="E638">
        <v>72622.769230769249</v>
      </c>
      <c r="F638">
        <v>276736.87179487146</v>
      </c>
      <c r="G638">
        <v>23007671062.053299</v>
      </c>
      <c r="H638">
        <v>96672291.39046368</v>
      </c>
      <c r="I638">
        <v>250883.47504095791</v>
      </c>
      <c r="J638">
        <v>15600948.000000017</v>
      </c>
    </row>
    <row r="639" spans="1:10" x14ac:dyDescent="0.25">
      <c r="A639">
        <v>16</v>
      </c>
      <c r="B639">
        <v>22</v>
      </c>
      <c r="C639" t="s">
        <v>15</v>
      </c>
      <c r="D639" t="s">
        <v>21</v>
      </c>
      <c r="E639">
        <v>57062.615384615339</v>
      </c>
      <c r="F639">
        <v>295863.87179487146</v>
      </c>
      <c r="G639">
        <v>18382365556.706642</v>
      </c>
      <c r="H639">
        <v>313225384.52677429</v>
      </c>
      <c r="I639">
        <v>271766.91673884582</v>
      </c>
      <c r="J639">
        <v>11591211.015384614</v>
      </c>
    </row>
    <row r="640" spans="1:10" x14ac:dyDescent="0.25">
      <c r="A640">
        <v>16</v>
      </c>
      <c r="B640">
        <v>23</v>
      </c>
      <c r="C640" t="s">
        <v>15</v>
      </c>
      <c r="D640" t="s">
        <v>22</v>
      </c>
      <c r="E640">
        <v>41741.153846153851</v>
      </c>
      <c r="F640">
        <v>279600.20512820547</v>
      </c>
      <c r="G640">
        <v>17136931436.480021</v>
      </c>
      <c r="H640">
        <v>181405991.57414126</v>
      </c>
      <c r="I640">
        <v>269273.29542142904</v>
      </c>
      <c r="J640">
        <v>14043284.676923078</v>
      </c>
    </row>
    <row r="641" spans="1:10" x14ac:dyDescent="0.25">
      <c r="A641">
        <v>16</v>
      </c>
      <c r="B641">
        <v>24</v>
      </c>
      <c r="C641" t="s">
        <v>15</v>
      </c>
      <c r="D641" t="s">
        <v>23</v>
      </c>
      <c r="E641">
        <v>42903.538461538461</v>
      </c>
      <c r="F641">
        <v>237072.20512820518</v>
      </c>
      <c r="G641">
        <v>9213763837.8666687</v>
      </c>
      <c r="H641">
        <v>173058402.17414126</v>
      </c>
      <c r="I641">
        <v>250882.87504095791</v>
      </c>
      <c r="J641">
        <v>15548578.061538463</v>
      </c>
    </row>
    <row r="642" spans="1:10" x14ac:dyDescent="0.25">
      <c r="A642">
        <v>16</v>
      </c>
      <c r="B642">
        <v>25</v>
      </c>
      <c r="C642" t="s">
        <v>15</v>
      </c>
      <c r="D642" t="s">
        <v>24</v>
      </c>
      <c r="E642">
        <v>40508.153846153851</v>
      </c>
      <c r="F642">
        <v>230019.87179487175</v>
      </c>
      <c r="G642">
        <v>11730305000.333332</v>
      </c>
      <c r="H642">
        <v>114346789.07414126</v>
      </c>
      <c r="I642">
        <v>40.319780126806492</v>
      </c>
      <c r="J642">
        <v>8.6300000000000008</v>
      </c>
    </row>
    <row r="643" spans="1:10" x14ac:dyDescent="0.25">
      <c r="A643">
        <v>16</v>
      </c>
      <c r="B643">
        <v>26</v>
      </c>
      <c r="C643" t="s">
        <v>15</v>
      </c>
      <c r="D643" t="s">
        <v>25</v>
      </c>
      <c r="E643">
        <v>39587.230769230766</v>
      </c>
      <c r="F643">
        <v>216093.53846153847</v>
      </c>
      <c r="G643">
        <v>7535890472.96</v>
      </c>
      <c r="H643">
        <v>161819576.35526991</v>
      </c>
      <c r="I643">
        <v>1062801.4144005708</v>
      </c>
      <c r="J643">
        <v>128477364.52747254</v>
      </c>
    </row>
    <row r="644" spans="1:10" x14ac:dyDescent="0.25">
      <c r="A644">
        <v>16</v>
      </c>
      <c r="B644">
        <v>27</v>
      </c>
      <c r="C644" t="s">
        <v>15</v>
      </c>
      <c r="D644" t="s">
        <v>26</v>
      </c>
      <c r="E644">
        <v>94802.461538461532</v>
      </c>
      <c r="F644">
        <v>586026.63846153847</v>
      </c>
      <c r="G644">
        <v>42473804291.759995</v>
      </c>
      <c r="H644">
        <v>735955281.96067548</v>
      </c>
      <c r="I644">
        <v>1062801.7921783486</v>
      </c>
      <c r="J644">
        <v>54613893.046153851</v>
      </c>
    </row>
    <row r="645" spans="1:10" x14ac:dyDescent="0.25">
      <c r="A645">
        <v>16</v>
      </c>
      <c r="B645">
        <v>28</v>
      </c>
      <c r="C645" t="s">
        <v>15</v>
      </c>
      <c r="D645" t="s">
        <v>27</v>
      </c>
      <c r="E645">
        <v>71866.761538461549</v>
      </c>
      <c r="F645">
        <v>286025.93846153846</v>
      </c>
      <c r="G645" t="s">
        <v>122</v>
      </c>
      <c r="H645" t="s">
        <v>122</v>
      </c>
      <c r="I645">
        <v>569926.49116793403</v>
      </c>
      <c r="J645">
        <v>63113395.173626393</v>
      </c>
    </row>
    <row r="646" spans="1:10" x14ac:dyDescent="0.25">
      <c r="A646">
        <v>16</v>
      </c>
      <c r="B646">
        <v>29</v>
      </c>
      <c r="C646" t="s">
        <v>15</v>
      </c>
      <c r="D646" t="s">
        <v>28</v>
      </c>
      <c r="E646">
        <v>67913.961538461532</v>
      </c>
      <c r="F646">
        <v>530804.93846153852</v>
      </c>
      <c r="G646">
        <v>35014611462.208</v>
      </c>
      <c r="H646">
        <v>493180114.52677429</v>
      </c>
      <c r="I646">
        <v>666291.33584850037</v>
      </c>
      <c r="J646">
        <v>94087450.549450576</v>
      </c>
    </row>
    <row r="647" spans="1:10" x14ac:dyDescent="0.25">
      <c r="A647">
        <v>16</v>
      </c>
      <c r="B647">
        <v>30</v>
      </c>
      <c r="C647" t="s">
        <v>15</v>
      </c>
      <c r="D647" t="s">
        <v>29</v>
      </c>
      <c r="E647">
        <v>43073.761538461542</v>
      </c>
      <c r="F647">
        <v>398954.63846153847</v>
      </c>
      <c r="G647">
        <v>17935851555.872002</v>
      </c>
      <c r="H647">
        <v>145621490.38214126</v>
      </c>
      <c r="I647">
        <v>786136.52452227147</v>
      </c>
      <c r="J647">
        <v>115453914.2857143</v>
      </c>
    </row>
    <row r="648" spans="1:10" x14ac:dyDescent="0.25">
      <c r="A648">
        <v>16</v>
      </c>
      <c r="B648">
        <v>31</v>
      </c>
      <c r="C648" t="s">
        <v>15</v>
      </c>
      <c r="D648" t="s">
        <v>30</v>
      </c>
      <c r="E648">
        <v>37962.923076923078</v>
      </c>
      <c r="F648">
        <v>193706.23076923078</v>
      </c>
      <c r="G648">
        <v>20591065309.759998</v>
      </c>
      <c r="H648">
        <v>115258112.78578752</v>
      </c>
      <c r="I648">
        <v>786139.06896671583</v>
      </c>
      <c r="J648">
        <v>85095944.615384638</v>
      </c>
    </row>
    <row r="649" spans="1:10" x14ac:dyDescent="0.25">
      <c r="A649">
        <v>16</v>
      </c>
      <c r="B649">
        <v>32</v>
      </c>
      <c r="C649" t="s">
        <v>15</v>
      </c>
      <c r="D649" t="s">
        <v>31</v>
      </c>
      <c r="E649">
        <v>35807.846153846156</v>
      </c>
      <c r="F649">
        <v>219253.03846153847</v>
      </c>
      <c r="G649">
        <v>22938217803.360001</v>
      </c>
      <c r="H649">
        <v>93094303.56674394</v>
      </c>
      <c r="I649">
        <v>786136.96341116028</v>
      </c>
      <c r="J649">
        <v>67273450.549450561</v>
      </c>
    </row>
    <row r="650" spans="1:10" x14ac:dyDescent="0.25">
      <c r="A650">
        <v>16</v>
      </c>
      <c r="B650">
        <v>33</v>
      </c>
      <c r="C650" t="s">
        <v>15</v>
      </c>
      <c r="D650" t="s">
        <v>32</v>
      </c>
      <c r="E650">
        <v>99485.230769230737</v>
      </c>
      <c r="F650">
        <v>268963.26153846155</v>
      </c>
      <c r="G650">
        <v>26839305942.399998</v>
      </c>
      <c r="H650">
        <v>171997923.93074393</v>
      </c>
      <c r="I650">
        <v>666291.48918183369</v>
      </c>
      <c r="J650">
        <v>68572752.527472541</v>
      </c>
    </row>
    <row r="651" spans="1:10" x14ac:dyDescent="0.25">
      <c r="A651">
        <v>16</v>
      </c>
      <c r="B651">
        <v>34</v>
      </c>
      <c r="C651" t="s">
        <v>15</v>
      </c>
      <c r="D651" t="s">
        <v>33</v>
      </c>
      <c r="E651">
        <v>332095.76923076954</v>
      </c>
      <c r="F651">
        <v>436524.92735042749</v>
      </c>
      <c r="G651">
        <v>41909256629.164452</v>
      </c>
      <c r="H651">
        <v>881858221.67378736</v>
      </c>
      <c r="I651">
        <v>1062803.8755116819</v>
      </c>
      <c r="J651">
        <v>58482855.20000001</v>
      </c>
    </row>
    <row r="652" spans="1:10" x14ac:dyDescent="0.25">
      <c r="A652">
        <v>16</v>
      </c>
      <c r="B652">
        <v>35</v>
      </c>
      <c r="C652" t="s">
        <v>15</v>
      </c>
      <c r="D652" t="s">
        <v>34</v>
      </c>
      <c r="E652">
        <v>58414.076923076937</v>
      </c>
      <c r="F652">
        <v>184935.07692307697</v>
      </c>
      <c r="G652">
        <v>17648139866.080002</v>
      </c>
      <c r="H652">
        <v>252123612.74578753</v>
      </c>
      <c r="I652">
        <v>786137.51230004919</v>
      </c>
      <c r="J652">
        <v>81662754.285714313</v>
      </c>
    </row>
    <row r="653" spans="1:10" x14ac:dyDescent="0.25">
      <c r="A653">
        <v>16</v>
      </c>
      <c r="B653">
        <v>36</v>
      </c>
      <c r="C653" t="s">
        <v>15</v>
      </c>
      <c r="D653" t="s">
        <v>35</v>
      </c>
      <c r="E653">
        <v>39038.307692307688</v>
      </c>
      <c r="F653">
        <v>260781.46153846156</v>
      </c>
      <c r="G653">
        <v>24708021217.440002</v>
      </c>
      <c r="H653">
        <v>107114785.08775717</v>
      </c>
      <c r="I653">
        <v>345082.06707120768</v>
      </c>
      <c r="J653">
        <v>28051233.507692315</v>
      </c>
    </row>
    <row r="654" spans="1:10" x14ac:dyDescent="0.25">
      <c r="A654">
        <v>16</v>
      </c>
      <c r="B654">
        <v>37</v>
      </c>
      <c r="C654" t="s">
        <v>15</v>
      </c>
      <c r="D654" t="s">
        <v>36</v>
      </c>
      <c r="E654">
        <v>45457.307692307739</v>
      </c>
      <c r="F654">
        <v>255596.96520146518</v>
      </c>
      <c r="G654">
        <v>10712314184.679998</v>
      </c>
      <c r="H654">
        <v>160146491.57468197</v>
      </c>
      <c r="I654">
        <v>458598.29477272194</v>
      </c>
      <c r="J654">
        <v>23796936.738461543</v>
      </c>
    </row>
    <row r="655" spans="1:10" x14ac:dyDescent="0.25">
      <c r="A655">
        <v>16</v>
      </c>
      <c r="B655">
        <v>38</v>
      </c>
      <c r="C655" t="s">
        <v>15</v>
      </c>
      <c r="D655" t="s">
        <v>37</v>
      </c>
      <c r="E655">
        <v>35425.461538461539</v>
      </c>
      <c r="F655">
        <v>176573.92307692309</v>
      </c>
      <c r="G655">
        <v>7947528711.0800009</v>
      </c>
      <c r="H655">
        <v>90035307.498497128</v>
      </c>
      <c r="I655">
        <v>475452.4465242218</v>
      </c>
      <c r="J655">
        <v>22269795.692307696</v>
      </c>
    </row>
    <row r="656" spans="1:10" x14ac:dyDescent="0.25">
      <c r="A656">
        <v>16</v>
      </c>
      <c r="B656">
        <v>39</v>
      </c>
      <c r="C656" t="s">
        <v>15</v>
      </c>
      <c r="D656" t="s">
        <v>38</v>
      </c>
      <c r="E656">
        <v>38495.846153846156</v>
      </c>
      <c r="F656">
        <v>260744.38095238095</v>
      </c>
      <c r="G656">
        <v>11338876166.948572</v>
      </c>
      <c r="H656">
        <v>107488153.89468196</v>
      </c>
      <c r="I656">
        <v>475451.94874644408</v>
      </c>
      <c r="J656">
        <v>24419032.338461537</v>
      </c>
    </row>
    <row r="657" spans="1:10" x14ac:dyDescent="0.25">
      <c r="A657">
        <v>16</v>
      </c>
      <c r="B657">
        <v>40</v>
      </c>
      <c r="C657" t="s">
        <v>15</v>
      </c>
      <c r="D657" t="s">
        <v>39</v>
      </c>
      <c r="E657">
        <v>45042.230769230766</v>
      </c>
      <c r="F657">
        <v>242063.68131868137</v>
      </c>
      <c r="G657">
        <v>11200315582.257145</v>
      </c>
      <c r="H657">
        <v>92894782.435133711</v>
      </c>
      <c r="I657">
        <v>271203.1936125409</v>
      </c>
      <c r="J657">
        <v>33208672.153846163</v>
      </c>
    </row>
    <row r="658" spans="1:10" x14ac:dyDescent="0.25">
      <c r="A658">
        <v>16</v>
      </c>
      <c r="B658">
        <v>41</v>
      </c>
      <c r="C658" t="s">
        <v>15</v>
      </c>
      <c r="D658" t="s">
        <v>40</v>
      </c>
      <c r="E658">
        <v>57401.153846153844</v>
      </c>
      <c r="F658">
        <v>190242.03113553117</v>
      </c>
      <c r="G658">
        <v>8123098829.3685732</v>
      </c>
      <c r="H658">
        <v>247001524.45849714</v>
      </c>
      <c r="I658">
        <v>706586.94628959871</v>
      </c>
      <c r="J658">
        <v>22672008.36923077</v>
      </c>
    </row>
    <row r="659" spans="1:10" x14ac:dyDescent="0.25">
      <c r="A659">
        <v>17</v>
      </c>
      <c r="B659">
        <v>1</v>
      </c>
      <c r="C659" t="s">
        <v>16</v>
      </c>
      <c r="D659" t="s">
        <v>0</v>
      </c>
      <c r="E659">
        <v>146692.91758241755</v>
      </c>
      <c r="F659">
        <v>577484.61538461549</v>
      </c>
      <c r="G659">
        <v>61963152156.000015</v>
      </c>
      <c r="H659">
        <v>579336006.18942273</v>
      </c>
      <c r="I659">
        <v>0</v>
      </c>
      <c r="J659">
        <v>0</v>
      </c>
    </row>
    <row r="660" spans="1:10" x14ac:dyDescent="0.25">
      <c r="A660">
        <v>17</v>
      </c>
      <c r="B660">
        <v>2</v>
      </c>
      <c r="C660" t="s">
        <v>16</v>
      </c>
      <c r="D660" t="s">
        <v>1</v>
      </c>
      <c r="E660">
        <v>75431.917582417547</v>
      </c>
      <c r="F660">
        <v>567873</v>
      </c>
      <c r="G660">
        <v>59351133020.399994</v>
      </c>
      <c r="H660">
        <v>455804537.62799418</v>
      </c>
      <c r="I660">
        <v>706588.71740070975</v>
      </c>
      <c r="J660">
        <v>13251434.615384612</v>
      </c>
    </row>
    <row r="661" spans="1:10" x14ac:dyDescent="0.25">
      <c r="A661">
        <v>17</v>
      </c>
      <c r="B661">
        <v>3</v>
      </c>
      <c r="C661" t="s">
        <v>16</v>
      </c>
      <c r="D661" t="s">
        <v>2</v>
      </c>
      <c r="E661">
        <v>70696.560439560461</v>
      </c>
      <c r="F661">
        <v>570907.23076923075</v>
      </c>
      <c r="G661">
        <v>59188510278.239998</v>
      </c>
      <c r="H661">
        <v>498516618.76647937</v>
      </c>
      <c r="I661">
        <v>386016.42702538072</v>
      </c>
      <c r="J661">
        <v>39139142.461538456</v>
      </c>
    </row>
    <row r="662" spans="1:10" x14ac:dyDescent="0.25">
      <c r="A662">
        <v>17</v>
      </c>
      <c r="B662">
        <v>4</v>
      </c>
      <c r="C662" t="s">
        <v>16</v>
      </c>
      <c r="D662" t="s">
        <v>3</v>
      </c>
      <c r="E662">
        <v>85352.917582417547</v>
      </c>
      <c r="F662">
        <v>560014.15384615387</v>
      </c>
      <c r="G662">
        <v>73029855362.880005</v>
      </c>
      <c r="H662">
        <v>548734792.46738946</v>
      </c>
      <c r="I662">
        <v>797860.56490342598</v>
      </c>
      <c r="J662">
        <v>82115746.030769214</v>
      </c>
    </row>
    <row r="663" spans="1:10" x14ac:dyDescent="0.25">
      <c r="A663">
        <v>17</v>
      </c>
      <c r="B663">
        <v>5</v>
      </c>
      <c r="C663" t="s">
        <v>16</v>
      </c>
      <c r="D663" t="s">
        <v>4</v>
      </c>
      <c r="E663">
        <v>119089.48901098905</v>
      </c>
      <c r="F663">
        <v>591814.23076923075</v>
      </c>
      <c r="G663">
        <v>81093155590.599991</v>
      </c>
      <c r="H663">
        <v>460100318.59732985</v>
      </c>
      <c r="I663">
        <v>656491.25142911135</v>
      </c>
      <c r="J663">
        <v>71127131.969230771</v>
      </c>
    </row>
    <row r="664" spans="1:10" x14ac:dyDescent="0.25">
      <c r="A664">
        <v>17</v>
      </c>
      <c r="B664">
        <v>6</v>
      </c>
      <c r="C664" t="s">
        <v>16</v>
      </c>
      <c r="D664" t="s">
        <v>5</v>
      </c>
      <c r="E664">
        <v>67417.631868131852</v>
      </c>
      <c r="F664">
        <v>657603.54212454229</v>
      </c>
      <c r="G664">
        <v>97982427997.864777</v>
      </c>
      <c r="H664">
        <v>579557092.36018705</v>
      </c>
      <c r="I664">
        <v>7523845.4572417336</v>
      </c>
      <c r="J664">
        <v>46971808.799999975</v>
      </c>
    </row>
    <row r="665" spans="1:10" x14ac:dyDescent="0.25">
      <c r="A665">
        <v>17</v>
      </c>
      <c r="B665">
        <v>7</v>
      </c>
      <c r="C665" t="s">
        <v>16</v>
      </c>
      <c r="D665" t="s">
        <v>6</v>
      </c>
      <c r="E665">
        <v>59167.631868131866</v>
      </c>
      <c r="F665">
        <v>591149.84615384613</v>
      </c>
      <c r="G665">
        <v>80412221892.799988</v>
      </c>
      <c r="H665">
        <v>440868094.82590133</v>
      </c>
      <c r="I665">
        <v>434984.91959085304</v>
      </c>
      <c r="J665">
        <v>37618288.061538465</v>
      </c>
    </row>
    <row r="666" spans="1:10" x14ac:dyDescent="0.25">
      <c r="A666">
        <v>17</v>
      </c>
      <c r="B666">
        <v>8</v>
      </c>
      <c r="C666" t="s">
        <v>16</v>
      </c>
      <c r="D666" t="s">
        <v>7</v>
      </c>
      <c r="E666">
        <v>88814.703296703257</v>
      </c>
      <c r="F666">
        <v>648747.61538461526</v>
      </c>
      <c r="G666">
        <v>84124322932.439987</v>
      </c>
      <c r="H666">
        <v>465798605.010818</v>
      </c>
      <c r="I666">
        <v>434984.20847974194</v>
      </c>
      <c r="J666">
        <v>28427044.615384616</v>
      </c>
    </row>
    <row r="667" spans="1:10" x14ac:dyDescent="0.25">
      <c r="A667">
        <v>17</v>
      </c>
      <c r="B667">
        <v>9</v>
      </c>
      <c r="C667" t="s">
        <v>16</v>
      </c>
      <c r="D667" t="s">
        <v>8</v>
      </c>
      <c r="E667">
        <v>54810.3006993007</v>
      </c>
      <c r="F667">
        <v>1099080.3910256412</v>
      </c>
      <c r="G667">
        <v>118333589380.16669</v>
      </c>
      <c r="H667">
        <v>446675379.92799413</v>
      </c>
      <c r="I667">
        <v>434982.86959085305</v>
      </c>
      <c r="J667">
        <v>31079408.123076931</v>
      </c>
    </row>
    <row r="668" spans="1:10" x14ac:dyDescent="0.25">
      <c r="A668">
        <v>17</v>
      </c>
      <c r="B668">
        <v>10</v>
      </c>
      <c r="C668" t="s">
        <v>16</v>
      </c>
      <c r="D668" t="s">
        <v>9</v>
      </c>
      <c r="E668">
        <v>75293.060439560461</v>
      </c>
      <c r="F668">
        <v>623456.69230769237</v>
      </c>
      <c r="G668">
        <v>87459078377.080002</v>
      </c>
      <c r="H668">
        <v>507436095.65732986</v>
      </c>
      <c r="I668">
        <v>0</v>
      </c>
      <c r="J668">
        <v>28609206.246153846</v>
      </c>
    </row>
    <row r="669" spans="1:10" x14ac:dyDescent="0.25">
      <c r="A669">
        <v>17</v>
      </c>
      <c r="B669">
        <v>11</v>
      </c>
      <c r="C669" t="s">
        <v>16</v>
      </c>
      <c r="D669" t="s">
        <v>10</v>
      </c>
      <c r="E669">
        <v>75460.230769230751</v>
      </c>
      <c r="F669">
        <v>626220.76923076925</v>
      </c>
      <c r="G669">
        <v>32231332504.000004</v>
      </c>
      <c r="H669">
        <v>504421123.26714575</v>
      </c>
      <c r="I669">
        <v>797862.01157009252</v>
      </c>
      <c r="J669">
        <v>79587792.307692304</v>
      </c>
    </row>
    <row r="670" spans="1:10" x14ac:dyDescent="0.25">
      <c r="A670">
        <v>17</v>
      </c>
      <c r="B670">
        <v>12</v>
      </c>
      <c r="C670" t="s">
        <v>16</v>
      </c>
      <c r="D670" t="s">
        <v>11</v>
      </c>
      <c r="E670">
        <v>72428.846153846156</v>
      </c>
      <c r="F670">
        <v>570946.84615384613</v>
      </c>
      <c r="G670">
        <v>26567709726.959999</v>
      </c>
      <c r="H670">
        <v>515247568.88600641</v>
      </c>
      <c r="I670">
        <v>434983.39736863086</v>
      </c>
      <c r="J670">
        <v>41181879.41538462</v>
      </c>
    </row>
    <row r="671" spans="1:10" x14ac:dyDescent="0.25">
      <c r="A671">
        <v>17</v>
      </c>
      <c r="B671">
        <v>13</v>
      </c>
      <c r="C671" t="s">
        <v>16</v>
      </c>
      <c r="D671" t="s">
        <v>12</v>
      </c>
      <c r="E671">
        <v>57507.230769230773</v>
      </c>
      <c r="F671">
        <v>552635.30769230775</v>
      </c>
      <c r="G671">
        <v>24641720999.639996</v>
      </c>
      <c r="H671">
        <v>446221290.63084048</v>
      </c>
      <c r="I671">
        <v>666293.47695961152</v>
      </c>
      <c r="J671">
        <v>57159418.012307689</v>
      </c>
    </row>
    <row r="672" spans="1:10" x14ac:dyDescent="0.25">
      <c r="A672">
        <v>17</v>
      </c>
      <c r="B672">
        <v>14</v>
      </c>
      <c r="C672" t="s">
        <v>16</v>
      </c>
      <c r="D672" t="s">
        <v>13</v>
      </c>
      <c r="E672">
        <v>78132.230769230751</v>
      </c>
      <c r="F672">
        <v>699099.53846153826</v>
      </c>
      <c r="G672">
        <v>29703816577.839989</v>
      </c>
      <c r="H672">
        <v>486344166.0228405</v>
      </c>
      <c r="I672">
        <v>387418.90147349698</v>
      </c>
      <c r="J672">
        <v>51535463.692307688</v>
      </c>
    </row>
    <row r="673" spans="1:10" x14ac:dyDescent="0.25">
      <c r="A673">
        <v>17</v>
      </c>
      <c r="B673">
        <v>15</v>
      </c>
      <c r="C673" t="s">
        <v>16</v>
      </c>
      <c r="D673" t="s">
        <v>14</v>
      </c>
      <c r="E673">
        <v>101931.61538461535</v>
      </c>
      <c r="F673">
        <v>821275.23076923122</v>
      </c>
      <c r="G673">
        <v>38000503480.720016</v>
      </c>
      <c r="H673">
        <v>552023018.1792537</v>
      </c>
      <c r="I673">
        <v>387417.5936957192</v>
      </c>
      <c r="J673">
        <v>47656583.446153849</v>
      </c>
    </row>
    <row r="674" spans="1:10" x14ac:dyDescent="0.25">
      <c r="A674">
        <v>17</v>
      </c>
      <c r="B674">
        <v>16</v>
      </c>
      <c r="C674" t="s">
        <v>16</v>
      </c>
      <c r="D674" t="s">
        <v>15</v>
      </c>
      <c r="E674">
        <v>91624.076923076966</v>
      </c>
      <c r="F674">
        <v>1059488.4615384613</v>
      </c>
      <c r="G674">
        <v>31550337377.999996</v>
      </c>
      <c r="H674">
        <v>522644735.62077498</v>
      </c>
      <c r="I674">
        <v>2307753.202752206</v>
      </c>
      <c r="J674">
        <v>106352246.46153843</v>
      </c>
    </row>
    <row r="675" spans="1:10" x14ac:dyDescent="0.25">
      <c r="A675">
        <v>17</v>
      </c>
      <c r="B675">
        <v>17</v>
      </c>
      <c r="C675" t="s">
        <v>16</v>
      </c>
      <c r="D675" t="s">
        <v>16</v>
      </c>
      <c r="E675">
        <v>0</v>
      </c>
      <c r="F675">
        <v>0</v>
      </c>
      <c r="G675">
        <v>0</v>
      </c>
      <c r="H675">
        <v>0</v>
      </c>
      <c r="I675">
        <v>2307754.1271966505</v>
      </c>
      <c r="J675">
        <v>296937670.15384638</v>
      </c>
    </row>
    <row r="676" spans="1:10" x14ac:dyDescent="0.25">
      <c r="A676">
        <v>17</v>
      </c>
      <c r="B676">
        <v>18</v>
      </c>
      <c r="C676" t="s">
        <v>16</v>
      </c>
      <c r="D676" t="s">
        <v>17</v>
      </c>
      <c r="E676">
        <v>77949.615384615361</v>
      </c>
      <c r="F676">
        <v>581543.15384615387</v>
      </c>
      <c r="G676">
        <v>13377679140.719999</v>
      </c>
      <c r="H676">
        <v>653182859.08877492</v>
      </c>
      <c r="I676">
        <v>1062802.9199561263</v>
      </c>
      <c r="J676">
        <v>64413410.153846167</v>
      </c>
    </row>
    <row r="677" spans="1:10" x14ac:dyDescent="0.25">
      <c r="A677">
        <v>17</v>
      </c>
      <c r="B677">
        <v>19</v>
      </c>
      <c r="C677" t="s">
        <v>16</v>
      </c>
      <c r="D677" t="s">
        <v>18</v>
      </c>
      <c r="E677">
        <v>55500.769230769234</v>
      </c>
      <c r="F677">
        <v>620262.15384615387</v>
      </c>
      <c r="G677">
        <v>55998433342.080002</v>
      </c>
      <c r="H677">
        <v>368637751.41330117</v>
      </c>
      <c r="I677">
        <v>423143.25246469816</v>
      </c>
      <c r="J677">
        <v>18654326.923076924</v>
      </c>
    </row>
    <row r="678" spans="1:10" x14ac:dyDescent="0.25">
      <c r="A678">
        <v>17</v>
      </c>
      <c r="B678">
        <v>20</v>
      </c>
      <c r="C678" t="s">
        <v>16</v>
      </c>
      <c r="D678" t="s">
        <v>19</v>
      </c>
      <c r="E678">
        <v>112672.53846153845</v>
      </c>
      <c r="F678">
        <v>592077.43589743599</v>
      </c>
      <c r="G678">
        <v>55412906155.200012</v>
      </c>
      <c r="H678">
        <v>600797550.56975889</v>
      </c>
      <c r="I678">
        <v>419608.63409598795</v>
      </c>
      <c r="J678">
        <v>9086458.9538461603</v>
      </c>
    </row>
    <row r="679" spans="1:10" x14ac:dyDescent="0.25">
      <c r="A679">
        <v>17</v>
      </c>
      <c r="B679">
        <v>21</v>
      </c>
      <c r="C679" t="s">
        <v>16</v>
      </c>
      <c r="D679" t="s">
        <v>20</v>
      </c>
      <c r="E679">
        <v>91517.153846153858</v>
      </c>
      <c r="F679">
        <v>636229.10256410227</v>
      </c>
      <c r="G679">
        <v>63955836221.199974</v>
      </c>
      <c r="H679">
        <v>371973624.4235673</v>
      </c>
      <c r="I679">
        <v>423142.97468692041</v>
      </c>
      <c r="J679">
        <v>16209042.092307694</v>
      </c>
    </row>
    <row r="680" spans="1:10" x14ac:dyDescent="0.25">
      <c r="A680">
        <v>17</v>
      </c>
      <c r="B680">
        <v>22</v>
      </c>
      <c r="C680" t="s">
        <v>16</v>
      </c>
      <c r="D680" t="s">
        <v>21</v>
      </c>
      <c r="E680">
        <v>75956.999999999956</v>
      </c>
      <c r="F680">
        <v>655356.10256410227</v>
      </c>
      <c r="G680">
        <v>51732211667.519974</v>
      </c>
      <c r="H680">
        <v>589281994.86313105</v>
      </c>
      <c r="I680">
        <v>151.3037587225644</v>
      </c>
      <c r="J680">
        <v>13199753.07692308</v>
      </c>
    </row>
    <row r="681" spans="1:10" x14ac:dyDescent="0.25">
      <c r="A681">
        <v>17</v>
      </c>
      <c r="B681">
        <v>23</v>
      </c>
      <c r="C681" t="s">
        <v>16</v>
      </c>
      <c r="D681" t="s">
        <v>22</v>
      </c>
      <c r="E681">
        <v>60635.538461538468</v>
      </c>
      <c r="F681">
        <v>639092.43589743623</v>
      </c>
      <c r="G681">
        <v>52025958836.666695</v>
      </c>
      <c r="H681">
        <v>456652451.64107573</v>
      </c>
      <c r="I681">
        <v>419608.03409598791</v>
      </c>
      <c r="J681">
        <v>11201695.015384616</v>
      </c>
    </row>
    <row r="682" spans="1:10" x14ac:dyDescent="0.25">
      <c r="A682">
        <v>17</v>
      </c>
      <c r="B682">
        <v>24</v>
      </c>
      <c r="C682" t="s">
        <v>16</v>
      </c>
      <c r="D682" t="s">
        <v>23</v>
      </c>
      <c r="E682">
        <v>61797.923076923078</v>
      </c>
      <c r="F682">
        <v>596564.43589743599</v>
      </c>
      <c r="G682">
        <v>35310672823.346672</v>
      </c>
      <c r="H682">
        <v>448304862.24107575</v>
      </c>
      <c r="I682">
        <v>20.050011107298705</v>
      </c>
      <c r="J682">
        <v>4.38</v>
      </c>
    </row>
    <row r="683" spans="1:10" x14ac:dyDescent="0.25">
      <c r="A683">
        <v>17</v>
      </c>
      <c r="B683">
        <v>25</v>
      </c>
      <c r="C683" t="s">
        <v>16</v>
      </c>
      <c r="D683" t="s">
        <v>24</v>
      </c>
      <c r="E683">
        <v>59402.538461538468</v>
      </c>
      <c r="F683">
        <v>589512.1025641025</v>
      </c>
      <c r="G683">
        <v>39939916558.399994</v>
      </c>
      <c r="H683">
        <v>389593249.14107573</v>
      </c>
      <c r="I683">
        <v>848582.17125737458</v>
      </c>
      <c r="J683">
        <v>84423480.989010975</v>
      </c>
    </row>
    <row r="684" spans="1:10" x14ac:dyDescent="0.25">
      <c r="A684">
        <v>17</v>
      </c>
      <c r="B684">
        <v>26</v>
      </c>
      <c r="C684" t="s">
        <v>16</v>
      </c>
      <c r="D684" t="s">
        <v>25</v>
      </c>
      <c r="E684">
        <v>58481.615384615383</v>
      </c>
      <c r="F684">
        <v>575585.76923076925</v>
      </c>
      <c r="G684">
        <v>36940772341.200005</v>
      </c>
      <c r="H684">
        <v>437168908.77925372</v>
      </c>
      <c r="I684">
        <v>848582.54903515242</v>
      </c>
      <c r="J684">
        <v>52685676.676923074</v>
      </c>
    </row>
    <row r="685" spans="1:10" x14ac:dyDescent="0.25">
      <c r="A685">
        <v>17</v>
      </c>
      <c r="B685">
        <v>27</v>
      </c>
      <c r="C685" t="s">
        <v>16</v>
      </c>
      <c r="D685" t="s">
        <v>26</v>
      </c>
      <c r="E685">
        <v>113696.84615384616</v>
      </c>
      <c r="F685">
        <v>945518.86923076923</v>
      </c>
      <c r="G685">
        <v>84916293230.520004</v>
      </c>
      <c r="H685">
        <v>1010955233.7297589</v>
      </c>
      <c r="I685">
        <v>344553.26116712601</v>
      </c>
      <c r="J685">
        <v>27920782.48351647</v>
      </c>
    </row>
    <row r="686" spans="1:10" x14ac:dyDescent="0.25">
      <c r="A686">
        <v>17</v>
      </c>
      <c r="B686">
        <v>28</v>
      </c>
      <c r="C686" t="s">
        <v>16</v>
      </c>
      <c r="D686" t="s">
        <v>27</v>
      </c>
      <c r="E686">
        <v>90761.146153846159</v>
      </c>
      <c r="F686">
        <v>645518.16923076927</v>
      </c>
      <c r="G686" t="s">
        <v>122</v>
      </c>
      <c r="H686" t="s">
        <v>122</v>
      </c>
      <c r="I686">
        <v>431573.74538138177</v>
      </c>
      <c r="J686">
        <v>47484981.758241728</v>
      </c>
    </row>
    <row r="687" spans="1:10" x14ac:dyDescent="0.25">
      <c r="A687">
        <v>17</v>
      </c>
      <c r="B687">
        <v>29</v>
      </c>
      <c r="C687" t="s">
        <v>16</v>
      </c>
      <c r="D687" t="s">
        <v>28</v>
      </c>
      <c r="E687">
        <v>86808.346153846156</v>
      </c>
      <c r="F687">
        <v>890297.16923076927</v>
      </c>
      <c r="G687">
        <v>73644491541.599991</v>
      </c>
      <c r="H687">
        <v>769236724.86313105</v>
      </c>
      <c r="I687">
        <v>540518.53176881652</v>
      </c>
      <c r="J687">
        <v>65304027.940659307</v>
      </c>
    </row>
    <row r="688" spans="1:10" x14ac:dyDescent="0.25">
      <c r="A688">
        <v>17</v>
      </c>
      <c r="B688">
        <v>30</v>
      </c>
      <c r="C688" t="s">
        <v>16</v>
      </c>
      <c r="D688" t="s">
        <v>29</v>
      </c>
      <c r="E688">
        <v>61968.146153846159</v>
      </c>
      <c r="F688">
        <v>758446.86923076923</v>
      </c>
      <c r="G688">
        <v>46804514747.099998</v>
      </c>
      <c r="H688">
        <v>420867950.4490757</v>
      </c>
      <c r="I688">
        <v>540521.07621326088</v>
      </c>
      <c r="J688">
        <v>35244983.516483486</v>
      </c>
    </row>
    <row r="689" spans="1:10" x14ac:dyDescent="0.25">
      <c r="A689">
        <v>17</v>
      </c>
      <c r="B689">
        <v>31</v>
      </c>
      <c r="C689" t="s">
        <v>16</v>
      </c>
      <c r="D689" t="s">
        <v>30</v>
      </c>
      <c r="E689">
        <v>56857.307692307695</v>
      </c>
      <c r="F689">
        <v>553198.4615384615</v>
      </c>
      <c r="G689">
        <v>68422130435.999977</v>
      </c>
      <c r="H689">
        <v>390511922.71668971</v>
      </c>
      <c r="I689">
        <v>540518.97065770533</v>
      </c>
      <c r="J689">
        <v>24607806.487912063</v>
      </c>
    </row>
    <row r="690" spans="1:10" x14ac:dyDescent="0.25">
      <c r="A690">
        <v>17</v>
      </c>
      <c r="B690">
        <v>32</v>
      </c>
      <c r="C690" t="s">
        <v>16</v>
      </c>
      <c r="D690" t="s">
        <v>31</v>
      </c>
      <c r="E690">
        <v>54702.230769230773</v>
      </c>
      <c r="F690">
        <v>578745.26923076925</v>
      </c>
      <c r="G690">
        <v>70609214677.419998</v>
      </c>
      <c r="H690">
        <v>368394236.53031677</v>
      </c>
      <c r="I690">
        <v>431573.89871471515</v>
      </c>
      <c r="J690">
        <v>27012842.637362614</v>
      </c>
    </row>
    <row r="691" spans="1:10" x14ac:dyDescent="0.25">
      <c r="A691">
        <v>17</v>
      </c>
      <c r="B691">
        <v>33</v>
      </c>
      <c r="C691" t="s">
        <v>16</v>
      </c>
      <c r="D691" t="s">
        <v>32</v>
      </c>
      <c r="E691">
        <v>118379.61538461535</v>
      </c>
      <c r="F691">
        <v>628455.4923076923</v>
      </c>
      <c r="G691">
        <v>73637462359.335999</v>
      </c>
      <c r="H691">
        <v>447297856.89431679</v>
      </c>
      <c r="I691">
        <v>380063.77088122617</v>
      </c>
      <c r="J691">
        <v>20660277.61538459</v>
      </c>
    </row>
    <row r="692" spans="1:10" x14ac:dyDescent="0.25">
      <c r="A692">
        <v>17</v>
      </c>
      <c r="B692">
        <v>34</v>
      </c>
      <c r="C692" t="s">
        <v>16</v>
      </c>
      <c r="D692" t="s">
        <v>33</v>
      </c>
      <c r="E692">
        <v>350990.15384615411</v>
      </c>
      <c r="F692">
        <v>796017.15811965824</v>
      </c>
      <c r="G692">
        <v>90386347314.288895</v>
      </c>
      <c r="H692">
        <v>1157112031.6046896</v>
      </c>
      <c r="I692">
        <v>540519.51954659424</v>
      </c>
      <c r="J692">
        <v>39254528.276923053</v>
      </c>
    </row>
    <row r="693" spans="1:10" x14ac:dyDescent="0.25">
      <c r="A693">
        <v>17</v>
      </c>
      <c r="B693">
        <v>35</v>
      </c>
      <c r="C693" t="s">
        <v>16</v>
      </c>
      <c r="D693" t="s">
        <v>34</v>
      </c>
      <c r="E693">
        <v>77308.461538461561</v>
      </c>
      <c r="F693">
        <v>544427.30769230775</v>
      </c>
      <c r="G693">
        <v>62047509174</v>
      </c>
      <c r="H693">
        <v>527377422.67668974</v>
      </c>
      <c r="I693">
        <v>316346.14007943682</v>
      </c>
      <c r="J693">
        <v>12092005.107692296</v>
      </c>
    </row>
    <row r="694" spans="1:10" x14ac:dyDescent="0.25">
      <c r="A694">
        <v>17</v>
      </c>
      <c r="B694">
        <v>36</v>
      </c>
      <c r="C694" t="s">
        <v>16</v>
      </c>
      <c r="D694" t="s">
        <v>35</v>
      </c>
      <c r="E694">
        <v>57932.692307692305</v>
      </c>
      <c r="F694">
        <v>620273.69230769237</v>
      </c>
      <c r="G694">
        <v>69551413173.200012</v>
      </c>
      <c r="H694">
        <v>382245327.01199412</v>
      </c>
      <c r="I694">
        <v>494484.45361948106</v>
      </c>
      <c r="J694">
        <v>9228348.3999999892</v>
      </c>
    </row>
    <row r="695" spans="1:10" x14ac:dyDescent="0.25">
      <c r="A695">
        <v>17</v>
      </c>
      <c r="B695">
        <v>37</v>
      </c>
      <c r="C695" t="s">
        <v>16</v>
      </c>
      <c r="D695" t="s">
        <v>36</v>
      </c>
      <c r="E695">
        <v>64351.692307692356</v>
      </c>
      <c r="F695">
        <v>615089.19597069593</v>
      </c>
      <c r="G695">
        <v>24099145490.996189</v>
      </c>
      <c r="H695">
        <v>435399370.49628103</v>
      </c>
      <c r="I695">
        <v>300664.63016066444</v>
      </c>
      <c r="J695">
        <v>7765867.0769230677</v>
      </c>
    </row>
    <row r="696" spans="1:10" x14ac:dyDescent="0.25">
      <c r="A696">
        <v>17</v>
      </c>
      <c r="B696">
        <v>38</v>
      </c>
      <c r="C696" t="s">
        <v>16</v>
      </c>
      <c r="D696" t="s">
        <v>37</v>
      </c>
      <c r="E696">
        <v>54319.846153846156</v>
      </c>
      <c r="F696">
        <v>536066.15384615387</v>
      </c>
      <c r="G696">
        <v>9234575763.2000008</v>
      </c>
      <c r="H696">
        <v>365264114.89764315</v>
      </c>
      <c r="I696">
        <v>300662.7810315353</v>
      </c>
      <c r="J696">
        <v>10248461.723076915</v>
      </c>
    </row>
    <row r="697" spans="1:10" x14ac:dyDescent="0.25">
      <c r="A697">
        <v>17</v>
      </c>
      <c r="B697">
        <v>39</v>
      </c>
      <c r="C697" t="s">
        <v>16</v>
      </c>
      <c r="D697" t="s">
        <v>38</v>
      </c>
      <c r="E697">
        <v>57390.230769230773</v>
      </c>
      <c r="F697">
        <v>620236.6117216117</v>
      </c>
      <c r="G697">
        <v>22769803966.485714</v>
      </c>
      <c r="H697">
        <v>382741032.81628102</v>
      </c>
      <c r="I697">
        <v>0</v>
      </c>
      <c r="J697">
        <v>12020129.446153838</v>
      </c>
    </row>
    <row r="698" spans="1:10" x14ac:dyDescent="0.25">
      <c r="A698">
        <v>17</v>
      </c>
      <c r="B698">
        <v>40</v>
      </c>
      <c r="C698" t="s">
        <v>16</v>
      </c>
      <c r="D698" t="s">
        <v>39</v>
      </c>
      <c r="E698">
        <v>63936.61538461539</v>
      </c>
      <c r="F698">
        <v>601555.91208791221</v>
      </c>
      <c r="G698">
        <v>18008418406.628574</v>
      </c>
      <c r="H698">
        <v>368123672.29806018</v>
      </c>
      <c r="I698">
        <v>0</v>
      </c>
      <c r="J698">
        <v>5787412.6153846132</v>
      </c>
    </row>
    <row r="699" spans="1:10" x14ac:dyDescent="0.25">
      <c r="A699">
        <v>17</v>
      </c>
      <c r="B699">
        <v>41</v>
      </c>
      <c r="C699" t="s">
        <v>16</v>
      </c>
      <c r="D699" t="s">
        <v>40</v>
      </c>
      <c r="E699">
        <v>76295.538461538454</v>
      </c>
      <c r="F699">
        <v>549734.26190476189</v>
      </c>
      <c r="G699">
        <v>10422807680.120953</v>
      </c>
      <c r="H699">
        <v>522230331.85764313</v>
      </c>
      <c r="I699">
        <v>706588.71740070975</v>
      </c>
      <c r="J699">
        <v>13251434.615384612</v>
      </c>
    </row>
    <row r="700" spans="1:10" x14ac:dyDescent="0.25">
      <c r="A700">
        <v>18</v>
      </c>
      <c r="B700">
        <v>1</v>
      </c>
      <c r="C700" t="s">
        <v>17</v>
      </c>
      <c r="D700" t="s">
        <v>0</v>
      </c>
      <c r="E700">
        <v>99207.686813186796</v>
      </c>
      <c r="F700">
        <v>104145.46153846159</v>
      </c>
      <c r="G700">
        <v>10665953298.000006</v>
      </c>
      <c r="H700">
        <v>434545673.79233956</v>
      </c>
      <c r="I700">
        <v>0</v>
      </c>
      <c r="J700">
        <v>0</v>
      </c>
    </row>
    <row r="701" spans="1:10" x14ac:dyDescent="0.25">
      <c r="A701">
        <v>18</v>
      </c>
      <c r="B701">
        <v>2</v>
      </c>
      <c r="C701" t="s">
        <v>17</v>
      </c>
      <c r="D701" t="s">
        <v>1</v>
      </c>
      <c r="E701">
        <v>27946.686813186781</v>
      </c>
      <c r="F701">
        <v>94533.846153846185</v>
      </c>
      <c r="G701">
        <v>9413483769.6000023</v>
      </c>
      <c r="H701">
        <v>311014205.23091102</v>
      </c>
      <c r="I701">
        <v>240799.7045718405</v>
      </c>
      <c r="J701">
        <v>5424916.430769234</v>
      </c>
    </row>
    <row r="702" spans="1:10" x14ac:dyDescent="0.25">
      <c r="A702">
        <v>18</v>
      </c>
      <c r="B702">
        <v>3</v>
      </c>
      <c r="C702" t="s">
        <v>17</v>
      </c>
      <c r="D702" t="s">
        <v>2</v>
      </c>
      <c r="E702">
        <v>23211.329670329687</v>
      </c>
      <c r="F702">
        <v>97568.076923076878</v>
      </c>
      <c r="G702">
        <v>9638762027.3999939</v>
      </c>
      <c r="H702">
        <v>353778608.81286412</v>
      </c>
      <c r="I702">
        <v>603741.07923194068</v>
      </c>
      <c r="J702">
        <v>45631115.384615377</v>
      </c>
    </row>
    <row r="703" spans="1:10" x14ac:dyDescent="0.25">
      <c r="A703">
        <v>18</v>
      </c>
      <c r="B703">
        <v>4</v>
      </c>
      <c r="C703" t="s">
        <v>17</v>
      </c>
      <c r="D703" t="s">
        <v>3</v>
      </c>
      <c r="E703">
        <v>37867.686813186781</v>
      </c>
      <c r="F703">
        <v>86674.999999999985</v>
      </c>
      <c r="G703">
        <v>10328875998.999998</v>
      </c>
      <c r="H703">
        <v>403966741.73866957</v>
      </c>
      <c r="I703">
        <v>477583.91645412269</v>
      </c>
      <c r="J703">
        <v>32513172.000000011</v>
      </c>
    </row>
    <row r="704" spans="1:10" x14ac:dyDescent="0.25">
      <c r="A704">
        <v>18</v>
      </c>
      <c r="B704">
        <v>5</v>
      </c>
      <c r="C704" t="s">
        <v>17</v>
      </c>
      <c r="D704" t="s">
        <v>4</v>
      </c>
      <c r="E704">
        <v>71604.258241758289</v>
      </c>
      <c r="F704">
        <v>118475.07692307688</v>
      </c>
      <c r="G704">
        <v>14877545696.639994</v>
      </c>
      <c r="H704">
        <v>315302525.65683889</v>
      </c>
      <c r="I704">
        <v>1811156.6305164502</v>
      </c>
      <c r="J704">
        <v>16832509.969230741</v>
      </c>
    </row>
    <row r="705" spans="1:10" x14ac:dyDescent="0.25">
      <c r="A705">
        <v>18</v>
      </c>
      <c r="B705">
        <v>6</v>
      </c>
      <c r="C705" t="s">
        <v>17</v>
      </c>
      <c r="D705" t="s">
        <v>5</v>
      </c>
      <c r="E705">
        <v>19932.401098901086</v>
      </c>
      <c r="F705">
        <v>184264.38827838839</v>
      </c>
      <c r="G705">
        <v>24919731606.380966</v>
      </c>
      <c r="H705">
        <v>434759299.41969603</v>
      </c>
      <c r="I705">
        <v>57700291.177742735</v>
      </c>
      <c r="J705">
        <v>7153767.3846153868</v>
      </c>
    </row>
    <row r="706" spans="1:10" x14ac:dyDescent="0.25">
      <c r="A706">
        <v>18</v>
      </c>
      <c r="B706">
        <v>7</v>
      </c>
      <c r="C706" t="s">
        <v>17</v>
      </c>
      <c r="D706" t="s">
        <v>6</v>
      </c>
      <c r="E706">
        <v>11682.401098901095</v>
      </c>
      <c r="F706">
        <v>117810.69230769228</v>
      </c>
      <c r="G706">
        <v>14664179617.199999</v>
      </c>
      <c r="H706">
        <v>296070301.88541037</v>
      </c>
      <c r="I706">
        <v>57700290.466631621</v>
      </c>
      <c r="J706">
        <v>5999880.6153846141</v>
      </c>
    </row>
    <row r="707" spans="1:10" x14ac:dyDescent="0.25">
      <c r="A707">
        <v>18</v>
      </c>
      <c r="B707">
        <v>8</v>
      </c>
      <c r="C707" t="s">
        <v>17</v>
      </c>
      <c r="D707" t="s">
        <v>7</v>
      </c>
      <c r="E707">
        <v>41329.472527472484</v>
      </c>
      <c r="F707">
        <v>175408.46153846139</v>
      </c>
      <c r="G707">
        <v>20774080161.999981</v>
      </c>
      <c r="H707">
        <v>321030554.28209811</v>
      </c>
      <c r="I707">
        <v>57700289.127742738</v>
      </c>
      <c r="J707">
        <v>5891916.9230769239</v>
      </c>
    </row>
    <row r="708" spans="1:10" x14ac:dyDescent="0.25">
      <c r="A708">
        <v>18</v>
      </c>
      <c r="B708">
        <v>9</v>
      </c>
      <c r="C708" t="s">
        <v>17</v>
      </c>
      <c r="D708" t="s">
        <v>8</v>
      </c>
      <c r="E708">
        <v>7325.0699300699298</v>
      </c>
      <c r="F708">
        <v>625741.23717948736</v>
      </c>
      <c r="G708">
        <v>25732457015.130009</v>
      </c>
      <c r="H708">
        <v>301885047.53091097</v>
      </c>
      <c r="I708">
        <v>0</v>
      </c>
      <c r="J708">
        <v>4059865.2</v>
      </c>
    </row>
    <row r="709" spans="1:10" x14ac:dyDescent="0.25">
      <c r="A709">
        <v>18</v>
      </c>
      <c r="B709">
        <v>10</v>
      </c>
      <c r="C709" t="s">
        <v>17</v>
      </c>
      <c r="D709" t="s">
        <v>9</v>
      </c>
      <c r="E709">
        <v>27807.829670329687</v>
      </c>
      <c r="F709">
        <v>150117.5384615385</v>
      </c>
      <c r="G709">
        <v>19560633510.720005</v>
      </c>
      <c r="H709">
        <v>362638302.71683896</v>
      </c>
      <c r="I709">
        <v>603742.52589860733</v>
      </c>
      <c r="J709">
        <v>43249427.169230767</v>
      </c>
    </row>
    <row r="710" spans="1:10" x14ac:dyDescent="0.25">
      <c r="A710">
        <v>18</v>
      </c>
      <c r="B710">
        <v>11</v>
      </c>
      <c r="C710" t="s">
        <v>17</v>
      </c>
      <c r="D710" t="s">
        <v>10</v>
      </c>
      <c r="E710">
        <v>27974.999999999985</v>
      </c>
      <c r="F710">
        <v>152881.61538461538</v>
      </c>
      <c r="G710">
        <v>7587728605.7999973</v>
      </c>
      <c r="H710">
        <v>359630982.56222868</v>
      </c>
      <c r="I710">
        <v>57700289.655520514</v>
      </c>
      <c r="J710">
        <v>17616755.692307692</v>
      </c>
    </row>
    <row r="711" spans="1:10" x14ac:dyDescent="0.25">
      <c r="A711">
        <v>18</v>
      </c>
      <c r="B711">
        <v>12</v>
      </c>
      <c r="C711" t="s">
        <v>17</v>
      </c>
      <c r="D711" t="s">
        <v>11</v>
      </c>
      <c r="E711">
        <v>24943.615384615383</v>
      </c>
      <c r="F711">
        <v>97607.692307692283</v>
      </c>
      <c r="G711">
        <v>4357402599.999999</v>
      </c>
      <c r="H711">
        <v>370499401.05894953</v>
      </c>
      <c r="I711">
        <v>431576.15649249288</v>
      </c>
      <c r="J711">
        <v>12698620.209230771</v>
      </c>
    </row>
    <row r="712" spans="1:10" x14ac:dyDescent="0.25">
      <c r="A712">
        <v>18</v>
      </c>
      <c r="B712">
        <v>13</v>
      </c>
      <c r="C712" t="s">
        <v>17</v>
      </c>
      <c r="D712" t="s">
        <v>12</v>
      </c>
      <c r="E712">
        <v>10022.000000000004</v>
      </c>
      <c r="F712">
        <v>79296.153846153888</v>
      </c>
      <c r="G712">
        <v>3331707200.000001</v>
      </c>
      <c r="H712">
        <v>301451183.21036702</v>
      </c>
      <c r="I712">
        <v>230609.82672075843</v>
      </c>
      <c r="J712">
        <v>8067483.815384618</v>
      </c>
    </row>
    <row r="713" spans="1:10" x14ac:dyDescent="0.25">
      <c r="A713">
        <v>18</v>
      </c>
      <c r="B713">
        <v>14</v>
      </c>
      <c r="C713" t="s">
        <v>17</v>
      </c>
      <c r="D713" t="s">
        <v>13</v>
      </c>
      <c r="E713">
        <v>30646.999999999985</v>
      </c>
      <c r="F713">
        <v>225760.38461538436</v>
      </c>
      <c r="G713">
        <v>8987557033.1999893</v>
      </c>
      <c r="H713">
        <v>341574058.60236704</v>
      </c>
      <c r="I713">
        <v>230608.51894298068</v>
      </c>
      <c r="J713">
        <v>6359620.4000000004</v>
      </c>
    </row>
    <row r="714" spans="1:10" x14ac:dyDescent="0.25">
      <c r="A714">
        <v>18</v>
      </c>
      <c r="B714">
        <v>15</v>
      </c>
      <c r="C714" t="s">
        <v>17</v>
      </c>
      <c r="D714" t="s">
        <v>14</v>
      </c>
      <c r="E714">
        <v>54446.384615384581</v>
      </c>
      <c r="F714">
        <v>347936.0769230774</v>
      </c>
      <c r="G714">
        <v>10233217545.600014</v>
      </c>
      <c r="H714">
        <v>407217012.36065251</v>
      </c>
      <c r="I714">
        <v>1985063.5800887004</v>
      </c>
      <c r="J714">
        <v>60628877.723076887</v>
      </c>
    </row>
    <row r="715" spans="1:10" x14ac:dyDescent="0.25">
      <c r="A715">
        <v>18</v>
      </c>
      <c r="B715">
        <v>16</v>
      </c>
      <c r="C715" t="s">
        <v>17</v>
      </c>
      <c r="D715" t="s">
        <v>15</v>
      </c>
      <c r="E715">
        <v>44138.846153846185</v>
      </c>
      <c r="F715">
        <v>586149.3076923074</v>
      </c>
      <c r="G715">
        <v>6988095492.279995</v>
      </c>
      <c r="H715">
        <v>377784566.45200002</v>
      </c>
      <c r="I715">
        <v>1985064.5045331449</v>
      </c>
      <c r="J715">
        <v>257493576.73846179</v>
      </c>
    </row>
    <row r="716" spans="1:10" x14ac:dyDescent="0.25">
      <c r="A716">
        <v>18</v>
      </c>
      <c r="B716">
        <v>17</v>
      </c>
      <c r="C716" t="s">
        <v>17</v>
      </c>
      <c r="D716" t="s">
        <v>16</v>
      </c>
      <c r="E716">
        <v>71197.923076923093</v>
      </c>
      <c r="F716">
        <v>231033.15384615338</v>
      </c>
      <c r="G716">
        <v>5314631223.1199884</v>
      </c>
      <c r="H716">
        <v>653182859.08877492</v>
      </c>
      <c r="I716">
        <v>256771.21406130263</v>
      </c>
      <c r="J716">
        <v>23417200.800000016</v>
      </c>
    </row>
    <row r="717" spans="1:10" x14ac:dyDescent="0.25">
      <c r="A717">
        <v>18</v>
      </c>
      <c r="B717">
        <v>18</v>
      </c>
      <c r="C717" t="s">
        <v>17</v>
      </c>
      <c r="D717" t="s">
        <v>17</v>
      </c>
      <c r="E717">
        <v>6834.6153846153848</v>
      </c>
      <c r="F717">
        <v>0</v>
      </c>
      <c r="G717">
        <v>0</v>
      </c>
      <c r="H717">
        <v>0</v>
      </c>
      <c r="I717">
        <v>271769.23562773468</v>
      </c>
      <c r="J717">
        <v>3405872.461538461</v>
      </c>
    </row>
    <row r="718" spans="1:10" x14ac:dyDescent="0.25">
      <c r="A718">
        <v>18</v>
      </c>
      <c r="B718">
        <v>19</v>
      </c>
      <c r="C718" t="s">
        <v>17</v>
      </c>
      <c r="D718" t="s">
        <v>18</v>
      </c>
      <c r="E718">
        <v>8015.5384615384646</v>
      </c>
      <c r="F718">
        <v>146922.99999999997</v>
      </c>
      <c r="G718">
        <v>12616307394.599998</v>
      </c>
      <c r="H718">
        <v>87023434.881251618</v>
      </c>
      <c r="I718">
        <v>250885.51615206903</v>
      </c>
      <c r="J718">
        <v>4938499.9384615514</v>
      </c>
    </row>
    <row r="719" spans="1:10" x14ac:dyDescent="0.25">
      <c r="A719">
        <v>18</v>
      </c>
      <c r="B719">
        <v>20</v>
      </c>
      <c r="C719" t="s">
        <v>17</v>
      </c>
      <c r="D719" t="s">
        <v>19</v>
      </c>
      <c r="E719">
        <v>65187.307692307681</v>
      </c>
      <c r="F719">
        <v>118738.28205128209</v>
      </c>
      <c r="G719">
        <v>10588956505.520002</v>
      </c>
      <c r="H719">
        <v>319210591.7086755</v>
      </c>
      <c r="I719">
        <v>271768.95784995693</v>
      </c>
      <c r="J719">
        <v>2258156.923076923</v>
      </c>
    </row>
    <row r="720" spans="1:10" x14ac:dyDescent="0.25">
      <c r="A720">
        <v>18</v>
      </c>
      <c r="B720">
        <v>21</v>
      </c>
      <c r="C720" t="s">
        <v>17</v>
      </c>
      <c r="D720" t="s">
        <v>20</v>
      </c>
      <c r="E720">
        <v>44031.923076923085</v>
      </c>
      <c r="F720">
        <v>162889.94871794837</v>
      </c>
      <c r="G720">
        <v>15552953833.919968</v>
      </c>
      <c r="H720">
        <v>90085284.298463702</v>
      </c>
      <c r="I720">
        <v>269275.33653254015</v>
      </c>
      <c r="J720">
        <v>3585610.0000000019</v>
      </c>
    </row>
    <row r="721" spans="1:10" x14ac:dyDescent="0.25">
      <c r="A721">
        <v>18</v>
      </c>
      <c r="B721">
        <v>22</v>
      </c>
      <c r="C721" t="s">
        <v>17</v>
      </c>
      <c r="D721" t="s">
        <v>21</v>
      </c>
      <c r="E721">
        <v>28471.769230769183</v>
      </c>
      <c r="F721">
        <v>182016.94871794837</v>
      </c>
      <c r="G721">
        <v>13564973278.119974</v>
      </c>
      <c r="H721">
        <v>306638377.43477428</v>
      </c>
      <c r="I721">
        <v>250884.916152069</v>
      </c>
      <c r="J721">
        <v>5369731.9384615393</v>
      </c>
    </row>
    <row r="722" spans="1:10" x14ac:dyDescent="0.25">
      <c r="A722">
        <v>18</v>
      </c>
      <c r="B722">
        <v>23</v>
      </c>
      <c r="C722" t="s">
        <v>17</v>
      </c>
      <c r="D722" t="s">
        <v>22</v>
      </c>
      <c r="E722">
        <v>13150.307692307695</v>
      </c>
      <c r="F722">
        <v>165753.28205128238</v>
      </c>
      <c r="G722">
        <v>11308265722.960022</v>
      </c>
      <c r="H722">
        <v>174818984.48214129</v>
      </c>
      <c r="I722">
        <v>42.360891237917606</v>
      </c>
      <c r="J722">
        <v>8.16</v>
      </c>
    </row>
    <row r="723" spans="1:10" x14ac:dyDescent="0.25">
      <c r="A723">
        <v>18</v>
      </c>
      <c r="B723">
        <v>24</v>
      </c>
      <c r="C723" t="s">
        <v>17</v>
      </c>
      <c r="D723" t="s">
        <v>23</v>
      </c>
      <c r="E723">
        <v>14312.692307692305</v>
      </c>
      <c r="F723">
        <v>123225.28205128209</v>
      </c>
      <c r="G723">
        <v>6309997018.0000019</v>
      </c>
      <c r="H723">
        <v>166471395.08214128</v>
      </c>
      <c r="I723">
        <v>571423.67692697363</v>
      </c>
      <c r="J723">
        <v>22804657.758241758</v>
      </c>
    </row>
    <row r="724" spans="1:10" x14ac:dyDescent="0.25">
      <c r="A724">
        <v>18</v>
      </c>
      <c r="B724">
        <v>25</v>
      </c>
      <c r="C724" t="s">
        <v>17</v>
      </c>
      <c r="D724" t="s">
        <v>24</v>
      </c>
      <c r="E724">
        <v>11917.307692307695</v>
      </c>
      <c r="F724">
        <v>116172.94871794869</v>
      </c>
      <c r="G724">
        <v>7358292339.5999985</v>
      </c>
      <c r="H724">
        <v>107759781.98214129</v>
      </c>
      <c r="I724">
        <v>571424.05470475135</v>
      </c>
      <c r="J724">
        <v>1587832.1538461545</v>
      </c>
    </row>
    <row r="725" spans="1:10" x14ac:dyDescent="0.25">
      <c r="A725">
        <v>18</v>
      </c>
      <c r="B725">
        <v>26</v>
      </c>
      <c r="C725" t="s">
        <v>17</v>
      </c>
      <c r="D725" t="s">
        <v>25</v>
      </c>
      <c r="E725">
        <v>10996.384615384613</v>
      </c>
      <c r="F725">
        <v>102246.61538461538</v>
      </c>
      <c r="G725">
        <v>4827623023.7599993</v>
      </c>
      <c r="H725">
        <v>155232569.26326993</v>
      </c>
      <c r="I725">
        <v>132922.34875133474</v>
      </c>
      <c r="J725">
        <v>3292136.0879120887</v>
      </c>
    </row>
    <row r="726" spans="1:10" x14ac:dyDescent="0.25">
      <c r="A726">
        <v>18</v>
      </c>
      <c r="B726">
        <v>27</v>
      </c>
      <c r="C726" t="s">
        <v>17</v>
      </c>
      <c r="D726" t="s">
        <v>26</v>
      </c>
      <c r="E726">
        <v>66211.61538461539</v>
      </c>
      <c r="F726">
        <v>472179.71538461535</v>
      </c>
      <c r="G726">
        <v>40025390144.327995</v>
      </c>
      <c r="H726">
        <v>729368274.86867547</v>
      </c>
      <c r="I726">
        <v>203231.06701274664</v>
      </c>
      <c r="J726">
        <v>13165558.087912092</v>
      </c>
    </row>
    <row r="727" spans="1:10" x14ac:dyDescent="0.25">
      <c r="A727">
        <v>18</v>
      </c>
      <c r="B727">
        <v>28</v>
      </c>
      <c r="C727" t="s">
        <v>17</v>
      </c>
      <c r="D727" t="s">
        <v>27</v>
      </c>
      <c r="E727">
        <v>43275.915384615386</v>
      </c>
      <c r="F727">
        <v>172179.01538461537</v>
      </c>
      <c r="G727" t="s">
        <v>122</v>
      </c>
      <c r="H727" t="s">
        <v>122</v>
      </c>
      <c r="I727">
        <v>314515.33331555995</v>
      </c>
      <c r="J727">
        <v>22691023.793406591</v>
      </c>
    </row>
    <row r="728" spans="1:10" x14ac:dyDescent="0.25">
      <c r="A728">
        <v>18</v>
      </c>
      <c r="B728">
        <v>29</v>
      </c>
      <c r="C728" t="s">
        <v>17</v>
      </c>
      <c r="D728" t="s">
        <v>28</v>
      </c>
      <c r="E728">
        <v>39323.115384615383</v>
      </c>
      <c r="F728">
        <v>416958.0153846154</v>
      </c>
      <c r="G728">
        <v>32672763372.256001</v>
      </c>
      <c r="H728">
        <v>486593107.43477428</v>
      </c>
      <c r="I728">
        <v>314517.87776000437</v>
      </c>
      <c r="J728">
        <v>7037875.5494505512</v>
      </c>
    </row>
    <row r="729" spans="1:10" x14ac:dyDescent="0.25">
      <c r="A729">
        <v>18</v>
      </c>
      <c r="B729">
        <v>30</v>
      </c>
      <c r="C729" t="s">
        <v>17</v>
      </c>
      <c r="D729" t="s">
        <v>29</v>
      </c>
      <c r="E729">
        <v>14482.915384615386</v>
      </c>
      <c r="F729">
        <v>285107.71538461541</v>
      </c>
      <c r="G729">
        <v>16336478218.292</v>
      </c>
      <c r="H729">
        <v>139034483.29014128</v>
      </c>
      <c r="I729">
        <v>314515.77220444882</v>
      </c>
      <c r="J729">
        <v>1914618.8571428584</v>
      </c>
    </row>
    <row r="730" spans="1:10" x14ac:dyDescent="0.25">
      <c r="A730">
        <v>18</v>
      </c>
      <c r="B730">
        <v>31</v>
      </c>
      <c r="C730" t="s">
        <v>17</v>
      </c>
      <c r="D730" t="s">
        <v>30</v>
      </c>
      <c r="E730">
        <v>9372.0769230769256</v>
      </c>
      <c r="F730">
        <v>79859.307692307688</v>
      </c>
      <c r="G730">
        <v>9474722287.5599976</v>
      </c>
      <c r="H730">
        <v>108671105.69378754</v>
      </c>
      <c r="I730">
        <v>203231.22034607996</v>
      </c>
      <c r="J730">
        <v>3506865.0351648368</v>
      </c>
    </row>
    <row r="731" spans="1:10" x14ac:dyDescent="0.25">
      <c r="A731">
        <v>18</v>
      </c>
      <c r="B731">
        <v>32</v>
      </c>
      <c r="C731" t="s">
        <v>17</v>
      </c>
      <c r="D731" t="s">
        <v>31</v>
      </c>
      <c r="E731">
        <v>7217</v>
      </c>
      <c r="F731">
        <v>105406.11538461538</v>
      </c>
      <c r="G731">
        <v>12328514283.859999</v>
      </c>
      <c r="H731">
        <v>86507296.474743962</v>
      </c>
      <c r="I731">
        <v>571424.13803808473</v>
      </c>
      <c r="J731">
        <v>736611.30769230856</v>
      </c>
    </row>
    <row r="732" spans="1:10" x14ac:dyDescent="0.25">
      <c r="A732">
        <v>18</v>
      </c>
      <c r="B732">
        <v>33</v>
      </c>
      <c r="C732" t="s">
        <v>17</v>
      </c>
      <c r="D732" t="s">
        <v>32</v>
      </c>
      <c r="E732">
        <v>70894.384615384581</v>
      </c>
      <c r="F732">
        <v>155116.33846153849</v>
      </c>
      <c r="G732">
        <v>17393226054.960003</v>
      </c>
      <c r="H732">
        <v>165410916.83874398</v>
      </c>
      <c r="I732">
        <v>314516.32109333773</v>
      </c>
      <c r="J732">
        <v>14725914.72527473</v>
      </c>
    </row>
    <row r="733" spans="1:10" x14ac:dyDescent="0.25">
      <c r="A733">
        <v>18</v>
      </c>
      <c r="B733">
        <v>34</v>
      </c>
      <c r="C733" t="s">
        <v>17</v>
      </c>
      <c r="D733" t="s">
        <v>33</v>
      </c>
      <c r="E733">
        <v>303504.92307692335</v>
      </c>
      <c r="F733">
        <v>322678.00427350437</v>
      </c>
      <c r="G733">
        <v>34944814593.52446</v>
      </c>
      <c r="H733">
        <v>875271214.58178747</v>
      </c>
      <c r="I733">
        <v>79381.456450463927</v>
      </c>
      <c r="J733">
        <v>7313624.9846153855</v>
      </c>
    </row>
    <row r="734" spans="1:10" x14ac:dyDescent="0.25">
      <c r="A734">
        <v>18</v>
      </c>
      <c r="B734">
        <v>35</v>
      </c>
      <c r="C734" t="s">
        <v>17</v>
      </c>
      <c r="D734" t="s">
        <v>34</v>
      </c>
      <c r="E734">
        <v>29823.230769230788</v>
      </c>
      <c r="F734">
        <v>71088.153846153888</v>
      </c>
      <c r="G734">
        <v>7661244271.6800041</v>
      </c>
      <c r="H734">
        <v>245536605.65378755</v>
      </c>
      <c r="I734">
        <v>47706.993499616961</v>
      </c>
      <c r="J734">
        <v>3255710.7692307704</v>
      </c>
    </row>
    <row r="735" spans="1:10" x14ac:dyDescent="0.25">
      <c r="A735">
        <v>18</v>
      </c>
      <c r="B735">
        <v>36</v>
      </c>
      <c r="C735" t="s">
        <v>17</v>
      </c>
      <c r="D735" t="s">
        <v>35</v>
      </c>
      <c r="E735">
        <v>10447.461538461535</v>
      </c>
      <c r="F735">
        <v>146934.5384615385</v>
      </c>
      <c r="G735">
        <v>15642362972.920004</v>
      </c>
      <c r="H735">
        <v>100527777.99575719</v>
      </c>
      <c r="I735">
        <v>20548.625762668802</v>
      </c>
      <c r="J735">
        <v>1366294.5846153861</v>
      </c>
    </row>
    <row r="736" spans="1:10" x14ac:dyDescent="0.25">
      <c r="A736">
        <v>18</v>
      </c>
      <c r="B736">
        <v>37</v>
      </c>
      <c r="C736" t="s">
        <v>17</v>
      </c>
      <c r="D736" t="s">
        <v>36</v>
      </c>
      <c r="E736">
        <v>16866.461538461583</v>
      </c>
      <c r="F736">
        <v>141750.04212454209</v>
      </c>
      <c r="G736">
        <v>6283337107.2495222</v>
      </c>
      <c r="H736">
        <v>153559484.48268199</v>
      </c>
      <c r="I736">
        <v>20548.127984891024</v>
      </c>
      <c r="J736">
        <v>4854276.0000000009</v>
      </c>
    </row>
    <row r="737" spans="1:10" x14ac:dyDescent="0.25">
      <c r="A737">
        <v>18</v>
      </c>
      <c r="B737">
        <v>38</v>
      </c>
      <c r="C737" t="s">
        <v>17</v>
      </c>
      <c r="D737" t="s">
        <v>37</v>
      </c>
      <c r="E737">
        <v>6834.6153846153848</v>
      </c>
      <c r="F737">
        <v>62727</v>
      </c>
      <c r="G737">
        <v>2404928089.1999998</v>
      </c>
      <c r="H737">
        <v>83448300.406497151</v>
      </c>
      <c r="I737">
        <v>167319.32212718335</v>
      </c>
      <c r="J737">
        <v>13224812.307692308</v>
      </c>
    </row>
    <row r="738" spans="1:10" x14ac:dyDescent="0.25">
      <c r="A738">
        <v>18</v>
      </c>
      <c r="B738">
        <v>39</v>
      </c>
      <c r="C738" t="s">
        <v>17</v>
      </c>
      <c r="D738" t="s">
        <v>38</v>
      </c>
      <c r="E738">
        <v>9905.0000000000036</v>
      </c>
      <c r="F738">
        <v>146897.45787545788</v>
      </c>
      <c r="G738">
        <v>6742957622.1790466</v>
      </c>
      <c r="H738">
        <v>100901146.80268198</v>
      </c>
      <c r="I738">
        <v>240797.66346072938</v>
      </c>
      <c r="J738">
        <v>20807069.015384618</v>
      </c>
    </row>
    <row r="739" spans="1:10" x14ac:dyDescent="0.25">
      <c r="A739">
        <v>18</v>
      </c>
      <c r="B739">
        <v>40</v>
      </c>
      <c r="C739" t="s">
        <v>17</v>
      </c>
      <c r="D739" t="s">
        <v>39</v>
      </c>
      <c r="E739">
        <v>16451.384615384617</v>
      </c>
      <c r="F739">
        <v>128216.75824175827</v>
      </c>
      <c r="G739">
        <v>5999944231.2857151</v>
      </c>
      <c r="H739">
        <v>86307775.343133733</v>
      </c>
      <c r="I739">
        <v>386016.42702538072</v>
      </c>
      <c r="J739">
        <v>39139142.461538456</v>
      </c>
    </row>
    <row r="740" spans="1:10" x14ac:dyDescent="0.25">
      <c r="A740">
        <v>18</v>
      </c>
      <c r="B740">
        <v>41</v>
      </c>
      <c r="C740" t="s">
        <v>17</v>
      </c>
      <c r="D740" t="s">
        <v>40</v>
      </c>
      <c r="E740">
        <v>28810.307692307688</v>
      </c>
      <c r="F740">
        <v>76395.108058608079</v>
      </c>
      <c r="G740">
        <v>3053338288.2561917</v>
      </c>
      <c r="H740">
        <v>240414517.36649716</v>
      </c>
      <c r="I740">
        <v>240799.7045718405</v>
      </c>
      <c r="J740">
        <v>5424916.430769234</v>
      </c>
    </row>
    <row r="741" spans="1:10" x14ac:dyDescent="0.25">
      <c r="A741">
        <v>19</v>
      </c>
      <c r="B741">
        <v>1</v>
      </c>
      <c r="C741" t="s">
        <v>18</v>
      </c>
      <c r="D741" t="s">
        <v>0</v>
      </c>
      <c r="E741">
        <v>94287.994505494484</v>
      </c>
      <c r="F741">
        <v>88561.8461538462</v>
      </c>
      <c r="G741">
        <v>2558197488.0000014</v>
      </c>
      <c r="H741">
        <v>149606280.25250152</v>
      </c>
      <c r="I741">
        <v>0</v>
      </c>
      <c r="J741">
        <v>0</v>
      </c>
    </row>
    <row r="742" spans="1:10" x14ac:dyDescent="0.25">
      <c r="A742">
        <v>19</v>
      </c>
      <c r="B742">
        <v>2</v>
      </c>
      <c r="C742" t="s">
        <v>18</v>
      </c>
      <c r="D742" t="s">
        <v>1</v>
      </c>
      <c r="E742">
        <v>23026.994505494476</v>
      </c>
      <c r="F742">
        <v>78950.23076923081</v>
      </c>
      <c r="G742">
        <v>2056647195.5200009</v>
      </c>
      <c r="H742">
        <v>26074811.691072945</v>
      </c>
      <c r="I742">
        <v>396259.7963860567</v>
      </c>
      <c r="J742">
        <v>4773195.1384615377</v>
      </c>
    </row>
    <row r="743" spans="1:10" x14ac:dyDescent="0.25">
      <c r="A743">
        <v>19</v>
      </c>
      <c r="B743">
        <v>3</v>
      </c>
      <c r="C743" t="s">
        <v>18</v>
      </c>
      <c r="D743" t="s">
        <v>2</v>
      </c>
      <c r="E743">
        <v>18291.637362637379</v>
      </c>
      <c r="F743">
        <v>81984.461538461503</v>
      </c>
      <c r="G743">
        <v>2071101305.519999</v>
      </c>
      <c r="H743">
        <v>68524728.143978596</v>
      </c>
      <c r="I743">
        <v>258973.29946362047</v>
      </c>
      <c r="J743">
        <v>6915042.4000000022</v>
      </c>
    </row>
    <row r="744" spans="1:10" x14ac:dyDescent="0.25">
      <c r="A744">
        <v>19</v>
      </c>
      <c r="B744">
        <v>4</v>
      </c>
      <c r="C744" t="s">
        <v>18</v>
      </c>
      <c r="D744" t="s">
        <v>3</v>
      </c>
      <c r="E744">
        <v>32947.994505494476</v>
      </c>
      <c r="F744">
        <v>71091.384615384595</v>
      </c>
      <c r="G744">
        <v>3696382324.7999983</v>
      </c>
      <c r="H744">
        <v>118906419.60119826</v>
      </c>
      <c r="I744">
        <v>155976.89988193478</v>
      </c>
      <c r="J744">
        <v>1893586.9846153809</v>
      </c>
    </row>
    <row r="745" spans="1:10" x14ac:dyDescent="0.25">
      <c r="A745">
        <v>19</v>
      </c>
      <c r="B745">
        <v>5</v>
      </c>
      <c r="C745" t="s">
        <v>18</v>
      </c>
      <c r="D745" t="s">
        <v>4</v>
      </c>
      <c r="E745">
        <v>66684.565934065977</v>
      </c>
      <c r="F745">
        <v>102891.4615384615</v>
      </c>
      <c r="G745">
        <v>6030707268.9599981</v>
      </c>
      <c r="H745">
        <v>30421800.918458298</v>
      </c>
      <c r="I745">
        <v>54536.583226672199</v>
      </c>
      <c r="J745">
        <v>1234592.307692308</v>
      </c>
    </row>
    <row r="746" spans="1:10" x14ac:dyDescent="0.25">
      <c r="A746">
        <v>19</v>
      </c>
      <c r="B746">
        <v>6</v>
      </c>
      <c r="C746" t="s">
        <v>18</v>
      </c>
      <c r="D746" t="s">
        <v>5</v>
      </c>
      <c r="E746">
        <v>15012.708791208775</v>
      </c>
      <c r="F746">
        <v>168680.77289377298</v>
      </c>
      <c r="G746">
        <v>11906649474.560007</v>
      </c>
      <c r="H746">
        <v>149878574.68131542</v>
      </c>
      <c r="I746">
        <v>54535.872115561084</v>
      </c>
      <c r="J746">
        <v>2254319.9999999991</v>
      </c>
    </row>
    <row r="747" spans="1:10" x14ac:dyDescent="0.25">
      <c r="A747">
        <v>19</v>
      </c>
      <c r="B747">
        <v>7</v>
      </c>
      <c r="C747" t="s">
        <v>18</v>
      </c>
      <c r="D747" t="s">
        <v>6</v>
      </c>
      <c r="E747">
        <v>6762.7087912087873</v>
      </c>
      <c r="F747">
        <v>102227.07692307691</v>
      </c>
      <c r="G747">
        <v>5889755789.7599993</v>
      </c>
      <c r="H747">
        <v>11189577.147029728</v>
      </c>
      <c r="I747">
        <v>54534.533226672196</v>
      </c>
      <c r="J747">
        <v>1301556.4615384622</v>
      </c>
    </row>
    <row r="748" spans="1:10" x14ac:dyDescent="0.25">
      <c r="A748">
        <v>19</v>
      </c>
      <c r="B748">
        <v>8</v>
      </c>
      <c r="C748" t="s">
        <v>18</v>
      </c>
      <c r="D748" t="s">
        <v>7</v>
      </c>
      <c r="E748">
        <v>36409.780219780179</v>
      </c>
      <c r="F748">
        <v>159824.84615384601</v>
      </c>
      <c r="G748">
        <v>8192544897.9199944</v>
      </c>
      <c r="H748">
        <v>35970232.144626826</v>
      </c>
      <c r="I748">
        <v>167322.02101607225</v>
      </c>
      <c r="J748">
        <v>2053921.9999999998</v>
      </c>
    </row>
    <row r="749" spans="1:10" x14ac:dyDescent="0.25">
      <c r="A749">
        <v>19</v>
      </c>
      <c r="B749">
        <v>9</v>
      </c>
      <c r="C749" t="s">
        <v>18</v>
      </c>
      <c r="D749" t="s">
        <v>8</v>
      </c>
      <c r="E749">
        <v>2405.3776223776217</v>
      </c>
      <c r="F749">
        <v>610157.62179487199</v>
      </c>
      <c r="G749">
        <v>20124560370.306675</v>
      </c>
      <c r="H749">
        <v>16945653.991072945</v>
      </c>
      <c r="I749">
        <v>396261.24305272335</v>
      </c>
      <c r="J749">
        <v>8727969.8461538479</v>
      </c>
    </row>
    <row r="750" spans="1:10" x14ac:dyDescent="0.25">
      <c r="A750">
        <v>19</v>
      </c>
      <c r="B750">
        <v>10</v>
      </c>
      <c r="C750" t="s">
        <v>18</v>
      </c>
      <c r="D750" t="s">
        <v>9</v>
      </c>
      <c r="E750">
        <v>22888.137362637379</v>
      </c>
      <c r="F750">
        <v>134533.92307692312</v>
      </c>
      <c r="G750">
        <v>8323420091.920002</v>
      </c>
      <c r="H750">
        <v>77757577.9784583</v>
      </c>
      <c r="I750">
        <v>54535.061004449977</v>
      </c>
      <c r="J750">
        <v>7059582.4153846158</v>
      </c>
    </row>
    <row r="751" spans="1:10" x14ac:dyDescent="0.25">
      <c r="A751">
        <v>19</v>
      </c>
      <c r="B751">
        <v>11</v>
      </c>
      <c r="C751" t="s">
        <v>18</v>
      </c>
      <c r="D751" t="s">
        <v>10</v>
      </c>
      <c r="E751">
        <v>23055.307692307677</v>
      </c>
      <c r="F751">
        <v>137298</v>
      </c>
      <c r="G751">
        <v>11090350296.48</v>
      </c>
      <c r="H751">
        <v>74842203.710189223</v>
      </c>
      <c r="I751">
        <v>203232.32256830219</v>
      </c>
      <c r="J751">
        <v>3335652.2092307699</v>
      </c>
    </row>
    <row r="752" spans="1:10" x14ac:dyDescent="0.25">
      <c r="A752">
        <v>19</v>
      </c>
      <c r="B752">
        <v>12</v>
      </c>
      <c r="C752" t="s">
        <v>18</v>
      </c>
      <c r="D752" t="s">
        <v>11</v>
      </c>
      <c r="E752">
        <v>20023.923076923078</v>
      </c>
      <c r="F752">
        <v>82024.076923076907</v>
      </c>
      <c r="G752">
        <v>5216872373.7199993</v>
      </c>
      <c r="H752">
        <v>85691826.517095655</v>
      </c>
      <c r="I752">
        <v>16298.145806071323</v>
      </c>
      <c r="J752">
        <v>1492439.3230769238</v>
      </c>
    </row>
    <row r="753" spans="1:10" x14ac:dyDescent="0.25">
      <c r="A753">
        <v>19</v>
      </c>
      <c r="B753">
        <v>13</v>
      </c>
      <c r="C753" t="s">
        <v>18</v>
      </c>
      <c r="D753" t="s">
        <v>12</v>
      </c>
      <c r="E753">
        <v>5102.3076923076969</v>
      </c>
      <c r="F753">
        <v>63712.538461538497</v>
      </c>
      <c r="G753">
        <v>3580415296.4000015</v>
      </c>
      <c r="H753">
        <v>16571707.365730653</v>
      </c>
      <c r="I753">
        <v>16280.838028293543</v>
      </c>
      <c r="J753">
        <v>691949.07692307676</v>
      </c>
    </row>
    <row r="754" spans="1:10" x14ac:dyDescent="0.25">
      <c r="A754">
        <v>19</v>
      </c>
      <c r="B754">
        <v>14</v>
      </c>
      <c r="C754" t="s">
        <v>18</v>
      </c>
      <c r="D754" t="s">
        <v>13</v>
      </c>
      <c r="E754">
        <v>25727.307692307677</v>
      </c>
      <c r="F754">
        <v>210176.76923076899</v>
      </c>
      <c r="G754">
        <v>10276828529.519987</v>
      </c>
      <c r="H754">
        <v>56694582.757730663</v>
      </c>
      <c r="I754">
        <v>1812131.5834337983</v>
      </c>
      <c r="J754">
        <v>18472913.846153833</v>
      </c>
    </row>
    <row r="755" spans="1:10" x14ac:dyDescent="0.25">
      <c r="A755">
        <v>19</v>
      </c>
      <c r="B755">
        <v>15</v>
      </c>
      <c r="C755" t="s">
        <v>18</v>
      </c>
      <c r="D755" t="s">
        <v>14</v>
      </c>
      <c r="E755">
        <v>49526.692307692276</v>
      </c>
      <c r="F755">
        <v>332352.46153846203</v>
      </c>
      <c r="G755">
        <v>18886473684.96003</v>
      </c>
      <c r="H755">
        <v>122787646.26559041</v>
      </c>
      <c r="I755">
        <v>1812132.5078782425</v>
      </c>
      <c r="J755">
        <v>83006694.153846219</v>
      </c>
    </row>
    <row r="756" spans="1:10" x14ac:dyDescent="0.25">
      <c r="A756">
        <v>19</v>
      </c>
      <c r="B756">
        <v>16</v>
      </c>
      <c r="C756" t="s">
        <v>18</v>
      </c>
      <c r="D756" t="s">
        <v>15</v>
      </c>
      <c r="E756">
        <v>39219.15384615388</v>
      </c>
      <c r="F756">
        <v>570565.69230769202</v>
      </c>
      <c r="G756">
        <v>41952554223.999977</v>
      </c>
      <c r="H756">
        <v>93610441.973251596</v>
      </c>
      <c r="I756">
        <v>571422.29692697362</v>
      </c>
      <c r="J756">
        <v>6634302.6461538505</v>
      </c>
    </row>
    <row r="757" spans="1:10" x14ac:dyDescent="0.25">
      <c r="A757">
        <v>19</v>
      </c>
      <c r="B757">
        <v>17</v>
      </c>
      <c r="C757" t="s">
        <v>18</v>
      </c>
      <c r="D757" t="s">
        <v>16</v>
      </c>
      <c r="E757">
        <v>66278.23076923078</v>
      </c>
      <c r="F757">
        <v>215449.538461538</v>
      </c>
      <c r="G757">
        <v>19451189377.43996</v>
      </c>
      <c r="H757">
        <v>368637751.41330117</v>
      </c>
      <c r="I757">
        <v>72561.903986289486</v>
      </c>
      <c r="J757">
        <v>3141984.0307692289</v>
      </c>
    </row>
    <row r="758" spans="1:10" x14ac:dyDescent="0.25">
      <c r="A758">
        <v>19</v>
      </c>
      <c r="B758">
        <v>18</v>
      </c>
      <c r="C758" t="s">
        <v>18</v>
      </c>
      <c r="D758" t="s">
        <v>17</v>
      </c>
      <c r="E758">
        <v>25544.692307692279</v>
      </c>
      <c r="F758">
        <v>92620.384615384595</v>
      </c>
      <c r="G758">
        <v>7953330950.9999981</v>
      </c>
      <c r="H758">
        <v>87023434.881251618</v>
      </c>
      <c r="I758">
        <v>13803.862629216803</v>
      </c>
      <c r="J758">
        <v>9156003.9384615738</v>
      </c>
    </row>
    <row r="759" spans="1:10" x14ac:dyDescent="0.25">
      <c r="A759">
        <v>19</v>
      </c>
      <c r="B759">
        <v>19</v>
      </c>
      <c r="C759" t="s">
        <v>18</v>
      </c>
      <c r="D759" t="s">
        <v>18</v>
      </c>
      <c r="E759">
        <v>0</v>
      </c>
      <c r="F759">
        <v>0</v>
      </c>
      <c r="G759">
        <v>0</v>
      </c>
      <c r="H759">
        <v>0</v>
      </c>
      <c r="I759">
        <v>72561.62620851172</v>
      </c>
      <c r="J759">
        <v>1158911.4461538463</v>
      </c>
    </row>
    <row r="760" spans="1:10" x14ac:dyDescent="0.25">
      <c r="A760">
        <v>19</v>
      </c>
      <c r="B760">
        <v>20</v>
      </c>
      <c r="C760" t="s">
        <v>18</v>
      </c>
      <c r="D760" t="s">
        <v>19</v>
      </c>
      <c r="E760">
        <v>60267.615384615376</v>
      </c>
      <c r="F760">
        <v>103154.6666666667</v>
      </c>
      <c r="G760">
        <v>877664661.12000024</v>
      </c>
      <c r="H760">
        <v>240577854.25004724</v>
      </c>
      <c r="I760">
        <v>70021.680277008651</v>
      </c>
      <c r="J760">
        <v>3445844.6769230799</v>
      </c>
    </row>
    <row r="761" spans="1:10" x14ac:dyDescent="0.25">
      <c r="A761">
        <v>19</v>
      </c>
      <c r="B761">
        <v>21</v>
      </c>
      <c r="C761" t="s">
        <v>18</v>
      </c>
      <c r="D761" t="s">
        <v>20</v>
      </c>
      <c r="E761">
        <v>39112.23076923078</v>
      </c>
      <c r="F761">
        <v>147306.33333333299</v>
      </c>
      <c r="G761">
        <v>3241605494.5733252</v>
      </c>
      <c r="H761">
        <v>11697893.743518975</v>
      </c>
      <c r="I761">
        <v>13803.262629216802</v>
      </c>
      <c r="J761">
        <v>8238240.9846153827</v>
      </c>
    </row>
    <row r="762" spans="1:10" x14ac:dyDescent="0.25">
      <c r="A762">
        <v>19</v>
      </c>
      <c r="B762">
        <v>22</v>
      </c>
      <c r="C762" t="s">
        <v>18</v>
      </c>
      <c r="D762" t="s">
        <v>21</v>
      </c>
      <c r="E762">
        <v>23552.076923076878</v>
      </c>
      <c r="F762">
        <v>166433.33333333299</v>
      </c>
      <c r="G762">
        <v>1713251418.6666632</v>
      </c>
      <c r="H762">
        <v>228000476.70017338</v>
      </c>
      <c r="I762">
        <v>54.641939561631943</v>
      </c>
      <c r="J762">
        <v>17.86</v>
      </c>
    </row>
    <row r="763" spans="1:10" x14ac:dyDescent="0.25">
      <c r="A763">
        <v>19</v>
      </c>
      <c r="B763">
        <v>23</v>
      </c>
      <c r="C763" t="s">
        <v>18</v>
      </c>
      <c r="D763" t="s">
        <v>22</v>
      </c>
      <c r="E763">
        <v>8230.6153846153866</v>
      </c>
      <c r="F763">
        <v>150169.66666666701</v>
      </c>
      <c r="G763">
        <v>2784079545.346673</v>
      </c>
      <c r="H763">
        <v>96593440.744321838</v>
      </c>
      <c r="I763">
        <v>927435.77376436791</v>
      </c>
      <c r="J763">
        <v>28815952.747252747</v>
      </c>
    </row>
    <row r="764" spans="1:10" x14ac:dyDescent="0.25">
      <c r="A764">
        <v>19</v>
      </c>
      <c r="B764">
        <v>24</v>
      </c>
      <c r="C764" t="s">
        <v>18</v>
      </c>
      <c r="D764" t="s">
        <v>23</v>
      </c>
      <c r="E764">
        <v>9392.9999999999964</v>
      </c>
      <c r="F764">
        <v>107641.6666666667</v>
      </c>
      <c r="G764">
        <v>3482457645.3333344</v>
      </c>
      <c r="H764">
        <v>88245851.344321832</v>
      </c>
      <c r="I764">
        <v>927436.15154214564</v>
      </c>
      <c r="J764">
        <v>9212916.3076923061</v>
      </c>
    </row>
    <row r="765" spans="1:10" x14ac:dyDescent="0.25">
      <c r="A765">
        <v>19</v>
      </c>
      <c r="B765">
        <v>25</v>
      </c>
      <c r="C765" t="s">
        <v>18</v>
      </c>
      <c r="D765" t="s">
        <v>24</v>
      </c>
      <c r="E765">
        <v>6997.6153846153875</v>
      </c>
      <c r="F765">
        <v>100589.3333333333</v>
      </c>
      <c r="G765">
        <v>2509402098.6666656</v>
      </c>
      <c r="H765">
        <v>29534238.244321842</v>
      </c>
      <c r="I765">
        <v>482851.55328643927</v>
      </c>
      <c r="J765">
        <v>10163717.301098902</v>
      </c>
    </row>
    <row r="766" spans="1:10" x14ac:dyDescent="0.25">
      <c r="A766">
        <v>19</v>
      </c>
      <c r="B766">
        <v>26</v>
      </c>
      <c r="C766" t="s">
        <v>18</v>
      </c>
      <c r="D766" t="s">
        <v>25</v>
      </c>
      <c r="E766">
        <v>6076.6923076923067</v>
      </c>
      <c r="F766">
        <v>86663</v>
      </c>
      <c r="G766">
        <v>4009907409.5599999</v>
      </c>
      <c r="H766">
        <v>77238397.135949492</v>
      </c>
      <c r="I766">
        <v>566970.77795634489</v>
      </c>
      <c r="J766">
        <v>31742891.393406592</v>
      </c>
    </row>
    <row r="767" spans="1:10" x14ac:dyDescent="0.25">
      <c r="A767">
        <v>19</v>
      </c>
      <c r="B767">
        <v>27</v>
      </c>
      <c r="C767" t="s">
        <v>18</v>
      </c>
      <c r="D767" t="s">
        <v>26</v>
      </c>
      <c r="E767">
        <v>61291.923076923078</v>
      </c>
      <c r="F767">
        <v>456596.1</v>
      </c>
      <c r="G767">
        <v>6810441316.8479996</v>
      </c>
      <c r="H767">
        <v>650735537.41004717</v>
      </c>
      <c r="I767">
        <v>675919.62951612973</v>
      </c>
      <c r="J767">
        <v>43387141.975824177</v>
      </c>
    </row>
    <row r="768" spans="1:10" x14ac:dyDescent="0.25">
      <c r="A768">
        <v>19</v>
      </c>
      <c r="B768">
        <v>28</v>
      </c>
      <c r="C768" t="s">
        <v>18</v>
      </c>
      <c r="D768" t="s">
        <v>27</v>
      </c>
      <c r="E768">
        <v>38356.223076923081</v>
      </c>
      <c r="F768">
        <v>156595.4</v>
      </c>
      <c r="G768" t="s">
        <v>122</v>
      </c>
      <c r="H768" t="s">
        <v>122</v>
      </c>
      <c r="I768">
        <v>675922.1739605742</v>
      </c>
      <c r="J768">
        <v>33948428.279120877</v>
      </c>
    </row>
    <row r="769" spans="1:10" x14ac:dyDescent="0.25">
      <c r="A769">
        <v>19</v>
      </c>
      <c r="B769">
        <v>29</v>
      </c>
      <c r="C769" t="s">
        <v>18</v>
      </c>
      <c r="D769" t="s">
        <v>28</v>
      </c>
      <c r="E769">
        <v>34403.423076923078</v>
      </c>
      <c r="F769">
        <v>401374.4</v>
      </c>
      <c r="G769">
        <v>3140947339.7119999</v>
      </c>
      <c r="H769">
        <v>407955206.70017338</v>
      </c>
      <c r="I769">
        <v>675920.06840501865</v>
      </c>
      <c r="J769">
        <v>24823700.808791209</v>
      </c>
    </row>
    <row r="770" spans="1:10" x14ac:dyDescent="0.25">
      <c r="A770">
        <v>19</v>
      </c>
      <c r="B770">
        <v>30</v>
      </c>
      <c r="C770" t="s">
        <v>18</v>
      </c>
      <c r="D770" t="s">
        <v>29</v>
      </c>
      <c r="E770">
        <v>9563.2230769230773</v>
      </c>
      <c r="F770">
        <v>269524.09999999998</v>
      </c>
      <c r="G770">
        <v>7700540718.2079992</v>
      </c>
      <c r="H770">
        <v>60808939.552321836</v>
      </c>
      <c r="I770">
        <v>566970.93128967821</v>
      </c>
      <c r="J770">
        <v>23812637.999999996</v>
      </c>
    </row>
    <row r="771" spans="1:10" x14ac:dyDescent="0.25">
      <c r="A771">
        <v>19</v>
      </c>
      <c r="B771">
        <v>31</v>
      </c>
      <c r="C771" t="s">
        <v>18</v>
      </c>
      <c r="D771" t="s">
        <v>30</v>
      </c>
      <c r="E771">
        <v>4452.3846153846171</v>
      </c>
      <c r="F771">
        <v>64275.692307692298</v>
      </c>
      <c r="G771">
        <v>2906528808.9599996</v>
      </c>
      <c r="H771">
        <v>30200147.557388969</v>
      </c>
      <c r="I771">
        <v>927438.23487547901</v>
      </c>
      <c r="J771">
        <v>16269350.692307688</v>
      </c>
    </row>
    <row r="772" spans="1:10" x14ac:dyDescent="0.25">
      <c r="A772">
        <v>19</v>
      </c>
      <c r="B772">
        <v>32</v>
      </c>
      <c r="C772" t="s">
        <v>18</v>
      </c>
      <c r="D772" t="s">
        <v>31</v>
      </c>
      <c r="E772">
        <v>2297.3076923076919</v>
      </c>
      <c r="F772">
        <v>89822.5</v>
      </c>
      <c r="G772">
        <v>3906071535.5999999</v>
      </c>
      <c r="H772">
        <v>8235162.592349235</v>
      </c>
      <c r="I772">
        <v>675920.61729390745</v>
      </c>
      <c r="J772">
        <v>36719703.956043959</v>
      </c>
    </row>
    <row r="773" spans="1:10" x14ac:dyDescent="0.25">
      <c r="A773">
        <v>19</v>
      </c>
      <c r="B773">
        <v>33</v>
      </c>
      <c r="C773" t="s">
        <v>18</v>
      </c>
      <c r="D773" t="s">
        <v>32</v>
      </c>
      <c r="E773">
        <v>65974.692307692269</v>
      </c>
      <c r="F773">
        <v>139532.72307692311</v>
      </c>
      <c r="G773">
        <v>5400926599.9920006</v>
      </c>
      <c r="H773">
        <v>87138782.956349239</v>
      </c>
      <c r="I773">
        <v>454723.16493940999</v>
      </c>
      <c r="J773">
        <v>43843294.615384616</v>
      </c>
    </row>
    <row r="774" spans="1:10" x14ac:dyDescent="0.25">
      <c r="A774">
        <v>19</v>
      </c>
      <c r="B774">
        <v>34</v>
      </c>
      <c r="C774" t="s">
        <v>18</v>
      </c>
      <c r="D774" t="s">
        <v>33</v>
      </c>
      <c r="E774">
        <v>298585.23076923104</v>
      </c>
      <c r="F774">
        <v>307094.38888888899</v>
      </c>
      <c r="G774">
        <v>10773902999.368893</v>
      </c>
      <c r="H774">
        <v>796800256.44538879</v>
      </c>
      <c r="I774">
        <v>451897.73991786002</v>
      </c>
      <c r="J774">
        <v>32724884.246153843</v>
      </c>
    </row>
    <row r="775" spans="1:10" x14ac:dyDescent="0.25">
      <c r="A775">
        <v>19</v>
      </c>
      <c r="B775">
        <v>35</v>
      </c>
      <c r="C775" t="s">
        <v>18</v>
      </c>
      <c r="D775" t="s">
        <v>34</v>
      </c>
      <c r="E775">
        <v>24903.538461538479</v>
      </c>
      <c r="F775">
        <v>55504.538461538497</v>
      </c>
      <c r="G775">
        <v>1970606491.3600011</v>
      </c>
      <c r="H775">
        <v>167065647.51738897</v>
      </c>
      <c r="I775">
        <v>396292.91225121624</v>
      </c>
      <c r="J775">
        <v>28085138.92307692</v>
      </c>
    </row>
    <row r="776" spans="1:10" x14ac:dyDescent="0.25">
      <c r="A776">
        <v>19</v>
      </c>
      <c r="B776">
        <v>36</v>
      </c>
      <c r="C776" t="s">
        <v>18</v>
      </c>
      <c r="D776" t="s">
        <v>35</v>
      </c>
      <c r="E776">
        <v>5527.7692307692269</v>
      </c>
      <c r="F776">
        <v>131350.92307692312</v>
      </c>
      <c r="G776">
        <v>4421970857.6800013</v>
      </c>
      <c r="H776">
        <v>22022537.363072947</v>
      </c>
      <c r="I776">
        <v>396292.41447343846</v>
      </c>
      <c r="J776">
        <v>28005507.692307688</v>
      </c>
    </row>
    <row r="777" spans="1:10" x14ac:dyDescent="0.25">
      <c r="A777">
        <v>19</v>
      </c>
      <c r="B777">
        <v>37</v>
      </c>
      <c r="C777" t="s">
        <v>18</v>
      </c>
      <c r="D777" t="s">
        <v>36</v>
      </c>
      <c r="E777">
        <v>11946.769230769276</v>
      </c>
      <c r="F777">
        <v>126166.4267399267</v>
      </c>
      <c r="G777">
        <v>9568320497.5580921</v>
      </c>
      <c r="H777">
        <v>75542375.748398423</v>
      </c>
      <c r="I777">
        <v>117116162.81</v>
      </c>
      <c r="J777">
        <v>40057252.615384616</v>
      </c>
    </row>
    <row r="778" spans="1:10" x14ac:dyDescent="0.25">
      <c r="A778">
        <v>19</v>
      </c>
      <c r="B778">
        <v>38</v>
      </c>
      <c r="C778" t="s">
        <v>18</v>
      </c>
      <c r="D778" t="s">
        <v>37</v>
      </c>
      <c r="E778">
        <v>1914.9230769230769</v>
      </c>
      <c r="F778">
        <v>47143.384615384617</v>
      </c>
      <c r="G778">
        <v>4783575121.9200001</v>
      </c>
      <c r="H778">
        <v>5576364.483649224</v>
      </c>
      <c r="I778">
        <v>603739.0381208295</v>
      </c>
      <c r="J778">
        <v>55554178.338461533</v>
      </c>
    </row>
    <row r="779" spans="1:10" x14ac:dyDescent="0.25">
      <c r="A779">
        <v>19</v>
      </c>
      <c r="B779">
        <v>39</v>
      </c>
      <c r="C779" t="s">
        <v>18</v>
      </c>
      <c r="D779" t="s">
        <v>38</v>
      </c>
      <c r="E779">
        <v>4985.3076923076969</v>
      </c>
      <c r="F779">
        <v>131313.84249084251</v>
      </c>
      <c r="G779">
        <v>10572492410.68</v>
      </c>
      <c r="H779">
        <v>22884038.06839842</v>
      </c>
      <c r="I779">
        <v>797860.56490342598</v>
      </c>
      <c r="J779">
        <v>82115746.030769214</v>
      </c>
    </row>
    <row r="780" spans="1:10" x14ac:dyDescent="0.25">
      <c r="A780">
        <v>19</v>
      </c>
      <c r="B780">
        <v>40</v>
      </c>
      <c r="C780" t="s">
        <v>18</v>
      </c>
      <c r="D780" t="s">
        <v>39</v>
      </c>
      <c r="E780">
        <v>11531.692307692307</v>
      </c>
      <c r="F780">
        <v>112633.1428571429</v>
      </c>
      <c r="G780">
        <v>10304788218.697145</v>
      </c>
      <c r="H780">
        <v>8379010.8262384823</v>
      </c>
      <c r="I780">
        <v>603741.07923194068</v>
      </c>
      <c r="J780">
        <v>45631115.384615377</v>
      </c>
    </row>
    <row r="781" spans="1:10" x14ac:dyDescent="0.25">
      <c r="A781">
        <v>19</v>
      </c>
      <c r="B781">
        <v>41</v>
      </c>
      <c r="C781" t="s">
        <v>18</v>
      </c>
      <c r="D781" t="s">
        <v>40</v>
      </c>
      <c r="E781">
        <v>23890.615384615379</v>
      </c>
      <c r="F781">
        <v>60811.492673992703</v>
      </c>
      <c r="G781">
        <v>5509338801.7857161</v>
      </c>
      <c r="H781">
        <v>162542581.44364923</v>
      </c>
      <c r="I781">
        <v>396259.7963860567</v>
      </c>
      <c r="J781">
        <v>4773195.1384615377</v>
      </c>
    </row>
    <row r="782" spans="1:10" x14ac:dyDescent="0.25">
      <c r="A782">
        <v>20</v>
      </c>
      <c r="B782">
        <v>1</v>
      </c>
      <c r="C782" t="s">
        <v>19</v>
      </c>
      <c r="D782" t="s">
        <v>0</v>
      </c>
      <c r="E782">
        <v>124450.84065934064</v>
      </c>
      <c r="F782">
        <v>110128.17948717953</v>
      </c>
      <c r="G782">
        <v>2284653134.7333341</v>
      </c>
      <c r="H782">
        <v>381742669.66261435</v>
      </c>
      <c r="I782">
        <v>0</v>
      </c>
      <c r="J782">
        <v>0</v>
      </c>
    </row>
    <row r="783" spans="1:10" x14ac:dyDescent="0.25">
      <c r="A783">
        <v>20</v>
      </c>
      <c r="B783">
        <v>2</v>
      </c>
      <c r="C783" t="s">
        <v>19</v>
      </c>
      <c r="D783" t="s">
        <v>1</v>
      </c>
      <c r="E783">
        <v>53189.840659340625</v>
      </c>
      <c r="F783">
        <v>100516.56410256414</v>
      </c>
      <c r="G783">
        <v>1800183311.8133342</v>
      </c>
      <c r="H783">
        <v>258211201.10118574</v>
      </c>
      <c r="I783">
        <v>210924.73989347881</v>
      </c>
      <c r="J783">
        <v>7758808.6153846169</v>
      </c>
    </row>
    <row r="784" spans="1:10" x14ac:dyDescent="0.25">
      <c r="A784">
        <v>20</v>
      </c>
      <c r="B784">
        <v>3</v>
      </c>
      <c r="C784" t="s">
        <v>19</v>
      </c>
      <c r="D784" t="s">
        <v>2</v>
      </c>
      <c r="E784">
        <v>48454.483516483531</v>
      </c>
      <c r="F784">
        <v>103550.79487179485</v>
      </c>
      <c r="G784">
        <v>1772947005.4133327</v>
      </c>
      <c r="H784">
        <v>300698943.22586703</v>
      </c>
      <c r="I784">
        <v>136.71341435772288</v>
      </c>
      <c r="J784">
        <v>5908641.5384615334</v>
      </c>
    </row>
    <row r="785" spans="1:10" x14ac:dyDescent="0.25">
      <c r="A785">
        <v>20</v>
      </c>
      <c r="B785">
        <v>4</v>
      </c>
      <c r="C785" t="s">
        <v>19</v>
      </c>
      <c r="D785" t="s">
        <v>3</v>
      </c>
      <c r="E785">
        <v>63110.840659340625</v>
      </c>
      <c r="F785">
        <v>92657.717948717938</v>
      </c>
      <c r="G785">
        <v>4063430094.4666662</v>
      </c>
      <c r="H785">
        <v>351016493.94587946</v>
      </c>
      <c r="I785">
        <v>252472.6651741637</v>
      </c>
      <c r="J785">
        <v>6219740.769230769</v>
      </c>
    </row>
    <row r="786" spans="1:10" x14ac:dyDescent="0.25">
      <c r="A786">
        <v>20</v>
      </c>
      <c r="B786">
        <v>5</v>
      </c>
      <c r="C786" t="s">
        <v>19</v>
      </c>
      <c r="D786" t="s">
        <v>4</v>
      </c>
      <c r="E786">
        <v>96847.412087912133</v>
      </c>
      <c r="F786">
        <v>124457.79487179485</v>
      </c>
      <c r="G786">
        <v>6281598974.5866652</v>
      </c>
      <c r="H786">
        <v>262550362.43976513</v>
      </c>
      <c r="I786">
        <v>252471.9540630526</v>
      </c>
      <c r="J786">
        <v>10632611.446153846</v>
      </c>
    </row>
    <row r="787" spans="1:10" x14ac:dyDescent="0.25">
      <c r="A787">
        <v>20</v>
      </c>
      <c r="B787">
        <v>6</v>
      </c>
      <c r="C787" t="s">
        <v>19</v>
      </c>
      <c r="D787" t="s">
        <v>5</v>
      </c>
      <c r="E787">
        <v>45175.55494505493</v>
      </c>
      <c r="F787">
        <v>190247.10622710633</v>
      </c>
      <c r="G787">
        <v>11880224064.647625</v>
      </c>
      <c r="H787">
        <v>382007136.20262223</v>
      </c>
      <c r="I787">
        <v>252470.61517416371</v>
      </c>
      <c r="J787">
        <v>7996931.3230769224</v>
      </c>
    </row>
    <row r="788" spans="1:10" x14ac:dyDescent="0.25">
      <c r="A788">
        <v>20</v>
      </c>
      <c r="B788">
        <v>7</v>
      </c>
      <c r="C788" t="s">
        <v>19</v>
      </c>
      <c r="D788" t="s">
        <v>6</v>
      </c>
      <c r="E788">
        <v>36925.554945054944</v>
      </c>
      <c r="F788">
        <v>123793.41025641024</v>
      </c>
      <c r="G788">
        <v>6124535372.0799999</v>
      </c>
      <c r="H788">
        <v>243318138.66833654</v>
      </c>
      <c r="I788">
        <v>603730.0049101091</v>
      </c>
      <c r="J788">
        <v>12321443.076923078</v>
      </c>
    </row>
    <row r="789" spans="1:10" x14ac:dyDescent="0.25">
      <c r="A789">
        <v>20</v>
      </c>
      <c r="B789">
        <v>8</v>
      </c>
      <c r="C789" t="s">
        <v>19</v>
      </c>
      <c r="D789" t="s">
        <v>7</v>
      </c>
      <c r="E789">
        <v>66572.626373626335</v>
      </c>
      <c r="F789">
        <v>181391.17948717932</v>
      </c>
      <c r="G789">
        <v>7821391757.0133266</v>
      </c>
      <c r="H789">
        <v>268080306.48930803</v>
      </c>
      <c r="I789">
        <v>0</v>
      </c>
      <c r="J789">
        <v>8340674.9538461529</v>
      </c>
    </row>
    <row r="790" spans="1:10" x14ac:dyDescent="0.25">
      <c r="A790">
        <v>20</v>
      </c>
      <c r="B790">
        <v>9</v>
      </c>
      <c r="C790" t="s">
        <v>19</v>
      </c>
      <c r="D790" t="s">
        <v>8</v>
      </c>
      <c r="E790">
        <v>32568.223776223775</v>
      </c>
      <c r="F790">
        <v>631723.95512820536</v>
      </c>
      <c r="G790">
        <v>13669394554.813337</v>
      </c>
      <c r="H790">
        <v>249082043.40118572</v>
      </c>
      <c r="I790">
        <v>252471.1429519415</v>
      </c>
      <c r="J790">
        <v>15134333.507692309</v>
      </c>
    </row>
    <row r="791" spans="1:10" x14ac:dyDescent="0.25">
      <c r="A791">
        <v>20</v>
      </c>
      <c r="B791">
        <v>10</v>
      </c>
      <c r="C791" t="s">
        <v>19</v>
      </c>
      <c r="D791" t="s">
        <v>9</v>
      </c>
      <c r="E791">
        <v>53050.983516483531</v>
      </c>
      <c r="F791">
        <v>156100.25641025644</v>
      </c>
      <c r="G791">
        <v>8386948332.4000006</v>
      </c>
      <c r="H791">
        <v>309886139.49976516</v>
      </c>
      <c r="I791">
        <v>566972.03351190034</v>
      </c>
      <c r="J791">
        <v>11631793.070769232</v>
      </c>
    </row>
    <row r="792" spans="1:10" x14ac:dyDescent="0.25">
      <c r="A792">
        <v>20</v>
      </c>
      <c r="B792">
        <v>11</v>
      </c>
      <c r="C792" t="s">
        <v>19</v>
      </c>
      <c r="D792" t="s">
        <v>10</v>
      </c>
      <c r="E792">
        <v>53218.153846153829</v>
      </c>
      <c r="F792">
        <v>158864.33333333334</v>
      </c>
      <c r="G792">
        <v>13358031213.453333</v>
      </c>
      <c r="H792">
        <v>307049818.77859539</v>
      </c>
      <c r="I792">
        <v>208973.81835052324</v>
      </c>
      <c r="J792">
        <v>9636880.2461538482</v>
      </c>
    </row>
    <row r="793" spans="1:10" x14ac:dyDescent="0.25">
      <c r="A793">
        <v>20</v>
      </c>
      <c r="B793">
        <v>12</v>
      </c>
      <c r="C793" t="s">
        <v>19</v>
      </c>
      <c r="D793" t="s">
        <v>11</v>
      </c>
      <c r="E793">
        <v>50186.769230769234</v>
      </c>
      <c r="F793">
        <v>103590.41025641024</v>
      </c>
      <c r="G793">
        <v>6931284073.6533318</v>
      </c>
      <c r="H793">
        <v>317850265.0208649</v>
      </c>
      <c r="I793">
        <v>208972.51057274546</v>
      </c>
      <c r="J793">
        <v>7985197.846153846</v>
      </c>
    </row>
    <row r="794" spans="1:10" x14ac:dyDescent="0.25">
      <c r="A794">
        <v>20</v>
      </c>
      <c r="B794">
        <v>13</v>
      </c>
      <c r="C794" t="s">
        <v>19</v>
      </c>
      <c r="D794" t="s">
        <v>12</v>
      </c>
      <c r="E794">
        <v>35265.153846153851</v>
      </c>
      <c r="F794">
        <v>85278.87179487184</v>
      </c>
      <c r="G794">
        <v>5074532910.7733355</v>
      </c>
      <c r="H794">
        <v>248772715.87128532</v>
      </c>
      <c r="I794">
        <v>1511513.0575750284</v>
      </c>
      <c r="J794">
        <v>21534808.615384601</v>
      </c>
    </row>
    <row r="795" spans="1:10" x14ac:dyDescent="0.25">
      <c r="A795">
        <v>20</v>
      </c>
      <c r="B795">
        <v>14</v>
      </c>
      <c r="C795" t="s">
        <v>19</v>
      </c>
      <c r="D795" t="s">
        <v>13</v>
      </c>
      <c r="E795">
        <v>55890.153846153829</v>
      </c>
      <c r="F795">
        <v>231743.10256410233</v>
      </c>
      <c r="G795">
        <v>12098120860.186653</v>
      </c>
      <c r="H795">
        <v>288895591.26328528</v>
      </c>
      <c r="I795">
        <v>1511513.9820194729</v>
      </c>
      <c r="J795">
        <v>73113572.307692364</v>
      </c>
    </row>
    <row r="796" spans="1:10" x14ac:dyDescent="0.25">
      <c r="A796">
        <v>20</v>
      </c>
      <c r="B796">
        <v>15</v>
      </c>
      <c r="C796" t="s">
        <v>19</v>
      </c>
      <c r="D796" t="s">
        <v>14</v>
      </c>
      <c r="E796">
        <v>79689.538461538425</v>
      </c>
      <c r="F796">
        <v>353918.79487179534</v>
      </c>
      <c r="G796">
        <v>20781177289.253361</v>
      </c>
      <c r="H796">
        <v>354962090.74760556</v>
      </c>
      <c r="I796">
        <v>927436.39376436779</v>
      </c>
      <c r="J796">
        <v>11630020.430769233</v>
      </c>
    </row>
    <row r="797" spans="1:10" x14ac:dyDescent="0.25">
      <c r="A797">
        <v>20</v>
      </c>
      <c r="B797">
        <v>16</v>
      </c>
      <c r="C797" t="s">
        <v>19</v>
      </c>
      <c r="D797" t="s">
        <v>15</v>
      </c>
      <c r="E797">
        <v>69382.000000000029</v>
      </c>
      <c r="F797">
        <v>592132.02564102539</v>
      </c>
      <c r="G797">
        <v>45497506342.493317</v>
      </c>
      <c r="H797">
        <v>325797598.80067551</v>
      </c>
      <c r="I797">
        <v>251754.1217485801</v>
      </c>
      <c r="J797">
        <v>21385816.738461539</v>
      </c>
    </row>
    <row r="798" spans="1:10" x14ac:dyDescent="0.25">
      <c r="A798">
        <v>20</v>
      </c>
      <c r="B798">
        <v>17</v>
      </c>
      <c r="C798" t="s">
        <v>19</v>
      </c>
      <c r="D798" t="s">
        <v>16</v>
      </c>
      <c r="E798">
        <v>96441.076923076937</v>
      </c>
      <c r="F798">
        <v>237015.87179487135</v>
      </c>
      <c r="G798">
        <v>22182467131.43996</v>
      </c>
      <c r="H798">
        <v>600797550.56975889</v>
      </c>
      <c r="I798">
        <v>227197.60011596902</v>
      </c>
      <c r="J798">
        <v>33603473.076923117</v>
      </c>
    </row>
    <row r="799" spans="1:10" x14ac:dyDescent="0.25">
      <c r="A799">
        <v>20</v>
      </c>
      <c r="B799">
        <v>18</v>
      </c>
      <c r="C799" t="s">
        <v>19</v>
      </c>
      <c r="D799" t="s">
        <v>17</v>
      </c>
      <c r="E799">
        <v>55707.538461538432</v>
      </c>
      <c r="F799">
        <v>114186.71794871794</v>
      </c>
      <c r="G799">
        <v>10183052752.479998</v>
      </c>
      <c r="H799">
        <v>319210591.7086755</v>
      </c>
      <c r="I799">
        <v>251753.84397080232</v>
      </c>
      <c r="J799">
        <v>20337305.692307692</v>
      </c>
    </row>
    <row r="800" spans="1:10" x14ac:dyDescent="0.25">
      <c r="A800">
        <v>20</v>
      </c>
      <c r="B800">
        <v>19</v>
      </c>
      <c r="C800" t="s">
        <v>19</v>
      </c>
      <c r="D800" t="s">
        <v>18</v>
      </c>
      <c r="E800">
        <v>33258.692307692312</v>
      </c>
      <c r="F800">
        <v>152905.71794871794</v>
      </c>
      <c r="G800">
        <v>1300958545.6799998</v>
      </c>
      <c r="H800">
        <v>240577854.25004724</v>
      </c>
      <c r="I800">
        <v>249281.52068310481</v>
      </c>
      <c r="J800">
        <v>25306670.769230772</v>
      </c>
    </row>
    <row r="801" spans="1:10" x14ac:dyDescent="0.25">
      <c r="A801">
        <v>20</v>
      </c>
      <c r="B801">
        <v>20</v>
      </c>
      <c r="C801" t="s">
        <v>19</v>
      </c>
      <c r="D801" t="s">
        <v>19</v>
      </c>
      <c r="E801">
        <v>32077.76923076923</v>
      </c>
      <c r="F801">
        <v>0</v>
      </c>
      <c r="G801">
        <v>0</v>
      </c>
      <c r="H801">
        <v>0</v>
      </c>
      <c r="I801">
        <v>227197.00011596901</v>
      </c>
      <c r="J801">
        <v>30203523.661538463</v>
      </c>
    </row>
    <row r="802" spans="1:10" x14ac:dyDescent="0.25">
      <c r="A802">
        <v>20</v>
      </c>
      <c r="B802">
        <v>21</v>
      </c>
      <c r="C802" t="s">
        <v>19</v>
      </c>
      <c r="D802" t="s">
        <v>20</v>
      </c>
      <c r="E802">
        <v>69275.076923076937</v>
      </c>
      <c r="F802">
        <v>168872.66666666634</v>
      </c>
      <c r="G802">
        <v>2341466807.6799955</v>
      </c>
      <c r="H802">
        <v>135870952.27035519</v>
      </c>
      <c r="I802">
        <v>57.645562476539041</v>
      </c>
      <c r="J802">
        <v>18.11</v>
      </c>
    </row>
    <row r="803" spans="1:10" x14ac:dyDescent="0.25">
      <c r="A803">
        <v>20</v>
      </c>
      <c r="B803">
        <v>22</v>
      </c>
      <c r="C803" t="s">
        <v>19</v>
      </c>
      <c r="D803" t="s">
        <v>21</v>
      </c>
      <c r="E803">
        <v>53714.923076923034</v>
      </c>
      <c r="F803">
        <v>187999.66666666634</v>
      </c>
      <c r="G803">
        <v>2596794275.7466617</v>
      </c>
      <c r="H803">
        <v>352290528.85021782</v>
      </c>
      <c r="I803">
        <v>671322.74130759633</v>
      </c>
      <c r="J803">
        <v>13275832.945054948</v>
      </c>
    </row>
    <row r="804" spans="1:10" x14ac:dyDescent="0.25">
      <c r="A804">
        <v>20</v>
      </c>
      <c r="B804">
        <v>23</v>
      </c>
      <c r="C804" t="s">
        <v>19</v>
      </c>
      <c r="D804" t="s">
        <v>22</v>
      </c>
      <c r="E804">
        <v>38393.461538461539</v>
      </c>
      <c r="F804">
        <v>171736.00000000035</v>
      </c>
      <c r="G804">
        <v>3409399244.1600065</v>
      </c>
      <c r="H804">
        <v>220676563.51015586</v>
      </c>
      <c r="I804">
        <v>671323.11908537406</v>
      </c>
      <c r="J804">
        <v>2413581.7846153849</v>
      </c>
    </row>
    <row r="805" spans="1:10" x14ac:dyDescent="0.25">
      <c r="A805">
        <v>20</v>
      </c>
      <c r="B805">
        <v>24</v>
      </c>
      <c r="C805" t="s">
        <v>19</v>
      </c>
      <c r="D805" t="s">
        <v>23</v>
      </c>
      <c r="E805">
        <v>39555.846153846149</v>
      </c>
      <c r="F805">
        <v>129208.00000000003</v>
      </c>
      <c r="G805">
        <v>4634840841.2800007</v>
      </c>
      <c r="H805">
        <v>212328974.11015585</v>
      </c>
      <c r="I805">
        <v>318161.54809699254</v>
      </c>
      <c r="J805">
        <v>2718657.7142857146</v>
      </c>
    </row>
    <row r="806" spans="1:10" x14ac:dyDescent="0.25">
      <c r="A806">
        <v>20</v>
      </c>
      <c r="B806">
        <v>25</v>
      </c>
      <c r="C806" t="s">
        <v>19</v>
      </c>
      <c r="D806" t="s">
        <v>24</v>
      </c>
      <c r="E806">
        <v>37160.461538461539</v>
      </c>
      <c r="F806">
        <v>122155.66666666663</v>
      </c>
      <c r="G806">
        <v>3483679278.0399985</v>
      </c>
      <c r="H806">
        <v>153617361.01015586</v>
      </c>
      <c r="I806">
        <v>440020.46766686928</v>
      </c>
      <c r="J806">
        <v>18523857.512087911</v>
      </c>
    </row>
    <row r="807" spans="1:10" x14ac:dyDescent="0.25">
      <c r="A807">
        <v>20</v>
      </c>
      <c r="B807">
        <v>26</v>
      </c>
      <c r="C807" t="s">
        <v>19</v>
      </c>
      <c r="D807" t="s">
        <v>25</v>
      </c>
      <c r="E807">
        <v>36239.538461538461</v>
      </c>
      <c r="F807">
        <v>108229.33333333334</v>
      </c>
      <c r="G807">
        <v>4825889694.0799999</v>
      </c>
      <c r="H807">
        <v>201561452.437154</v>
      </c>
      <c r="I807">
        <v>551306.01220091688</v>
      </c>
      <c r="J807">
        <v>27937946.723076928</v>
      </c>
    </row>
    <row r="808" spans="1:10" x14ac:dyDescent="0.25">
      <c r="A808">
        <v>20</v>
      </c>
      <c r="B808">
        <v>27</v>
      </c>
      <c r="C808" t="s">
        <v>19</v>
      </c>
      <c r="D808" t="s">
        <v>26</v>
      </c>
      <c r="E808">
        <v>91454.769230769234</v>
      </c>
      <c r="F808">
        <v>478162.43333333329</v>
      </c>
      <c r="G808">
        <v>4093433832.7826657</v>
      </c>
      <c r="H808">
        <v>774912205.27199996</v>
      </c>
      <c r="I808">
        <v>551308.55664536136</v>
      </c>
      <c r="J808">
        <v>19720258.879120883</v>
      </c>
    </row>
    <row r="809" spans="1:10" x14ac:dyDescent="0.25">
      <c r="A809">
        <v>20</v>
      </c>
      <c r="B809">
        <v>28</v>
      </c>
      <c r="C809" t="s">
        <v>19</v>
      </c>
      <c r="D809" t="s">
        <v>27</v>
      </c>
      <c r="E809">
        <v>68519.069230769237</v>
      </c>
      <c r="F809">
        <v>178161.73333333334</v>
      </c>
      <c r="G809" t="s">
        <v>122</v>
      </c>
      <c r="H809" t="s">
        <v>122</v>
      </c>
      <c r="I809">
        <v>551306.45108980581</v>
      </c>
      <c r="J809">
        <v>12850427.156043956</v>
      </c>
    </row>
    <row r="810" spans="1:10" x14ac:dyDescent="0.25">
      <c r="A810">
        <v>20</v>
      </c>
      <c r="B810">
        <v>29</v>
      </c>
      <c r="C810" t="s">
        <v>19</v>
      </c>
      <c r="D810" t="s">
        <v>28</v>
      </c>
      <c r="E810">
        <v>64566.269230769234</v>
      </c>
      <c r="F810">
        <v>422940.73333333334</v>
      </c>
      <c r="G810">
        <v>4820187867.2826662</v>
      </c>
      <c r="H810">
        <v>532245258.85021782</v>
      </c>
      <c r="I810">
        <v>440020.62100020261</v>
      </c>
      <c r="J810">
        <v>12181439.191208791</v>
      </c>
    </row>
    <row r="811" spans="1:10" x14ac:dyDescent="0.25">
      <c r="A811">
        <v>20</v>
      </c>
      <c r="B811">
        <v>30</v>
      </c>
      <c r="C811" t="s">
        <v>19</v>
      </c>
      <c r="D811" t="s">
        <v>29</v>
      </c>
      <c r="E811">
        <v>39726.06923076923</v>
      </c>
      <c r="F811">
        <v>291090.43333333335</v>
      </c>
      <c r="G811">
        <v>9341010500.345335</v>
      </c>
      <c r="H811">
        <v>184892062.31815585</v>
      </c>
      <c r="I811">
        <v>671325.82868089795</v>
      </c>
      <c r="J811">
        <v>7522051.7538461555</v>
      </c>
    </row>
    <row r="812" spans="1:10" x14ac:dyDescent="0.25">
      <c r="A812">
        <v>20</v>
      </c>
      <c r="B812">
        <v>31</v>
      </c>
      <c r="C812" t="s">
        <v>19</v>
      </c>
      <c r="D812" t="s">
        <v>30</v>
      </c>
      <c r="E812">
        <v>34615.230769230773</v>
      </c>
      <c r="F812">
        <v>85842.025641025641</v>
      </c>
      <c r="G812">
        <v>3178438346.6000004</v>
      </c>
      <c r="H812">
        <v>154376603.53131899</v>
      </c>
      <c r="I812">
        <v>551306.99997869472</v>
      </c>
      <c r="J812">
        <v>18077269.450549453</v>
      </c>
    </row>
    <row r="813" spans="1:10" x14ac:dyDescent="0.25">
      <c r="A813">
        <v>20</v>
      </c>
      <c r="B813">
        <v>32</v>
      </c>
      <c r="C813" t="s">
        <v>19</v>
      </c>
      <c r="D813" t="s">
        <v>31</v>
      </c>
      <c r="E813">
        <v>32460.153846153844</v>
      </c>
      <c r="F813">
        <v>111388.83333333334</v>
      </c>
      <c r="G813">
        <v>3937145247.4466672</v>
      </c>
      <c r="H813">
        <v>132321283.72250324</v>
      </c>
      <c r="I813">
        <v>317841.64258678776</v>
      </c>
      <c r="J813">
        <v>33080274.615384627</v>
      </c>
    </row>
    <row r="814" spans="1:10" x14ac:dyDescent="0.25">
      <c r="A814">
        <v>20</v>
      </c>
      <c r="B814">
        <v>33</v>
      </c>
      <c r="C814" t="s">
        <v>19</v>
      </c>
      <c r="D814" t="s">
        <v>32</v>
      </c>
      <c r="E814">
        <v>96137.538461538425</v>
      </c>
      <c r="F814">
        <v>161099.05641025642</v>
      </c>
      <c r="G814">
        <v>4915795939.1893339</v>
      </c>
      <c r="H814">
        <v>211224904.08650327</v>
      </c>
      <c r="I814">
        <v>306032.05782812892</v>
      </c>
      <c r="J814">
        <v>24145951.846153855</v>
      </c>
    </row>
    <row r="815" spans="1:10" x14ac:dyDescent="0.25">
      <c r="A815">
        <v>20</v>
      </c>
      <c r="B815">
        <v>34</v>
      </c>
      <c r="C815" t="s">
        <v>19</v>
      </c>
      <c r="D815" t="s">
        <v>33</v>
      </c>
      <c r="E815">
        <v>328748.07692307723</v>
      </c>
      <c r="F815">
        <v>328660.72222222231</v>
      </c>
      <c r="G815">
        <v>8837765699.128891</v>
      </c>
      <c r="H815">
        <v>920976712.41931891</v>
      </c>
      <c r="I815">
        <v>259006.16421370968</v>
      </c>
      <c r="J815">
        <v>20338840.000000004</v>
      </c>
    </row>
    <row r="816" spans="1:10" x14ac:dyDescent="0.25">
      <c r="A816">
        <v>20</v>
      </c>
      <c r="B816">
        <v>35</v>
      </c>
      <c r="C816" t="s">
        <v>19</v>
      </c>
      <c r="D816" t="s">
        <v>34</v>
      </c>
      <c r="E816">
        <v>55066.384615384632</v>
      </c>
      <c r="F816">
        <v>77070.87179487184</v>
      </c>
      <c r="G816">
        <v>2104836337.0666678</v>
      </c>
      <c r="H816">
        <v>291242103.491319</v>
      </c>
      <c r="I816">
        <v>259005.6664359319</v>
      </c>
      <c r="J816">
        <v>22044903.138461541</v>
      </c>
    </row>
    <row r="817" spans="1:10" x14ac:dyDescent="0.25">
      <c r="A817">
        <v>20</v>
      </c>
      <c r="B817">
        <v>36</v>
      </c>
      <c r="C817" t="s">
        <v>19</v>
      </c>
      <c r="D817" t="s">
        <v>35</v>
      </c>
      <c r="E817">
        <v>35690.615384615383</v>
      </c>
      <c r="F817">
        <v>152917.25641025644</v>
      </c>
      <c r="G817">
        <v>3895138938.7333341</v>
      </c>
      <c r="H817">
        <v>146188915.15718573</v>
      </c>
      <c r="I817">
        <v>385904.67275633803</v>
      </c>
      <c r="J817">
        <v>32114592.461538468</v>
      </c>
    </row>
    <row r="818" spans="1:10" x14ac:dyDescent="0.25">
      <c r="A818">
        <v>20</v>
      </c>
      <c r="B818">
        <v>37</v>
      </c>
      <c r="C818" t="s">
        <v>19</v>
      </c>
      <c r="D818" t="s">
        <v>36</v>
      </c>
      <c r="E818">
        <v>42109.615384615434</v>
      </c>
      <c r="F818">
        <v>147732.76007326003</v>
      </c>
      <c r="G818">
        <v>11723735008.720949</v>
      </c>
      <c r="H818">
        <v>199669846.15090817</v>
      </c>
      <c r="I818">
        <v>477581.87534301158</v>
      </c>
      <c r="J818">
        <v>46246179.446153857</v>
      </c>
    </row>
    <row r="819" spans="1:10" x14ac:dyDescent="0.25">
      <c r="A819">
        <v>20</v>
      </c>
      <c r="B819">
        <v>38</v>
      </c>
      <c r="C819" t="s">
        <v>19</v>
      </c>
      <c r="D819" t="s">
        <v>37</v>
      </c>
      <c r="E819">
        <v>32077.76923076923</v>
      </c>
      <c r="F819">
        <v>68709.717948717953</v>
      </c>
      <c r="G819">
        <v>7213660138.9466667</v>
      </c>
      <c r="H819">
        <v>129658025.36876629</v>
      </c>
      <c r="I819">
        <v>656491.25142911135</v>
      </c>
      <c r="J819">
        <v>71127131.969230771</v>
      </c>
    </row>
    <row r="820" spans="1:10" x14ac:dyDescent="0.25">
      <c r="A820">
        <v>20</v>
      </c>
      <c r="B820">
        <v>39</v>
      </c>
      <c r="C820" t="s">
        <v>19</v>
      </c>
      <c r="D820" t="s">
        <v>38</v>
      </c>
      <c r="E820">
        <v>35148.153846153851</v>
      </c>
      <c r="F820">
        <v>152880.17582417582</v>
      </c>
      <c r="G820">
        <v>12846826934.857143</v>
      </c>
      <c r="H820">
        <v>147011508.47090816</v>
      </c>
      <c r="I820">
        <v>477583.91645412269</v>
      </c>
      <c r="J820">
        <v>32513172.000000011</v>
      </c>
    </row>
    <row r="821" spans="1:10" x14ac:dyDescent="0.25">
      <c r="A821">
        <v>20</v>
      </c>
      <c r="B821">
        <v>40</v>
      </c>
      <c r="C821" t="s">
        <v>19</v>
      </c>
      <c r="D821" t="s">
        <v>39</v>
      </c>
      <c r="E821">
        <v>41694.538461538461</v>
      </c>
      <c r="F821">
        <v>134199.47619047624</v>
      </c>
      <c r="G821">
        <v>12757163246.038097</v>
      </c>
      <c r="H821">
        <v>132545216.23486498</v>
      </c>
      <c r="I821">
        <v>258973.29946362047</v>
      </c>
      <c r="J821">
        <v>6915042.4000000022</v>
      </c>
    </row>
    <row r="822" spans="1:10" x14ac:dyDescent="0.25">
      <c r="A822">
        <v>20</v>
      </c>
      <c r="B822">
        <v>41</v>
      </c>
      <c r="C822" t="s">
        <v>19</v>
      </c>
      <c r="D822" t="s">
        <v>40</v>
      </c>
      <c r="E822">
        <v>54053.461538461532</v>
      </c>
      <c r="F822">
        <v>82377.826007326032</v>
      </c>
      <c r="G822">
        <v>7757384775.4752407</v>
      </c>
      <c r="H822">
        <v>286624242.32876629</v>
      </c>
      <c r="I822">
        <v>210924.73989347881</v>
      </c>
      <c r="J822">
        <v>7758808.6153846169</v>
      </c>
    </row>
    <row r="823" spans="1:10" x14ac:dyDescent="0.25">
      <c r="A823">
        <v>21</v>
      </c>
      <c r="B823">
        <v>1</v>
      </c>
      <c r="C823" t="s">
        <v>20</v>
      </c>
      <c r="D823" t="s">
        <v>0</v>
      </c>
      <c r="E823">
        <v>115669.60989010986</v>
      </c>
      <c r="F823">
        <v>158540.84615384619</v>
      </c>
      <c r="G823">
        <v>1340577003.6400001</v>
      </c>
      <c r="H823">
        <v>152929969.04028836</v>
      </c>
      <c r="I823">
        <v>0</v>
      </c>
      <c r="J823">
        <v>0</v>
      </c>
    </row>
    <row r="824" spans="1:10" x14ac:dyDescent="0.25">
      <c r="A824">
        <v>21</v>
      </c>
      <c r="B824">
        <v>2</v>
      </c>
      <c r="C824" t="s">
        <v>20</v>
      </c>
      <c r="D824" t="s">
        <v>1</v>
      </c>
      <c r="E824">
        <v>44408.609890109859</v>
      </c>
      <c r="F824">
        <v>148929.23076923081</v>
      </c>
      <c r="G824">
        <v>844750425.60000026</v>
      </c>
      <c r="H824">
        <v>29398500.478859786</v>
      </c>
      <c r="I824">
        <v>297541.90799705463</v>
      </c>
      <c r="J824">
        <v>8896871.0769230668</v>
      </c>
    </row>
    <row r="825" spans="1:10" x14ac:dyDescent="0.25">
      <c r="A825">
        <v>21</v>
      </c>
      <c r="B825">
        <v>3</v>
      </c>
      <c r="C825" t="s">
        <v>20</v>
      </c>
      <c r="D825" t="s">
        <v>2</v>
      </c>
      <c r="E825">
        <v>39673.252747252758</v>
      </c>
      <c r="F825">
        <v>151963.4615384615</v>
      </c>
      <c r="G825">
        <v>733465019.89999986</v>
      </c>
      <c r="H825">
        <v>71742166.069161102</v>
      </c>
      <c r="I825">
        <v>196105.35136475449</v>
      </c>
      <c r="J825">
        <v>5922446.153846154</v>
      </c>
    </row>
    <row r="826" spans="1:10" x14ac:dyDescent="0.25">
      <c r="A826">
        <v>21</v>
      </c>
      <c r="B826">
        <v>4</v>
      </c>
      <c r="C826" t="s">
        <v>20</v>
      </c>
      <c r="D826" t="s">
        <v>3</v>
      </c>
      <c r="E826">
        <v>54329.609890109859</v>
      </c>
      <c r="F826">
        <v>141070.3846153846</v>
      </c>
      <c r="G826">
        <v>4452818976.5999994</v>
      </c>
      <c r="H826">
        <v>122065096.32160801</v>
      </c>
      <c r="I826">
        <v>196104.64025364339</v>
      </c>
      <c r="J826">
        <v>10340270.76923077</v>
      </c>
    </row>
    <row r="827" spans="1:10" x14ac:dyDescent="0.25">
      <c r="A827">
        <v>21</v>
      </c>
      <c r="B827">
        <v>5</v>
      </c>
      <c r="C827" t="s">
        <v>20</v>
      </c>
      <c r="D827" t="s">
        <v>4</v>
      </c>
      <c r="E827">
        <v>88066.181318681367</v>
      </c>
      <c r="F827">
        <v>172870.4615384615</v>
      </c>
      <c r="G827">
        <v>8743227844.3199978</v>
      </c>
      <c r="H827">
        <v>33591149.587868482</v>
      </c>
      <c r="I827">
        <v>196103.3013647545</v>
      </c>
      <c r="J827">
        <v>7980239.692307693</v>
      </c>
    </row>
    <row r="828" spans="1:10" x14ac:dyDescent="0.25">
      <c r="A828">
        <v>21</v>
      </c>
      <c r="B828">
        <v>6</v>
      </c>
      <c r="C828" t="s">
        <v>20</v>
      </c>
      <c r="D828" t="s">
        <v>5</v>
      </c>
      <c r="E828">
        <v>36394.324175824164</v>
      </c>
      <c r="F828">
        <v>238659.77289377298</v>
      </c>
      <c r="G828">
        <v>11744743362.220955</v>
      </c>
      <c r="H828">
        <v>153047923.35072559</v>
      </c>
      <c r="I828">
        <v>385907.37164522696</v>
      </c>
      <c r="J828">
        <v>10489073.538461538</v>
      </c>
    </row>
    <row r="829" spans="1:10" x14ac:dyDescent="0.25">
      <c r="A829">
        <v>21</v>
      </c>
      <c r="B829">
        <v>7</v>
      </c>
      <c r="C829" t="s">
        <v>20</v>
      </c>
      <c r="D829" t="s">
        <v>6</v>
      </c>
      <c r="E829">
        <v>28144.324175824171</v>
      </c>
      <c r="F829">
        <v>172206.07692307691</v>
      </c>
      <c r="G829">
        <v>6511869475.1999989</v>
      </c>
      <c r="H829">
        <v>14358925.816439912</v>
      </c>
      <c r="I829">
        <v>210926.18656014549</v>
      </c>
      <c r="J829">
        <v>8035867.9384615393</v>
      </c>
    </row>
    <row r="830" spans="1:10" x14ac:dyDescent="0.25">
      <c r="A830">
        <v>21</v>
      </c>
      <c r="B830">
        <v>8</v>
      </c>
      <c r="C830" t="s">
        <v>20</v>
      </c>
      <c r="D830" t="s">
        <v>7</v>
      </c>
      <c r="E830">
        <v>57791.395604395562</v>
      </c>
      <c r="F830">
        <v>229803.84615384601</v>
      </c>
      <c r="G830">
        <v>8412300705.9999943</v>
      </c>
      <c r="H830">
        <v>39128908.865036577</v>
      </c>
      <c r="I830">
        <v>196103.82914253228</v>
      </c>
      <c r="J830">
        <v>16847081.615384616</v>
      </c>
    </row>
    <row r="831" spans="1:10" x14ac:dyDescent="0.25">
      <c r="A831">
        <v>21</v>
      </c>
      <c r="B831">
        <v>9</v>
      </c>
      <c r="C831" t="s">
        <v>20</v>
      </c>
      <c r="D831" t="s">
        <v>8</v>
      </c>
      <c r="E831">
        <v>23786.993006993005</v>
      </c>
      <c r="F831">
        <v>680136.62179487199</v>
      </c>
      <c r="G831">
        <v>29576802011.880013</v>
      </c>
      <c r="H831">
        <v>20269342.778859783</v>
      </c>
      <c r="I831">
        <v>440021.7232224248</v>
      </c>
      <c r="J831">
        <v>6745974.7846153844</v>
      </c>
    </row>
    <row r="832" spans="1:10" x14ac:dyDescent="0.25">
      <c r="A832">
        <v>21</v>
      </c>
      <c r="B832">
        <v>10</v>
      </c>
      <c r="C832" t="s">
        <v>20</v>
      </c>
      <c r="D832" t="s">
        <v>9</v>
      </c>
      <c r="E832">
        <v>44269.752747252758</v>
      </c>
      <c r="F832">
        <v>204512.92307692312</v>
      </c>
      <c r="G832">
        <v>8485404788.8000021</v>
      </c>
      <c r="H832">
        <v>80926926.647868484</v>
      </c>
      <c r="I832">
        <v>155712.23242701154</v>
      </c>
      <c r="J832">
        <v>5249468.8</v>
      </c>
    </row>
    <row r="833" spans="1:10" x14ac:dyDescent="0.25">
      <c r="A833">
        <v>21</v>
      </c>
      <c r="B833">
        <v>11</v>
      </c>
      <c r="C833" t="s">
        <v>20</v>
      </c>
      <c r="D833" t="s">
        <v>10</v>
      </c>
      <c r="E833">
        <v>44436.923076923063</v>
      </c>
      <c r="F833">
        <v>207277</v>
      </c>
      <c r="G833">
        <v>18854877685.279999</v>
      </c>
      <c r="H833">
        <v>78145216.941464931</v>
      </c>
      <c r="I833">
        <v>155710.92464923376</v>
      </c>
      <c r="J833">
        <v>4053831.6307692309</v>
      </c>
    </row>
    <row r="834" spans="1:10" x14ac:dyDescent="0.25">
      <c r="A834">
        <v>21</v>
      </c>
      <c r="B834">
        <v>12</v>
      </c>
      <c r="C834" t="s">
        <v>20</v>
      </c>
      <c r="D834" t="s">
        <v>11</v>
      </c>
      <c r="E834">
        <v>41405.538461538461</v>
      </c>
      <c r="F834">
        <v>152003.07692307691</v>
      </c>
      <c r="G834">
        <v>11224381449.599998</v>
      </c>
      <c r="H834">
        <v>88963378.237471625</v>
      </c>
      <c r="I834">
        <v>1941889.3616241675</v>
      </c>
      <c r="J834">
        <v>12858848.492307689</v>
      </c>
    </row>
    <row r="835" spans="1:10" x14ac:dyDescent="0.25">
      <c r="A835">
        <v>21</v>
      </c>
      <c r="B835">
        <v>13</v>
      </c>
      <c r="C835" t="s">
        <v>20</v>
      </c>
      <c r="D835" t="s">
        <v>12</v>
      </c>
      <c r="E835">
        <v>26483.923076923082</v>
      </c>
      <c r="F835">
        <v>133691.5384615385</v>
      </c>
      <c r="G835">
        <v>8882171694.0000019</v>
      </c>
      <c r="H835">
        <v>19881984.526039198</v>
      </c>
      <c r="I835">
        <v>1941890.286068612</v>
      </c>
      <c r="J835">
        <v>45435292.153846197</v>
      </c>
    </row>
    <row r="836" spans="1:10" x14ac:dyDescent="0.25">
      <c r="A836">
        <v>21</v>
      </c>
      <c r="B836">
        <v>14</v>
      </c>
      <c r="C836" t="s">
        <v>20</v>
      </c>
      <c r="D836" t="s">
        <v>13</v>
      </c>
      <c r="E836">
        <v>47108.923076923063</v>
      </c>
      <c r="F836">
        <v>280155.76923076902</v>
      </c>
      <c r="G836">
        <v>16567717405.999987</v>
      </c>
      <c r="H836">
        <v>60004859.918039203</v>
      </c>
      <c r="I836">
        <v>178178.82101679925</v>
      </c>
      <c r="J836">
        <v>5980041.8769230787</v>
      </c>
    </row>
    <row r="837" spans="1:10" x14ac:dyDescent="0.25">
      <c r="A837">
        <v>21</v>
      </c>
      <c r="B837">
        <v>15</v>
      </c>
      <c r="C837" t="s">
        <v>20</v>
      </c>
      <c r="D837" t="s">
        <v>14</v>
      </c>
      <c r="E837">
        <v>70908.307692307659</v>
      </c>
      <c r="F837">
        <v>402331.46153846203</v>
      </c>
      <c r="G837">
        <v>25272016238.560032</v>
      </c>
      <c r="H837">
        <v>126122918.22180884</v>
      </c>
      <c r="I837">
        <v>202335.52207030871</v>
      </c>
      <c r="J837">
        <v>18136925.230769228</v>
      </c>
    </row>
    <row r="838" spans="1:10" x14ac:dyDescent="0.25">
      <c r="A838">
        <v>21</v>
      </c>
      <c r="B838">
        <v>16</v>
      </c>
      <c r="C838" t="s">
        <v>20</v>
      </c>
      <c r="D838" t="s">
        <v>15</v>
      </c>
      <c r="E838">
        <v>60600.769230769263</v>
      </c>
      <c r="F838">
        <v>640544.69230769202</v>
      </c>
      <c r="G838">
        <v>53254347660.919968</v>
      </c>
      <c r="H838">
        <v>96672291.39046368</v>
      </c>
      <c r="I838">
        <v>167169.75812288246</v>
      </c>
      <c r="J838">
        <v>28702404.830769271</v>
      </c>
    </row>
    <row r="839" spans="1:10" x14ac:dyDescent="0.25">
      <c r="A839">
        <v>21</v>
      </c>
      <c r="B839">
        <v>17</v>
      </c>
      <c r="C839" t="s">
        <v>20</v>
      </c>
      <c r="D839" t="s">
        <v>16</v>
      </c>
      <c r="E839">
        <v>87659.846153846156</v>
      </c>
      <c r="F839">
        <v>285428.53846153803</v>
      </c>
      <c r="G839">
        <v>28692212891.759956</v>
      </c>
      <c r="H839">
        <v>371973624.4235673</v>
      </c>
      <c r="I839">
        <v>202335.24429253093</v>
      </c>
      <c r="J839">
        <v>16596453.999999998</v>
      </c>
    </row>
    <row r="840" spans="1:10" x14ac:dyDescent="0.25">
      <c r="A840">
        <v>21</v>
      </c>
      <c r="B840">
        <v>18</v>
      </c>
      <c r="C840" t="s">
        <v>20</v>
      </c>
      <c r="D840" t="s">
        <v>17</v>
      </c>
      <c r="E840">
        <v>46926.307692307659</v>
      </c>
      <c r="F840">
        <v>162599.3846153846</v>
      </c>
      <c r="G840">
        <v>15525210378.24</v>
      </c>
      <c r="H840">
        <v>90085284.298463702</v>
      </c>
      <c r="I840">
        <v>199824.34830923041</v>
      </c>
      <c r="J840">
        <v>20988070.769230772</v>
      </c>
    </row>
    <row r="841" spans="1:10" x14ac:dyDescent="0.25">
      <c r="A841">
        <v>21</v>
      </c>
      <c r="B841">
        <v>19</v>
      </c>
      <c r="C841" t="s">
        <v>20</v>
      </c>
      <c r="D841" t="s">
        <v>18</v>
      </c>
      <c r="E841">
        <v>24477.461538461543</v>
      </c>
      <c r="F841">
        <v>201318.3846153846</v>
      </c>
      <c r="G841">
        <v>4430188213.6399994</v>
      </c>
      <c r="H841">
        <v>11697893.743518975</v>
      </c>
      <c r="I841">
        <v>167169.15812288245</v>
      </c>
      <c r="J841">
        <v>26172662.276923075</v>
      </c>
    </row>
    <row r="842" spans="1:10" x14ac:dyDescent="0.25">
      <c r="A842">
        <v>21</v>
      </c>
      <c r="B842">
        <v>20</v>
      </c>
      <c r="C842" t="s">
        <v>20</v>
      </c>
      <c r="D842" t="s">
        <v>19</v>
      </c>
      <c r="E842">
        <v>81649.230769230751</v>
      </c>
      <c r="F842">
        <v>173133.66666666669</v>
      </c>
      <c r="G842">
        <v>2400546765.7600002</v>
      </c>
      <c r="H842">
        <v>135870952.27035519</v>
      </c>
      <c r="I842">
        <v>62.744329778997745</v>
      </c>
      <c r="J842">
        <v>19.88</v>
      </c>
    </row>
    <row r="843" spans="1:10" x14ac:dyDescent="0.25">
      <c r="A843">
        <v>21</v>
      </c>
      <c r="B843">
        <v>21</v>
      </c>
      <c r="C843" t="s">
        <v>20</v>
      </c>
      <c r="D843" t="s">
        <v>20</v>
      </c>
      <c r="E843">
        <v>0</v>
      </c>
      <c r="F843">
        <v>0</v>
      </c>
      <c r="G843">
        <v>0</v>
      </c>
      <c r="H843">
        <v>0</v>
      </c>
      <c r="I843">
        <v>14302239.56494347</v>
      </c>
      <c r="J843">
        <v>30491439.978021964</v>
      </c>
    </row>
    <row r="844" spans="1:10" x14ac:dyDescent="0.25">
      <c r="A844">
        <v>21</v>
      </c>
      <c r="B844">
        <v>22</v>
      </c>
      <c r="C844" t="s">
        <v>20</v>
      </c>
      <c r="D844" t="s">
        <v>21</v>
      </c>
      <c r="E844">
        <v>44933.692307692261</v>
      </c>
      <c r="F844">
        <v>236412.33333333299</v>
      </c>
      <c r="G844">
        <v>5761198346.4533243</v>
      </c>
      <c r="H844">
        <v>350180133.25656718</v>
      </c>
      <c r="I844">
        <v>14302239.942721248</v>
      </c>
      <c r="J844">
        <v>6432692.738461528</v>
      </c>
    </row>
    <row r="845" spans="1:10" x14ac:dyDescent="0.25">
      <c r="A845">
        <v>21</v>
      </c>
      <c r="B845">
        <v>23</v>
      </c>
      <c r="C845" t="s">
        <v>20</v>
      </c>
      <c r="D845" t="s">
        <v>22</v>
      </c>
      <c r="E845">
        <v>29612.230769230773</v>
      </c>
      <c r="F845">
        <v>220148.66666666701</v>
      </c>
      <c r="G845">
        <v>5295491251.7866745</v>
      </c>
      <c r="H845">
        <v>218543898.27071899</v>
      </c>
      <c r="I845">
        <v>243169.03997979005</v>
      </c>
      <c r="J845">
        <v>8225666.4615384508</v>
      </c>
    </row>
    <row r="846" spans="1:10" x14ac:dyDescent="0.25">
      <c r="A846">
        <v>21</v>
      </c>
      <c r="B846">
        <v>24</v>
      </c>
      <c r="C846" t="s">
        <v>20</v>
      </c>
      <c r="D846" t="s">
        <v>23</v>
      </c>
      <c r="E846">
        <v>30774.615384615383</v>
      </c>
      <c r="F846">
        <v>177620.66666666669</v>
      </c>
      <c r="G846">
        <v>7602839491.8666677</v>
      </c>
      <c r="H846">
        <v>210196308.87071899</v>
      </c>
      <c r="I846">
        <v>4663603.4649617476</v>
      </c>
      <c r="J846">
        <v>22824960.254945029</v>
      </c>
    </row>
    <row r="847" spans="1:10" x14ac:dyDescent="0.25">
      <c r="A847">
        <v>21</v>
      </c>
      <c r="B847">
        <v>25</v>
      </c>
      <c r="C847" t="s">
        <v>20</v>
      </c>
      <c r="D847" t="s">
        <v>24</v>
      </c>
      <c r="E847">
        <v>28379.230769230773</v>
      </c>
      <c r="F847">
        <v>170568.33333333331</v>
      </c>
      <c r="G847">
        <v>6046817984.999999</v>
      </c>
      <c r="H847">
        <v>151484695.77071899</v>
      </c>
      <c r="I847">
        <v>6200448.6801705863</v>
      </c>
      <c r="J847">
        <v>33761204.17582415</v>
      </c>
    </row>
    <row r="848" spans="1:10" x14ac:dyDescent="0.25">
      <c r="A848">
        <v>21</v>
      </c>
      <c r="B848">
        <v>26</v>
      </c>
      <c r="C848" t="s">
        <v>20</v>
      </c>
      <c r="D848" t="s">
        <v>25</v>
      </c>
      <c r="E848">
        <v>27458.307692307691</v>
      </c>
      <c r="F848">
        <v>156642</v>
      </c>
      <c r="G848">
        <v>7642732353.3600006</v>
      </c>
      <c r="H848">
        <v>199583842.10180882</v>
      </c>
      <c r="I848">
        <v>6200451.2246150309</v>
      </c>
      <c r="J848">
        <v>18687830.890109867</v>
      </c>
    </row>
    <row r="849" spans="1:10" x14ac:dyDescent="0.25">
      <c r="A849">
        <v>21</v>
      </c>
      <c r="B849">
        <v>27</v>
      </c>
      <c r="C849" t="s">
        <v>20</v>
      </c>
      <c r="D849" t="s">
        <v>26</v>
      </c>
      <c r="E849">
        <v>82673.538461538468</v>
      </c>
      <c r="F849">
        <v>526575.1</v>
      </c>
      <c r="G849">
        <v>5752390644.4159994</v>
      </c>
      <c r="H849">
        <v>772806744.03835511</v>
      </c>
      <c r="I849">
        <v>6200449.1190594751</v>
      </c>
      <c r="J849">
        <v>11782702.417582395</v>
      </c>
    </row>
    <row r="850" spans="1:10" x14ac:dyDescent="0.25">
      <c r="A850">
        <v>21</v>
      </c>
      <c r="B850">
        <v>28</v>
      </c>
      <c r="C850" t="s">
        <v>20</v>
      </c>
      <c r="D850" t="s">
        <v>27</v>
      </c>
      <c r="E850">
        <v>59737.838461538464</v>
      </c>
      <c r="F850">
        <v>226574.4</v>
      </c>
      <c r="G850" t="s">
        <v>122</v>
      </c>
      <c r="H850" t="s">
        <v>122</v>
      </c>
      <c r="I850">
        <v>4663603.6182950819</v>
      </c>
      <c r="J850">
        <v>12411521.694505475</v>
      </c>
    </row>
    <row r="851" spans="1:10" x14ac:dyDescent="0.25">
      <c r="A851">
        <v>21</v>
      </c>
      <c r="B851">
        <v>29</v>
      </c>
      <c r="C851" t="s">
        <v>20</v>
      </c>
      <c r="D851" t="s">
        <v>28</v>
      </c>
      <c r="E851">
        <v>55785.038461538461</v>
      </c>
      <c r="F851">
        <v>471353.4</v>
      </c>
      <c r="G851">
        <v>10323035396.855999</v>
      </c>
      <c r="H851">
        <v>530134863.25656718</v>
      </c>
      <c r="I851">
        <v>14302242.02605458</v>
      </c>
      <c r="J851">
        <v>8276035.9846153688</v>
      </c>
    </row>
    <row r="852" spans="1:10" x14ac:dyDescent="0.25">
      <c r="A852">
        <v>21</v>
      </c>
      <c r="B852">
        <v>30</v>
      </c>
      <c r="C852" t="s">
        <v>20</v>
      </c>
      <c r="D852" t="s">
        <v>29</v>
      </c>
      <c r="E852">
        <v>30944.83846153846</v>
      </c>
      <c r="F852">
        <v>339503.1</v>
      </c>
      <c r="G852">
        <v>13248212189.316</v>
      </c>
      <c r="H852">
        <v>182759397.07871899</v>
      </c>
      <c r="I852">
        <v>6200449.6679483643</v>
      </c>
      <c r="J852">
        <v>18656732.01318679</v>
      </c>
    </row>
    <row r="853" spans="1:10" x14ac:dyDescent="0.25">
      <c r="A853">
        <v>21</v>
      </c>
      <c r="B853">
        <v>31</v>
      </c>
      <c r="C853" t="s">
        <v>20</v>
      </c>
      <c r="D853" t="s">
        <v>30</v>
      </c>
      <c r="E853">
        <v>25834</v>
      </c>
      <c r="F853">
        <v>134254.69230769231</v>
      </c>
      <c r="G853">
        <v>3321047583.2400002</v>
      </c>
      <c r="H853">
        <v>152207508.77156481</v>
      </c>
      <c r="I853">
        <v>222482.69142842884</v>
      </c>
      <c r="J853">
        <v>17295900.584615361</v>
      </c>
    </row>
    <row r="854" spans="1:10" x14ac:dyDescent="0.25">
      <c r="A854">
        <v>21</v>
      </c>
      <c r="B854">
        <v>32</v>
      </c>
      <c r="C854" t="s">
        <v>20</v>
      </c>
      <c r="D854" t="s">
        <v>31</v>
      </c>
      <c r="E854">
        <v>23678.923076923074</v>
      </c>
      <c r="F854">
        <v>159801.5</v>
      </c>
      <c r="G854">
        <v>3684428128.4199996</v>
      </c>
      <c r="H854">
        <v>130164404.7115355</v>
      </c>
      <c r="I854">
        <v>2460744.7623826168</v>
      </c>
      <c r="J854">
        <v>11328025.076923057</v>
      </c>
    </row>
    <row r="855" spans="1:10" x14ac:dyDescent="0.25">
      <c r="A855">
        <v>21</v>
      </c>
      <c r="B855">
        <v>33</v>
      </c>
      <c r="C855" t="s">
        <v>20</v>
      </c>
      <c r="D855" t="s">
        <v>32</v>
      </c>
      <c r="E855">
        <v>87356.307692307659</v>
      </c>
      <c r="F855">
        <v>209511.72307692311</v>
      </c>
      <c r="G855">
        <v>3829237382.2080002</v>
      </c>
      <c r="H855">
        <v>209068025.07553551</v>
      </c>
      <c r="I855">
        <v>786688614.47555387</v>
      </c>
      <c r="J855">
        <v>8789979.5999999829</v>
      </c>
    </row>
    <row r="856" spans="1:10" x14ac:dyDescent="0.25">
      <c r="A856">
        <v>21</v>
      </c>
      <c r="B856">
        <v>34</v>
      </c>
      <c r="C856" t="s">
        <v>20</v>
      </c>
      <c r="D856" t="s">
        <v>33</v>
      </c>
      <c r="E856">
        <v>319966.84615384642</v>
      </c>
      <c r="F856">
        <v>377073.38888888899</v>
      </c>
      <c r="G856">
        <v>5505482638.8755569</v>
      </c>
      <c r="H856">
        <v>918807617.65956473</v>
      </c>
      <c r="I856">
        <v>786688613.97777617</v>
      </c>
      <c r="J856">
        <v>10295812.95384614</v>
      </c>
    </row>
    <row r="857" spans="1:10" x14ac:dyDescent="0.25">
      <c r="A857">
        <v>21</v>
      </c>
      <c r="B857">
        <v>35</v>
      </c>
      <c r="C857" t="s">
        <v>20</v>
      </c>
      <c r="D857" t="s">
        <v>34</v>
      </c>
      <c r="E857">
        <v>46285.153846153858</v>
      </c>
      <c r="F857">
        <v>125483.5384615385</v>
      </c>
      <c r="G857">
        <v>1891443491.2800004</v>
      </c>
      <c r="H857">
        <v>289073008.73156482</v>
      </c>
      <c r="I857">
        <v>291447.56415266701</v>
      </c>
      <c r="J857">
        <v>19491216.769230753</v>
      </c>
    </row>
    <row r="858" spans="1:10" x14ac:dyDescent="0.25">
      <c r="A858">
        <v>21</v>
      </c>
      <c r="B858">
        <v>36</v>
      </c>
      <c r="C858" t="s">
        <v>20</v>
      </c>
      <c r="D858" t="s">
        <v>35</v>
      </c>
      <c r="E858">
        <v>26909.38461538461</v>
      </c>
      <c r="F858">
        <v>201329.92307692312</v>
      </c>
      <c r="G858">
        <v>2664609585.1200004</v>
      </c>
      <c r="H858">
        <v>144033094.91790578</v>
      </c>
      <c r="I858">
        <v>1811154.589405339</v>
      </c>
      <c r="J858">
        <v>27983506.584615365</v>
      </c>
    </row>
    <row r="859" spans="1:10" x14ac:dyDescent="0.25">
      <c r="A859">
        <v>21</v>
      </c>
      <c r="B859">
        <v>37</v>
      </c>
      <c r="C859" t="s">
        <v>20</v>
      </c>
      <c r="D859" t="s">
        <v>36</v>
      </c>
      <c r="E859">
        <v>33328.384615384661</v>
      </c>
      <c r="F859">
        <v>196145.42673992668</v>
      </c>
      <c r="G859">
        <v>16925459485.741901</v>
      </c>
      <c r="H859">
        <v>197577966.08039421</v>
      </c>
      <c r="I859">
        <v>7523845.4572417336</v>
      </c>
      <c r="J859">
        <v>46971808.799999975</v>
      </c>
    </row>
    <row r="860" spans="1:10" x14ac:dyDescent="0.25">
      <c r="A860">
        <v>21</v>
      </c>
      <c r="B860">
        <v>38</v>
      </c>
      <c r="C860" t="s">
        <v>20</v>
      </c>
      <c r="D860" t="s">
        <v>37</v>
      </c>
      <c r="E860">
        <v>23296.538461538461</v>
      </c>
      <c r="F860">
        <v>117122.38461538462</v>
      </c>
      <c r="G860">
        <v>13108351340.84</v>
      </c>
      <c r="H860">
        <v>127580051.75059672</v>
      </c>
      <c r="I860">
        <v>1811156.6305164502</v>
      </c>
      <c r="J860">
        <v>16832509.969230741</v>
      </c>
    </row>
    <row r="861" spans="1:10" x14ac:dyDescent="0.25">
      <c r="A861">
        <v>21</v>
      </c>
      <c r="B861">
        <v>39</v>
      </c>
      <c r="C861" t="s">
        <v>20</v>
      </c>
      <c r="D861" t="s">
        <v>38</v>
      </c>
      <c r="E861">
        <v>26366.923076923082</v>
      </c>
      <c r="F861">
        <v>201292.84249084251</v>
      </c>
      <c r="G861">
        <v>18310530951.756191</v>
      </c>
      <c r="H861">
        <v>144919628.4003942</v>
      </c>
      <c r="I861">
        <v>155976.89988193478</v>
      </c>
      <c r="J861">
        <v>1893586.9846153809</v>
      </c>
    </row>
    <row r="862" spans="1:10" x14ac:dyDescent="0.25">
      <c r="A862">
        <v>21</v>
      </c>
      <c r="B862">
        <v>40</v>
      </c>
      <c r="C862" t="s">
        <v>20</v>
      </c>
      <c r="D862" t="s">
        <v>39</v>
      </c>
      <c r="E862">
        <v>32913.307692307688</v>
      </c>
      <c r="F862">
        <v>182612.1428571429</v>
      </c>
      <c r="G862">
        <v>18625313680.628574</v>
      </c>
      <c r="H862">
        <v>130355762.75217924</v>
      </c>
      <c r="I862">
        <v>136.71341435772288</v>
      </c>
      <c r="J862">
        <v>5908641.5384615334</v>
      </c>
    </row>
    <row r="863" spans="1:10" x14ac:dyDescent="0.25">
      <c r="A863">
        <v>21</v>
      </c>
      <c r="B863">
        <v>41</v>
      </c>
      <c r="C863" t="s">
        <v>20</v>
      </c>
      <c r="D863" t="s">
        <v>40</v>
      </c>
      <c r="E863">
        <v>45272.230769230766</v>
      </c>
      <c r="F863">
        <v>130790.4926739927</v>
      </c>
      <c r="G863">
        <v>13223049599.833338</v>
      </c>
      <c r="H863">
        <v>284546268.71059674</v>
      </c>
      <c r="I863">
        <v>297541.90799705463</v>
      </c>
      <c r="J863">
        <v>8896871.0769230668</v>
      </c>
    </row>
    <row r="864" spans="1:10" x14ac:dyDescent="0.25">
      <c r="A864">
        <v>22</v>
      </c>
      <c r="B864">
        <v>1</v>
      </c>
      <c r="C864" t="s">
        <v>21</v>
      </c>
      <c r="D864" t="s">
        <v>0</v>
      </c>
      <c r="E864">
        <v>101144.60989010986</v>
      </c>
      <c r="F864">
        <v>175688.51282051287</v>
      </c>
      <c r="G864">
        <v>5490160612.5333347</v>
      </c>
      <c r="H864">
        <v>369760134.90737712</v>
      </c>
      <c r="I864">
        <v>0</v>
      </c>
      <c r="J864">
        <v>0</v>
      </c>
    </row>
    <row r="865" spans="1:10" x14ac:dyDescent="0.25">
      <c r="A865">
        <v>22</v>
      </c>
      <c r="B865">
        <v>2</v>
      </c>
      <c r="C865" t="s">
        <v>21</v>
      </c>
      <c r="D865" t="s">
        <v>1</v>
      </c>
      <c r="E865">
        <v>29883.609890109859</v>
      </c>
      <c r="F865">
        <v>166076.89743589747</v>
      </c>
      <c r="G865">
        <v>4718796031.4533339</v>
      </c>
      <c r="H865">
        <v>246228666.34594858</v>
      </c>
      <c r="I865">
        <v>99919.352894636671</v>
      </c>
      <c r="J865">
        <v>1538897.5384615385</v>
      </c>
    </row>
    <row r="866" spans="1:10" x14ac:dyDescent="0.25">
      <c r="A866">
        <v>22</v>
      </c>
      <c r="B866">
        <v>3</v>
      </c>
      <c r="C866" t="s">
        <v>21</v>
      </c>
      <c r="D866" t="s">
        <v>2</v>
      </c>
      <c r="E866">
        <v>25148.252747252762</v>
      </c>
      <c r="F866">
        <v>169111.12820512816</v>
      </c>
      <c r="G866">
        <v>4671782854.453331</v>
      </c>
      <c r="H866">
        <v>288081512.48755938</v>
      </c>
      <c r="I866">
        <v>99918.641783525556</v>
      </c>
      <c r="J866">
        <v>2963929.8461538451</v>
      </c>
    </row>
    <row r="867" spans="1:10" x14ac:dyDescent="0.25">
      <c r="A867">
        <v>22</v>
      </c>
      <c r="B867">
        <v>4</v>
      </c>
      <c r="C867" t="s">
        <v>21</v>
      </c>
      <c r="D867" t="s">
        <v>3</v>
      </c>
      <c r="E867">
        <v>39804.609890109859</v>
      </c>
      <c r="F867">
        <v>158218.05128205125</v>
      </c>
      <c r="G867">
        <v>8600448475.1999989</v>
      </c>
      <c r="H867">
        <v>339553851.68852723</v>
      </c>
      <c r="I867">
        <v>99917.302894636668</v>
      </c>
      <c r="J867">
        <v>1751174.7692307695</v>
      </c>
    </row>
    <row r="868" spans="1:10" x14ac:dyDescent="0.25">
      <c r="A868">
        <v>22</v>
      </c>
      <c r="B868">
        <v>5</v>
      </c>
      <c r="C868" t="s">
        <v>21</v>
      </c>
      <c r="D868" t="s">
        <v>4</v>
      </c>
      <c r="E868">
        <v>73541.181318681367</v>
      </c>
      <c r="F868">
        <v>190018.12820512816</v>
      </c>
      <c r="G868">
        <v>11606451684.546663</v>
      </c>
      <c r="H868">
        <v>250637747.76555774</v>
      </c>
      <c r="I868">
        <v>1811147.073079912</v>
      </c>
      <c r="J868">
        <v>3724792.6153846155</v>
      </c>
    </row>
    <row r="869" spans="1:10" x14ac:dyDescent="0.25">
      <c r="A869">
        <v>22</v>
      </c>
      <c r="B869">
        <v>6</v>
      </c>
      <c r="C869" t="s">
        <v>21</v>
      </c>
      <c r="D869" t="s">
        <v>5</v>
      </c>
      <c r="E869">
        <v>21869.32417582416</v>
      </c>
      <c r="F869">
        <v>255807.43956043967</v>
      </c>
      <c r="G869">
        <v>18661224342.017151</v>
      </c>
      <c r="H869">
        <v>370094521.52841485</v>
      </c>
      <c r="I869">
        <v>138.16008102438954</v>
      </c>
      <c r="J869">
        <v>8068786.9538461538</v>
      </c>
    </row>
    <row r="870" spans="1:10" x14ac:dyDescent="0.25">
      <c r="A870">
        <v>22</v>
      </c>
      <c r="B870">
        <v>7</v>
      </c>
      <c r="C870" t="s">
        <v>21</v>
      </c>
      <c r="D870" t="s">
        <v>6</v>
      </c>
      <c r="E870">
        <v>13619.324175824171</v>
      </c>
      <c r="F870">
        <v>189353.74358974356</v>
      </c>
      <c r="G870">
        <v>11357028536.426664</v>
      </c>
      <c r="H870">
        <v>231405523.99412915</v>
      </c>
      <c r="I870">
        <v>99917.83067241445</v>
      </c>
      <c r="J870">
        <v>6040469.6307692314</v>
      </c>
    </row>
    <row r="871" spans="1:10" x14ac:dyDescent="0.25">
      <c r="A871">
        <v>22</v>
      </c>
      <c r="B871">
        <v>8</v>
      </c>
      <c r="C871" t="s">
        <v>21</v>
      </c>
      <c r="D871" t="s">
        <v>7</v>
      </c>
      <c r="E871">
        <v>43266.395604395562</v>
      </c>
      <c r="F871">
        <v>246951.51282051264</v>
      </c>
      <c r="G871">
        <v>13242261215.853323</v>
      </c>
      <c r="H871">
        <v>256617664.23195583</v>
      </c>
      <c r="I871">
        <v>4663604.7205173038</v>
      </c>
      <c r="J871">
        <v>6081908.1661538454</v>
      </c>
    </row>
    <row r="872" spans="1:10" x14ac:dyDescent="0.25">
      <c r="A872">
        <v>22</v>
      </c>
      <c r="B872">
        <v>9</v>
      </c>
      <c r="C872" t="s">
        <v>21</v>
      </c>
      <c r="D872" t="s">
        <v>8</v>
      </c>
      <c r="E872">
        <v>9261.9930069930051</v>
      </c>
      <c r="F872">
        <v>697284.28846153861</v>
      </c>
      <c r="G872">
        <v>30102766822.26001</v>
      </c>
      <c r="H872">
        <v>237099508.64594859</v>
      </c>
      <c r="I872">
        <v>60246.545216347979</v>
      </c>
      <c r="J872">
        <v>4039574.8</v>
      </c>
    </row>
    <row r="873" spans="1:10" x14ac:dyDescent="0.25">
      <c r="A873">
        <v>22</v>
      </c>
      <c r="B873">
        <v>10</v>
      </c>
      <c r="C873" t="s">
        <v>21</v>
      </c>
      <c r="D873" t="s">
        <v>9</v>
      </c>
      <c r="E873">
        <v>29744.752747252762</v>
      </c>
      <c r="F873">
        <v>221660.58974358975</v>
      </c>
      <c r="G873">
        <v>14237694133.986668</v>
      </c>
      <c r="H873">
        <v>297973524.82555771</v>
      </c>
      <c r="I873">
        <v>60245.237438570199</v>
      </c>
      <c r="J873">
        <v>2976855.7846153844</v>
      </c>
    </row>
    <row r="874" spans="1:10" x14ac:dyDescent="0.25">
      <c r="A874">
        <v>22</v>
      </c>
      <c r="B874">
        <v>11</v>
      </c>
      <c r="C874" t="s">
        <v>21</v>
      </c>
      <c r="D874" t="s">
        <v>10</v>
      </c>
      <c r="E874">
        <v>29911.92307692306</v>
      </c>
      <c r="F874">
        <v>224424.66666666666</v>
      </c>
      <c r="G874">
        <v>15582127778.186665</v>
      </c>
      <c r="H874">
        <v>294426577.03280091</v>
      </c>
      <c r="I874">
        <v>1853768.2397836971</v>
      </c>
      <c r="J874">
        <v>22082452.492307685</v>
      </c>
    </row>
    <row r="875" spans="1:10" x14ac:dyDescent="0.25">
      <c r="A875">
        <v>22</v>
      </c>
      <c r="B875">
        <v>12</v>
      </c>
      <c r="C875" t="s">
        <v>21</v>
      </c>
      <c r="D875" t="s">
        <v>11</v>
      </c>
      <c r="E875">
        <v>26880.538461538461</v>
      </c>
      <c r="F875">
        <v>169150.74358974356</v>
      </c>
      <c r="G875">
        <v>8839378068.0666637</v>
      </c>
      <c r="H875">
        <v>305456526.51799774</v>
      </c>
      <c r="I875">
        <v>1853769.1642281415</v>
      </c>
      <c r="J875">
        <v>92243437.538461626</v>
      </c>
    </row>
    <row r="876" spans="1:10" x14ac:dyDescent="0.25">
      <c r="A876">
        <v>22</v>
      </c>
      <c r="B876">
        <v>13</v>
      </c>
      <c r="C876" t="s">
        <v>21</v>
      </c>
      <c r="D876" t="s">
        <v>12</v>
      </c>
      <c r="E876">
        <v>11958.923076923082</v>
      </c>
      <c r="F876">
        <v>150839.20512820515</v>
      </c>
      <c r="G876">
        <v>6765452095.5466671</v>
      </c>
      <c r="H876">
        <v>236275200.3074829</v>
      </c>
      <c r="I876">
        <v>16303.517196668461</v>
      </c>
      <c r="J876">
        <v>9210444.6153846197</v>
      </c>
    </row>
    <row r="877" spans="1:10" x14ac:dyDescent="0.25">
      <c r="A877">
        <v>22</v>
      </c>
      <c r="B877">
        <v>14</v>
      </c>
      <c r="C877" t="s">
        <v>21</v>
      </c>
      <c r="D877" t="s">
        <v>13</v>
      </c>
      <c r="E877">
        <v>32583.92307692306</v>
      </c>
      <c r="F877">
        <v>297303.43589743564</v>
      </c>
      <c r="G877">
        <v>11164279164.133324</v>
      </c>
      <c r="H877">
        <v>276398075.69948292</v>
      </c>
      <c r="I877">
        <v>1697877.8515948968</v>
      </c>
      <c r="J877">
        <v>6340804.9230769221</v>
      </c>
    </row>
    <row r="878" spans="1:10" x14ac:dyDescent="0.25">
      <c r="A878">
        <v>22</v>
      </c>
      <c r="B878">
        <v>15</v>
      </c>
      <c r="C878" t="s">
        <v>21</v>
      </c>
      <c r="D878" t="s">
        <v>14</v>
      </c>
      <c r="E878">
        <v>56383.307692307659</v>
      </c>
      <c r="F878">
        <v>419479.12820512871</v>
      </c>
      <c r="G878">
        <v>20488870746.400024</v>
      </c>
      <c r="H878">
        <v>342303573.87206</v>
      </c>
      <c r="I878">
        <v>613022758.19416559</v>
      </c>
      <c r="J878">
        <v>13357924.430769265</v>
      </c>
    </row>
    <row r="879" spans="1:10" x14ac:dyDescent="0.25">
      <c r="A879">
        <v>22</v>
      </c>
      <c r="B879">
        <v>16</v>
      </c>
      <c r="C879" t="s">
        <v>21</v>
      </c>
      <c r="D879" t="s">
        <v>15</v>
      </c>
      <c r="E879">
        <v>46075.769230769263</v>
      </c>
      <c r="F879">
        <v>657692.35897435865</v>
      </c>
      <c r="G879">
        <v>40863189186.213318</v>
      </c>
      <c r="H879">
        <v>313225384.52677429</v>
      </c>
      <c r="I879">
        <v>1697877.573817119</v>
      </c>
      <c r="J879">
        <v>4813820.307692307</v>
      </c>
    </row>
    <row r="880" spans="1:10" x14ac:dyDescent="0.25">
      <c r="A880">
        <v>22</v>
      </c>
      <c r="B880">
        <v>17</v>
      </c>
      <c r="C880" t="s">
        <v>21</v>
      </c>
      <c r="D880" t="s">
        <v>16</v>
      </c>
      <c r="E880">
        <v>73134.846153846156</v>
      </c>
      <c r="F880">
        <v>302576.20512820466</v>
      </c>
      <c r="G880">
        <v>23884627346.879959</v>
      </c>
      <c r="H880">
        <v>589281994.86313105</v>
      </c>
      <c r="I880">
        <v>613022755.86958253</v>
      </c>
      <c r="J880">
        <v>7488832.1538461568</v>
      </c>
    </row>
    <row r="881" spans="1:10" x14ac:dyDescent="0.25">
      <c r="A881">
        <v>22</v>
      </c>
      <c r="B881">
        <v>18</v>
      </c>
      <c r="C881" t="s">
        <v>21</v>
      </c>
      <c r="D881" t="s">
        <v>17</v>
      </c>
      <c r="E881">
        <v>32401.307692307662</v>
      </c>
      <c r="F881">
        <v>179747.05128205125</v>
      </c>
      <c r="G881">
        <v>13395807174.199999</v>
      </c>
      <c r="H881">
        <v>306638377.43477428</v>
      </c>
      <c r="I881">
        <v>613022757.59416556</v>
      </c>
      <c r="J881">
        <v>11731740.307692306</v>
      </c>
    </row>
    <row r="882" spans="1:10" x14ac:dyDescent="0.25">
      <c r="A882">
        <v>22</v>
      </c>
      <c r="B882">
        <v>19</v>
      </c>
      <c r="C882" t="s">
        <v>21</v>
      </c>
      <c r="D882" t="s">
        <v>18</v>
      </c>
      <c r="E882">
        <v>9952.4615384615408</v>
      </c>
      <c r="F882">
        <v>218466.05128205125</v>
      </c>
      <c r="G882">
        <v>2248872054.6133332</v>
      </c>
      <c r="H882">
        <v>228000476.70017338</v>
      </c>
      <c r="I882">
        <v>38.68888888888889</v>
      </c>
      <c r="J882">
        <v>15.95</v>
      </c>
    </row>
    <row r="883" spans="1:10" x14ac:dyDescent="0.25">
      <c r="A883">
        <v>22</v>
      </c>
      <c r="B883">
        <v>20</v>
      </c>
      <c r="C883" t="s">
        <v>21</v>
      </c>
      <c r="D883" t="s">
        <v>19</v>
      </c>
      <c r="E883">
        <v>67124.230769230751</v>
      </c>
      <c r="F883">
        <v>190281.33333333337</v>
      </c>
      <c r="G883">
        <v>2628310389.8133335</v>
      </c>
      <c r="H883">
        <v>352290528.85021782</v>
      </c>
      <c r="I883">
        <v>605208.02887698309</v>
      </c>
      <c r="J883">
        <v>26250596.21758242</v>
      </c>
    </row>
    <row r="884" spans="1:10" x14ac:dyDescent="0.25">
      <c r="A884">
        <v>22</v>
      </c>
      <c r="B884">
        <v>21</v>
      </c>
      <c r="C884" t="s">
        <v>21</v>
      </c>
      <c r="D884" t="s">
        <v>20</v>
      </c>
      <c r="E884">
        <v>45968.846153846163</v>
      </c>
      <c r="F884">
        <v>234432.99999999965</v>
      </c>
      <c r="G884">
        <v>5712963418.2399902</v>
      </c>
      <c r="H884">
        <v>350180133.25656718</v>
      </c>
      <c r="I884">
        <v>605208.40665476094</v>
      </c>
      <c r="J884">
        <v>2958956.307692308</v>
      </c>
    </row>
    <row r="885" spans="1:10" x14ac:dyDescent="0.25">
      <c r="A885">
        <v>22</v>
      </c>
      <c r="B885">
        <v>22</v>
      </c>
      <c r="C885" t="s">
        <v>21</v>
      </c>
      <c r="D885" t="s">
        <v>21</v>
      </c>
      <c r="E885">
        <v>0</v>
      </c>
      <c r="F885">
        <v>0</v>
      </c>
      <c r="G885">
        <v>0</v>
      </c>
      <c r="H885">
        <v>0</v>
      </c>
      <c r="I885">
        <v>243148.81076887748</v>
      </c>
      <c r="J885">
        <v>4836459.6043956056</v>
      </c>
    </row>
    <row r="886" spans="1:10" x14ac:dyDescent="0.25">
      <c r="A886">
        <v>22</v>
      </c>
      <c r="B886">
        <v>23</v>
      </c>
      <c r="C886" t="s">
        <v>21</v>
      </c>
      <c r="D886" t="s">
        <v>22</v>
      </c>
      <c r="E886">
        <v>15087.230769230771</v>
      </c>
      <c r="F886">
        <v>237296.33333333366</v>
      </c>
      <c r="G886">
        <v>2841519181.280004</v>
      </c>
      <c r="H886">
        <v>181576905.31760085</v>
      </c>
      <c r="I886">
        <v>237021.03072637529</v>
      </c>
      <c r="J886">
        <v>16088182.417582419</v>
      </c>
    </row>
    <row r="887" spans="1:10" x14ac:dyDescent="0.25">
      <c r="A887">
        <v>22</v>
      </c>
      <c r="B887">
        <v>24</v>
      </c>
      <c r="C887" t="s">
        <v>21</v>
      </c>
      <c r="D887" t="s">
        <v>23</v>
      </c>
      <c r="E887">
        <v>16249.615384615381</v>
      </c>
      <c r="F887">
        <v>194768.33333333337</v>
      </c>
      <c r="G887">
        <v>4142839311.000001</v>
      </c>
      <c r="H887">
        <v>173229315.91760081</v>
      </c>
      <c r="I887">
        <v>348300.84856265574</v>
      </c>
      <c r="J887">
        <v>26482881.868131865</v>
      </c>
    </row>
    <row r="888" spans="1:10" x14ac:dyDescent="0.25">
      <c r="A888">
        <v>22</v>
      </c>
      <c r="B888">
        <v>25</v>
      </c>
      <c r="C888" t="s">
        <v>21</v>
      </c>
      <c r="D888" t="s">
        <v>24</v>
      </c>
      <c r="E888">
        <v>13854.230769230771</v>
      </c>
      <c r="F888">
        <v>187715.99999999994</v>
      </c>
      <c r="G888">
        <v>2602734900.4799991</v>
      </c>
      <c r="H888">
        <v>114517702.81760083</v>
      </c>
      <c r="I888">
        <v>348303.39300710021</v>
      </c>
      <c r="J888">
        <v>10077169.505494507</v>
      </c>
    </row>
    <row r="889" spans="1:10" x14ac:dyDescent="0.25">
      <c r="A889">
        <v>22</v>
      </c>
      <c r="B889">
        <v>26</v>
      </c>
      <c r="C889" t="s">
        <v>21</v>
      </c>
      <c r="D889" t="s">
        <v>25</v>
      </c>
      <c r="E889">
        <v>12933.307692307691</v>
      </c>
      <c r="F889">
        <v>173789.66666666666</v>
      </c>
      <c r="G889">
        <v>6909467003.0533323</v>
      </c>
      <c r="H889">
        <v>162608683.91415468</v>
      </c>
      <c r="I889">
        <v>348301.28745154466</v>
      </c>
      <c r="J889">
        <v>4450542.8835164849</v>
      </c>
    </row>
    <row r="890" spans="1:10" x14ac:dyDescent="0.25">
      <c r="A890">
        <v>22</v>
      </c>
      <c r="B890">
        <v>27</v>
      </c>
      <c r="C890" t="s">
        <v>21</v>
      </c>
      <c r="D890" t="s">
        <v>26</v>
      </c>
      <c r="E890">
        <v>68148.538461538468</v>
      </c>
      <c r="F890">
        <v>543722.7666666666</v>
      </c>
      <c r="G890">
        <v>7424643123.3866653</v>
      </c>
      <c r="H890">
        <v>735991444.61821783</v>
      </c>
      <c r="I890">
        <v>237021.18405970861</v>
      </c>
      <c r="J890">
        <v>5850756.9340659352</v>
      </c>
    </row>
    <row r="891" spans="1:10" x14ac:dyDescent="0.25">
      <c r="A891">
        <v>22</v>
      </c>
      <c r="B891">
        <v>28</v>
      </c>
      <c r="C891" t="s">
        <v>21</v>
      </c>
      <c r="D891" t="s">
        <v>27</v>
      </c>
      <c r="E891">
        <v>45212.838461538464</v>
      </c>
      <c r="F891">
        <v>243722.06666666665</v>
      </c>
      <c r="G891" t="s">
        <v>122</v>
      </c>
      <c r="H891" t="s">
        <v>122</v>
      </c>
      <c r="I891">
        <v>605210.4899880942</v>
      </c>
      <c r="J891">
        <v>2709999.0000000014</v>
      </c>
    </row>
    <row r="892" spans="1:10" x14ac:dyDescent="0.25">
      <c r="A892">
        <v>22</v>
      </c>
      <c r="B892">
        <v>29</v>
      </c>
      <c r="C892" t="s">
        <v>21</v>
      </c>
      <c r="D892" t="s">
        <v>28</v>
      </c>
      <c r="E892">
        <v>41260.038461538461</v>
      </c>
      <c r="F892">
        <v>488501.06666666665</v>
      </c>
      <c r="G892">
        <v>1387993712.754133</v>
      </c>
      <c r="H892">
        <v>492979375.91999996</v>
      </c>
      <c r="I892">
        <v>348301.83634043357</v>
      </c>
      <c r="J892">
        <v>10646617.142857146</v>
      </c>
    </row>
    <row r="893" spans="1:10" x14ac:dyDescent="0.25">
      <c r="A893">
        <v>22</v>
      </c>
      <c r="B893">
        <v>30</v>
      </c>
      <c r="C893" t="s">
        <v>21</v>
      </c>
      <c r="D893" t="s">
        <v>29</v>
      </c>
      <c r="E893">
        <v>16419.83846153846</v>
      </c>
      <c r="F893">
        <v>356650.76666666666</v>
      </c>
      <c r="G893">
        <v>6237522322.3559999</v>
      </c>
      <c r="H893">
        <v>145792404.12560081</v>
      </c>
      <c r="I893">
        <v>113371.70254299435</v>
      </c>
      <c r="J893">
        <v>9140190.461538462</v>
      </c>
    </row>
    <row r="894" spans="1:10" x14ac:dyDescent="0.25">
      <c r="A894">
        <v>22</v>
      </c>
      <c r="B894">
        <v>31</v>
      </c>
      <c r="C894" t="s">
        <v>21</v>
      </c>
      <c r="D894" t="s">
        <v>30</v>
      </c>
      <c r="E894">
        <v>11309</v>
      </c>
      <c r="F894">
        <v>151402.35897435897</v>
      </c>
      <c r="G894">
        <v>7188293311.5733337</v>
      </c>
      <c r="H894">
        <v>115490419.6757459</v>
      </c>
      <c r="I894">
        <v>84523.989033248392</v>
      </c>
      <c r="J894">
        <v>4881249.4769230774</v>
      </c>
    </row>
    <row r="895" spans="1:10" x14ac:dyDescent="0.25">
      <c r="A895">
        <v>22</v>
      </c>
      <c r="B895">
        <v>32</v>
      </c>
      <c r="C895" t="s">
        <v>21</v>
      </c>
      <c r="D895" t="s">
        <v>31</v>
      </c>
      <c r="E895">
        <v>9153.9230769230762</v>
      </c>
      <c r="F895">
        <v>176949.16666666666</v>
      </c>
      <c r="G895">
        <v>8103818843.4666653</v>
      </c>
      <c r="H895">
        <v>93411235.644331396</v>
      </c>
      <c r="I895">
        <v>6076.4412639749953</v>
      </c>
      <c r="J895">
        <v>3068717.5384615399</v>
      </c>
    </row>
    <row r="896" spans="1:10" x14ac:dyDescent="0.25">
      <c r="A896">
        <v>22</v>
      </c>
      <c r="B896">
        <v>33</v>
      </c>
      <c r="C896" t="s">
        <v>21</v>
      </c>
      <c r="D896" t="s">
        <v>32</v>
      </c>
      <c r="E896">
        <v>72831.307692307659</v>
      </c>
      <c r="F896">
        <v>226659.38974358974</v>
      </c>
      <c r="G896">
        <v>9297142047.6293335</v>
      </c>
      <c r="H896">
        <v>172314856.00833142</v>
      </c>
      <c r="I896">
        <v>6075.9434861972168</v>
      </c>
      <c r="J896">
        <v>5508082.0923076943</v>
      </c>
    </row>
    <row r="897" spans="1:10" x14ac:dyDescent="0.25">
      <c r="A897">
        <v>22</v>
      </c>
      <c r="B897">
        <v>34</v>
      </c>
      <c r="C897" t="s">
        <v>21</v>
      </c>
      <c r="D897" t="s">
        <v>33</v>
      </c>
      <c r="E897">
        <v>305441.84615384642</v>
      </c>
      <c r="F897">
        <v>394221.05555555562</v>
      </c>
      <c r="G897">
        <v>14720892274.660004</v>
      </c>
      <c r="H897">
        <v>882090528.56374574</v>
      </c>
      <c r="I897">
        <v>291460.93835411454</v>
      </c>
      <c r="J897">
        <v>10616562.707692306</v>
      </c>
    </row>
    <row r="898" spans="1:10" x14ac:dyDescent="0.25">
      <c r="A898">
        <v>22</v>
      </c>
      <c r="B898">
        <v>35</v>
      </c>
      <c r="C898" t="s">
        <v>21</v>
      </c>
      <c r="D898" t="s">
        <v>34</v>
      </c>
      <c r="E898">
        <v>31760.153846153862</v>
      </c>
      <c r="F898">
        <v>142631.20512820515</v>
      </c>
      <c r="G898">
        <v>5393513443.2000008</v>
      </c>
      <c r="H898">
        <v>252355919.63574591</v>
      </c>
      <c r="I898">
        <v>57700372.347707689</v>
      </c>
      <c r="J898">
        <v>18950483.846153844</v>
      </c>
    </row>
    <row r="899" spans="1:10" x14ac:dyDescent="0.25">
      <c r="A899">
        <v>22</v>
      </c>
      <c r="B899">
        <v>36</v>
      </c>
      <c r="C899" t="s">
        <v>21</v>
      </c>
      <c r="D899" t="s">
        <v>35</v>
      </c>
      <c r="E899">
        <v>12384.384615384612</v>
      </c>
      <c r="F899">
        <v>218477.58974358975</v>
      </c>
      <c r="G899">
        <v>7859993464.1333332</v>
      </c>
      <c r="H899">
        <v>107749613.00994858</v>
      </c>
      <c r="I899">
        <v>434984.91959085304</v>
      </c>
      <c r="J899">
        <v>37618288.061538465</v>
      </c>
    </row>
    <row r="900" spans="1:10" x14ac:dyDescent="0.25">
      <c r="A900">
        <v>22</v>
      </c>
      <c r="B900">
        <v>37</v>
      </c>
      <c r="C900" t="s">
        <v>21</v>
      </c>
      <c r="D900" t="s">
        <v>36</v>
      </c>
      <c r="E900">
        <v>18803.384615384661</v>
      </c>
      <c r="F900">
        <v>213293.09340659337</v>
      </c>
      <c r="G900">
        <v>13812254976.625711</v>
      </c>
      <c r="H900">
        <v>160923980.38756037</v>
      </c>
      <c r="I900">
        <v>57700291.177742735</v>
      </c>
      <c r="J900">
        <v>7153767.3846153868</v>
      </c>
    </row>
    <row r="901" spans="1:10" x14ac:dyDescent="0.25">
      <c r="A901">
        <v>22</v>
      </c>
      <c r="B901">
        <v>38</v>
      </c>
      <c r="C901" t="s">
        <v>21</v>
      </c>
      <c r="D901" t="s">
        <v>37</v>
      </c>
      <c r="E901">
        <v>8771.538461538461</v>
      </c>
      <c r="F901">
        <v>134270.05128205128</v>
      </c>
      <c r="G901">
        <v>12136256383.626667</v>
      </c>
      <c r="H901">
        <v>90511008.191691861</v>
      </c>
      <c r="I901">
        <v>54536.583226672199</v>
      </c>
      <c r="J901">
        <v>1234592.307692308</v>
      </c>
    </row>
    <row r="902" spans="1:10" x14ac:dyDescent="0.25">
      <c r="A902">
        <v>22</v>
      </c>
      <c r="B902">
        <v>39</v>
      </c>
      <c r="C902" t="s">
        <v>21</v>
      </c>
      <c r="D902" t="s">
        <v>38</v>
      </c>
      <c r="E902">
        <v>11841.923076923082</v>
      </c>
      <c r="F902">
        <v>218440.50915750914</v>
      </c>
      <c r="G902">
        <v>15166639105.139048</v>
      </c>
      <c r="H902">
        <v>108265642.70756036</v>
      </c>
      <c r="I902">
        <v>252472.6651741637</v>
      </c>
      <c r="J902">
        <v>6219740.769230769</v>
      </c>
    </row>
    <row r="903" spans="1:10" x14ac:dyDescent="0.25">
      <c r="A903">
        <v>22</v>
      </c>
      <c r="B903">
        <v>40</v>
      </c>
      <c r="C903" t="s">
        <v>21</v>
      </c>
      <c r="D903" t="s">
        <v>39</v>
      </c>
      <c r="E903">
        <v>18388.307692307691</v>
      </c>
      <c r="F903">
        <v>199759.80952380956</v>
      </c>
      <c r="G903">
        <v>16062310735.367622</v>
      </c>
      <c r="H903">
        <v>94373157.555959269</v>
      </c>
      <c r="I903">
        <v>196105.35136475449</v>
      </c>
      <c r="J903">
        <v>5922446.153846154</v>
      </c>
    </row>
    <row r="904" spans="1:10" x14ac:dyDescent="0.25">
      <c r="A904">
        <v>22</v>
      </c>
      <c r="B904">
        <v>41</v>
      </c>
      <c r="C904" t="s">
        <v>21</v>
      </c>
      <c r="D904" t="s">
        <v>40</v>
      </c>
      <c r="E904">
        <v>30747.230769230762</v>
      </c>
      <c r="F904">
        <v>147938.15934065936</v>
      </c>
      <c r="G904">
        <v>11763344162.657143</v>
      </c>
      <c r="H904">
        <v>247477225.15169185</v>
      </c>
      <c r="I904">
        <v>99919.352894636671</v>
      </c>
      <c r="J904">
        <v>1538897.5384615385</v>
      </c>
    </row>
    <row r="905" spans="1:10" x14ac:dyDescent="0.25">
      <c r="A905">
        <v>23</v>
      </c>
      <c r="B905">
        <v>1</v>
      </c>
      <c r="C905" t="s">
        <v>22</v>
      </c>
      <c r="D905" t="s">
        <v>0</v>
      </c>
      <c r="E905">
        <v>93286.609890109874</v>
      </c>
      <c r="F905">
        <v>153589.51282051287</v>
      </c>
      <c r="G905">
        <v>4751180994.6533346</v>
      </c>
      <c r="H905">
        <v>237690483.88762689</v>
      </c>
      <c r="I905">
        <v>0</v>
      </c>
      <c r="J905">
        <v>0</v>
      </c>
    </row>
    <row r="906" spans="1:10" x14ac:dyDescent="0.25">
      <c r="A906">
        <v>23</v>
      </c>
      <c r="B906">
        <v>2</v>
      </c>
      <c r="C906" t="s">
        <v>22</v>
      </c>
      <c r="D906" t="s">
        <v>1</v>
      </c>
      <c r="E906">
        <v>22025.609890109859</v>
      </c>
      <c r="F906">
        <v>143977.89743589747</v>
      </c>
      <c r="G906">
        <v>4053081476.9066672</v>
      </c>
      <c r="H906">
        <v>114159015.32619831</v>
      </c>
      <c r="I906">
        <v>0</v>
      </c>
      <c r="J906">
        <v>1436644.5538461534</v>
      </c>
    </row>
    <row r="907" spans="1:10" x14ac:dyDescent="0.25">
      <c r="A907">
        <v>23</v>
      </c>
      <c r="B907">
        <v>3</v>
      </c>
      <c r="C907" t="s">
        <v>22</v>
      </c>
      <c r="D907" t="s">
        <v>2</v>
      </c>
      <c r="E907">
        <v>17290.252747252762</v>
      </c>
      <c r="F907">
        <v>147012.12820512819</v>
      </c>
      <c r="G907">
        <v>4014960026.1333332</v>
      </c>
      <c r="H907">
        <v>156557006.63423547</v>
      </c>
      <c r="I907">
        <v>0</v>
      </c>
      <c r="J907">
        <v>750728.09230769263</v>
      </c>
    </row>
    <row r="908" spans="1:10" x14ac:dyDescent="0.25">
      <c r="A908">
        <v>23</v>
      </c>
      <c r="B908">
        <v>4</v>
      </c>
      <c r="C908" t="s">
        <v>22</v>
      </c>
      <c r="D908" t="s">
        <v>3</v>
      </c>
      <c r="E908">
        <v>31946.609890109859</v>
      </c>
      <c r="F908">
        <v>136119.05128205128</v>
      </c>
      <c r="G908">
        <v>7356292777.960001</v>
      </c>
      <c r="H908">
        <v>207018675.40244392</v>
      </c>
      <c r="I908">
        <v>291463.63724300347</v>
      </c>
      <c r="J908">
        <v>1098296.5846153842</v>
      </c>
    </row>
    <row r="909" spans="1:10" x14ac:dyDescent="0.25">
      <c r="A909">
        <v>23</v>
      </c>
      <c r="B909">
        <v>5</v>
      </c>
      <c r="C909" t="s">
        <v>22</v>
      </c>
      <c r="D909" t="s">
        <v>4</v>
      </c>
      <c r="E909">
        <v>65683.181318681367</v>
      </c>
      <c r="F909">
        <v>167919.12820512819</v>
      </c>
      <c r="G909">
        <v>10212532406.24</v>
      </c>
      <c r="H909">
        <v>118405066.56694569</v>
      </c>
      <c r="I909">
        <v>252474.11184083039</v>
      </c>
      <c r="J909">
        <v>7066051.1076923087</v>
      </c>
    </row>
    <row r="910" spans="1:10" x14ac:dyDescent="0.25">
      <c r="A910">
        <v>23</v>
      </c>
      <c r="B910">
        <v>6</v>
      </c>
      <c r="C910" t="s">
        <v>22</v>
      </c>
      <c r="D910" t="s">
        <v>5</v>
      </c>
      <c r="E910">
        <v>14011.32417582416</v>
      </c>
      <c r="F910">
        <v>233708.43956043967</v>
      </c>
      <c r="G910">
        <v>16987724268.068579</v>
      </c>
      <c r="H910">
        <v>237861840.32980281</v>
      </c>
      <c r="I910">
        <v>0</v>
      </c>
      <c r="J910">
        <v>4809893.538461539</v>
      </c>
    </row>
    <row r="911" spans="1:10" x14ac:dyDescent="0.25">
      <c r="A911">
        <v>23</v>
      </c>
      <c r="B911">
        <v>7</v>
      </c>
      <c r="C911" t="s">
        <v>22</v>
      </c>
      <c r="D911" t="s">
        <v>6</v>
      </c>
      <c r="E911">
        <v>5761.324175824172</v>
      </c>
      <c r="F911">
        <v>167254.74358974356</v>
      </c>
      <c r="G911">
        <v>9978872935.4666653</v>
      </c>
      <c r="H911">
        <v>99172842.795517117</v>
      </c>
      <c r="I911">
        <v>237022.28628193084</v>
      </c>
      <c r="J911">
        <v>3315143.8523076922</v>
      </c>
    </row>
    <row r="912" spans="1:10" x14ac:dyDescent="0.25">
      <c r="A912">
        <v>23</v>
      </c>
      <c r="B912">
        <v>8</v>
      </c>
      <c r="C912" t="s">
        <v>22</v>
      </c>
      <c r="D912" t="s">
        <v>7</v>
      </c>
      <c r="E912">
        <v>35408.395604395562</v>
      </c>
      <c r="F912">
        <v>224852.51282051267</v>
      </c>
      <c r="G912">
        <v>11986392782.933325</v>
      </c>
      <c r="H912">
        <v>124082487.94587249</v>
      </c>
      <c r="I912">
        <v>1956581.9091954043</v>
      </c>
      <c r="J912">
        <v>1274109.2000000007</v>
      </c>
    </row>
    <row r="913" spans="1:10" x14ac:dyDescent="0.25">
      <c r="A913">
        <v>23</v>
      </c>
      <c r="B913">
        <v>9</v>
      </c>
      <c r="C913" t="s">
        <v>22</v>
      </c>
      <c r="D913" t="s">
        <v>8</v>
      </c>
      <c r="E913">
        <v>1403.9930069930065</v>
      </c>
      <c r="F913">
        <v>675185.28846153861</v>
      </c>
      <c r="G913">
        <v>41808202261.650017</v>
      </c>
      <c r="H913">
        <v>105029857.62619831</v>
      </c>
      <c r="I913">
        <v>1956580.6014176265</v>
      </c>
      <c r="J913">
        <v>438021.99999999994</v>
      </c>
    </row>
    <row r="914" spans="1:10" x14ac:dyDescent="0.25">
      <c r="A914">
        <v>23</v>
      </c>
      <c r="B914">
        <v>10</v>
      </c>
      <c r="C914" t="s">
        <v>22</v>
      </c>
      <c r="D914" t="s">
        <v>9</v>
      </c>
      <c r="E914">
        <v>21886.752747252762</v>
      </c>
      <c r="F914">
        <v>199561.58974358978</v>
      </c>
      <c r="G914">
        <v>12765827176.480003</v>
      </c>
      <c r="H914">
        <v>165740843.62694567</v>
      </c>
      <c r="I914">
        <v>1956589.1770526855</v>
      </c>
      <c r="J914">
        <v>19959800.123076912</v>
      </c>
    </row>
    <row r="915" spans="1:10" x14ac:dyDescent="0.25">
      <c r="A915">
        <v>23</v>
      </c>
      <c r="B915">
        <v>11</v>
      </c>
      <c r="C915" t="s">
        <v>22</v>
      </c>
      <c r="D915" t="s">
        <v>10</v>
      </c>
      <c r="E915">
        <v>22053.92307692306</v>
      </c>
      <c r="F915">
        <v>202325.66666666669</v>
      </c>
      <c r="G915">
        <v>14536565010.240002</v>
      </c>
      <c r="H915">
        <v>162837851.38159639</v>
      </c>
      <c r="I915">
        <v>1956590.1014971298</v>
      </c>
      <c r="J915">
        <v>91060656.923077017</v>
      </c>
    </row>
    <row r="916" spans="1:10" x14ac:dyDescent="0.25">
      <c r="A916">
        <v>23</v>
      </c>
      <c r="B916">
        <v>12</v>
      </c>
      <c r="C916" t="s">
        <v>22</v>
      </c>
      <c r="D916" t="s">
        <v>11</v>
      </c>
      <c r="E916">
        <v>19022.538461538461</v>
      </c>
      <c r="F916">
        <v>147051.74358974356</v>
      </c>
      <c r="G916">
        <v>8047530191.413331</v>
      </c>
      <c r="H916">
        <v>173687737.94089377</v>
      </c>
      <c r="I916">
        <v>605208.64887698309</v>
      </c>
      <c r="J916">
        <v>7075037.5384615436</v>
      </c>
    </row>
    <row r="917" spans="1:10" x14ac:dyDescent="0.25">
      <c r="A917">
        <v>23</v>
      </c>
      <c r="B917">
        <v>13</v>
      </c>
      <c r="C917" t="s">
        <v>22</v>
      </c>
      <c r="D917" t="s">
        <v>12</v>
      </c>
      <c r="E917">
        <v>4100.9230769230817</v>
      </c>
      <c r="F917">
        <v>128740.20512820517</v>
      </c>
      <c r="G917">
        <v>6092053451.5733347</v>
      </c>
      <c r="H917">
        <v>104583877.61689353</v>
      </c>
      <c r="I917">
        <v>66482.057827740762</v>
      </c>
      <c r="J917">
        <v>2259571.1999999979</v>
      </c>
    </row>
    <row r="918" spans="1:10" x14ac:dyDescent="0.25">
      <c r="A918">
        <v>23</v>
      </c>
      <c r="B918">
        <v>14</v>
      </c>
      <c r="C918" t="s">
        <v>22</v>
      </c>
      <c r="D918" t="s">
        <v>13</v>
      </c>
      <c r="E918">
        <v>24725.92307692306</v>
      </c>
      <c r="F918">
        <v>275204.43589743564</v>
      </c>
      <c r="G918">
        <v>11013747573.679991</v>
      </c>
      <c r="H918">
        <v>144706753.00889355</v>
      </c>
      <c r="I918">
        <v>6615.1048096689092</v>
      </c>
      <c r="J918">
        <v>7315895.0769231077</v>
      </c>
    </row>
    <row r="919" spans="1:10" x14ac:dyDescent="0.25">
      <c r="A919">
        <v>23</v>
      </c>
      <c r="B919">
        <v>15</v>
      </c>
      <c r="C919" t="s">
        <v>22</v>
      </c>
      <c r="D919" t="s">
        <v>14</v>
      </c>
      <c r="E919">
        <v>48525.307692307659</v>
      </c>
      <c r="F919">
        <v>397380.12820512871</v>
      </c>
      <c r="G919">
        <v>15569321632.666685</v>
      </c>
      <c r="H919">
        <v>210840503.37001586</v>
      </c>
      <c r="I919">
        <v>66481.780049962981</v>
      </c>
      <c r="J919">
        <v>478694.15384615381</v>
      </c>
    </row>
    <row r="920" spans="1:10" x14ac:dyDescent="0.25">
      <c r="A920">
        <v>23</v>
      </c>
      <c r="B920">
        <v>16</v>
      </c>
      <c r="C920" t="s">
        <v>22</v>
      </c>
      <c r="D920" t="s">
        <v>15</v>
      </c>
      <c r="E920">
        <v>38217.769230769263</v>
      </c>
      <c r="F920">
        <v>635593.35897435865</v>
      </c>
      <c r="G920">
        <v>38956050869.959984</v>
      </c>
      <c r="H920">
        <v>181405991.57414126</v>
      </c>
      <c r="I920">
        <v>63965.781877314956</v>
      </c>
      <c r="J920">
        <v>2493935.8461538488</v>
      </c>
    </row>
    <row r="921" spans="1:10" x14ac:dyDescent="0.25">
      <c r="A921">
        <v>23</v>
      </c>
      <c r="B921">
        <v>17</v>
      </c>
      <c r="C921" t="s">
        <v>22</v>
      </c>
      <c r="D921" t="s">
        <v>16</v>
      </c>
      <c r="E921">
        <v>65276.846153846163</v>
      </c>
      <c r="F921">
        <v>280477.20512820466</v>
      </c>
      <c r="G921">
        <v>22832527360.666626</v>
      </c>
      <c r="H921">
        <v>456652451.64107573</v>
      </c>
      <c r="I921">
        <v>6614.5048096689097</v>
      </c>
      <c r="J921">
        <v>6351881.5999999996</v>
      </c>
    </row>
    <row r="922" spans="1:10" x14ac:dyDescent="0.25">
      <c r="A922">
        <v>23</v>
      </c>
      <c r="B922">
        <v>18</v>
      </c>
      <c r="C922" t="s">
        <v>22</v>
      </c>
      <c r="D922" t="s">
        <v>17</v>
      </c>
      <c r="E922">
        <v>24543.307692307662</v>
      </c>
      <c r="F922">
        <v>157648.05128205128</v>
      </c>
      <c r="G922">
        <v>10755298673.68</v>
      </c>
      <c r="H922">
        <v>174818984.48214129</v>
      </c>
      <c r="I922">
        <v>48.228947599943695</v>
      </c>
      <c r="J922">
        <v>15.08</v>
      </c>
    </row>
    <row r="923" spans="1:10" x14ac:dyDescent="0.25">
      <c r="A923">
        <v>23</v>
      </c>
      <c r="B923">
        <v>19</v>
      </c>
      <c r="C923" t="s">
        <v>22</v>
      </c>
      <c r="D923" t="s">
        <v>18</v>
      </c>
      <c r="E923">
        <v>2094.4615384615417</v>
      </c>
      <c r="F923">
        <v>196367.05128205125</v>
      </c>
      <c r="G923">
        <v>3640558729.2666664</v>
      </c>
      <c r="H923">
        <v>96593440.744321838</v>
      </c>
      <c r="I923">
        <v>605207.31776587199</v>
      </c>
      <c r="J923">
        <v>39183444.367032975</v>
      </c>
    </row>
    <row r="924" spans="1:10" x14ac:dyDescent="0.25">
      <c r="A924">
        <v>23</v>
      </c>
      <c r="B924">
        <v>20</v>
      </c>
      <c r="C924" t="s">
        <v>22</v>
      </c>
      <c r="D924" t="s">
        <v>19</v>
      </c>
      <c r="E924">
        <v>59266.230769230759</v>
      </c>
      <c r="F924">
        <v>168182.33333333337</v>
      </c>
      <c r="G924">
        <v>3338849863.4400005</v>
      </c>
      <c r="H924">
        <v>220676563.51015586</v>
      </c>
      <c r="I924">
        <v>605207.69554364984</v>
      </c>
      <c r="J924">
        <v>5131460.1846153839</v>
      </c>
    </row>
    <row r="925" spans="1:10" x14ac:dyDescent="0.25">
      <c r="A925">
        <v>23</v>
      </c>
      <c r="B925">
        <v>21</v>
      </c>
      <c r="C925" t="s">
        <v>22</v>
      </c>
      <c r="D925" t="s">
        <v>20</v>
      </c>
      <c r="E925">
        <v>38110.846153846163</v>
      </c>
      <c r="F925">
        <v>212333.99999999965</v>
      </c>
      <c r="G925">
        <v>5107516009.43999</v>
      </c>
      <c r="H925">
        <v>218543898.27071899</v>
      </c>
      <c r="I925">
        <v>243148.09965776635</v>
      </c>
      <c r="J925">
        <v>8149628.5846153833</v>
      </c>
    </row>
    <row r="926" spans="1:10" x14ac:dyDescent="0.25">
      <c r="A926">
        <v>23</v>
      </c>
      <c r="B926">
        <v>22</v>
      </c>
      <c r="C926" t="s">
        <v>22</v>
      </c>
      <c r="D926" t="s">
        <v>21</v>
      </c>
      <c r="E926">
        <v>22550.692307692261</v>
      </c>
      <c r="F926">
        <v>231460.99999999965</v>
      </c>
      <c r="G926">
        <v>2771643632.1599951</v>
      </c>
      <c r="H926">
        <v>181576905.31760085</v>
      </c>
      <c r="I926">
        <v>237020.31961526416</v>
      </c>
      <c r="J926">
        <v>21517763.920879122</v>
      </c>
    </row>
    <row r="927" spans="1:10" x14ac:dyDescent="0.25">
      <c r="A927">
        <v>23</v>
      </c>
      <c r="B927">
        <v>23</v>
      </c>
      <c r="C927" t="s">
        <v>22</v>
      </c>
      <c r="D927" t="s">
        <v>22</v>
      </c>
      <c r="E927">
        <v>0</v>
      </c>
      <c r="F927">
        <v>0</v>
      </c>
      <c r="G927">
        <v>0</v>
      </c>
      <c r="H927">
        <v>0</v>
      </c>
      <c r="I927">
        <v>348300.13745154464</v>
      </c>
      <c r="J927">
        <v>34642014.945054948</v>
      </c>
    </row>
    <row r="928" spans="1:10" x14ac:dyDescent="0.25">
      <c r="A928">
        <v>23</v>
      </c>
      <c r="B928">
        <v>24</v>
      </c>
      <c r="C928" t="s">
        <v>22</v>
      </c>
      <c r="D928" t="s">
        <v>23</v>
      </c>
      <c r="E928">
        <v>8391.6153846153811</v>
      </c>
      <c r="F928">
        <v>172669.33333333337</v>
      </c>
      <c r="G928">
        <v>3890426562.8800006</v>
      </c>
      <c r="H928">
        <v>0</v>
      </c>
      <c r="I928">
        <v>348302.68189598911</v>
      </c>
      <c r="J928">
        <v>13556236.758241754</v>
      </c>
    </row>
    <row r="929" spans="1:10" x14ac:dyDescent="0.25">
      <c r="A929">
        <v>23</v>
      </c>
      <c r="B929">
        <v>25</v>
      </c>
      <c r="C929" t="s">
        <v>22</v>
      </c>
      <c r="D929" t="s">
        <v>24</v>
      </c>
      <c r="E929">
        <v>5996.2307692307722</v>
      </c>
      <c r="F929">
        <v>165616.99999999997</v>
      </c>
      <c r="G929">
        <v>2305024282.5999994</v>
      </c>
      <c r="H929">
        <v>0</v>
      </c>
      <c r="I929">
        <v>348300.57634043356</v>
      </c>
      <c r="J929">
        <v>6490559.7186813168</v>
      </c>
    </row>
    <row r="930" spans="1:10" x14ac:dyDescent="0.25">
      <c r="A930">
        <v>23</v>
      </c>
      <c r="B930">
        <v>26</v>
      </c>
      <c r="C930" t="s">
        <v>22</v>
      </c>
      <c r="D930" t="s">
        <v>25</v>
      </c>
      <c r="E930">
        <v>5075.3076923076915</v>
      </c>
      <c r="F930">
        <v>151690.66666666669</v>
      </c>
      <c r="G930">
        <v>4134765989.1200008</v>
      </c>
      <c r="H930">
        <v>85480858.770015866</v>
      </c>
      <c r="I930">
        <v>237020.47294859751</v>
      </c>
      <c r="J930">
        <v>8395212.2571428549</v>
      </c>
    </row>
    <row r="931" spans="1:10" x14ac:dyDescent="0.25">
      <c r="A931">
        <v>23</v>
      </c>
      <c r="B931">
        <v>27</v>
      </c>
      <c r="C931" t="s">
        <v>22</v>
      </c>
      <c r="D931" t="s">
        <v>26</v>
      </c>
      <c r="E931">
        <v>60290.538461538461</v>
      </c>
      <c r="F931">
        <v>521623.76666666666</v>
      </c>
      <c r="G931">
        <v>6985898457.46</v>
      </c>
      <c r="H931">
        <v>658887749.03994238</v>
      </c>
      <c r="I931">
        <v>605209.77887698309</v>
      </c>
      <c r="J931">
        <v>4268293.6153846141</v>
      </c>
    </row>
    <row r="932" spans="1:10" x14ac:dyDescent="0.25">
      <c r="A932">
        <v>23</v>
      </c>
      <c r="B932">
        <v>28</v>
      </c>
      <c r="C932" t="s">
        <v>22</v>
      </c>
      <c r="D932" t="s">
        <v>27</v>
      </c>
      <c r="E932">
        <v>37354.838461538464</v>
      </c>
      <c r="F932">
        <v>221623.06666666665</v>
      </c>
      <c r="G932" t="s">
        <v>122</v>
      </c>
      <c r="H932" t="s">
        <v>122</v>
      </c>
      <c r="I932">
        <v>348301.12522932241</v>
      </c>
      <c r="J932">
        <v>14366734.505494507</v>
      </c>
    </row>
    <row r="933" spans="1:10" x14ac:dyDescent="0.25">
      <c r="A933">
        <v>23</v>
      </c>
      <c r="B933">
        <v>29</v>
      </c>
      <c r="C933" t="s">
        <v>22</v>
      </c>
      <c r="D933" t="s">
        <v>28</v>
      </c>
      <c r="E933">
        <v>33402.038461538461</v>
      </c>
      <c r="F933">
        <v>466402.06666666671</v>
      </c>
      <c r="G933">
        <v>5217527983.3039999</v>
      </c>
      <c r="H933">
        <v>415945942.83760083</v>
      </c>
      <c r="I933">
        <v>113370.99143188323</v>
      </c>
      <c r="J933">
        <v>10638288.461538458</v>
      </c>
    </row>
    <row r="934" spans="1:10" x14ac:dyDescent="0.25">
      <c r="A934">
        <v>23</v>
      </c>
      <c r="B934">
        <v>30</v>
      </c>
      <c r="C934" t="s">
        <v>22</v>
      </c>
      <c r="D934" t="s">
        <v>29</v>
      </c>
      <c r="E934">
        <v>8561.8384615384621</v>
      </c>
      <c r="F934">
        <v>334551.76666666666</v>
      </c>
      <c r="G934">
        <v>5868600034.3013334</v>
      </c>
      <c r="H934">
        <v>68627278.807999998</v>
      </c>
      <c r="I934">
        <v>84523.277922137291</v>
      </c>
      <c r="J934">
        <v>3426899.0153846149</v>
      </c>
    </row>
    <row r="935" spans="1:10" x14ac:dyDescent="0.25">
      <c r="A935">
        <v>23</v>
      </c>
      <c r="B935">
        <v>31</v>
      </c>
      <c r="C935" t="s">
        <v>22</v>
      </c>
      <c r="D935" t="s">
        <v>30</v>
      </c>
      <c r="E935">
        <v>3451.0000000000014</v>
      </c>
      <c r="F935">
        <v>129303.35897435897</v>
      </c>
      <c r="G935">
        <v>6111911172</v>
      </c>
      <c r="H935">
        <v>38348245.213530526</v>
      </c>
      <c r="I935">
        <v>6075.7301528638836</v>
      </c>
      <c r="J935">
        <v>2036602.5230769226</v>
      </c>
    </row>
    <row r="936" spans="1:10" x14ac:dyDescent="0.25">
      <c r="A936">
        <v>23</v>
      </c>
      <c r="B936">
        <v>32</v>
      </c>
      <c r="C936" t="s">
        <v>22</v>
      </c>
      <c r="D936" t="s">
        <v>31</v>
      </c>
      <c r="E936">
        <v>1295.9230769230767</v>
      </c>
      <c r="F936">
        <v>154850.16666666669</v>
      </c>
      <c r="G936">
        <v>7059210293.8933344</v>
      </c>
      <c r="H936">
        <v>16270295.578916434</v>
      </c>
      <c r="I936">
        <v>6075.232375086106</v>
      </c>
      <c r="J936">
        <v>3008674.9846153841</v>
      </c>
    </row>
    <row r="937" spans="1:10" x14ac:dyDescent="0.25">
      <c r="A937">
        <v>23</v>
      </c>
      <c r="B937">
        <v>33</v>
      </c>
      <c r="C937" t="s">
        <v>22</v>
      </c>
      <c r="D937" t="s">
        <v>32</v>
      </c>
      <c r="E937">
        <v>64973.307692307659</v>
      </c>
      <c r="F937">
        <v>204560.38974358977</v>
      </c>
      <c r="G937">
        <v>8336965055.4026661</v>
      </c>
      <c r="H937">
        <v>95173915.942916438</v>
      </c>
      <c r="I937">
        <v>291460.22724300344</v>
      </c>
      <c r="J937">
        <v>8123723.076923077</v>
      </c>
    </row>
    <row r="938" spans="1:10" x14ac:dyDescent="0.25">
      <c r="A938">
        <v>23</v>
      </c>
      <c r="B938">
        <v>34</v>
      </c>
      <c r="C938" t="s">
        <v>22</v>
      </c>
      <c r="D938" t="s">
        <v>33</v>
      </c>
      <c r="E938">
        <v>297583.84615384642</v>
      </c>
      <c r="F938">
        <v>372122.05555555568</v>
      </c>
      <c r="G938">
        <v>13739326801.517782</v>
      </c>
      <c r="H938">
        <v>804948354.10153043</v>
      </c>
      <c r="I938">
        <v>57700371.636596575</v>
      </c>
      <c r="J938">
        <v>13866423.63076923</v>
      </c>
    </row>
    <row r="939" spans="1:10" x14ac:dyDescent="0.25">
      <c r="A939">
        <v>23</v>
      </c>
      <c r="B939">
        <v>35</v>
      </c>
      <c r="C939" t="s">
        <v>22</v>
      </c>
      <c r="D939" t="s">
        <v>34</v>
      </c>
      <c r="E939">
        <v>23902.153846153862</v>
      </c>
      <c r="F939">
        <v>120532.20512820517</v>
      </c>
      <c r="G939">
        <v>4583174423.253335</v>
      </c>
      <c r="H939">
        <v>175213745.17353052</v>
      </c>
      <c r="I939">
        <v>434984.20847974194</v>
      </c>
      <c r="J939">
        <v>28427044.615384616</v>
      </c>
    </row>
    <row r="940" spans="1:10" x14ac:dyDescent="0.25">
      <c r="A940">
        <v>23</v>
      </c>
      <c r="B940">
        <v>36</v>
      </c>
      <c r="C940" t="s">
        <v>22</v>
      </c>
      <c r="D940" t="s">
        <v>35</v>
      </c>
      <c r="E940">
        <v>4526.3846153846116</v>
      </c>
      <c r="F940">
        <v>196378.58974358978</v>
      </c>
      <c r="G940">
        <v>7013386402.6666679</v>
      </c>
      <c r="H940">
        <v>30094269.51019831</v>
      </c>
      <c r="I940">
        <v>57700290.466631621</v>
      </c>
      <c r="J940">
        <v>5999880.6153846141</v>
      </c>
    </row>
    <row r="941" spans="1:10" x14ac:dyDescent="0.25">
      <c r="A941">
        <v>23</v>
      </c>
      <c r="B941">
        <v>37</v>
      </c>
      <c r="C941" t="s">
        <v>22</v>
      </c>
      <c r="D941" t="s">
        <v>36</v>
      </c>
      <c r="E941">
        <v>10945.384615384661</v>
      </c>
      <c r="F941">
        <v>191194.09340659337</v>
      </c>
      <c r="G941">
        <v>12079941084.214285</v>
      </c>
      <c r="H941">
        <v>83446980.99338901</v>
      </c>
      <c r="I941">
        <v>54535.872115561084</v>
      </c>
      <c r="J941">
        <v>2254319.9999999991</v>
      </c>
    </row>
    <row r="942" spans="1:10" x14ac:dyDescent="0.25">
      <c r="A942">
        <v>23</v>
      </c>
      <c r="B942">
        <v>38</v>
      </c>
      <c r="C942" t="s">
        <v>22</v>
      </c>
      <c r="D942" t="s">
        <v>37</v>
      </c>
      <c r="E942">
        <v>913.53846153846155</v>
      </c>
      <c r="F942">
        <v>112171.0512820513</v>
      </c>
      <c r="G942">
        <v>9962059130.1466675</v>
      </c>
      <c r="H942">
        <v>13412428.906007763</v>
      </c>
      <c r="I942">
        <v>252471.9540630526</v>
      </c>
      <c r="J942">
        <v>10632611.446153846</v>
      </c>
    </row>
    <row r="943" spans="1:10" x14ac:dyDescent="0.25">
      <c r="A943">
        <v>23</v>
      </c>
      <c r="B943">
        <v>39</v>
      </c>
      <c r="C943" t="s">
        <v>22</v>
      </c>
      <c r="D943" t="s">
        <v>38</v>
      </c>
      <c r="E943">
        <v>3983.9230769230812</v>
      </c>
      <c r="F943">
        <v>196341.50915750916</v>
      </c>
      <c r="G943">
        <v>13322918030.750477</v>
      </c>
      <c r="H943">
        <v>30788643.313388996</v>
      </c>
      <c r="I943">
        <v>196104.64025364339</v>
      </c>
      <c r="J943">
        <v>10340270.76923077</v>
      </c>
    </row>
    <row r="944" spans="1:10" x14ac:dyDescent="0.25">
      <c r="A944">
        <v>23</v>
      </c>
      <c r="B944">
        <v>40</v>
      </c>
      <c r="C944" t="s">
        <v>22</v>
      </c>
      <c r="D944" t="s">
        <v>39</v>
      </c>
      <c r="E944">
        <v>10530.307692307691</v>
      </c>
      <c r="F944">
        <v>177660.80952380958</v>
      </c>
      <c r="G944">
        <v>14014780065.7181</v>
      </c>
      <c r="H944">
        <v>16246850.326944694</v>
      </c>
      <c r="I944">
        <v>99918.641783525556</v>
      </c>
      <c r="J944">
        <v>2963929.8461538451</v>
      </c>
    </row>
    <row r="945" spans="1:10" x14ac:dyDescent="0.25">
      <c r="A945">
        <v>23</v>
      </c>
      <c r="B945">
        <v>41</v>
      </c>
      <c r="C945" t="s">
        <v>22</v>
      </c>
      <c r="D945" t="s">
        <v>40</v>
      </c>
      <c r="E945">
        <v>22889.230769230762</v>
      </c>
      <c r="F945">
        <v>125839.15934065937</v>
      </c>
      <c r="G945">
        <v>9814472883.1285744</v>
      </c>
      <c r="H945">
        <v>170378645.86600778</v>
      </c>
      <c r="I945">
        <v>0</v>
      </c>
      <c r="J945">
        <v>1436644.5538461534</v>
      </c>
    </row>
    <row r="946" spans="1:10" x14ac:dyDescent="0.25">
      <c r="A946">
        <v>24</v>
      </c>
      <c r="B946">
        <v>1</v>
      </c>
      <c r="C946" t="s">
        <v>23</v>
      </c>
      <c r="D946" t="s">
        <v>0</v>
      </c>
      <c r="E946">
        <v>96218.532967032937</v>
      </c>
      <c r="F946">
        <v>130609.8461538462</v>
      </c>
      <c r="G946">
        <v>6489209147.5200024</v>
      </c>
      <c r="H946">
        <v>229342894.48762688</v>
      </c>
      <c r="I946">
        <v>0</v>
      </c>
      <c r="J946">
        <v>0</v>
      </c>
    </row>
    <row r="947" spans="1:10" x14ac:dyDescent="0.25">
      <c r="A947">
        <v>24</v>
      </c>
      <c r="B947">
        <v>2</v>
      </c>
      <c r="C947" t="s">
        <v>23</v>
      </c>
      <c r="D947" t="s">
        <v>1</v>
      </c>
      <c r="E947">
        <v>24957.532967032937</v>
      </c>
      <c r="F947">
        <v>120998.23076923081</v>
      </c>
      <c r="G947">
        <v>5674860582.4400024</v>
      </c>
      <c r="H947">
        <v>105811425.9261983</v>
      </c>
      <c r="I947">
        <v>0</v>
      </c>
      <c r="J947">
        <v>842817.72307692328</v>
      </c>
    </row>
    <row r="948" spans="1:10" x14ac:dyDescent="0.25">
      <c r="A948">
        <v>24</v>
      </c>
      <c r="B948">
        <v>3</v>
      </c>
      <c r="C948" t="s">
        <v>23</v>
      </c>
      <c r="D948" t="s">
        <v>2</v>
      </c>
      <c r="E948">
        <v>20222.17582417584</v>
      </c>
      <c r="F948">
        <v>124032.4615384615</v>
      </c>
      <c r="G948">
        <v>5712940139.7599983</v>
      </c>
      <c r="H948">
        <v>148209417.23423547</v>
      </c>
      <c r="I948">
        <v>291462.92613189237</v>
      </c>
      <c r="J948">
        <v>1441301.5384615383</v>
      </c>
    </row>
    <row r="949" spans="1:10" x14ac:dyDescent="0.25">
      <c r="A949">
        <v>24</v>
      </c>
      <c r="B949">
        <v>4</v>
      </c>
      <c r="C949" t="s">
        <v>23</v>
      </c>
      <c r="D949" t="s">
        <v>3</v>
      </c>
      <c r="E949">
        <v>34878.532967032937</v>
      </c>
      <c r="F949">
        <v>113139.3846153846</v>
      </c>
      <c r="G949">
        <v>8235723545.2799988</v>
      </c>
      <c r="H949">
        <v>198671086.00244391</v>
      </c>
      <c r="I949">
        <v>252473.40072971926</v>
      </c>
      <c r="J949">
        <v>16311395.076923078</v>
      </c>
    </row>
    <row r="950" spans="1:10" x14ac:dyDescent="0.25">
      <c r="A950">
        <v>24</v>
      </c>
      <c r="B950">
        <v>5</v>
      </c>
      <c r="C950" t="s">
        <v>23</v>
      </c>
      <c r="D950" t="s">
        <v>4</v>
      </c>
      <c r="E950">
        <v>68615.10439560443</v>
      </c>
      <c r="F950">
        <v>144939.4615384615</v>
      </c>
      <c r="G950">
        <v>11532514087.799997</v>
      </c>
      <c r="H950">
        <v>110057477.16694568</v>
      </c>
      <c r="I950">
        <v>0</v>
      </c>
      <c r="J950">
        <v>1889366</v>
      </c>
    </row>
    <row r="951" spans="1:10" x14ac:dyDescent="0.25">
      <c r="A951">
        <v>24</v>
      </c>
      <c r="B951">
        <v>6</v>
      </c>
      <c r="C951" t="s">
        <v>23</v>
      </c>
      <c r="D951" t="s">
        <v>5</v>
      </c>
      <c r="E951">
        <v>16943.247252747238</v>
      </c>
      <c r="F951">
        <v>210728.77289377298</v>
      </c>
      <c r="G951">
        <v>19268474240.295246</v>
      </c>
      <c r="H951">
        <v>229514250.92980281</v>
      </c>
      <c r="I951">
        <v>237021.57517081973</v>
      </c>
      <c r="J951">
        <v>6013536.036923077</v>
      </c>
    </row>
    <row r="952" spans="1:10" x14ac:dyDescent="0.25">
      <c r="A952">
        <v>24</v>
      </c>
      <c r="B952">
        <v>7</v>
      </c>
      <c r="C952" t="s">
        <v>23</v>
      </c>
      <c r="D952" t="s">
        <v>6</v>
      </c>
      <c r="E952">
        <v>8693.2472527472491</v>
      </c>
      <c r="F952">
        <v>144275.07692307691</v>
      </c>
      <c r="G952">
        <v>11312949270.719997</v>
      </c>
      <c r="H952">
        <v>90825253.395517111</v>
      </c>
      <c r="I952">
        <v>1956581.1980842932</v>
      </c>
      <c r="J952">
        <v>3242524.9230769235</v>
      </c>
    </row>
    <row r="953" spans="1:10" x14ac:dyDescent="0.25">
      <c r="A953">
        <v>24</v>
      </c>
      <c r="B953">
        <v>8</v>
      </c>
      <c r="C953" t="s">
        <v>23</v>
      </c>
      <c r="D953" t="s">
        <v>7</v>
      </c>
      <c r="E953">
        <v>38340.31868131864</v>
      </c>
      <c r="F953">
        <v>201872.84615384601</v>
      </c>
      <c r="G953">
        <v>14557042861.239992</v>
      </c>
      <c r="H953">
        <v>115734898.54587248</v>
      </c>
      <c r="I953">
        <v>1956579.8903065154</v>
      </c>
      <c r="J953">
        <v>2017528.1846153843</v>
      </c>
    </row>
    <row r="954" spans="1:10" x14ac:dyDescent="0.25">
      <c r="A954">
        <v>24</v>
      </c>
      <c r="B954">
        <v>9</v>
      </c>
      <c r="C954" t="s">
        <v>23</v>
      </c>
      <c r="D954" t="s">
        <v>8</v>
      </c>
      <c r="E954">
        <v>4335.9160839160832</v>
      </c>
      <c r="F954">
        <v>652205.62179487199</v>
      </c>
      <c r="G954">
        <v>35589738987.676682</v>
      </c>
      <c r="H954">
        <v>96682268.226198301</v>
      </c>
      <c r="I954">
        <v>1956545.1847509597</v>
      </c>
      <c r="J954">
        <v>30828974.769230753</v>
      </c>
    </row>
    <row r="955" spans="1:10" x14ac:dyDescent="0.25">
      <c r="A955">
        <v>24</v>
      </c>
      <c r="B955">
        <v>10</v>
      </c>
      <c r="C955" t="s">
        <v>23</v>
      </c>
      <c r="D955" t="s">
        <v>9</v>
      </c>
      <c r="E955">
        <v>24818.67582417584</v>
      </c>
      <c r="F955">
        <v>176581.92307692312</v>
      </c>
      <c r="G955">
        <v>14606680095.000004</v>
      </c>
      <c r="H955">
        <v>157393254.2269457</v>
      </c>
      <c r="I955">
        <v>1956546.1091954042</v>
      </c>
      <c r="J955">
        <v>135953334.00000012</v>
      </c>
    </row>
    <row r="956" spans="1:10" x14ac:dyDescent="0.25">
      <c r="A956">
        <v>24</v>
      </c>
      <c r="B956">
        <v>11</v>
      </c>
      <c r="C956" t="s">
        <v>23</v>
      </c>
      <c r="D956" t="s">
        <v>10</v>
      </c>
      <c r="E956">
        <v>24985.846153846138</v>
      </c>
      <c r="F956">
        <v>179346</v>
      </c>
      <c r="G956">
        <v>8910612316.3199997</v>
      </c>
      <c r="H956">
        <v>154490261.98159635</v>
      </c>
      <c r="I956">
        <v>605207.93776587199</v>
      </c>
      <c r="J956">
        <v>11914330.153846161</v>
      </c>
    </row>
    <row r="957" spans="1:10" x14ac:dyDescent="0.25">
      <c r="A957">
        <v>24</v>
      </c>
      <c r="B957">
        <v>12</v>
      </c>
      <c r="C957" t="s">
        <v>23</v>
      </c>
      <c r="D957" t="s">
        <v>11</v>
      </c>
      <c r="E957">
        <v>21954.461538461539</v>
      </c>
      <c r="F957">
        <v>124072.07692307691</v>
      </c>
      <c r="G957">
        <v>4033568332.1199989</v>
      </c>
      <c r="H957">
        <v>165340148.54089376</v>
      </c>
      <c r="I957">
        <v>66481.346716629647</v>
      </c>
      <c r="J957">
        <v>2684990.7692307676</v>
      </c>
    </row>
    <row r="958" spans="1:10" x14ac:dyDescent="0.25">
      <c r="A958">
        <v>24</v>
      </c>
      <c r="B958">
        <v>13</v>
      </c>
      <c r="C958" t="s">
        <v>23</v>
      </c>
      <c r="D958" t="s">
        <v>12</v>
      </c>
      <c r="E958">
        <v>7032.8461538461579</v>
      </c>
      <c r="F958">
        <v>105760.5384615385</v>
      </c>
      <c r="G958">
        <v>2655071783.4400005</v>
      </c>
      <c r="H958">
        <v>96236288.216893524</v>
      </c>
      <c r="I958">
        <v>6614.3936985577984</v>
      </c>
      <c r="J958">
        <v>7354973.0769231012</v>
      </c>
    </row>
    <row r="959" spans="1:10" x14ac:dyDescent="0.25">
      <c r="A959">
        <v>24</v>
      </c>
      <c r="B959">
        <v>14</v>
      </c>
      <c r="C959" t="s">
        <v>23</v>
      </c>
      <c r="D959" t="s">
        <v>13</v>
      </c>
      <c r="E959">
        <v>27657.846153846138</v>
      </c>
      <c r="F959">
        <v>252224.76923076899</v>
      </c>
      <c r="G959">
        <v>4490680414.3199949</v>
      </c>
      <c r="H959">
        <v>136359163.60889354</v>
      </c>
      <c r="I959">
        <v>66481.068938851866</v>
      </c>
      <c r="J959">
        <v>1485886.3384615385</v>
      </c>
    </row>
    <row r="960" spans="1:10" x14ac:dyDescent="0.25">
      <c r="A960">
        <v>24</v>
      </c>
      <c r="B960">
        <v>15</v>
      </c>
      <c r="C960" t="s">
        <v>23</v>
      </c>
      <c r="D960" t="s">
        <v>14</v>
      </c>
      <c r="E960">
        <v>51457.230769230737</v>
      </c>
      <c r="F960">
        <v>374400.46153846203</v>
      </c>
      <c r="G960">
        <v>10559306072.880014</v>
      </c>
      <c r="H960">
        <v>202492913.97001588</v>
      </c>
      <c r="I960">
        <v>63965.070766203848</v>
      </c>
      <c r="J960">
        <v>3217251.6307692323</v>
      </c>
    </row>
    <row r="961" spans="1:10" x14ac:dyDescent="0.25">
      <c r="A961">
        <v>24</v>
      </c>
      <c r="B961">
        <v>16</v>
      </c>
      <c r="C961" t="s">
        <v>23</v>
      </c>
      <c r="D961" t="s">
        <v>15</v>
      </c>
      <c r="E961">
        <v>41149.692307692341</v>
      </c>
      <c r="F961">
        <v>612613.69230769202</v>
      </c>
      <c r="G961">
        <v>23809108628.799988</v>
      </c>
      <c r="H961">
        <v>173058402.17414126</v>
      </c>
      <c r="I961">
        <v>6613.7936985577981</v>
      </c>
      <c r="J961">
        <v>6289554.2153846156</v>
      </c>
    </row>
    <row r="962" spans="1:10" x14ac:dyDescent="0.25">
      <c r="A962">
        <v>24</v>
      </c>
      <c r="B962">
        <v>17</v>
      </c>
      <c r="C962" t="s">
        <v>23</v>
      </c>
      <c r="D962" t="s">
        <v>16</v>
      </c>
      <c r="E962">
        <v>68208.769230769234</v>
      </c>
      <c r="F962">
        <v>257497.538461538</v>
      </c>
      <c r="G962">
        <v>15241289601.439974</v>
      </c>
      <c r="H962">
        <v>448304862.24107575</v>
      </c>
      <c r="I962">
        <v>47.517836488832579</v>
      </c>
      <c r="J962">
        <v>11.68</v>
      </c>
    </row>
    <row r="963" spans="1:10" x14ac:dyDescent="0.25">
      <c r="A963">
        <v>24</v>
      </c>
      <c r="B963">
        <v>18</v>
      </c>
      <c r="C963" t="s">
        <v>23</v>
      </c>
      <c r="D963" t="s">
        <v>17</v>
      </c>
      <c r="E963">
        <v>27475.23076923074</v>
      </c>
      <c r="F963">
        <v>134668.3846153846</v>
      </c>
      <c r="G963">
        <v>6895963970.999999</v>
      </c>
      <c r="H963">
        <v>166471395.08214128</v>
      </c>
      <c r="I963">
        <v>605205.97887698305</v>
      </c>
      <c r="J963">
        <v>33163725.716483526</v>
      </c>
    </row>
    <row r="964" spans="1:10" x14ac:dyDescent="0.25">
      <c r="A964">
        <v>24</v>
      </c>
      <c r="B964">
        <v>19</v>
      </c>
      <c r="C964" t="s">
        <v>23</v>
      </c>
      <c r="D964" t="s">
        <v>18</v>
      </c>
      <c r="E964">
        <v>5026.3846153846189</v>
      </c>
      <c r="F964">
        <v>173387.3846153846</v>
      </c>
      <c r="G964">
        <v>5609484151.04</v>
      </c>
      <c r="H964">
        <v>88245851.344321832</v>
      </c>
      <c r="I964">
        <v>605206.35665476089</v>
      </c>
      <c r="J964">
        <v>3612936.2461538468</v>
      </c>
    </row>
    <row r="965" spans="1:10" x14ac:dyDescent="0.25">
      <c r="A965">
        <v>24</v>
      </c>
      <c r="B965">
        <v>20</v>
      </c>
      <c r="C965" t="s">
        <v>23</v>
      </c>
      <c r="D965" t="s">
        <v>19</v>
      </c>
      <c r="E965">
        <v>62198.153846153837</v>
      </c>
      <c r="F965">
        <v>145202.66666666669</v>
      </c>
      <c r="G965">
        <v>5208588088.4266682</v>
      </c>
      <c r="H965">
        <v>212328974.11015585</v>
      </c>
      <c r="I965">
        <v>243146.76076887746</v>
      </c>
      <c r="J965">
        <v>6171182.7032967051</v>
      </c>
    </row>
    <row r="966" spans="1:10" x14ac:dyDescent="0.25">
      <c r="A966">
        <v>24</v>
      </c>
      <c r="B966">
        <v>21</v>
      </c>
      <c r="C966" t="s">
        <v>23</v>
      </c>
      <c r="D966" t="s">
        <v>20</v>
      </c>
      <c r="E966">
        <v>41042.769230769241</v>
      </c>
      <c r="F966">
        <v>189354.33333333299</v>
      </c>
      <c r="G966">
        <v>8105085013.1333179</v>
      </c>
      <c r="H966">
        <v>210196308.87071899</v>
      </c>
      <c r="I966">
        <v>237018.98072637527</v>
      </c>
      <c r="J966">
        <v>18350163.498901099</v>
      </c>
    </row>
    <row r="967" spans="1:10" x14ac:dyDescent="0.25">
      <c r="A967">
        <v>24</v>
      </c>
      <c r="B967">
        <v>22</v>
      </c>
      <c r="C967" t="s">
        <v>23</v>
      </c>
      <c r="D967" t="s">
        <v>21</v>
      </c>
      <c r="E967">
        <v>25482.615384615339</v>
      </c>
      <c r="F967">
        <v>208481.33333333299</v>
      </c>
      <c r="G967">
        <v>4434523048.7999926</v>
      </c>
      <c r="H967">
        <v>173229315.91760081</v>
      </c>
      <c r="I967">
        <v>348298.79856265575</v>
      </c>
      <c r="J967">
        <v>29384209.802197799</v>
      </c>
    </row>
    <row r="968" spans="1:10" x14ac:dyDescent="0.25">
      <c r="A968">
        <v>24</v>
      </c>
      <c r="B968">
        <v>23</v>
      </c>
      <c r="C968" t="s">
        <v>23</v>
      </c>
      <c r="D968" t="s">
        <v>22</v>
      </c>
      <c r="E968">
        <v>10161.153846153849</v>
      </c>
      <c r="F968">
        <v>192217.66666666701</v>
      </c>
      <c r="G968">
        <v>4330871625.0800076</v>
      </c>
      <c r="H968">
        <v>0</v>
      </c>
      <c r="I968">
        <v>348301.34300710022</v>
      </c>
      <c r="J968">
        <v>10887035.0989011</v>
      </c>
    </row>
    <row r="969" spans="1:10" x14ac:dyDescent="0.25">
      <c r="A969">
        <v>24</v>
      </c>
      <c r="B969">
        <v>24</v>
      </c>
      <c r="C969" t="s">
        <v>23</v>
      </c>
      <c r="D969" t="s">
        <v>23</v>
      </c>
      <c r="E969">
        <v>0</v>
      </c>
      <c r="F969">
        <v>0</v>
      </c>
      <c r="G969">
        <v>0</v>
      </c>
      <c r="H969">
        <v>0</v>
      </c>
      <c r="I969">
        <v>348299.23745154461</v>
      </c>
      <c r="J969">
        <v>4533536.1054945067</v>
      </c>
    </row>
    <row r="970" spans="1:10" x14ac:dyDescent="0.25">
      <c r="A970">
        <v>24</v>
      </c>
      <c r="B970">
        <v>25</v>
      </c>
      <c r="C970" t="s">
        <v>23</v>
      </c>
      <c r="D970" t="s">
        <v>24</v>
      </c>
      <c r="E970">
        <v>8928.1538461538494</v>
      </c>
      <c r="F970">
        <v>142637.33333333331</v>
      </c>
      <c r="G970">
        <v>1438332047.3599997</v>
      </c>
      <c r="H970">
        <v>0</v>
      </c>
      <c r="I970">
        <v>237019.13405970862</v>
      </c>
      <c r="J970">
        <v>6307934.8175824191</v>
      </c>
    </row>
    <row r="971" spans="1:10" x14ac:dyDescent="0.25">
      <c r="A971">
        <v>24</v>
      </c>
      <c r="B971">
        <v>26</v>
      </c>
      <c r="C971" t="s">
        <v>23</v>
      </c>
      <c r="D971" t="s">
        <v>25</v>
      </c>
      <c r="E971">
        <v>8007.2307692307677</v>
      </c>
      <c r="F971">
        <v>128711</v>
      </c>
      <c r="G971">
        <v>3008156265.3999996</v>
      </c>
      <c r="H971">
        <v>114900950.81001586</v>
      </c>
      <c r="I971">
        <v>605208.43998809427</v>
      </c>
      <c r="J971">
        <v>2755565.1692307703</v>
      </c>
    </row>
    <row r="972" spans="1:10" x14ac:dyDescent="0.25">
      <c r="A972">
        <v>24</v>
      </c>
      <c r="B972">
        <v>27</v>
      </c>
      <c r="C972" t="s">
        <v>23</v>
      </c>
      <c r="D972" t="s">
        <v>26</v>
      </c>
      <c r="E972">
        <v>63222.461538461539</v>
      </c>
      <c r="F972">
        <v>498644.1</v>
      </c>
      <c r="G972">
        <v>16027538336.783998</v>
      </c>
      <c r="H972">
        <v>688307841.07994235</v>
      </c>
      <c r="I972">
        <v>348299.78634043352</v>
      </c>
      <c r="J972">
        <v>11667902.329670332</v>
      </c>
    </row>
    <row r="973" spans="1:10" x14ac:dyDescent="0.25">
      <c r="A973">
        <v>24</v>
      </c>
      <c r="B973">
        <v>28</v>
      </c>
      <c r="C973" t="s">
        <v>23</v>
      </c>
      <c r="D973" t="s">
        <v>27</v>
      </c>
      <c r="E973">
        <v>40286.761538461542</v>
      </c>
      <c r="F973">
        <v>198643.4</v>
      </c>
      <c r="G973" t="s">
        <v>122</v>
      </c>
      <c r="H973" t="s">
        <v>122</v>
      </c>
      <c r="I973">
        <v>113369.65254299434</v>
      </c>
      <c r="J973">
        <v>6944249.3846153859</v>
      </c>
    </row>
    <row r="974" spans="1:10" x14ac:dyDescent="0.25">
      <c r="A974">
        <v>24</v>
      </c>
      <c r="B974">
        <v>29</v>
      </c>
      <c r="C974" t="s">
        <v>23</v>
      </c>
      <c r="D974" t="s">
        <v>28</v>
      </c>
      <c r="E974">
        <v>36333.961538461539</v>
      </c>
      <c r="F974">
        <v>443422.4</v>
      </c>
      <c r="G974">
        <v>11131924246.143999</v>
      </c>
      <c r="H974">
        <v>445366034.87760085</v>
      </c>
      <c r="I974">
        <v>84521.939033248404</v>
      </c>
      <c r="J974">
        <v>3429584.215384617</v>
      </c>
    </row>
    <row r="975" spans="1:10" x14ac:dyDescent="0.25">
      <c r="A975">
        <v>24</v>
      </c>
      <c r="B975">
        <v>30</v>
      </c>
      <c r="C975" t="s">
        <v>23</v>
      </c>
      <c r="D975" t="s">
        <v>29</v>
      </c>
      <c r="E975">
        <v>11493.761538461538</v>
      </c>
      <c r="F975">
        <v>311572.09999999998</v>
      </c>
      <c r="G975">
        <v>1264919165.2915998</v>
      </c>
      <c r="H975">
        <v>98047370.84799999</v>
      </c>
      <c r="I975">
        <v>6074.3912639749951</v>
      </c>
      <c r="J975">
        <v>1976387.2615384622</v>
      </c>
    </row>
    <row r="976" spans="1:10" x14ac:dyDescent="0.25">
      <c r="A976">
        <v>24</v>
      </c>
      <c r="B976">
        <v>31</v>
      </c>
      <c r="C976" t="s">
        <v>23</v>
      </c>
      <c r="D976" t="s">
        <v>30</v>
      </c>
      <c r="E976">
        <v>6382.923076923078</v>
      </c>
      <c r="F976">
        <v>106323.6923076923</v>
      </c>
      <c r="G976">
        <v>7019239242.2399998</v>
      </c>
      <c r="H976">
        <v>67768337.253530532</v>
      </c>
      <c r="I976">
        <v>6073.8934861972175</v>
      </c>
      <c r="J976">
        <v>3656839.2000000007</v>
      </c>
    </row>
    <row r="977" spans="1:10" x14ac:dyDescent="0.25">
      <c r="A977">
        <v>24</v>
      </c>
      <c r="B977">
        <v>32</v>
      </c>
      <c r="C977" t="s">
        <v>23</v>
      </c>
      <c r="D977" t="s">
        <v>31</v>
      </c>
      <c r="E977">
        <v>4227.8461538461534</v>
      </c>
      <c r="F977">
        <v>131870.5</v>
      </c>
      <c r="G977">
        <v>8484152358.5</v>
      </c>
      <c r="H977">
        <v>45690387.618916437</v>
      </c>
      <c r="I977">
        <v>291458.88835411455</v>
      </c>
      <c r="J977">
        <v>9851224.153846154</v>
      </c>
    </row>
    <row r="978" spans="1:10" x14ac:dyDescent="0.25">
      <c r="A978">
        <v>24</v>
      </c>
      <c r="B978">
        <v>33</v>
      </c>
      <c r="C978" t="s">
        <v>23</v>
      </c>
      <c r="D978" t="s">
        <v>32</v>
      </c>
      <c r="E978">
        <v>67905.230769230737</v>
      </c>
      <c r="F978">
        <v>181580.72307692311</v>
      </c>
      <c r="G978">
        <v>10804989979.608</v>
      </c>
      <c r="H978">
        <v>124594007.98291644</v>
      </c>
      <c r="I978">
        <v>57700370.297707692</v>
      </c>
      <c r="J978">
        <v>15976415.876923077</v>
      </c>
    </row>
    <row r="979" spans="1:10" x14ac:dyDescent="0.25">
      <c r="A979">
        <v>24</v>
      </c>
      <c r="B979">
        <v>34</v>
      </c>
      <c r="C979" t="s">
        <v>23</v>
      </c>
      <c r="D979" t="s">
        <v>33</v>
      </c>
      <c r="E979">
        <v>300515.76923076954</v>
      </c>
      <c r="F979">
        <v>349142.38888888899</v>
      </c>
      <c r="G979">
        <v>19510523593.368893</v>
      </c>
      <c r="H979">
        <v>834368446.14153039</v>
      </c>
      <c r="I979">
        <v>434982.86959085305</v>
      </c>
      <c r="J979">
        <v>31079408.123076931</v>
      </c>
    </row>
    <row r="980" spans="1:10" x14ac:dyDescent="0.25">
      <c r="A980">
        <v>24</v>
      </c>
      <c r="B980">
        <v>35</v>
      </c>
      <c r="C980" t="s">
        <v>23</v>
      </c>
      <c r="D980" t="s">
        <v>34</v>
      </c>
      <c r="E980">
        <v>26834.07692307694</v>
      </c>
      <c r="F980">
        <v>97552.538461538497</v>
      </c>
      <c r="G980">
        <v>5492348391.0400009</v>
      </c>
      <c r="H980">
        <v>204633837.21353054</v>
      </c>
      <c r="I980">
        <v>57700289.127742738</v>
      </c>
      <c r="J980">
        <v>5891916.9230769239</v>
      </c>
    </row>
    <row r="981" spans="1:10" x14ac:dyDescent="0.25">
      <c r="A981">
        <v>24</v>
      </c>
      <c r="B981">
        <v>36</v>
      </c>
      <c r="C981" t="s">
        <v>23</v>
      </c>
      <c r="D981" t="s">
        <v>35</v>
      </c>
      <c r="E981">
        <v>7458.3076923076887</v>
      </c>
      <c r="F981">
        <v>173398.92307692312</v>
      </c>
      <c r="G981">
        <v>9407439517.5200024</v>
      </c>
      <c r="H981">
        <v>59514361.550198317</v>
      </c>
      <c r="I981">
        <v>54534.533226672196</v>
      </c>
      <c r="J981">
        <v>1301556.4615384622</v>
      </c>
    </row>
    <row r="982" spans="1:10" x14ac:dyDescent="0.25">
      <c r="A982">
        <v>24</v>
      </c>
      <c r="B982">
        <v>37</v>
      </c>
      <c r="C982" t="s">
        <v>23</v>
      </c>
      <c r="D982" t="s">
        <v>36</v>
      </c>
      <c r="E982">
        <v>13877.307692307739</v>
      </c>
      <c r="F982">
        <v>168214.42673992668</v>
      </c>
      <c r="G982">
        <v>7580105412.0628548</v>
      </c>
      <c r="H982">
        <v>112867073.033389</v>
      </c>
      <c r="I982">
        <v>252470.61517416371</v>
      </c>
      <c r="J982">
        <v>7996931.3230769224</v>
      </c>
    </row>
    <row r="983" spans="1:10" x14ac:dyDescent="0.25">
      <c r="A983">
        <v>24</v>
      </c>
      <c r="B983">
        <v>38</v>
      </c>
      <c r="C983" t="s">
        <v>23</v>
      </c>
      <c r="D983" t="s">
        <v>37</v>
      </c>
      <c r="E983">
        <v>3845.4615384615386</v>
      </c>
      <c r="F983">
        <v>89191.384615384624</v>
      </c>
      <c r="G983">
        <v>6309794557.4400005</v>
      </c>
      <c r="H983">
        <v>42832520.946007766</v>
      </c>
      <c r="I983">
        <v>196103.3013647545</v>
      </c>
      <c r="J983">
        <v>7980239.692307693</v>
      </c>
    </row>
    <row r="984" spans="1:10" x14ac:dyDescent="0.25">
      <c r="A984">
        <v>24</v>
      </c>
      <c r="B984">
        <v>39</v>
      </c>
      <c r="C984" t="s">
        <v>23</v>
      </c>
      <c r="D984" t="s">
        <v>38</v>
      </c>
      <c r="E984">
        <v>6915.8461538461579</v>
      </c>
      <c r="F984">
        <v>173361.84249084251</v>
      </c>
      <c r="G984">
        <v>8622400877.3352394</v>
      </c>
      <c r="H984">
        <v>60208735.353388995</v>
      </c>
      <c r="I984">
        <v>99917.302894636668</v>
      </c>
      <c r="J984">
        <v>1751174.7692307695</v>
      </c>
    </row>
    <row r="985" spans="1:10" x14ac:dyDescent="0.25">
      <c r="A985">
        <v>24</v>
      </c>
      <c r="B985">
        <v>40</v>
      </c>
      <c r="C985" t="s">
        <v>23</v>
      </c>
      <c r="D985" t="s">
        <v>39</v>
      </c>
      <c r="E985">
        <v>13462.23076923077</v>
      </c>
      <c r="F985">
        <v>154681.1428571429</v>
      </c>
      <c r="G985">
        <v>9399298641.6457157</v>
      </c>
      <c r="H985">
        <v>45666942.366944693</v>
      </c>
      <c r="I985">
        <v>0</v>
      </c>
      <c r="J985">
        <v>750728.09230769263</v>
      </c>
    </row>
    <row r="986" spans="1:10" x14ac:dyDescent="0.25">
      <c r="A986">
        <v>24</v>
      </c>
      <c r="B986">
        <v>41</v>
      </c>
      <c r="C986" t="s">
        <v>23</v>
      </c>
      <c r="D986" t="s">
        <v>40</v>
      </c>
      <c r="E986">
        <v>25821.15384615384</v>
      </c>
      <c r="F986">
        <v>102859.4926739927</v>
      </c>
      <c r="G986">
        <v>6158485832.9714298</v>
      </c>
      <c r="H986">
        <v>199798737.90600777</v>
      </c>
      <c r="I986">
        <v>0</v>
      </c>
      <c r="J986">
        <v>842817.72307692328</v>
      </c>
    </row>
    <row r="987" spans="1:10" x14ac:dyDescent="0.25">
      <c r="A987">
        <v>25</v>
      </c>
      <c r="B987">
        <v>1</v>
      </c>
      <c r="C987" t="s">
        <v>24</v>
      </c>
      <c r="D987" t="s">
        <v>0</v>
      </c>
      <c r="E987">
        <v>96180.379120879094</v>
      </c>
      <c r="F987">
        <v>113564.17948717953</v>
      </c>
      <c r="G987">
        <v>4807298909.5733347</v>
      </c>
      <c r="H987">
        <v>170631281.38762689</v>
      </c>
      <c r="I987">
        <v>0</v>
      </c>
      <c r="J987">
        <v>0</v>
      </c>
    </row>
    <row r="988" spans="1:10" x14ac:dyDescent="0.25">
      <c r="A988">
        <v>25</v>
      </c>
      <c r="B988">
        <v>2</v>
      </c>
      <c r="C988" t="s">
        <v>24</v>
      </c>
      <c r="D988" t="s">
        <v>1</v>
      </c>
      <c r="E988">
        <v>24919.37912087909</v>
      </c>
      <c r="F988">
        <v>103952.56410256412</v>
      </c>
      <c r="G988">
        <v>4111070266.0000005</v>
      </c>
      <c r="H988">
        <v>47099812.82619831</v>
      </c>
      <c r="I988">
        <v>291461.58724300348</v>
      </c>
      <c r="J988">
        <v>1976331.0769230768</v>
      </c>
    </row>
    <row r="989" spans="1:10" x14ac:dyDescent="0.25">
      <c r="A989">
        <v>25</v>
      </c>
      <c r="B989">
        <v>3</v>
      </c>
      <c r="C989" t="s">
        <v>24</v>
      </c>
      <c r="D989" t="s">
        <v>2</v>
      </c>
      <c r="E989">
        <v>20184.021978021992</v>
      </c>
      <c r="F989">
        <v>106986.79487179483</v>
      </c>
      <c r="G989">
        <v>4141163545.9333315</v>
      </c>
      <c r="H989">
        <v>89497804.134235471</v>
      </c>
      <c r="I989">
        <v>252472.06184083037</v>
      </c>
      <c r="J989">
        <v>12384124.307692308</v>
      </c>
    </row>
    <row r="990" spans="1:10" x14ac:dyDescent="0.25">
      <c r="A990">
        <v>25</v>
      </c>
      <c r="B990">
        <v>4</v>
      </c>
      <c r="C990" t="s">
        <v>24</v>
      </c>
      <c r="D990" t="s">
        <v>3</v>
      </c>
      <c r="E990">
        <v>34840.379120879094</v>
      </c>
      <c r="F990">
        <v>96093.717948717924</v>
      </c>
      <c r="G990">
        <v>6288365215.0666647</v>
      </c>
      <c r="H990">
        <v>139959472.90244392</v>
      </c>
      <c r="I990">
        <v>0</v>
      </c>
      <c r="J990">
        <v>1829308.7076923079</v>
      </c>
    </row>
    <row r="991" spans="1:10" x14ac:dyDescent="0.25">
      <c r="A991">
        <v>25</v>
      </c>
      <c r="B991">
        <v>5</v>
      </c>
      <c r="C991" t="s">
        <v>24</v>
      </c>
      <c r="D991" t="s">
        <v>4</v>
      </c>
      <c r="E991">
        <v>68576.950549450587</v>
      </c>
      <c r="F991">
        <v>127893.79487179483</v>
      </c>
      <c r="G991">
        <v>9235850396.6666641</v>
      </c>
      <c r="H991">
        <v>51345864.066945687</v>
      </c>
      <c r="I991">
        <v>237020.23628193082</v>
      </c>
      <c r="J991">
        <v>5342895.4276923081</v>
      </c>
    </row>
    <row r="992" spans="1:10" x14ac:dyDescent="0.25">
      <c r="A992">
        <v>25</v>
      </c>
      <c r="B992">
        <v>6</v>
      </c>
      <c r="C992" t="s">
        <v>24</v>
      </c>
      <c r="D992" t="s">
        <v>5</v>
      </c>
      <c r="E992">
        <v>16905.093406593391</v>
      </c>
      <c r="F992">
        <v>193683.10622710633</v>
      </c>
      <c r="G992">
        <v>16285751019.215244</v>
      </c>
      <c r="H992">
        <v>170802637.82980281</v>
      </c>
      <c r="I992">
        <v>1956579.8591954042</v>
      </c>
      <c r="J992">
        <v>3278976.7384615391</v>
      </c>
    </row>
    <row r="993" spans="1:10" x14ac:dyDescent="0.25">
      <c r="A993">
        <v>25</v>
      </c>
      <c r="B993">
        <v>7</v>
      </c>
      <c r="C993" t="s">
        <v>24</v>
      </c>
      <c r="D993" t="s">
        <v>6</v>
      </c>
      <c r="E993">
        <v>8655.0934065934016</v>
      </c>
      <c r="F993">
        <v>127229.41025641022</v>
      </c>
      <c r="G993">
        <v>9040865911.8799973</v>
      </c>
      <c r="H993">
        <v>32113640.295517117</v>
      </c>
      <c r="I993">
        <v>1956578.5514176264</v>
      </c>
      <c r="J993">
        <v>1759670.7692307692</v>
      </c>
    </row>
    <row r="994" spans="1:10" x14ac:dyDescent="0.25">
      <c r="A994">
        <v>25</v>
      </c>
      <c r="B994">
        <v>8</v>
      </c>
      <c r="C994" t="s">
        <v>24</v>
      </c>
      <c r="D994" t="s">
        <v>7</v>
      </c>
      <c r="E994">
        <v>38302.164835164796</v>
      </c>
      <c r="F994">
        <v>184827.17948717932</v>
      </c>
      <c r="G994">
        <v>11959176110.933323</v>
      </c>
      <c r="H994">
        <v>57023285.445872486</v>
      </c>
      <c r="I994">
        <v>1956543.845862071</v>
      </c>
      <c r="J994">
        <v>26875362.461538453</v>
      </c>
    </row>
    <row r="995" spans="1:10" x14ac:dyDescent="0.25">
      <c r="A995">
        <v>25</v>
      </c>
      <c r="B995">
        <v>9</v>
      </c>
      <c r="C995" t="s">
        <v>24</v>
      </c>
      <c r="D995" t="s">
        <v>8</v>
      </c>
      <c r="E995">
        <v>4297.7622377622374</v>
      </c>
      <c r="F995">
        <v>635159.95512820536</v>
      </c>
      <c r="G995">
        <v>40097038213.686676</v>
      </c>
      <c r="H995">
        <v>37970655.126198307</v>
      </c>
      <c r="I995">
        <v>1956544.7703065155</v>
      </c>
      <c r="J995">
        <v>118388180.46153857</v>
      </c>
    </row>
    <row r="996" spans="1:10" x14ac:dyDescent="0.25">
      <c r="A996">
        <v>25</v>
      </c>
      <c r="B996">
        <v>10</v>
      </c>
      <c r="C996" t="s">
        <v>24</v>
      </c>
      <c r="D996" t="s">
        <v>9</v>
      </c>
      <c r="E996">
        <v>24780.521978021992</v>
      </c>
      <c r="F996">
        <v>159536.25641025644</v>
      </c>
      <c r="G996">
        <v>12023641407.866669</v>
      </c>
      <c r="H996">
        <v>98681641.126945689</v>
      </c>
      <c r="I996">
        <v>605206.59887698316</v>
      </c>
      <c r="J996">
        <v>10236042.615384622</v>
      </c>
    </row>
    <row r="997" spans="1:10" x14ac:dyDescent="0.25">
      <c r="A997">
        <v>25</v>
      </c>
      <c r="B997">
        <v>11</v>
      </c>
      <c r="C997" t="s">
        <v>24</v>
      </c>
      <c r="D997" t="s">
        <v>10</v>
      </c>
      <c r="E997">
        <v>24947.69230769229</v>
      </c>
      <c r="F997">
        <v>162300.33333333331</v>
      </c>
      <c r="G997">
        <v>9453130978.8933315</v>
      </c>
      <c r="H997">
        <v>95778648.881596372</v>
      </c>
      <c r="I997">
        <v>66480.007827740759</v>
      </c>
      <c r="J997">
        <v>3080847.8769230754</v>
      </c>
    </row>
    <row r="998" spans="1:10" x14ac:dyDescent="0.25">
      <c r="A998">
        <v>25</v>
      </c>
      <c r="B998">
        <v>12</v>
      </c>
      <c r="C998" t="s">
        <v>24</v>
      </c>
      <c r="D998" t="s">
        <v>11</v>
      </c>
      <c r="E998">
        <v>21916.307692307691</v>
      </c>
      <c r="F998">
        <v>107026.41025641022</v>
      </c>
      <c r="G998">
        <v>4395643166.1333313</v>
      </c>
      <c r="H998">
        <v>106628535.44089377</v>
      </c>
      <c r="I998">
        <v>6613.054809668909</v>
      </c>
      <c r="J998">
        <v>8059923.2000000263</v>
      </c>
    </row>
    <row r="999" spans="1:10" x14ac:dyDescent="0.25">
      <c r="A999">
        <v>25</v>
      </c>
      <c r="B999">
        <v>13</v>
      </c>
      <c r="C999" t="s">
        <v>24</v>
      </c>
      <c r="D999" t="s">
        <v>12</v>
      </c>
      <c r="E999">
        <v>6994.6923076923122</v>
      </c>
      <c r="F999">
        <v>88714.871794871826</v>
      </c>
      <c r="G999">
        <v>2986614547.7333341</v>
      </c>
      <c r="H999">
        <v>37524675.11689353</v>
      </c>
      <c r="I999">
        <v>66479.730049962978</v>
      </c>
      <c r="J999">
        <v>1675215.3846153847</v>
      </c>
    </row>
    <row r="1000" spans="1:10" x14ac:dyDescent="0.25">
      <c r="A1000">
        <v>25</v>
      </c>
      <c r="B1000">
        <v>14</v>
      </c>
      <c r="C1000" t="s">
        <v>24</v>
      </c>
      <c r="D1000" t="s">
        <v>13</v>
      </c>
      <c r="E1000">
        <v>27619.69230769229</v>
      </c>
      <c r="F1000">
        <v>235179.10256410233</v>
      </c>
      <c r="G1000">
        <v>6200506446.2666597</v>
      </c>
      <c r="H1000">
        <v>77647550.508893549</v>
      </c>
      <c r="I1000">
        <v>63963.731877314953</v>
      </c>
      <c r="J1000">
        <v>3562644.6153846174</v>
      </c>
    </row>
    <row r="1001" spans="1:10" x14ac:dyDescent="0.25">
      <c r="A1001">
        <v>25</v>
      </c>
      <c r="B1001">
        <v>15</v>
      </c>
      <c r="C1001" t="s">
        <v>24</v>
      </c>
      <c r="D1001" t="s">
        <v>14</v>
      </c>
      <c r="E1001">
        <v>51419.076923076893</v>
      </c>
      <c r="F1001">
        <v>357354.79487179534</v>
      </c>
      <c r="G1001">
        <v>13475620607.546684</v>
      </c>
      <c r="H1001">
        <v>143781300.87001586</v>
      </c>
      <c r="I1001">
        <v>6612.4548096689095</v>
      </c>
      <c r="J1001">
        <v>6980520</v>
      </c>
    </row>
    <row r="1002" spans="1:10" x14ac:dyDescent="0.25">
      <c r="A1002">
        <v>25</v>
      </c>
      <c r="B1002">
        <v>16</v>
      </c>
      <c r="C1002" t="s">
        <v>24</v>
      </c>
      <c r="D1002" t="s">
        <v>15</v>
      </c>
      <c r="E1002">
        <v>41111.538461538497</v>
      </c>
      <c r="F1002">
        <v>595568.02564102539</v>
      </c>
      <c r="G1002">
        <v>30372134958.173321</v>
      </c>
      <c r="H1002">
        <v>114346789.07414126</v>
      </c>
      <c r="I1002">
        <v>46.17894759994369</v>
      </c>
      <c r="J1002">
        <v>13</v>
      </c>
    </row>
    <row r="1003" spans="1:10" x14ac:dyDescent="0.25">
      <c r="A1003">
        <v>25</v>
      </c>
      <c r="B1003">
        <v>17</v>
      </c>
      <c r="C1003" t="s">
        <v>24</v>
      </c>
      <c r="D1003" t="s">
        <v>16</v>
      </c>
      <c r="E1003">
        <v>68170.61538461539</v>
      </c>
      <c r="F1003">
        <v>240451.87179487135</v>
      </c>
      <c r="G1003">
        <v>16290806675.599972</v>
      </c>
      <c r="H1003">
        <v>389593249.14107573</v>
      </c>
      <c r="I1003">
        <v>380066.13938195346</v>
      </c>
      <c r="J1003">
        <v>41348866.703296706</v>
      </c>
    </row>
    <row r="1004" spans="1:10" x14ac:dyDescent="0.25">
      <c r="A1004">
        <v>25</v>
      </c>
      <c r="B1004">
        <v>18</v>
      </c>
      <c r="C1004" t="s">
        <v>24</v>
      </c>
      <c r="D1004" t="s">
        <v>17</v>
      </c>
      <c r="E1004">
        <v>27437.076923076893</v>
      </c>
      <c r="F1004">
        <v>117622.71794871794</v>
      </c>
      <c r="G1004">
        <v>7450119446.8799982</v>
      </c>
      <c r="H1004">
        <v>107759781.98214129</v>
      </c>
      <c r="I1004">
        <v>380066.51715973124</v>
      </c>
      <c r="J1004">
        <v>4343915.8153846152</v>
      </c>
    </row>
    <row r="1005" spans="1:10" x14ac:dyDescent="0.25">
      <c r="A1005">
        <v>25</v>
      </c>
      <c r="B1005">
        <v>19</v>
      </c>
      <c r="C1005" t="s">
        <v>24</v>
      </c>
      <c r="D1005" t="s">
        <v>18</v>
      </c>
      <c r="E1005">
        <v>4988.2307692307722</v>
      </c>
      <c r="F1005">
        <v>156341.71794871794</v>
      </c>
      <c r="G1005">
        <v>3900256837.6666665</v>
      </c>
      <c r="H1005">
        <v>29534238.244321842</v>
      </c>
      <c r="I1005">
        <v>380622.73489269533</v>
      </c>
      <c r="J1005">
        <v>7737028.9450549446</v>
      </c>
    </row>
    <row r="1006" spans="1:10" x14ac:dyDescent="0.25">
      <c r="A1006">
        <v>25</v>
      </c>
      <c r="B1006">
        <v>20</v>
      </c>
      <c r="C1006" t="s">
        <v>24</v>
      </c>
      <c r="D1006" t="s">
        <v>19</v>
      </c>
      <c r="E1006">
        <v>62159.999999999993</v>
      </c>
      <c r="F1006">
        <v>128157.00000000003</v>
      </c>
      <c r="G1006">
        <v>3654827462.5200005</v>
      </c>
      <c r="H1006">
        <v>153617361.01015586</v>
      </c>
      <c r="I1006">
        <v>380083.20122416678</v>
      </c>
      <c r="J1006">
        <v>19802927.024175826</v>
      </c>
    </row>
    <row r="1007" spans="1:10" x14ac:dyDescent="0.25">
      <c r="A1007">
        <v>25</v>
      </c>
      <c r="B1007">
        <v>21</v>
      </c>
      <c r="C1007" t="s">
        <v>24</v>
      </c>
      <c r="D1007" t="s">
        <v>20</v>
      </c>
      <c r="E1007">
        <v>41004.615384615397</v>
      </c>
      <c r="F1007">
        <v>172308.66666666634</v>
      </c>
      <c r="G1007">
        <v>6108514541.9999876</v>
      </c>
      <c r="H1007">
        <v>151484695.77071899</v>
      </c>
      <c r="I1007">
        <v>380081.28276449617</v>
      </c>
      <c r="J1007">
        <v>31340743.318681315</v>
      </c>
    </row>
    <row r="1008" spans="1:10" x14ac:dyDescent="0.25">
      <c r="A1008">
        <v>25</v>
      </c>
      <c r="B1008">
        <v>22</v>
      </c>
      <c r="C1008" t="s">
        <v>24</v>
      </c>
      <c r="D1008" t="s">
        <v>21</v>
      </c>
      <c r="E1008">
        <v>25444.461538461492</v>
      </c>
      <c r="F1008">
        <v>191435.66666666634</v>
      </c>
      <c r="G1008">
        <v>2654309120.3199954</v>
      </c>
      <c r="H1008">
        <v>114517702.81760083</v>
      </c>
      <c r="I1008">
        <v>380083.82720894058</v>
      </c>
      <c r="J1008">
        <v>11018645.287912089</v>
      </c>
    </row>
    <row r="1009" spans="1:10" x14ac:dyDescent="0.25">
      <c r="A1009">
        <v>25</v>
      </c>
      <c r="B1009">
        <v>23</v>
      </c>
      <c r="C1009" t="s">
        <v>24</v>
      </c>
      <c r="D1009" t="s">
        <v>22</v>
      </c>
      <c r="E1009">
        <v>10123.000000000004</v>
      </c>
      <c r="F1009">
        <v>175172.00000000035</v>
      </c>
      <c r="G1009">
        <v>2438008861.6000047</v>
      </c>
      <c r="H1009">
        <v>0</v>
      </c>
      <c r="I1009">
        <v>380081.72165338503</v>
      </c>
      <c r="J1009">
        <v>4421359.4373626374</v>
      </c>
    </row>
    <row r="1010" spans="1:10" x14ac:dyDescent="0.25">
      <c r="A1010">
        <v>25</v>
      </c>
      <c r="B1010">
        <v>24</v>
      </c>
      <c r="C1010" t="s">
        <v>24</v>
      </c>
      <c r="D1010" t="s">
        <v>23</v>
      </c>
      <c r="E1010">
        <v>11285.384615384613</v>
      </c>
      <c r="F1010">
        <v>132644.00000000003</v>
      </c>
      <c r="G1010">
        <v>1337560872.9600003</v>
      </c>
      <c r="H1010">
        <v>0</v>
      </c>
      <c r="I1010">
        <v>380083.3545575001</v>
      </c>
      <c r="J1010">
        <v>6669676.7802197793</v>
      </c>
    </row>
    <row r="1011" spans="1:10" x14ac:dyDescent="0.25">
      <c r="A1011">
        <v>25</v>
      </c>
      <c r="B1011">
        <v>25</v>
      </c>
      <c r="C1011" t="s">
        <v>24</v>
      </c>
      <c r="D1011" t="s">
        <v>24</v>
      </c>
      <c r="E1011">
        <v>0</v>
      </c>
      <c r="F1011">
        <v>0</v>
      </c>
      <c r="G1011">
        <v>0</v>
      </c>
      <c r="H1011">
        <v>0</v>
      </c>
      <c r="I1011">
        <v>380068.60049306456</v>
      </c>
      <c r="J1011">
        <v>2584836.5846153842</v>
      </c>
    </row>
    <row r="1012" spans="1:10" x14ac:dyDescent="0.25">
      <c r="A1012">
        <v>25</v>
      </c>
      <c r="B1012">
        <v>26</v>
      </c>
      <c r="C1012" t="s">
        <v>24</v>
      </c>
      <c r="D1012" t="s">
        <v>25</v>
      </c>
      <c r="E1012">
        <v>7969.076923076922</v>
      </c>
      <c r="F1012">
        <v>111665.33333333333</v>
      </c>
      <c r="G1012">
        <v>3659549903.3599997</v>
      </c>
      <c r="H1012">
        <v>90382984.670015872</v>
      </c>
      <c r="I1012">
        <v>380082.27054227394</v>
      </c>
      <c r="J1012">
        <v>12259971.969230769</v>
      </c>
    </row>
    <row r="1013" spans="1:10" x14ac:dyDescent="0.25">
      <c r="A1013">
        <v>25</v>
      </c>
      <c r="B1013">
        <v>27</v>
      </c>
      <c r="C1013" t="s">
        <v>24</v>
      </c>
      <c r="D1013" t="s">
        <v>26</v>
      </c>
      <c r="E1013">
        <v>63184.307692307695</v>
      </c>
      <c r="F1013">
        <v>481598.43333333329</v>
      </c>
      <c r="G1013">
        <v>11913261917.491999</v>
      </c>
      <c r="H1013">
        <v>663789874.93994236</v>
      </c>
      <c r="I1013">
        <v>1782374.4331738425</v>
      </c>
      <c r="J1013">
        <v>7319673.8153846143</v>
      </c>
    </row>
    <row r="1014" spans="1:10" x14ac:dyDescent="0.25">
      <c r="A1014">
        <v>25</v>
      </c>
      <c r="B1014">
        <v>28</v>
      </c>
      <c r="C1014" t="s">
        <v>24</v>
      </c>
      <c r="D1014" t="s">
        <v>27</v>
      </c>
      <c r="E1014">
        <v>40248.607692307698</v>
      </c>
      <c r="F1014">
        <v>181597.73333333334</v>
      </c>
      <c r="G1014" t="s">
        <v>122</v>
      </c>
      <c r="H1014" t="s">
        <v>122</v>
      </c>
      <c r="I1014">
        <v>349040.8501007859</v>
      </c>
      <c r="J1014">
        <v>3561306.9230769221</v>
      </c>
    </row>
    <row r="1015" spans="1:10" x14ac:dyDescent="0.25">
      <c r="A1015">
        <v>25</v>
      </c>
      <c r="B1015">
        <v>29</v>
      </c>
      <c r="C1015" t="s">
        <v>24</v>
      </c>
      <c r="D1015" t="s">
        <v>28</v>
      </c>
      <c r="E1015">
        <v>36295.807692307695</v>
      </c>
      <c r="F1015">
        <v>426376.73333333334</v>
      </c>
      <c r="G1015">
        <v>7524150827.6479998</v>
      </c>
      <c r="H1015">
        <v>420848068.7376008</v>
      </c>
      <c r="I1015">
        <v>300673.80257101427</v>
      </c>
      <c r="J1015">
        <v>1964285.2923076919</v>
      </c>
    </row>
    <row r="1016" spans="1:10" x14ac:dyDescent="0.25">
      <c r="A1016">
        <v>25</v>
      </c>
      <c r="B1016">
        <v>30</v>
      </c>
      <c r="C1016" t="s">
        <v>24</v>
      </c>
      <c r="D1016" t="s">
        <v>29</v>
      </c>
      <c r="E1016">
        <v>11455.607692307693</v>
      </c>
      <c r="F1016">
        <v>294526.43333333335</v>
      </c>
      <c r="G1016">
        <v>1856223393.4400005</v>
      </c>
      <c r="H1016">
        <v>73529404.708000004</v>
      </c>
      <c r="I1016">
        <v>300673.30479323649</v>
      </c>
      <c r="J1016">
        <v>4208877.0769230761</v>
      </c>
    </row>
    <row r="1017" spans="1:10" x14ac:dyDescent="0.25">
      <c r="A1017">
        <v>25</v>
      </c>
      <c r="B1017">
        <v>31</v>
      </c>
      <c r="C1017" t="s">
        <v>24</v>
      </c>
      <c r="D1017" t="s">
        <v>30</v>
      </c>
      <c r="E1017">
        <v>6344.7692307692323</v>
      </c>
      <c r="F1017">
        <v>89278.025641025626</v>
      </c>
      <c r="G1017">
        <v>5228103325.9333324</v>
      </c>
      <c r="H1017">
        <v>43250371.113530524</v>
      </c>
      <c r="I1017">
        <v>0</v>
      </c>
      <c r="J1017">
        <v>5276022.6461538468</v>
      </c>
    </row>
    <row r="1018" spans="1:10" x14ac:dyDescent="0.25">
      <c r="A1018">
        <v>25</v>
      </c>
      <c r="B1018">
        <v>32</v>
      </c>
      <c r="C1018" t="s">
        <v>24</v>
      </c>
      <c r="D1018" t="s">
        <v>31</v>
      </c>
      <c r="E1018">
        <v>4189.6923076923076</v>
      </c>
      <c r="F1018">
        <v>114824.83333333333</v>
      </c>
      <c r="G1018">
        <v>6531140067.1399994</v>
      </c>
      <c r="H1018">
        <v>21172421.478916436</v>
      </c>
      <c r="I1018">
        <v>0</v>
      </c>
      <c r="J1018">
        <v>10846901.230769228</v>
      </c>
    </row>
    <row r="1019" spans="1:10" x14ac:dyDescent="0.25">
      <c r="A1019">
        <v>25</v>
      </c>
      <c r="B1019">
        <v>33</v>
      </c>
      <c r="C1019" t="s">
        <v>24</v>
      </c>
      <c r="D1019" t="s">
        <v>32</v>
      </c>
      <c r="E1019">
        <v>67867.076923076893</v>
      </c>
      <c r="F1019">
        <v>164535.05641025642</v>
      </c>
      <c r="G1019">
        <v>8572250113.3653336</v>
      </c>
      <c r="H1019">
        <v>100076041.84291644</v>
      </c>
      <c r="I1019">
        <v>0</v>
      </c>
      <c r="J1019">
        <v>28609206.246153846</v>
      </c>
    </row>
    <row r="1020" spans="1:10" x14ac:dyDescent="0.25">
      <c r="A1020">
        <v>25</v>
      </c>
      <c r="B1020">
        <v>34</v>
      </c>
      <c r="C1020" t="s">
        <v>24</v>
      </c>
      <c r="D1020" t="s">
        <v>33</v>
      </c>
      <c r="E1020">
        <v>300477.61538461567</v>
      </c>
      <c r="F1020">
        <v>332096.72222222231</v>
      </c>
      <c r="G1020">
        <v>16098707422.57556</v>
      </c>
      <c r="H1020">
        <v>809850480.00153041</v>
      </c>
      <c r="I1020">
        <v>0</v>
      </c>
      <c r="J1020">
        <v>4059865.2</v>
      </c>
    </row>
    <row r="1021" spans="1:10" x14ac:dyDescent="0.25">
      <c r="A1021">
        <v>25</v>
      </c>
      <c r="B1021">
        <v>35</v>
      </c>
      <c r="C1021" t="s">
        <v>24</v>
      </c>
      <c r="D1021" t="s">
        <v>34</v>
      </c>
      <c r="E1021">
        <v>26795.923076923093</v>
      </c>
      <c r="F1021">
        <v>80506.871794871826</v>
      </c>
      <c r="G1021">
        <v>3936473664.106668</v>
      </c>
      <c r="H1021">
        <v>180115871.07353052</v>
      </c>
      <c r="I1021">
        <v>167322.02101607225</v>
      </c>
      <c r="J1021">
        <v>2053921.9999999998</v>
      </c>
    </row>
    <row r="1022" spans="1:10" x14ac:dyDescent="0.25">
      <c r="A1022">
        <v>25</v>
      </c>
      <c r="B1022">
        <v>36</v>
      </c>
      <c r="C1022" t="s">
        <v>24</v>
      </c>
      <c r="D1022" t="s">
        <v>35</v>
      </c>
      <c r="E1022">
        <v>7420.1538461538421</v>
      </c>
      <c r="F1022">
        <v>156353.25641025644</v>
      </c>
      <c r="G1022">
        <v>7357659031.8933344</v>
      </c>
      <c r="H1022">
        <v>34996395.410198316</v>
      </c>
      <c r="I1022">
        <v>603730.0049101091</v>
      </c>
      <c r="J1022">
        <v>12321443.076923078</v>
      </c>
    </row>
    <row r="1023" spans="1:10" x14ac:dyDescent="0.25">
      <c r="A1023">
        <v>25</v>
      </c>
      <c r="B1023">
        <v>37</v>
      </c>
      <c r="C1023" t="s">
        <v>24</v>
      </c>
      <c r="D1023" t="s">
        <v>36</v>
      </c>
      <c r="E1023">
        <v>13839.153846153891</v>
      </c>
      <c r="F1023">
        <v>151168.76007326003</v>
      </c>
      <c r="G1023">
        <v>8098170944.6285696</v>
      </c>
      <c r="H1023">
        <v>88349106.893389001</v>
      </c>
      <c r="I1023">
        <v>385907.37164522696</v>
      </c>
      <c r="J1023">
        <v>10489073.538461538</v>
      </c>
    </row>
    <row r="1024" spans="1:10" x14ac:dyDescent="0.25">
      <c r="A1024">
        <v>25</v>
      </c>
      <c r="B1024">
        <v>38</v>
      </c>
      <c r="C1024" t="s">
        <v>24</v>
      </c>
      <c r="D1024" t="s">
        <v>37</v>
      </c>
      <c r="E1024">
        <v>3807.3076923076924</v>
      </c>
      <c r="F1024">
        <v>72145.717948717953</v>
      </c>
      <c r="G1024">
        <v>5713952404.8533335</v>
      </c>
      <c r="H1024">
        <v>18314554.806007762</v>
      </c>
      <c r="I1024">
        <v>1811147.073079912</v>
      </c>
      <c r="J1024">
        <v>3724792.6153846155</v>
      </c>
    </row>
    <row r="1025" spans="1:10" x14ac:dyDescent="0.25">
      <c r="A1025">
        <v>25</v>
      </c>
      <c r="B1025">
        <v>39</v>
      </c>
      <c r="C1025" t="s">
        <v>24</v>
      </c>
      <c r="D1025" t="s">
        <v>38</v>
      </c>
      <c r="E1025">
        <v>6877.6923076923122</v>
      </c>
      <c r="F1025">
        <v>156316.17582417582</v>
      </c>
      <c r="G1025">
        <v>9104585639.702858</v>
      </c>
      <c r="H1025">
        <v>35690769.213388994</v>
      </c>
      <c r="I1025">
        <v>291463.63724300347</v>
      </c>
      <c r="J1025">
        <v>1098296.5846153842</v>
      </c>
    </row>
    <row r="1026" spans="1:10" x14ac:dyDescent="0.25">
      <c r="A1026">
        <v>25</v>
      </c>
      <c r="B1026">
        <v>40</v>
      </c>
      <c r="C1026" t="s">
        <v>24</v>
      </c>
      <c r="D1026" t="s">
        <v>39</v>
      </c>
      <c r="E1026">
        <v>13424.076923076922</v>
      </c>
      <c r="F1026">
        <v>137635.47619047621</v>
      </c>
      <c r="G1026">
        <v>9527314846.1523819</v>
      </c>
      <c r="H1026">
        <v>21148976.226944696</v>
      </c>
      <c r="I1026">
        <v>291462.92613189237</v>
      </c>
      <c r="J1026">
        <v>1441301.5384615383</v>
      </c>
    </row>
    <row r="1027" spans="1:10" x14ac:dyDescent="0.25">
      <c r="A1027">
        <v>25</v>
      </c>
      <c r="B1027">
        <v>41</v>
      </c>
      <c r="C1027" t="s">
        <v>24</v>
      </c>
      <c r="D1027" t="s">
        <v>40</v>
      </c>
      <c r="E1027">
        <v>25782.999999999993</v>
      </c>
      <c r="F1027">
        <v>85813.826007326032</v>
      </c>
      <c r="G1027">
        <v>5863531726.6180973</v>
      </c>
      <c r="H1027">
        <v>175280771.76600778</v>
      </c>
      <c r="I1027">
        <v>291461.58724300348</v>
      </c>
      <c r="J1027">
        <v>1976331.0769230768</v>
      </c>
    </row>
    <row r="1028" spans="1:10" x14ac:dyDescent="0.25">
      <c r="A1028">
        <v>26</v>
      </c>
      <c r="B1028">
        <v>1</v>
      </c>
      <c r="C1028" t="s">
        <v>25</v>
      </c>
      <c r="D1028" t="s">
        <v>0</v>
      </c>
      <c r="E1028">
        <v>93649.379120879094</v>
      </c>
      <c r="F1028">
        <v>95845.846153846214</v>
      </c>
      <c r="G1028">
        <v>5340887094.2400026</v>
      </c>
      <c r="H1028">
        <v>218621707.81181175</v>
      </c>
      <c r="I1028">
        <v>0</v>
      </c>
      <c r="J1028">
        <v>0</v>
      </c>
    </row>
    <row r="1029" spans="1:10" x14ac:dyDescent="0.25">
      <c r="A1029">
        <v>26</v>
      </c>
      <c r="B1029">
        <v>2</v>
      </c>
      <c r="C1029" t="s">
        <v>25</v>
      </c>
      <c r="D1029" t="s">
        <v>1</v>
      </c>
      <c r="E1029">
        <v>22388.37912087909</v>
      </c>
      <c r="F1029">
        <v>86234.23076923081</v>
      </c>
      <c r="G1029">
        <v>4560724952.6000023</v>
      </c>
      <c r="H1029">
        <v>95090239.250383168</v>
      </c>
      <c r="I1029">
        <v>603731.45157677575</v>
      </c>
      <c r="J1029">
        <v>17662243.200000003</v>
      </c>
    </row>
    <row r="1030" spans="1:10" x14ac:dyDescent="0.25">
      <c r="A1030">
        <v>26</v>
      </c>
      <c r="B1030">
        <v>3</v>
      </c>
      <c r="C1030" t="s">
        <v>25</v>
      </c>
      <c r="D1030" t="s">
        <v>2</v>
      </c>
      <c r="E1030">
        <v>17653.021978021992</v>
      </c>
      <c r="F1030">
        <v>89268.461538461503</v>
      </c>
      <c r="G1030">
        <v>4650872563.1999979</v>
      </c>
      <c r="H1030">
        <v>137865405.64292625</v>
      </c>
      <c r="I1030">
        <v>291462.11502078123</v>
      </c>
      <c r="J1030">
        <v>6955550.3846153859</v>
      </c>
    </row>
    <row r="1031" spans="1:10" x14ac:dyDescent="0.25">
      <c r="A1031">
        <v>26</v>
      </c>
      <c r="B1031">
        <v>4</v>
      </c>
      <c r="C1031" t="s">
        <v>25</v>
      </c>
      <c r="D1031" t="s">
        <v>3</v>
      </c>
      <c r="E1031">
        <v>32309.37912087909</v>
      </c>
      <c r="F1031">
        <v>78375.38461538461</v>
      </c>
      <c r="G1031">
        <v>5845110783.999999</v>
      </c>
      <c r="H1031">
        <v>187965231.35425347</v>
      </c>
      <c r="I1031">
        <v>380084.4567797223</v>
      </c>
      <c r="J1031">
        <v>4872835.8</v>
      </c>
    </row>
    <row r="1032" spans="1:10" x14ac:dyDescent="0.25">
      <c r="A1032">
        <v>26</v>
      </c>
      <c r="B1032">
        <v>5</v>
      </c>
      <c r="C1032" t="s">
        <v>25</v>
      </c>
      <c r="D1032" t="s">
        <v>4</v>
      </c>
      <c r="E1032">
        <v>66045.950549450587</v>
      </c>
      <c r="F1032">
        <v>110175.4615384615</v>
      </c>
      <c r="G1032">
        <v>8928438715.3199959</v>
      </c>
      <c r="H1032">
        <v>99327271.796428218</v>
      </c>
      <c r="I1032">
        <v>717925.54526804166</v>
      </c>
      <c r="J1032">
        <v>2028925.2307692317</v>
      </c>
    </row>
    <row r="1033" spans="1:10" x14ac:dyDescent="0.25">
      <c r="A1033">
        <v>26</v>
      </c>
      <c r="B1033">
        <v>6</v>
      </c>
      <c r="C1033" t="s">
        <v>25</v>
      </c>
      <c r="D1033" t="s">
        <v>5</v>
      </c>
      <c r="E1033">
        <v>14374.093406593391</v>
      </c>
      <c r="F1033">
        <v>175964.77289377301</v>
      </c>
      <c r="G1033">
        <v>15951122199.729534</v>
      </c>
      <c r="H1033">
        <v>218784045.55928534</v>
      </c>
      <c r="I1033">
        <v>717924.23749026388</v>
      </c>
      <c r="J1033">
        <v>831336.58461538434</v>
      </c>
    </row>
    <row r="1034" spans="1:10" x14ac:dyDescent="0.25">
      <c r="A1034">
        <v>26</v>
      </c>
      <c r="B1034">
        <v>7</v>
      </c>
      <c r="C1034" t="s">
        <v>25</v>
      </c>
      <c r="D1034" t="s">
        <v>6</v>
      </c>
      <c r="E1034">
        <v>6124.0934065934025</v>
      </c>
      <c r="F1034">
        <v>109511.07692307691</v>
      </c>
      <c r="G1034">
        <v>8748064596.9599972</v>
      </c>
      <c r="H1034">
        <v>80095048.024999648</v>
      </c>
      <c r="I1034">
        <v>1782420.8982543722</v>
      </c>
      <c r="J1034">
        <v>31361316.923076905</v>
      </c>
    </row>
    <row r="1035" spans="1:10" x14ac:dyDescent="0.25">
      <c r="A1035">
        <v>26</v>
      </c>
      <c r="B1035">
        <v>8</v>
      </c>
      <c r="C1035" t="s">
        <v>25</v>
      </c>
      <c r="D1035" t="s">
        <v>7</v>
      </c>
      <c r="E1035">
        <v>35771.164835164796</v>
      </c>
      <c r="F1035">
        <v>167108.84615384601</v>
      </c>
      <c r="G1035">
        <v>12339838579.599991</v>
      </c>
      <c r="H1035">
        <v>105029043.89768201</v>
      </c>
      <c r="I1035">
        <v>1782421.8226988167</v>
      </c>
      <c r="J1035">
        <v>142418482.15384629</v>
      </c>
    </row>
    <row r="1036" spans="1:10" x14ac:dyDescent="0.25">
      <c r="A1036">
        <v>26</v>
      </c>
      <c r="B1036">
        <v>9</v>
      </c>
      <c r="C1036" t="s">
        <v>25</v>
      </c>
      <c r="D1036" t="s">
        <v>8</v>
      </c>
      <c r="E1036">
        <v>1766.7622377622374</v>
      </c>
      <c r="F1036">
        <v>617441.62179487199</v>
      </c>
      <c r="G1036">
        <v>18548835434.653339</v>
      </c>
      <c r="H1036">
        <v>85961081.55038318</v>
      </c>
      <c r="I1036">
        <v>380066.75938195345</v>
      </c>
      <c r="J1036">
        <v>11336572.061538467</v>
      </c>
    </row>
    <row r="1037" spans="1:10" x14ac:dyDescent="0.25">
      <c r="A1037">
        <v>26</v>
      </c>
      <c r="B1037">
        <v>10</v>
      </c>
      <c r="C1037" t="s">
        <v>25</v>
      </c>
      <c r="D1037" t="s">
        <v>9</v>
      </c>
      <c r="E1037">
        <v>22249.521978021992</v>
      </c>
      <c r="F1037">
        <v>141817.92307692312</v>
      </c>
      <c r="G1037">
        <v>11976829930.560005</v>
      </c>
      <c r="H1037">
        <v>146663048.85642824</v>
      </c>
      <c r="I1037">
        <v>200916.1276354093</v>
      </c>
      <c r="J1037">
        <v>2293990.9846153827</v>
      </c>
    </row>
    <row r="1038" spans="1:10" x14ac:dyDescent="0.25">
      <c r="A1038">
        <v>26</v>
      </c>
      <c r="B1038">
        <v>11</v>
      </c>
      <c r="C1038" t="s">
        <v>25</v>
      </c>
      <c r="D1038" t="s">
        <v>10</v>
      </c>
      <c r="E1038">
        <v>22416.69230769229</v>
      </c>
      <c r="F1038">
        <v>144582</v>
      </c>
      <c r="G1038">
        <v>9605709999.6000004</v>
      </c>
      <c r="H1038">
        <v>143801879.4596287</v>
      </c>
      <c r="I1038">
        <v>173441.68476435082</v>
      </c>
      <c r="J1038">
        <v>6766799.2615384888</v>
      </c>
    </row>
    <row r="1039" spans="1:10" x14ac:dyDescent="0.25">
      <c r="A1039">
        <v>26</v>
      </c>
      <c r="B1039">
        <v>12</v>
      </c>
      <c r="C1039" t="s">
        <v>25</v>
      </c>
      <c r="D1039" t="s">
        <v>11</v>
      </c>
      <c r="E1039">
        <v>19385.307692307691</v>
      </c>
      <c r="F1039">
        <v>89308.076923076907</v>
      </c>
      <c r="G1039">
        <v>4399651667.5999994</v>
      </c>
      <c r="H1039">
        <v>154568864.56605959</v>
      </c>
      <c r="I1039">
        <v>200915.84985763152</v>
      </c>
      <c r="J1039">
        <v>630496.00000000012</v>
      </c>
    </row>
    <row r="1040" spans="1:10" x14ac:dyDescent="0.25">
      <c r="A1040">
        <v>26</v>
      </c>
      <c r="B1040">
        <v>13</v>
      </c>
      <c r="C1040" t="s">
        <v>25</v>
      </c>
      <c r="D1040" t="s">
        <v>12</v>
      </c>
      <c r="E1040">
        <v>4463.6923076923122</v>
      </c>
      <c r="F1040">
        <v>70996.538461538512</v>
      </c>
      <c r="G1040">
        <v>2971804345.400002</v>
      </c>
      <c r="H1040">
        <v>85510357.72801137</v>
      </c>
      <c r="I1040">
        <v>198613.51581666162</v>
      </c>
      <c r="J1040">
        <v>2495001.3846153868</v>
      </c>
    </row>
    <row r="1041" spans="1:10" x14ac:dyDescent="0.25">
      <c r="A1041">
        <v>26</v>
      </c>
      <c r="B1041">
        <v>14</v>
      </c>
      <c r="C1041" t="s">
        <v>25</v>
      </c>
      <c r="D1041" t="s">
        <v>13</v>
      </c>
      <c r="E1041">
        <v>25088.69230769229</v>
      </c>
      <c r="F1041">
        <v>217460.76923076899</v>
      </c>
      <c r="G1041">
        <v>7515044056.7999907</v>
      </c>
      <c r="H1041">
        <v>125633233.12001137</v>
      </c>
      <c r="I1041">
        <v>173441.08476435082</v>
      </c>
      <c r="J1041">
        <v>6235197.2307692301</v>
      </c>
    </row>
    <row r="1042" spans="1:10" x14ac:dyDescent="0.25">
      <c r="A1042">
        <v>26</v>
      </c>
      <c r="B1042">
        <v>15</v>
      </c>
      <c r="C1042" t="s">
        <v>25</v>
      </c>
      <c r="D1042" t="s">
        <v>14</v>
      </c>
      <c r="E1042">
        <v>48888.076923076893</v>
      </c>
      <c r="F1042">
        <v>339636.46153846203</v>
      </c>
      <c r="G1042">
        <v>6831841765.6800098</v>
      </c>
      <c r="H1042">
        <v>191159423.56</v>
      </c>
      <c r="I1042">
        <v>46.85487929335585</v>
      </c>
      <c r="J1042">
        <v>14.31</v>
      </c>
    </row>
    <row r="1043" spans="1:10" x14ac:dyDescent="0.25">
      <c r="A1043">
        <v>26</v>
      </c>
      <c r="B1043">
        <v>16</v>
      </c>
      <c r="C1043" t="s">
        <v>25</v>
      </c>
      <c r="D1043" t="s">
        <v>15</v>
      </c>
      <c r="E1043">
        <v>38580.538461538497</v>
      </c>
      <c r="F1043">
        <v>577849.69230769202</v>
      </c>
      <c r="G1043">
        <v>20151514117.759991</v>
      </c>
      <c r="H1043">
        <v>161819576.35526991</v>
      </c>
      <c r="I1043">
        <v>927437.22043103445</v>
      </c>
      <c r="J1043">
        <v>26873274.028571431</v>
      </c>
    </row>
    <row r="1044" spans="1:10" x14ac:dyDescent="0.25">
      <c r="A1044">
        <v>26</v>
      </c>
      <c r="B1044">
        <v>17</v>
      </c>
      <c r="C1044" t="s">
        <v>25</v>
      </c>
      <c r="D1044" t="s">
        <v>16</v>
      </c>
      <c r="E1044">
        <v>65639.61538461539</v>
      </c>
      <c r="F1044">
        <v>222733.538461538</v>
      </c>
      <c r="G1044">
        <v>14294913767.679972</v>
      </c>
      <c r="H1044">
        <v>437168908.77925372</v>
      </c>
      <c r="I1044">
        <v>927437.5982088123</v>
      </c>
      <c r="J1044">
        <v>8567520</v>
      </c>
    </row>
    <row r="1045" spans="1:10" x14ac:dyDescent="0.25">
      <c r="A1045">
        <v>26</v>
      </c>
      <c r="B1045">
        <v>18</v>
      </c>
      <c r="C1045" t="s">
        <v>25</v>
      </c>
      <c r="D1045" t="s">
        <v>17</v>
      </c>
      <c r="E1045">
        <v>24906.076923076893</v>
      </c>
      <c r="F1045">
        <v>99904.38461538461</v>
      </c>
      <c r="G1045">
        <v>4717033473.7199993</v>
      </c>
      <c r="H1045">
        <v>155232569.26326993</v>
      </c>
      <c r="I1045">
        <v>482877.51436936238</v>
      </c>
      <c r="J1045">
        <v>9411942.6285714284</v>
      </c>
    </row>
    <row r="1046" spans="1:10" x14ac:dyDescent="0.25">
      <c r="A1046">
        <v>26</v>
      </c>
      <c r="B1046">
        <v>19</v>
      </c>
      <c r="C1046" t="s">
        <v>25</v>
      </c>
      <c r="D1046" t="s">
        <v>18</v>
      </c>
      <c r="E1046">
        <v>2457.2307692307722</v>
      </c>
      <c r="F1046">
        <v>138623.3846153846</v>
      </c>
      <c r="G1046">
        <v>6414120640.9599991</v>
      </c>
      <c r="H1046">
        <v>77238397.135949492</v>
      </c>
      <c r="I1046">
        <v>566972.22462301154</v>
      </c>
      <c r="J1046">
        <v>30757714.514285717</v>
      </c>
    </row>
    <row r="1047" spans="1:10" x14ac:dyDescent="0.25">
      <c r="A1047">
        <v>26</v>
      </c>
      <c r="B1047">
        <v>20</v>
      </c>
      <c r="C1047" t="s">
        <v>25</v>
      </c>
      <c r="D1047" t="s">
        <v>19</v>
      </c>
      <c r="E1047">
        <v>59628.999999999993</v>
      </c>
      <c r="F1047">
        <v>110438.66666666672</v>
      </c>
      <c r="G1047">
        <v>4924402718.5600014</v>
      </c>
      <c r="H1047">
        <v>201561452.437154</v>
      </c>
      <c r="I1047">
        <v>675921.07618279639</v>
      </c>
      <c r="J1047">
        <v>42071541.942857139</v>
      </c>
    </row>
    <row r="1048" spans="1:10" x14ac:dyDescent="0.25">
      <c r="A1048">
        <v>26</v>
      </c>
      <c r="B1048">
        <v>21</v>
      </c>
      <c r="C1048" t="s">
        <v>25</v>
      </c>
      <c r="D1048" t="s">
        <v>20</v>
      </c>
      <c r="E1048">
        <v>38473.615384615397</v>
      </c>
      <c r="F1048">
        <v>154590.33333333299</v>
      </c>
      <c r="G1048">
        <v>7542629320.8933163</v>
      </c>
      <c r="H1048">
        <v>199583842.10180882</v>
      </c>
      <c r="I1048">
        <v>675923.62062724074</v>
      </c>
      <c r="J1048">
        <v>32798403</v>
      </c>
    </row>
    <row r="1049" spans="1:10" x14ac:dyDescent="0.25">
      <c r="A1049">
        <v>26</v>
      </c>
      <c r="B1049">
        <v>22</v>
      </c>
      <c r="C1049" t="s">
        <v>25</v>
      </c>
      <c r="D1049" t="s">
        <v>21</v>
      </c>
      <c r="E1049">
        <v>22913.461538461492</v>
      </c>
      <c r="F1049">
        <v>173717.33333333299</v>
      </c>
      <c r="G1049">
        <v>6906591200.426652</v>
      </c>
      <c r="H1049">
        <v>162608683.91415468</v>
      </c>
      <c r="I1049">
        <v>675921.51507168519</v>
      </c>
      <c r="J1049">
        <v>23968092.571428571</v>
      </c>
    </row>
    <row r="1050" spans="1:10" x14ac:dyDescent="0.25">
      <c r="A1050">
        <v>26</v>
      </c>
      <c r="B1050">
        <v>23</v>
      </c>
      <c r="C1050" t="s">
        <v>25</v>
      </c>
      <c r="D1050" t="s">
        <v>22</v>
      </c>
      <c r="E1050">
        <v>7592.0000000000027</v>
      </c>
      <c r="F1050">
        <v>157453.66666666701</v>
      </c>
      <c r="G1050">
        <v>4291853151.56001</v>
      </c>
      <c r="H1050">
        <v>85480858.770015866</v>
      </c>
      <c r="I1050">
        <v>566972.37795634486</v>
      </c>
      <c r="J1050">
        <v>23016077.885714289</v>
      </c>
    </row>
    <row r="1051" spans="1:10" x14ac:dyDescent="0.25">
      <c r="A1051">
        <v>26</v>
      </c>
      <c r="B1051">
        <v>24</v>
      </c>
      <c r="C1051" t="s">
        <v>25</v>
      </c>
      <c r="D1051" t="s">
        <v>23</v>
      </c>
      <c r="E1051">
        <v>8754.3846153846134</v>
      </c>
      <c r="F1051">
        <v>114925.66666666672</v>
      </c>
      <c r="G1051">
        <v>2685973725.9333344</v>
      </c>
      <c r="H1051">
        <v>114900950.81001586</v>
      </c>
      <c r="I1051">
        <v>927439.68154214555</v>
      </c>
      <c r="J1051">
        <v>15897674.800000001</v>
      </c>
    </row>
    <row r="1052" spans="1:10" x14ac:dyDescent="0.25">
      <c r="A1052">
        <v>26</v>
      </c>
      <c r="B1052">
        <v>25</v>
      </c>
      <c r="C1052" t="s">
        <v>25</v>
      </c>
      <c r="D1052" t="s">
        <v>24</v>
      </c>
      <c r="E1052">
        <v>6359.0000000000027</v>
      </c>
      <c r="F1052">
        <v>107873.33333333331</v>
      </c>
      <c r="G1052">
        <v>3535276659.1999989</v>
      </c>
      <c r="H1052">
        <v>90382984.670015872</v>
      </c>
      <c r="I1052">
        <v>675922.0639605741</v>
      </c>
      <c r="J1052">
        <v>30973182.68571429</v>
      </c>
    </row>
    <row r="1053" spans="1:10" x14ac:dyDescent="0.25">
      <c r="A1053">
        <v>26</v>
      </c>
      <c r="B1053">
        <v>26</v>
      </c>
      <c r="C1053" t="s">
        <v>25</v>
      </c>
      <c r="D1053" t="s">
        <v>25</v>
      </c>
      <c r="E1053">
        <v>0</v>
      </c>
      <c r="F1053">
        <v>0</v>
      </c>
      <c r="G1053">
        <v>0</v>
      </c>
      <c r="H1053">
        <v>0</v>
      </c>
      <c r="I1053">
        <v>454724.61160607665</v>
      </c>
      <c r="J1053">
        <v>42331230.399999999</v>
      </c>
    </row>
    <row r="1054" spans="1:10" x14ac:dyDescent="0.25">
      <c r="A1054">
        <v>26</v>
      </c>
      <c r="B1054">
        <v>27</v>
      </c>
      <c r="C1054" t="s">
        <v>25</v>
      </c>
      <c r="D1054" t="s">
        <v>26</v>
      </c>
      <c r="E1054">
        <v>60653.307692307695</v>
      </c>
      <c r="F1054">
        <v>463880.1</v>
      </c>
      <c r="G1054">
        <v>17687525550.551998</v>
      </c>
      <c r="H1054">
        <v>667925316.54760563</v>
      </c>
      <c r="I1054">
        <v>451899.18658452673</v>
      </c>
      <c r="J1054">
        <v>31279001.538461544</v>
      </c>
    </row>
    <row r="1055" spans="1:10" x14ac:dyDescent="0.25">
      <c r="A1055">
        <v>26</v>
      </c>
      <c r="B1055">
        <v>28</v>
      </c>
      <c r="C1055" t="s">
        <v>25</v>
      </c>
      <c r="D1055" t="s">
        <v>27</v>
      </c>
      <c r="E1055">
        <v>37717.607692307698</v>
      </c>
      <c r="F1055">
        <v>163879.4</v>
      </c>
      <c r="G1055" t="s">
        <v>122</v>
      </c>
      <c r="H1055" t="s">
        <v>122</v>
      </c>
      <c r="I1055">
        <v>396294.3589178829</v>
      </c>
      <c r="J1055">
        <v>26846266.615384616</v>
      </c>
    </row>
    <row r="1056" spans="1:10" x14ac:dyDescent="0.25">
      <c r="A1056">
        <v>26</v>
      </c>
      <c r="B1056">
        <v>29</v>
      </c>
      <c r="C1056" t="s">
        <v>25</v>
      </c>
      <c r="D1056" t="s">
        <v>28</v>
      </c>
      <c r="E1056">
        <v>33764.807692307695</v>
      </c>
      <c r="F1056">
        <v>408658.4</v>
      </c>
      <c r="G1056">
        <v>15925352462.656</v>
      </c>
      <c r="H1056">
        <v>425063846.51205999</v>
      </c>
      <c r="I1056">
        <v>396293.86114010512</v>
      </c>
      <c r="J1056">
        <v>26511410.307692308</v>
      </c>
    </row>
    <row r="1057" spans="1:10" x14ac:dyDescent="0.25">
      <c r="A1057">
        <v>26</v>
      </c>
      <c r="B1057">
        <v>30</v>
      </c>
      <c r="C1057" t="s">
        <v>25</v>
      </c>
      <c r="D1057" t="s">
        <v>29</v>
      </c>
      <c r="E1057">
        <v>8924.6076923076926</v>
      </c>
      <c r="F1057">
        <v>276808.10000000003</v>
      </c>
      <c r="G1057">
        <v>7414360320.1200008</v>
      </c>
      <c r="H1057">
        <v>77861544.818015873</v>
      </c>
      <c r="I1057">
        <v>117116164.25666666</v>
      </c>
      <c r="J1057">
        <v>36219857.723076925</v>
      </c>
    </row>
    <row r="1058" spans="1:10" x14ac:dyDescent="0.25">
      <c r="A1058">
        <v>26</v>
      </c>
      <c r="B1058">
        <v>31</v>
      </c>
      <c r="C1058" t="s">
        <v>25</v>
      </c>
      <c r="D1058" t="s">
        <v>30</v>
      </c>
      <c r="E1058">
        <v>3813.7692307692323</v>
      </c>
      <c r="F1058">
        <v>71559.692307692312</v>
      </c>
      <c r="G1058">
        <v>5148891604.8000011</v>
      </c>
      <c r="H1058">
        <v>47507468.700119525</v>
      </c>
      <c r="I1058">
        <v>603740.48478749627</v>
      </c>
      <c r="J1058">
        <v>52141353.84615384</v>
      </c>
    </row>
    <row r="1059" spans="1:10" x14ac:dyDescent="0.25">
      <c r="A1059">
        <v>26</v>
      </c>
      <c r="B1059">
        <v>32</v>
      </c>
      <c r="C1059" t="s">
        <v>25</v>
      </c>
      <c r="D1059" t="s">
        <v>31</v>
      </c>
      <c r="E1059">
        <v>1658.6923076923074</v>
      </c>
      <c r="F1059">
        <v>97106.5</v>
      </c>
      <c r="G1059">
        <v>6823844662.4399996</v>
      </c>
      <c r="H1059">
        <v>25386895.82531321</v>
      </c>
      <c r="I1059">
        <v>797862.01157009252</v>
      </c>
      <c r="J1059">
        <v>79587792.307692304</v>
      </c>
    </row>
    <row r="1060" spans="1:10" x14ac:dyDescent="0.25">
      <c r="A1060">
        <v>26</v>
      </c>
      <c r="B1060">
        <v>33</v>
      </c>
      <c r="C1060" t="s">
        <v>25</v>
      </c>
      <c r="D1060" t="s">
        <v>32</v>
      </c>
      <c r="E1060">
        <v>65336.076923076893</v>
      </c>
      <c r="F1060">
        <v>146816.72307692311</v>
      </c>
      <c r="G1060">
        <v>9615385427.1120014</v>
      </c>
      <c r="H1060">
        <v>104290516.18931322</v>
      </c>
      <c r="I1060">
        <v>603742.52589860733</v>
      </c>
      <c r="J1060">
        <v>43249427.169230767</v>
      </c>
    </row>
    <row r="1061" spans="1:10" x14ac:dyDescent="0.25">
      <c r="A1061">
        <v>26</v>
      </c>
      <c r="B1061">
        <v>34</v>
      </c>
      <c r="C1061" t="s">
        <v>25</v>
      </c>
      <c r="D1061" t="s">
        <v>33</v>
      </c>
      <c r="E1061">
        <v>297946.61538461567</v>
      </c>
      <c r="F1061">
        <v>314378.38888888899</v>
      </c>
      <c r="G1061">
        <v>19384093603.737785</v>
      </c>
      <c r="H1061">
        <v>814107577.58811939</v>
      </c>
      <c r="I1061">
        <v>396261.24305272335</v>
      </c>
      <c r="J1061">
        <v>8727969.8461538479</v>
      </c>
    </row>
    <row r="1062" spans="1:10" x14ac:dyDescent="0.25">
      <c r="A1062">
        <v>26</v>
      </c>
      <c r="B1062">
        <v>35</v>
      </c>
      <c r="C1062" t="s">
        <v>25</v>
      </c>
      <c r="D1062" t="s">
        <v>34</v>
      </c>
      <c r="E1062">
        <v>24264.923076923093</v>
      </c>
      <c r="F1062">
        <v>62788.538461538505</v>
      </c>
      <c r="G1062">
        <v>3911017691.440002</v>
      </c>
      <c r="H1062">
        <v>184372968.66011953</v>
      </c>
      <c r="I1062">
        <v>0</v>
      </c>
      <c r="J1062">
        <v>8340674.9538461529</v>
      </c>
    </row>
    <row r="1063" spans="1:10" x14ac:dyDescent="0.25">
      <c r="A1063">
        <v>26</v>
      </c>
      <c r="B1063">
        <v>36</v>
      </c>
      <c r="C1063" t="s">
        <v>25</v>
      </c>
      <c r="D1063" t="s">
        <v>35</v>
      </c>
      <c r="E1063">
        <v>4889.1538461538421</v>
      </c>
      <c r="F1063">
        <v>138634.92307692312</v>
      </c>
      <c r="G1063">
        <v>8380553190.1600027</v>
      </c>
      <c r="H1063">
        <v>39190680.674383193</v>
      </c>
      <c r="I1063">
        <v>210926.18656014549</v>
      </c>
      <c r="J1063">
        <v>8035867.9384615393</v>
      </c>
    </row>
    <row r="1064" spans="1:10" x14ac:dyDescent="0.25">
      <c r="A1064">
        <v>26</v>
      </c>
      <c r="B1064">
        <v>37</v>
      </c>
      <c r="C1064" t="s">
        <v>25</v>
      </c>
      <c r="D1064" t="s">
        <v>36</v>
      </c>
      <c r="E1064">
        <v>11308.153846153891</v>
      </c>
      <c r="F1064">
        <v>133450.42673992671</v>
      </c>
      <c r="G1064">
        <v>8242368100.9599981</v>
      </c>
      <c r="H1064">
        <v>92373668.600412607</v>
      </c>
      <c r="I1064">
        <v>138.16008102438954</v>
      </c>
      <c r="J1064">
        <v>8068786.9538461538</v>
      </c>
    </row>
    <row r="1065" spans="1:10" x14ac:dyDescent="0.25">
      <c r="A1065">
        <v>26</v>
      </c>
      <c r="B1065">
        <v>38</v>
      </c>
      <c r="C1065" t="s">
        <v>25</v>
      </c>
      <c r="D1065" t="s">
        <v>37</v>
      </c>
      <c r="E1065">
        <v>1276.3076923076924</v>
      </c>
      <c r="F1065">
        <v>54427.384615384624</v>
      </c>
      <c r="G1065">
        <v>4316374622.4000006</v>
      </c>
      <c r="H1065">
        <v>22262097.092685454</v>
      </c>
      <c r="I1065">
        <v>252474.11184083039</v>
      </c>
      <c r="J1065">
        <v>7066051.1076923087</v>
      </c>
    </row>
    <row r="1066" spans="1:10" x14ac:dyDescent="0.25">
      <c r="A1066">
        <v>26</v>
      </c>
      <c r="B1066">
        <v>39</v>
      </c>
      <c r="C1066" t="s">
        <v>25</v>
      </c>
      <c r="D1066" t="s">
        <v>38</v>
      </c>
      <c r="E1066">
        <v>4346.6923076923122</v>
      </c>
      <c r="F1066">
        <v>138597.84249084251</v>
      </c>
      <c r="G1066">
        <v>9208135739.8380966</v>
      </c>
      <c r="H1066">
        <v>39715330.9204126</v>
      </c>
      <c r="I1066">
        <v>252473.40072971926</v>
      </c>
      <c r="J1066">
        <v>16311395.076923078</v>
      </c>
    </row>
    <row r="1067" spans="1:10" x14ac:dyDescent="0.25">
      <c r="A1067">
        <v>26</v>
      </c>
      <c r="B1067">
        <v>40</v>
      </c>
      <c r="C1067" t="s">
        <v>25</v>
      </c>
      <c r="D1067" t="s">
        <v>39</v>
      </c>
      <c r="E1067">
        <v>10893.076923076922</v>
      </c>
      <c r="F1067">
        <v>119917.1428571429</v>
      </c>
      <c r="G1067">
        <v>9289621305.7142887</v>
      </c>
      <c r="H1067">
        <v>25117103.041668184</v>
      </c>
      <c r="I1067">
        <v>252472.06184083037</v>
      </c>
      <c r="J1067">
        <v>12384124.307692308</v>
      </c>
    </row>
    <row r="1068" spans="1:10" x14ac:dyDescent="0.25">
      <c r="A1068">
        <v>26</v>
      </c>
      <c r="B1068">
        <v>41</v>
      </c>
      <c r="C1068" t="s">
        <v>25</v>
      </c>
      <c r="D1068" t="s">
        <v>40</v>
      </c>
      <c r="E1068">
        <v>23251.999999999993</v>
      </c>
      <c r="F1068">
        <v>68095.492673992703</v>
      </c>
      <c r="G1068">
        <v>5214355151.2971449</v>
      </c>
      <c r="H1068">
        <v>179228314.05268547</v>
      </c>
      <c r="I1068">
        <v>603731.45157677575</v>
      </c>
      <c r="J1068">
        <v>17662243.200000003</v>
      </c>
    </row>
    <row r="1069" spans="1:10" x14ac:dyDescent="0.25">
      <c r="A1069">
        <v>27</v>
      </c>
      <c r="B1069">
        <v>1</v>
      </c>
      <c r="C1069" t="s">
        <v>26</v>
      </c>
      <c r="D1069" t="s">
        <v>0</v>
      </c>
      <c r="E1069">
        <v>125745.07142857141</v>
      </c>
      <c r="F1069">
        <v>468298.04615384614</v>
      </c>
      <c r="G1069">
        <v>8362304550.5599985</v>
      </c>
      <c r="H1069">
        <v>791900352.82261431</v>
      </c>
      <c r="I1069">
        <v>0</v>
      </c>
      <c r="J1069">
        <v>0</v>
      </c>
    </row>
    <row r="1070" spans="1:10" x14ac:dyDescent="0.25">
      <c r="A1070">
        <v>27</v>
      </c>
      <c r="B1070">
        <v>2</v>
      </c>
      <c r="C1070" t="s">
        <v>26</v>
      </c>
      <c r="D1070" t="s">
        <v>1</v>
      </c>
      <c r="E1070">
        <v>54484.071428571398</v>
      </c>
      <c r="F1070">
        <v>458686.43076923076</v>
      </c>
      <c r="G1070">
        <v>6889800444.3839998</v>
      </c>
      <c r="H1070">
        <v>668368884.26118577</v>
      </c>
      <c r="I1070">
        <v>252472.58961860818</v>
      </c>
      <c r="J1070">
        <v>14173179.6</v>
      </c>
    </row>
    <row r="1071" spans="1:10" x14ac:dyDescent="0.25">
      <c r="A1071">
        <v>27</v>
      </c>
      <c r="B1071">
        <v>3</v>
      </c>
      <c r="C1071" t="s">
        <v>26</v>
      </c>
      <c r="D1071" t="s">
        <v>2</v>
      </c>
      <c r="E1071">
        <v>49748.714285714304</v>
      </c>
      <c r="F1071">
        <v>461720.66153846146</v>
      </c>
      <c r="G1071">
        <v>6547383668.8799982</v>
      </c>
      <c r="H1071">
        <v>710856626.385867</v>
      </c>
      <c r="I1071">
        <v>566973.48017856712</v>
      </c>
      <c r="J1071">
        <v>11616948.960000001</v>
      </c>
    </row>
    <row r="1072" spans="1:10" x14ac:dyDescent="0.25">
      <c r="A1072">
        <v>27</v>
      </c>
      <c r="B1072">
        <v>4</v>
      </c>
      <c r="C1072" t="s">
        <v>26</v>
      </c>
      <c r="D1072" t="s">
        <v>3</v>
      </c>
      <c r="E1072">
        <v>64405.071428571398</v>
      </c>
      <c r="F1072">
        <v>450827.58461538458</v>
      </c>
      <c r="G1072">
        <v>18444745035.576</v>
      </c>
      <c r="H1072">
        <v>761174177.10587943</v>
      </c>
      <c r="I1072">
        <v>208975.2650171899</v>
      </c>
      <c r="J1072">
        <v>9523189.1999999993</v>
      </c>
    </row>
    <row r="1073" spans="1:10" x14ac:dyDescent="0.25">
      <c r="A1073">
        <v>27</v>
      </c>
      <c r="B1073">
        <v>5</v>
      </c>
      <c r="C1073" t="s">
        <v>26</v>
      </c>
      <c r="D1073" t="s">
        <v>4</v>
      </c>
      <c r="E1073">
        <v>98141.642857142899</v>
      </c>
      <c r="F1073">
        <v>482627.66153846146</v>
      </c>
      <c r="G1073">
        <v>23015625143.871994</v>
      </c>
      <c r="H1073">
        <v>672708045.59976506</v>
      </c>
      <c r="I1073">
        <v>208973.95723941212</v>
      </c>
      <c r="J1073">
        <v>7763508.461538461</v>
      </c>
    </row>
    <row r="1074" spans="1:10" x14ac:dyDescent="0.25">
      <c r="A1074">
        <v>27</v>
      </c>
      <c r="B1074">
        <v>6</v>
      </c>
      <c r="C1074" t="s">
        <v>26</v>
      </c>
      <c r="D1074" t="s">
        <v>5</v>
      </c>
      <c r="E1074">
        <v>46469.785714285696</v>
      </c>
      <c r="F1074">
        <v>548416.972893773</v>
      </c>
      <c r="G1074">
        <v>32662442578.176003</v>
      </c>
      <c r="H1074">
        <v>792164819.36262226</v>
      </c>
      <c r="I1074">
        <v>1964960.1275838704</v>
      </c>
      <c r="J1074">
        <v>19915053.630769223</v>
      </c>
    </row>
    <row r="1075" spans="1:10" x14ac:dyDescent="0.25">
      <c r="A1075">
        <v>27</v>
      </c>
      <c r="B1075">
        <v>7</v>
      </c>
      <c r="C1075" t="s">
        <v>26</v>
      </c>
      <c r="D1075" t="s">
        <v>6</v>
      </c>
      <c r="E1075">
        <v>38219.78571428571</v>
      </c>
      <c r="F1075">
        <v>481963.27692307683</v>
      </c>
      <c r="G1075">
        <v>22427062215.343994</v>
      </c>
      <c r="H1075">
        <v>653475821.8283366</v>
      </c>
      <c r="I1075">
        <v>1964961.0520283149</v>
      </c>
      <c r="J1075">
        <v>67724681.538461596</v>
      </c>
    </row>
    <row r="1076" spans="1:10" x14ac:dyDescent="0.25">
      <c r="A1076">
        <v>27</v>
      </c>
      <c r="B1076">
        <v>8</v>
      </c>
      <c r="C1076" t="s">
        <v>26</v>
      </c>
      <c r="D1076" t="s">
        <v>7</v>
      </c>
      <c r="E1076">
        <v>67866.857142857101</v>
      </c>
      <c r="F1076">
        <v>539561.04615384596</v>
      </c>
      <c r="G1076">
        <v>21706713546.303989</v>
      </c>
      <c r="H1076">
        <v>678237989.64930809</v>
      </c>
      <c r="I1076">
        <v>927437.84043103456</v>
      </c>
      <c r="J1076">
        <v>10866326.64615385</v>
      </c>
    </row>
    <row r="1077" spans="1:10" x14ac:dyDescent="0.25">
      <c r="A1077">
        <v>27</v>
      </c>
      <c r="B1077">
        <v>9</v>
      </c>
      <c r="C1077" t="s">
        <v>26</v>
      </c>
      <c r="D1077" t="s">
        <v>8</v>
      </c>
      <c r="E1077">
        <v>33862.454545454544</v>
      </c>
      <c r="F1077">
        <v>989893.82179487194</v>
      </c>
      <c r="G1077">
        <v>40603583569.640671</v>
      </c>
      <c r="H1077">
        <v>659239726.56118572</v>
      </c>
      <c r="I1077">
        <v>251755.56841524679</v>
      </c>
      <c r="J1077">
        <v>21051774.430769231</v>
      </c>
    </row>
    <row r="1078" spans="1:10" x14ac:dyDescent="0.25">
      <c r="A1078">
        <v>27</v>
      </c>
      <c r="B1078">
        <v>10</v>
      </c>
      <c r="C1078" t="s">
        <v>26</v>
      </c>
      <c r="D1078" t="s">
        <v>9</v>
      </c>
      <c r="E1078">
        <v>54345.214285714304</v>
      </c>
      <c r="F1078">
        <v>514270.12307692308</v>
      </c>
      <c r="G1078">
        <v>26145163924.352001</v>
      </c>
      <c r="H1078">
        <v>720043822.65976512</v>
      </c>
      <c r="I1078">
        <v>227199.04678263568</v>
      </c>
      <c r="J1078">
        <v>32865392.307692342</v>
      </c>
    </row>
    <row r="1079" spans="1:10" x14ac:dyDescent="0.25">
      <c r="A1079">
        <v>27</v>
      </c>
      <c r="B1079">
        <v>11</v>
      </c>
      <c r="C1079" t="s">
        <v>26</v>
      </c>
      <c r="D1079" t="s">
        <v>10</v>
      </c>
      <c r="E1079">
        <v>54512.384615384595</v>
      </c>
      <c r="F1079">
        <v>517034.19999999995</v>
      </c>
      <c r="G1079">
        <v>41519438725.335991</v>
      </c>
      <c r="H1079">
        <v>717207501.93859541</v>
      </c>
      <c r="I1079">
        <v>251755.29063746901</v>
      </c>
      <c r="J1079">
        <v>20023200</v>
      </c>
    </row>
    <row r="1080" spans="1:10" x14ac:dyDescent="0.25">
      <c r="A1080">
        <v>27</v>
      </c>
      <c r="B1080">
        <v>12</v>
      </c>
      <c r="C1080" t="s">
        <v>26</v>
      </c>
      <c r="D1080" t="s">
        <v>11</v>
      </c>
      <c r="E1080">
        <v>51481</v>
      </c>
      <c r="F1080">
        <v>461760.27692307683</v>
      </c>
      <c r="G1080">
        <v>29150482992.287991</v>
      </c>
      <c r="H1080">
        <v>728007948.18086493</v>
      </c>
      <c r="I1080">
        <v>249271.03074715321</v>
      </c>
      <c r="J1080">
        <v>24868283.261538457</v>
      </c>
    </row>
    <row r="1081" spans="1:10" x14ac:dyDescent="0.25">
      <c r="A1081">
        <v>27</v>
      </c>
      <c r="B1081">
        <v>13</v>
      </c>
      <c r="C1081" t="s">
        <v>26</v>
      </c>
      <c r="D1081" t="s">
        <v>12</v>
      </c>
      <c r="E1081">
        <v>36559.384615384617</v>
      </c>
      <c r="F1081">
        <v>443448.73846153845</v>
      </c>
      <c r="G1081">
        <v>24710613336.383995</v>
      </c>
      <c r="H1081">
        <v>658930399.03128529</v>
      </c>
      <c r="I1081">
        <v>227198.4467826357</v>
      </c>
      <c r="J1081">
        <v>29576273.230769228</v>
      </c>
    </row>
    <row r="1082" spans="1:10" x14ac:dyDescent="0.25">
      <c r="A1082">
        <v>27</v>
      </c>
      <c r="B1082">
        <v>14</v>
      </c>
      <c r="C1082" t="s">
        <v>26</v>
      </c>
      <c r="D1082" t="s">
        <v>13</v>
      </c>
      <c r="E1082">
        <v>57184.384615384595</v>
      </c>
      <c r="F1082">
        <v>589912.96923076897</v>
      </c>
      <c r="G1082">
        <v>28565615270.767986</v>
      </c>
      <c r="H1082">
        <v>699053274.42328525</v>
      </c>
      <c r="I1082">
        <v>59.092229143205707</v>
      </c>
      <c r="J1082">
        <v>17.2</v>
      </c>
    </row>
    <row r="1083" spans="1:10" x14ac:dyDescent="0.25">
      <c r="A1083">
        <v>27</v>
      </c>
      <c r="B1083">
        <v>15</v>
      </c>
      <c r="C1083" t="s">
        <v>26</v>
      </c>
      <c r="D1083" t="s">
        <v>14</v>
      </c>
      <c r="E1083">
        <v>80983.76923076919</v>
      </c>
      <c r="F1083">
        <v>712088.66153846192</v>
      </c>
      <c r="G1083">
        <v>37137104228.472023</v>
      </c>
      <c r="H1083">
        <v>765119773.90760565</v>
      </c>
      <c r="I1083">
        <v>14302239.009387914</v>
      </c>
      <c r="J1083">
        <v>32399052.102857143</v>
      </c>
    </row>
    <row r="1084" spans="1:10" x14ac:dyDescent="0.25">
      <c r="A1084">
        <v>27</v>
      </c>
      <c r="B1084">
        <v>16</v>
      </c>
      <c r="C1084" t="s">
        <v>26</v>
      </c>
      <c r="D1084" t="s">
        <v>15</v>
      </c>
      <c r="E1084">
        <v>70676.23076923081</v>
      </c>
      <c r="F1084">
        <v>950301.89230769197</v>
      </c>
      <c r="G1084">
        <v>68875600429.919968</v>
      </c>
      <c r="H1084">
        <v>735955281.96067548</v>
      </c>
      <c r="I1084">
        <v>14302240.387165692</v>
      </c>
      <c r="J1084">
        <v>9074904.9600000009</v>
      </c>
    </row>
    <row r="1085" spans="1:10" x14ac:dyDescent="0.25">
      <c r="A1085">
        <v>27</v>
      </c>
      <c r="B1085">
        <v>17</v>
      </c>
      <c r="C1085" t="s">
        <v>26</v>
      </c>
      <c r="D1085" t="s">
        <v>16</v>
      </c>
      <c r="E1085">
        <v>97735.307692307702</v>
      </c>
      <c r="F1085">
        <v>595185.73846153799</v>
      </c>
      <c r="G1085">
        <v>53453155022.639954</v>
      </c>
      <c r="H1085">
        <v>1010955233.7297589</v>
      </c>
      <c r="I1085">
        <v>243169.48442423448</v>
      </c>
      <c r="J1085">
        <v>10614329.514285715</v>
      </c>
    </row>
    <row r="1086" spans="1:10" x14ac:dyDescent="0.25">
      <c r="A1086">
        <v>27</v>
      </c>
      <c r="B1086">
        <v>18</v>
      </c>
      <c r="C1086" t="s">
        <v>26</v>
      </c>
      <c r="D1086" t="s">
        <v>17</v>
      </c>
      <c r="E1086">
        <v>57001.769230769205</v>
      </c>
      <c r="F1086">
        <v>472356.58461538458</v>
      </c>
      <c r="G1086">
        <v>40040382867.935997</v>
      </c>
      <c r="H1086">
        <v>729368274.86867547</v>
      </c>
      <c r="I1086">
        <v>4663603.9094061926</v>
      </c>
      <c r="J1086">
        <v>28318809.54285714</v>
      </c>
    </row>
    <row r="1087" spans="1:10" x14ac:dyDescent="0.25">
      <c r="A1087">
        <v>27</v>
      </c>
      <c r="B1087">
        <v>19</v>
      </c>
      <c r="C1087" t="s">
        <v>26</v>
      </c>
      <c r="D1087" t="s">
        <v>18</v>
      </c>
      <c r="E1087">
        <v>34552.923076923078</v>
      </c>
      <c r="F1087">
        <v>511075.58461538458</v>
      </c>
      <c r="G1087">
        <v>7623039875.9359999</v>
      </c>
      <c r="H1087">
        <v>650735537.41004717</v>
      </c>
      <c r="I1087">
        <v>6200449.1246150313</v>
      </c>
      <c r="J1087">
        <v>39418546.605714291</v>
      </c>
    </row>
    <row r="1088" spans="1:10" x14ac:dyDescent="0.25">
      <c r="A1088">
        <v>27</v>
      </c>
      <c r="B1088">
        <v>20</v>
      </c>
      <c r="C1088" t="s">
        <v>26</v>
      </c>
      <c r="D1088" t="s">
        <v>19</v>
      </c>
      <c r="E1088">
        <v>91724.692307692298</v>
      </c>
      <c r="F1088">
        <v>482890.86666666664</v>
      </c>
      <c r="G1088">
        <v>4133912815.7253323</v>
      </c>
      <c r="H1088">
        <v>774912205.27199996</v>
      </c>
      <c r="I1088">
        <v>6200451.6690594759</v>
      </c>
      <c r="J1088">
        <v>26065853.348571435</v>
      </c>
    </row>
    <row r="1089" spans="1:10" x14ac:dyDescent="0.25">
      <c r="A1089">
        <v>27</v>
      </c>
      <c r="B1089">
        <v>21</v>
      </c>
      <c r="C1089" t="s">
        <v>26</v>
      </c>
      <c r="D1089" t="s">
        <v>20</v>
      </c>
      <c r="E1089">
        <v>70569.307692307702</v>
      </c>
      <c r="F1089">
        <v>527042.53333333298</v>
      </c>
      <c r="G1089">
        <v>5757496960.9386616</v>
      </c>
      <c r="H1089">
        <v>772806744.03835511</v>
      </c>
      <c r="I1089">
        <v>6200449.5635039201</v>
      </c>
      <c r="J1089">
        <v>18196107.177142859</v>
      </c>
    </row>
    <row r="1090" spans="1:10" x14ac:dyDescent="0.25">
      <c r="A1090">
        <v>27</v>
      </c>
      <c r="B1090">
        <v>22</v>
      </c>
      <c r="C1090" t="s">
        <v>26</v>
      </c>
      <c r="D1090" t="s">
        <v>21</v>
      </c>
      <c r="E1090">
        <v>55009.1538461538</v>
      </c>
      <c r="F1090">
        <v>546169.53333333298</v>
      </c>
      <c r="G1090">
        <v>7458054211.573329</v>
      </c>
      <c r="H1090">
        <v>735991444.61821783</v>
      </c>
      <c r="I1090">
        <v>4663604.0627395259</v>
      </c>
      <c r="J1090">
        <v>18029691.52</v>
      </c>
    </row>
    <row r="1091" spans="1:10" x14ac:dyDescent="0.25">
      <c r="A1091">
        <v>27</v>
      </c>
      <c r="B1091">
        <v>23</v>
      </c>
      <c r="C1091" t="s">
        <v>26</v>
      </c>
      <c r="D1091" t="s">
        <v>22</v>
      </c>
      <c r="E1091">
        <v>39687.692307692312</v>
      </c>
      <c r="F1091">
        <v>529905.86666666693</v>
      </c>
      <c r="G1091">
        <v>7096817309.9200029</v>
      </c>
      <c r="H1091">
        <v>658887749.03994238</v>
      </c>
      <c r="I1091">
        <v>14302242.470499026</v>
      </c>
      <c r="J1091">
        <v>13068071.039999999</v>
      </c>
    </row>
    <row r="1092" spans="1:10" x14ac:dyDescent="0.25">
      <c r="A1092">
        <v>27</v>
      </c>
      <c r="B1092">
        <v>24</v>
      </c>
      <c r="C1092" t="s">
        <v>26</v>
      </c>
      <c r="D1092" t="s">
        <v>23</v>
      </c>
      <c r="E1092">
        <v>40850.076923076922</v>
      </c>
      <c r="F1092">
        <v>487377.86666666664</v>
      </c>
      <c r="G1092">
        <v>15665416361.087997</v>
      </c>
      <c r="H1092">
        <v>688307841.07994235</v>
      </c>
      <c r="I1092">
        <v>6200450.1123928092</v>
      </c>
      <c r="J1092">
        <v>25360655.559999999</v>
      </c>
    </row>
    <row r="1093" spans="1:10" x14ac:dyDescent="0.25">
      <c r="A1093">
        <v>27</v>
      </c>
      <c r="B1093">
        <v>25</v>
      </c>
      <c r="C1093" t="s">
        <v>26</v>
      </c>
      <c r="D1093" t="s">
        <v>24</v>
      </c>
      <c r="E1093">
        <v>38454.692307692312</v>
      </c>
      <c r="F1093">
        <v>480325.53333333327</v>
      </c>
      <c r="G1093">
        <v>11881774292.023996</v>
      </c>
      <c r="H1093">
        <v>663789874.93994236</v>
      </c>
      <c r="I1093">
        <v>222483.1358728733</v>
      </c>
      <c r="J1093">
        <v>25813066.627692312</v>
      </c>
    </row>
    <row r="1094" spans="1:10" x14ac:dyDescent="0.25">
      <c r="A1094">
        <v>27</v>
      </c>
      <c r="B1094">
        <v>26</v>
      </c>
      <c r="C1094" t="s">
        <v>26</v>
      </c>
      <c r="D1094" t="s">
        <v>25</v>
      </c>
      <c r="E1094">
        <v>37533.769230769227</v>
      </c>
      <c r="F1094">
        <v>466399.19999999995</v>
      </c>
      <c r="G1094">
        <v>17783577624.383995</v>
      </c>
      <c r="H1094">
        <v>667925316.54760563</v>
      </c>
      <c r="I1094">
        <v>2460745.2068270613</v>
      </c>
      <c r="J1094">
        <v>17985490.636923082</v>
      </c>
    </row>
    <row r="1095" spans="1:10" x14ac:dyDescent="0.25">
      <c r="A1095">
        <v>27</v>
      </c>
      <c r="B1095">
        <v>27</v>
      </c>
      <c r="C1095" t="s">
        <v>26</v>
      </c>
      <c r="D1095" t="s">
        <v>26</v>
      </c>
      <c r="E1095">
        <v>0</v>
      </c>
      <c r="F1095">
        <v>0</v>
      </c>
      <c r="G1095">
        <v>0</v>
      </c>
      <c r="H1095">
        <v>0</v>
      </c>
      <c r="I1095">
        <v>786688614.91999841</v>
      </c>
      <c r="J1095">
        <v>14698458.406153848</v>
      </c>
    </row>
    <row r="1096" spans="1:10" x14ac:dyDescent="0.25">
      <c r="A1096">
        <v>27</v>
      </c>
      <c r="B1096">
        <v>28</v>
      </c>
      <c r="C1096" t="s">
        <v>26</v>
      </c>
      <c r="D1096" t="s">
        <v>27</v>
      </c>
      <c r="E1096">
        <v>69813.3</v>
      </c>
      <c r="F1096">
        <v>536331.6</v>
      </c>
      <c r="G1096" t="s">
        <v>122</v>
      </c>
      <c r="H1096" t="s">
        <v>122</v>
      </c>
      <c r="I1096">
        <v>786688614.42222059</v>
      </c>
      <c r="J1096">
        <v>15354278.713846156</v>
      </c>
    </row>
    <row r="1097" spans="1:10" x14ac:dyDescent="0.25">
      <c r="A1097">
        <v>27</v>
      </c>
      <c r="B1097">
        <v>29</v>
      </c>
      <c r="C1097" t="s">
        <v>26</v>
      </c>
      <c r="D1097" t="s">
        <v>28</v>
      </c>
      <c r="E1097">
        <v>65860.5</v>
      </c>
      <c r="F1097">
        <v>781110.6</v>
      </c>
      <c r="G1097">
        <v>8738096815.6560001</v>
      </c>
      <c r="H1097">
        <v>423743929.46221781</v>
      </c>
      <c r="I1097">
        <v>291448.00859711145</v>
      </c>
      <c r="J1097">
        <v>26205195.283076927</v>
      </c>
    </row>
    <row r="1098" spans="1:10" x14ac:dyDescent="0.25">
      <c r="A1098">
        <v>27</v>
      </c>
      <c r="B1098">
        <v>30</v>
      </c>
      <c r="C1098" t="s">
        <v>26</v>
      </c>
      <c r="D1098" t="s">
        <v>29</v>
      </c>
      <c r="E1098">
        <v>41020.300000000003</v>
      </c>
      <c r="F1098">
        <v>649260.29999999993</v>
      </c>
      <c r="G1098">
        <v>18379442365.283997</v>
      </c>
      <c r="H1098">
        <v>76390732.930155858</v>
      </c>
      <c r="I1098">
        <v>1811155.0338497835</v>
      </c>
      <c r="J1098">
        <v>36278341.224615388</v>
      </c>
    </row>
    <row r="1099" spans="1:10" x14ac:dyDescent="0.25">
      <c r="A1099">
        <v>27</v>
      </c>
      <c r="B1099">
        <v>31</v>
      </c>
      <c r="C1099" t="s">
        <v>26</v>
      </c>
      <c r="D1099" t="s">
        <v>30</v>
      </c>
      <c r="E1099">
        <v>35909.461538461539</v>
      </c>
      <c r="F1099">
        <v>444011.89230769227</v>
      </c>
      <c r="G1099">
        <v>15157677979.599998</v>
      </c>
      <c r="H1099">
        <v>45875274.143319011</v>
      </c>
      <c r="I1099">
        <v>7523845.9016861785</v>
      </c>
      <c r="J1099">
        <v>58014524.621538468</v>
      </c>
    </row>
    <row r="1100" spans="1:10" x14ac:dyDescent="0.25">
      <c r="A1100">
        <v>27</v>
      </c>
      <c r="B1100">
        <v>32</v>
      </c>
      <c r="C1100" t="s">
        <v>26</v>
      </c>
      <c r="D1100" t="s">
        <v>31</v>
      </c>
      <c r="E1100">
        <v>33754.384615384617</v>
      </c>
      <c r="F1100">
        <v>469558.69999999995</v>
      </c>
      <c r="G1100">
        <v>15215974544.107996</v>
      </c>
      <c r="H1100">
        <v>23819954.334503267</v>
      </c>
      <c r="I1100">
        <v>1811157.0749608946</v>
      </c>
      <c r="J1100">
        <v>26398308.384615384</v>
      </c>
    </row>
    <row r="1101" spans="1:10" x14ac:dyDescent="0.25">
      <c r="A1101">
        <v>27</v>
      </c>
      <c r="B1101">
        <v>33</v>
      </c>
      <c r="C1101" t="s">
        <v>26</v>
      </c>
      <c r="D1101" t="s">
        <v>32</v>
      </c>
      <c r="E1101">
        <v>97431.76923076919</v>
      </c>
      <c r="F1101">
        <v>519268.92307692306</v>
      </c>
      <c r="G1101">
        <v>14345074019.839998</v>
      </c>
      <c r="H1101">
        <v>102723574.69850327</v>
      </c>
      <c r="I1101">
        <v>155952.18759799557</v>
      </c>
      <c r="J1101">
        <v>7134257.4923076937</v>
      </c>
    </row>
    <row r="1102" spans="1:10" x14ac:dyDescent="0.25">
      <c r="A1102">
        <v>27</v>
      </c>
      <c r="B1102">
        <v>34</v>
      </c>
      <c r="C1102" t="s">
        <v>26</v>
      </c>
      <c r="D1102" t="s">
        <v>33</v>
      </c>
      <c r="E1102">
        <v>330042.30769230798</v>
      </c>
      <c r="F1102">
        <v>686830.58888888895</v>
      </c>
      <c r="G1102">
        <v>16485060535.499111</v>
      </c>
      <c r="H1102">
        <v>812475383.0313189</v>
      </c>
      <c r="I1102">
        <v>134.15785880216731</v>
      </c>
      <c r="J1102">
        <v>6358569.6246153843</v>
      </c>
    </row>
    <row r="1103" spans="1:10" x14ac:dyDescent="0.25">
      <c r="A1103">
        <v>27</v>
      </c>
      <c r="B1103">
        <v>35</v>
      </c>
      <c r="C1103" t="s">
        <v>26</v>
      </c>
      <c r="D1103" t="s">
        <v>34</v>
      </c>
      <c r="E1103">
        <v>56360.615384615405</v>
      </c>
      <c r="F1103">
        <v>435240.73846153845</v>
      </c>
      <c r="G1103">
        <v>10629362266.559998</v>
      </c>
      <c r="H1103">
        <v>182740774.10331902</v>
      </c>
      <c r="I1103">
        <v>297542.35244149907</v>
      </c>
      <c r="J1103">
        <v>10800601.193846155</v>
      </c>
    </row>
    <row r="1104" spans="1:10" x14ac:dyDescent="0.25">
      <c r="A1104">
        <v>27</v>
      </c>
      <c r="B1104">
        <v>36</v>
      </c>
      <c r="C1104" t="s">
        <v>26</v>
      </c>
      <c r="D1104" t="s">
        <v>35</v>
      </c>
      <c r="E1104">
        <v>36984.846153846149</v>
      </c>
      <c r="F1104">
        <v>511087.12307692308</v>
      </c>
      <c r="G1104">
        <v>11542187152.720001</v>
      </c>
      <c r="H1104">
        <v>37687585.769185752</v>
      </c>
      <c r="I1104">
        <v>0</v>
      </c>
      <c r="J1104">
        <v>1193618.9353846156</v>
      </c>
    </row>
    <row r="1105" spans="1:10" x14ac:dyDescent="0.25">
      <c r="A1105">
        <v>27</v>
      </c>
      <c r="B1105">
        <v>37</v>
      </c>
      <c r="C1105" t="s">
        <v>26</v>
      </c>
      <c r="D1105" t="s">
        <v>36</v>
      </c>
      <c r="E1105">
        <v>43403.8461538462</v>
      </c>
      <c r="F1105">
        <v>505902.62673992664</v>
      </c>
      <c r="G1105">
        <v>38234238571.232178</v>
      </c>
      <c r="H1105">
        <v>91168516.76290819</v>
      </c>
      <c r="I1105">
        <v>99919.797339081124</v>
      </c>
      <c r="J1105">
        <v>3675716.1046153847</v>
      </c>
    </row>
    <row r="1106" spans="1:10" x14ac:dyDescent="0.25">
      <c r="A1106">
        <v>27</v>
      </c>
      <c r="B1106">
        <v>38</v>
      </c>
      <c r="C1106" t="s">
        <v>26</v>
      </c>
      <c r="D1106" t="s">
        <v>37</v>
      </c>
      <c r="E1106">
        <v>33372</v>
      </c>
      <c r="F1106">
        <v>426879.58461538458</v>
      </c>
      <c r="G1106">
        <v>43202792315.767998</v>
      </c>
      <c r="H1106">
        <v>21156695.980766315</v>
      </c>
      <c r="I1106">
        <v>99919.086227970009</v>
      </c>
      <c r="J1106">
        <v>7863975.8523076931</v>
      </c>
    </row>
    <row r="1107" spans="1:10" x14ac:dyDescent="0.25">
      <c r="A1107">
        <v>27</v>
      </c>
      <c r="B1107">
        <v>39</v>
      </c>
      <c r="C1107" t="s">
        <v>26</v>
      </c>
      <c r="D1107" t="s">
        <v>38</v>
      </c>
      <c r="E1107">
        <v>36442.384615384617</v>
      </c>
      <c r="F1107">
        <v>511050.04249084246</v>
      </c>
      <c r="G1107">
        <v>41012052097.913902</v>
      </c>
      <c r="H1107">
        <v>38510179.082908183</v>
      </c>
      <c r="I1107">
        <v>99917.747339081121</v>
      </c>
      <c r="J1107">
        <v>5361114.5446153851</v>
      </c>
    </row>
    <row r="1108" spans="1:10" x14ac:dyDescent="0.25">
      <c r="A1108">
        <v>27</v>
      </c>
      <c r="B1108">
        <v>40</v>
      </c>
      <c r="C1108" t="s">
        <v>26</v>
      </c>
      <c r="D1108" t="s">
        <v>39</v>
      </c>
      <c r="E1108">
        <v>42988.769230769234</v>
      </c>
      <c r="F1108">
        <v>492369.34285714285</v>
      </c>
      <c r="G1108">
        <v>44917496209.470863</v>
      </c>
      <c r="H1108">
        <v>24043886.846865002</v>
      </c>
      <c r="I1108">
        <v>167324.06990496113</v>
      </c>
      <c r="J1108">
        <v>10500581.981538463</v>
      </c>
    </row>
    <row r="1109" spans="1:10" x14ac:dyDescent="0.25">
      <c r="A1109">
        <v>27</v>
      </c>
      <c r="B1109">
        <v>41</v>
      </c>
      <c r="C1109" t="s">
        <v>26</v>
      </c>
      <c r="D1109" t="s">
        <v>40</v>
      </c>
      <c r="E1109">
        <v>55347.692307692298</v>
      </c>
      <c r="F1109">
        <v>440547.69267399266</v>
      </c>
      <c r="G1109">
        <v>39796611489.089523</v>
      </c>
      <c r="H1109">
        <v>178122912.94076633</v>
      </c>
      <c r="I1109">
        <v>138.60452546883397</v>
      </c>
      <c r="J1109">
        <v>6785852.7599999998</v>
      </c>
    </row>
    <row r="1110" spans="1:10" x14ac:dyDescent="0.25">
      <c r="A1110">
        <v>28</v>
      </c>
      <c r="B1110">
        <v>1</v>
      </c>
      <c r="C1110" t="s">
        <v>27</v>
      </c>
      <c r="D1110" t="s">
        <v>0</v>
      </c>
      <c r="E1110">
        <v>115757.87142857141</v>
      </c>
      <c r="F1110">
        <v>167817.6461538462</v>
      </c>
      <c r="G1110" t="s">
        <v>122</v>
      </c>
      <c r="H1110" t="s">
        <v>122</v>
      </c>
      <c r="I1110">
        <v>137.83785880216732</v>
      </c>
      <c r="J1110">
        <v>8492741.5999999996</v>
      </c>
    </row>
    <row r="1111" spans="1:10" x14ac:dyDescent="0.25">
      <c r="A1111">
        <v>28</v>
      </c>
      <c r="B1111">
        <v>2</v>
      </c>
      <c r="C1111" t="s">
        <v>27</v>
      </c>
      <c r="D1111" t="s">
        <v>1</v>
      </c>
      <c r="E1111">
        <v>44496.871428571394</v>
      </c>
      <c r="F1111">
        <v>158206.0307692308</v>
      </c>
      <c r="G1111" t="s">
        <v>122</v>
      </c>
      <c r="H1111" t="s">
        <v>122</v>
      </c>
      <c r="I1111">
        <v>4663605.1649617478</v>
      </c>
      <c r="J1111">
        <v>11494660.24</v>
      </c>
    </row>
    <row r="1112" spans="1:10" x14ac:dyDescent="0.25">
      <c r="A1112">
        <v>28</v>
      </c>
      <c r="B1112">
        <v>3</v>
      </c>
      <c r="C1112" t="s">
        <v>27</v>
      </c>
      <c r="D1112" t="s">
        <v>2</v>
      </c>
      <c r="E1112">
        <v>39761.5142857143</v>
      </c>
      <c r="F1112">
        <v>161240.26153846149</v>
      </c>
      <c r="G1112" t="s">
        <v>122</v>
      </c>
      <c r="H1112" t="s">
        <v>122</v>
      </c>
      <c r="I1112">
        <v>60246.989660792417</v>
      </c>
      <c r="J1112">
        <v>9207587.2984615397</v>
      </c>
    </row>
    <row r="1113" spans="1:10" x14ac:dyDescent="0.25">
      <c r="A1113">
        <v>28</v>
      </c>
      <c r="B1113">
        <v>4</v>
      </c>
      <c r="C1113" t="s">
        <v>27</v>
      </c>
      <c r="D1113" t="s">
        <v>3</v>
      </c>
      <c r="E1113">
        <v>54417.871428571394</v>
      </c>
      <c r="F1113">
        <v>150347.18461538461</v>
      </c>
      <c r="G1113" t="s">
        <v>122</v>
      </c>
      <c r="H1113" t="s">
        <v>122</v>
      </c>
      <c r="I1113">
        <v>60245.681883014644</v>
      </c>
      <c r="J1113">
        <v>7605499.0769230761</v>
      </c>
    </row>
    <row r="1114" spans="1:10" x14ac:dyDescent="0.25">
      <c r="A1114">
        <v>28</v>
      </c>
      <c r="B1114">
        <v>5</v>
      </c>
      <c r="C1114" t="s">
        <v>27</v>
      </c>
      <c r="D1114" t="s">
        <v>4</v>
      </c>
      <c r="E1114">
        <v>88154.442857142902</v>
      </c>
      <c r="F1114">
        <v>182147.26153846149</v>
      </c>
      <c r="G1114" t="s">
        <v>122</v>
      </c>
      <c r="H1114" t="s">
        <v>122</v>
      </c>
      <c r="I1114">
        <v>1853768.6842281413</v>
      </c>
      <c r="J1114">
        <v>25568792.04307691</v>
      </c>
    </row>
    <row r="1115" spans="1:10" x14ac:dyDescent="0.25">
      <c r="A1115">
        <v>28</v>
      </c>
      <c r="B1115">
        <v>6</v>
      </c>
      <c r="C1115" t="s">
        <v>27</v>
      </c>
      <c r="D1115" t="s">
        <v>5</v>
      </c>
      <c r="E1115">
        <v>36482.585714285698</v>
      </c>
      <c r="F1115">
        <v>247936.572893773</v>
      </c>
      <c r="G1115" t="s">
        <v>122</v>
      </c>
      <c r="H1115" t="s">
        <v>122</v>
      </c>
      <c r="I1115">
        <v>1853769.6086725858</v>
      </c>
      <c r="J1115">
        <v>93840157.575384691</v>
      </c>
    </row>
    <row r="1116" spans="1:10" x14ac:dyDescent="0.25">
      <c r="A1116">
        <v>28</v>
      </c>
      <c r="B1116">
        <v>7</v>
      </c>
      <c r="C1116" t="s">
        <v>27</v>
      </c>
      <c r="D1116" t="s">
        <v>6</v>
      </c>
      <c r="E1116">
        <v>28232.585714285709</v>
      </c>
      <c r="F1116">
        <v>181482.8769230769</v>
      </c>
      <c r="G1116" t="s">
        <v>122</v>
      </c>
      <c r="H1116" t="s">
        <v>122</v>
      </c>
      <c r="I1116">
        <v>14302240.629387913</v>
      </c>
      <c r="J1116">
        <v>12836161.378461542</v>
      </c>
    </row>
    <row r="1117" spans="1:10" x14ac:dyDescent="0.25">
      <c r="A1117">
        <v>28</v>
      </c>
      <c r="B1117">
        <v>8</v>
      </c>
      <c r="C1117" t="s">
        <v>27</v>
      </c>
      <c r="D1117" t="s">
        <v>7</v>
      </c>
      <c r="E1117">
        <v>57879.657142857104</v>
      </c>
      <c r="F1117">
        <v>239080.646153846</v>
      </c>
      <c r="G1117" t="s">
        <v>122</v>
      </c>
      <c r="H1117" t="s">
        <v>122</v>
      </c>
      <c r="I1117">
        <v>1697878.2960393413</v>
      </c>
      <c r="J1117">
        <v>14816308.209230766</v>
      </c>
    </row>
    <row r="1118" spans="1:10" x14ac:dyDescent="0.25">
      <c r="A1118">
        <v>28</v>
      </c>
      <c r="B1118">
        <v>9</v>
      </c>
      <c r="C1118" t="s">
        <v>27</v>
      </c>
      <c r="D1118" t="s">
        <v>8</v>
      </c>
      <c r="E1118">
        <v>23875.254545454543</v>
      </c>
      <c r="F1118">
        <v>689413.42179487203</v>
      </c>
      <c r="G1118" t="s">
        <v>122</v>
      </c>
      <c r="H1118" t="s">
        <v>122</v>
      </c>
      <c r="I1118">
        <v>613022768.36291587</v>
      </c>
      <c r="J1118">
        <v>23097585.821538497</v>
      </c>
    </row>
    <row r="1119" spans="1:10" x14ac:dyDescent="0.25">
      <c r="A1119">
        <v>28</v>
      </c>
      <c r="B1119">
        <v>10</v>
      </c>
      <c r="C1119" t="s">
        <v>27</v>
      </c>
      <c r="D1119" t="s">
        <v>9</v>
      </c>
      <c r="E1119">
        <v>44358.0142857143</v>
      </c>
      <c r="F1119">
        <v>213789.72307692311</v>
      </c>
      <c r="G1119" t="s">
        <v>122</v>
      </c>
      <c r="H1119" t="s">
        <v>122</v>
      </c>
      <c r="I1119">
        <v>1697878.0182615635</v>
      </c>
      <c r="J1119">
        <v>12543606.720000001</v>
      </c>
    </row>
    <row r="1120" spans="1:10" x14ac:dyDescent="0.25">
      <c r="A1120">
        <v>28</v>
      </c>
      <c r="B1120">
        <v>11</v>
      </c>
      <c r="C1120" t="s">
        <v>27</v>
      </c>
      <c r="D1120" t="s">
        <v>10</v>
      </c>
      <c r="E1120">
        <v>44525.184615384598</v>
      </c>
      <c r="F1120">
        <v>216553.8</v>
      </c>
      <c r="G1120" t="s">
        <v>122</v>
      </c>
      <c r="H1120" t="s">
        <v>122</v>
      </c>
      <c r="I1120">
        <v>613022766.31402695</v>
      </c>
      <c r="J1120">
        <v>16222319.206153847</v>
      </c>
    </row>
    <row r="1121" spans="1:10" x14ac:dyDescent="0.25">
      <c r="A1121">
        <v>28</v>
      </c>
      <c r="B1121">
        <v>12</v>
      </c>
      <c r="C1121" t="s">
        <v>27</v>
      </c>
      <c r="D1121" t="s">
        <v>11</v>
      </c>
      <c r="E1121">
        <v>41493.800000000003</v>
      </c>
      <c r="F1121">
        <v>161279.8769230769</v>
      </c>
      <c r="G1121" t="s">
        <v>122</v>
      </c>
      <c r="H1121" t="s">
        <v>122</v>
      </c>
      <c r="I1121">
        <v>613022767.76291585</v>
      </c>
      <c r="J1121">
        <v>20460972.92307692</v>
      </c>
    </row>
    <row r="1122" spans="1:10" x14ac:dyDescent="0.25">
      <c r="A1122">
        <v>28</v>
      </c>
      <c r="B1122">
        <v>13</v>
      </c>
      <c r="C1122" t="s">
        <v>27</v>
      </c>
      <c r="D1122" t="s">
        <v>12</v>
      </c>
      <c r="E1122">
        <v>26572.18461538462</v>
      </c>
      <c r="F1122">
        <v>142968.33846153851</v>
      </c>
      <c r="G1122" t="s">
        <v>122</v>
      </c>
      <c r="H1122" t="s">
        <v>122</v>
      </c>
      <c r="I1122" t="s">
        <v>122</v>
      </c>
      <c r="J1122" t="s">
        <v>122</v>
      </c>
    </row>
    <row r="1123" spans="1:10" x14ac:dyDescent="0.25">
      <c r="A1123">
        <v>28</v>
      </c>
      <c r="B1123">
        <v>14</v>
      </c>
      <c r="C1123" t="s">
        <v>27</v>
      </c>
      <c r="D1123" t="s">
        <v>13</v>
      </c>
      <c r="E1123">
        <v>47197.184615384598</v>
      </c>
      <c r="F1123">
        <v>289432.569230769</v>
      </c>
      <c r="G1123" t="s">
        <v>122</v>
      </c>
      <c r="H1123" t="s">
        <v>122</v>
      </c>
      <c r="I1123">
        <v>605206.50665476092</v>
      </c>
      <c r="J1123">
        <v>45394779.428571425</v>
      </c>
    </row>
    <row r="1124" spans="1:10" x14ac:dyDescent="0.25">
      <c r="A1124">
        <v>28</v>
      </c>
      <c r="B1124">
        <v>15</v>
      </c>
      <c r="C1124" t="s">
        <v>27</v>
      </c>
      <c r="D1124" t="s">
        <v>14</v>
      </c>
      <c r="E1124">
        <v>70996.569230769193</v>
      </c>
      <c r="F1124">
        <v>411608.26153846201</v>
      </c>
      <c r="G1124" t="s">
        <v>122</v>
      </c>
      <c r="H1124" t="s">
        <v>122</v>
      </c>
      <c r="I1124">
        <v>605206.88443253865</v>
      </c>
      <c r="J1124">
        <v>12890721.199999999</v>
      </c>
    </row>
    <row r="1125" spans="1:10" x14ac:dyDescent="0.25">
      <c r="A1125">
        <v>28</v>
      </c>
      <c r="B1125">
        <v>16</v>
      </c>
      <c r="C1125" t="s">
        <v>27</v>
      </c>
      <c r="D1125" t="s">
        <v>15</v>
      </c>
      <c r="E1125">
        <v>60689.030769230798</v>
      </c>
      <c r="F1125">
        <v>649821.49230769207</v>
      </c>
      <c r="G1125" t="s">
        <v>122</v>
      </c>
      <c r="H1125" t="s">
        <v>122</v>
      </c>
      <c r="I1125">
        <v>243147.28854665524</v>
      </c>
      <c r="J1125">
        <v>15470762.828571429</v>
      </c>
    </row>
    <row r="1126" spans="1:10" x14ac:dyDescent="0.25">
      <c r="A1126">
        <v>28</v>
      </c>
      <c r="B1126">
        <v>17</v>
      </c>
      <c r="C1126" t="s">
        <v>27</v>
      </c>
      <c r="D1126" t="s">
        <v>16</v>
      </c>
      <c r="E1126">
        <v>87748.107692307705</v>
      </c>
      <c r="F1126">
        <v>294705.33846153802</v>
      </c>
      <c r="G1126" t="s">
        <v>122</v>
      </c>
      <c r="H1126" t="s">
        <v>122</v>
      </c>
      <c r="I1126">
        <v>237019.50850415305</v>
      </c>
      <c r="J1126">
        <v>33918332.885714285</v>
      </c>
    </row>
    <row r="1127" spans="1:10" x14ac:dyDescent="0.25">
      <c r="A1127">
        <v>28</v>
      </c>
      <c r="B1127">
        <v>18</v>
      </c>
      <c r="C1127" t="s">
        <v>27</v>
      </c>
      <c r="D1127" t="s">
        <v>17</v>
      </c>
      <c r="E1127">
        <v>47014.569230769201</v>
      </c>
      <c r="F1127">
        <v>171876.18461538461</v>
      </c>
      <c r="G1127" t="s">
        <v>122</v>
      </c>
      <c r="H1127" t="s">
        <v>122</v>
      </c>
      <c r="I1127">
        <v>348299.32634043356</v>
      </c>
      <c r="J1127">
        <v>47483142.857142851</v>
      </c>
    </row>
    <row r="1128" spans="1:10" x14ac:dyDescent="0.25">
      <c r="A1128">
        <v>28</v>
      </c>
      <c r="B1128">
        <v>19</v>
      </c>
      <c r="C1128" t="s">
        <v>27</v>
      </c>
      <c r="D1128" t="s">
        <v>18</v>
      </c>
      <c r="E1128">
        <v>24565.723076923081</v>
      </c>
      <c r="F1128">
        <v>210595.18461538461</v>
      </c>
      <c r="G1128" t="s">
        <v>122</v>
      </c>
      <c r="H1128" t="s">
        <v>122</v>
      </c>
      <c r="I1128">
        <v>348301.87078487797</v>
      </c>
      <c r="J1128">
        <v>29655337.485714287</v>
      </c>
    </row>
    <row r="1129" spans="1:10" x14ac:dyDescent="0.25">
      <c r="A1129">
        <v>28</v>
      </c>
      <c r="B1129">
        <v>20</v>
      </c>
      <c r="C1129" t="s">
        <v>27</v>
      </c>
      <c r="D1129" t="s">
        <v>19</v>
      </c>
      <c r="E1129">
        <v>81737.492307692301</v>
      </c>
      <c r="F1129">
        <v>182410.4666666667</v>
      </c>
      <c r="G1129" t="s">
        <v>122</v>
      </c>
      <c r="H1129" t="s">
        <v>122</v>
      </c>
      <c r="I1129">
        <v>348299.76522932242</v>
      </c>
      <c r="J1129">
        <v>20842720.914285716</v>
      </c>
    </row>
    <row r="1130" spans="1:10" x14ac:dyDescent="0.25">
      <c r="A1130">
        <v>28</v>
      </c>
      <c r="B1130">
        <v>21</v>
      </c>
      <c r="C1130" t="s">
        <v>27</v>
      </c>
      <c r="D1130" t="s">
        <v>20</v>
      </c>
      <c r="E1130">
        <v>60582.107692307705</v>
      </c>
      <c r="F1130">
        <v>226562.13333333301</v>
      </c>
      <c r="G1130" t="s">
        <v>122</v>
      </c>
      <c r="H1130" t="s">
        <v>122</v>
      </c>
      <c r="I1130">
        <v>237019.66183748638</v>
      </c>
      <c r="J1130">
        <v>21375599.199999999</v>
      </c>
    </row>
    <row r="1131" spans="1:10" x14ac:dyDescent="0.25">
      <c r="A1131">
        <v>28</v>
      </c>
      <c r="B1131">
        <v>22</v>
      </c>
      <c r="C1131" t="s">
        <v>27</v>
      </c>
      <c r="D1131" t="s">
        <v>21</v>
      </c>
      <c r="E1131">
        <v>45021.953846153803</v>
      </c>
      <c r="F1131">
        <v>245689.13333333301</v>
      </c>
      <c r="G1131" t="s">
        <v>122</v>
      </c>
      <c r="H1131" t="s">
        <v>122</v>
      </c>
      <c r="I1131">
        <v>605208.96776587202</v>
      </c>
      <c r="J1131">
        <v>15657273.6</v>
      </c>
    </row>
    <row r="1132" spans="1:10" x14ac:dyDescent="0.25">
      <c r="A1132">
        <v>28</v>
      </c>
      <c r="B1132">
        <v>23</v>
      </c>
      <c r="C1132" t="s">
        <v>27</v>
      </c>
      <c r="D1132" t="s">
        <v>22</v>
      </c>
      <c r="E1132">
        <v>29700.492307692308</v>
      </c>
      <c r="F1132">
        <v>229425.46666666702</v>
      </c>
      <c r="G1132" t="s">
        <v>122</v>
      </c>
      <c r="H1132" t="s">
        <v>122</v>
      </c>
      <c r="I1132">
        <v>348300.31411821133</v>
      </c>
      <c r="J1132">
        <v>29313019.685714282</v>
      </c>
    </row>
    <row r="1133" spans="1:10" x14ac:dyDescent="0.25">
      <c r="A1133">
        <v>28</v>
      </c>
      <c r="B1133">
        <v>24</v>
      </c>
      <c r="C1133" t="s">
        <v>27</v>
      </c>
      <c r="D1133" t="s">
        <v>23</v>
      </c>
      <c r="E1133">
        <v>30862.876923076918</v>
      </c>
      <c r="F1133">
        <v>186897.4666666667</v>
      </c>
      <c r="G1133" t="s">
        <v>122</v>
      </c>
      <c r="H1133" t="s">
        <v>122</v>
      </c>
      <c r="I1133">
        <v>113370.18032077211</v>
      </c>
      <c r="J1133">
        <v>17107919.200000003</v>
      </c>
    </row>
    <row r="1134" spans="1:10" x14ac:dyDescent="0.25">
      <c r="A1134">
        <v>28</v>
      </c>
      <c r="B1134">
        <v>25</v>
      </c>
      <c r="C1134" t="s">
        <v>27</v>
      </c>
      <c r="D1134" t="s">
        <v>24</v>
      </c>
      <c r="E1134">
        <v>28467.492307692308</v>
      </c>
      <c r="F1134">
        <v>179845.1333333333</v>
      </c>
      <c r="G1134" t="s">
        <v>122</v>
      </c>
      <c r="H1134" t="s">
        <v>122</v>
      </c>
      <c r="I1134">
        <v>84522.46681102617</v>
      </c>
      <c r="J1134">
        <v>10808696.738461539</v>
      </c>
    </row>
    <row r="1135" spans="1:10" x14ac:dyDescent="0.25">
      <c r="A1135">
        <v>28</v>
      </c>
      <c r="B1135">
        <v>26</v>
      </c>
      <c r="C1135" t="s">
        <v>27</v>
      </c>
      <c r="D1135" t="s">
        <v>25</v>
      </c>
      <c r="E1135">
        <v>27546.56923076923</v>
      </c>
      <c r="F1135">
        <v>165918.79999999999</v>
      </c>
      <c r="G1135" t="s">
        <v>122</v>
      </c>
      <c r="H1135" t="s">
        <v>122</v>
      </c>
      <c r="I1135">
        <v>6074.9190417527725</v>
      </c>
      <c r="J1135">
        <v>8298328.2923076935</v>
      </c>
    </row>
    <row r="1136" spans="1:10" x14ac:dyDescent="0.25">
      <c r="A1136">
        <v>28</v>
      </c>
      <c r="B1136">
        <v>27</v>
      </c>
      <c r="C1136" t="s">
        <v>27</v>
      </c>
      <c r="D1136" t="s">
        <v>26</v>
      </c>
      <c r="E1136">
        <v>82761.8</v>
      </c>
      <c r="F1136">
        <v>535851.9</v>
      </c>
      <c r="G1136" t="s">
        <v>122</v>
      </c>
      <c r="H1136" t="s">
        <v>122</v>
      </c>
      <c r="I1136">
        <v>6074.4212639749949</v>
      </c>
      <c r="J1136">
        <v>7858624.692307692</v>
      </c>
    </row>
    <row r="1137" spans="1:10" x14ac:dyDescent="0.25">
      <c r="A1137">
        <v>28</v>
      </c>
      <c r="B1137">
        <v>28</v>
      </c>
      <c r="C1137" t="s">
        <v>27</v>
      </c>
      <c r="D1137" t="s">
        <v>27</v>
      </c>
      <c r="E1137">
        <v>0</v>
      </c>
      <c r="F1137">
        <v>0</v>
      </c>
      <c r="G1137" t="s">
        <v>122</v>
      </c>
      <c r="H1137" t="s">
        <v>122</v>
      </c>
      <c r="I1137">
        <v>291459.41613189236</v>
      </c>
      <c r="J1137">
        <v>16009721.230769232</v>
      </c>
    </row>
    <row r="1138" spans="1:10" x14ac:dyDescent="0.25">
      <c r="A1138">
        <v>28</v>
      </c>
      <c r="B1138">
        <v>29</v>
      </c>
      <c r="C1138" t="s">
        <v>27</v>
      </c>
      <c r="D1138" t="s">
        <v>28</v>
      </c>
      <c r="E1138">
        <v>55873.3</v>
      </c>
      <c r="F1138">
        <v>480630.2</v>
      </c>
      <c r="G1138" t="s">
        <v>122</v>
      </c>
      <c r="H1138" t="s">
        <v>122</v>
      </c>
      <c r="I1138">
        <v>57700370.825485468</v>
      </c>
      <c r="J1138">
        <v>23905714.461538464</v>
      </c>
    </row>
    <row r="1139" spans="1:10" x14ac:dyDescent="0.25">
      <c r="A1139">
        <v>28</v>
      </c>
      <c r="B1139">
        <v>30</v>
      </c>
      <c r="C1139" t="s">
        <v>27</v>
      </c>
      <c r="D1139" t="s">
        <v>29</v>
      </c>
      <c r="E1139">
        <v>31033.1</v>
      </c>
      <c r="F1139">
        <v>348779.9</v>
      </c>
      <c r="G1139" t="s">
        <v>122</v>
      </c>
      <c r="H1139" t="s">
        <v>122</v>
      </c>
      <c r="I1139">
        <v>434983.39736863086</v>
      </c>
      <c r="J1139">
        <v>41181879.41538462</v>
      </c>
    </row>
    <row r="1140" spans="1:10" x14ac:dyDescent="0.25">
      <c r="A1140">
        <v>28</v>
      </c>
      <c r="B1140">
        <v>31</v>
      </c>
      <c r="C1140" t="s">
        <v>27</v>
      </c>
      <c r="D1140" t="s">
        <v>30</v>
      </c>
      <c r="E1140">
        <v>25922.261538461538</v>
      </c>
      <c r="F1140">
        <v>143531.4923076923</v>
      </c>
      <c r="G1140" t="s">
        <v>122</v>
      </c>
      <c r="H1140" t="s">
        <v>122</v>
      </c>
      <c r="I1140">
        <v>57700289.655520514</v>
      </c>
      <c r="J1140">
        <v>17616755.692307692</v>
      </c>
    </row>
    <row r="1141" spans="1:10" x14ac:dyDescent="0.25">
      <c r="A1141">
        <v>28</v>
      </c>
      <c r="B1141">
        <v>32</v>
      </c>
      <c r="C1141" t="s">
        <v>27</v>
      </c>
      <c r="D1141" t="s">
        <v>31</v>
      </c>
      <c r="E1141">
        <v>23767.184615384613</v>
      </c>
      <c r="F1141">
        <v>169078.3</v>
      </c>
      <c r="G1141" t="s">
        <v>122</v>
      </c>
      <c r="H1141" t="s">
        <v>122</v>
      </c>
      <c r="I1141">
        <v>54535.061004449977</v>
      </c>
      <c r="J1141">
        <v>7059582.4153846158</v>
      </c>
    </row>
    <row r="1142" spans="1:10" x14ac:dyDescent="0.25">
      <c r="A1142">
        <v>28</v>
      </c>
      <c r="B1142">
        <v>33</v>
      </c>
      <c r="C1142" t="s">
        <v>27</v>
      </c>
      <c r="D1142" t="s">
        <v>32</v>
      </c>
      <c r="E1142">
        <v>87444.569230769193</v>
      </c>
      <c r="F1142">
        <v>218788.5230769231</v>
      </c>
      <c r="G1142" t="s">
        <v>122</v>
      </c>
      <c r="H1142" t="s">
        <v>122</v>
      </c>
      <c r="I1142">
        <v>252471.1429519415</v>
      </c>
      <c r="J1142">
        <v>15134333.507692309</v>
      </c>
    </row>
    <row r="1143" spans="1:10" x14ac:dyDescent="0.25">
      <c r="A1143">
        <v>28</v>
      </c>
      <c r="B1143">
        <v>34</v>
      </c>
      <c r="C1143" t="s">
        <v>27</v>
      </c>
      <c r="D1143" t="s">
        <v>33</v>
      </c>
      <c r="E1143">
        <v>320055.10769230797</v>
      </c>
      <c r="F1143">
        <v>386350.18888888898</v>
      </c>
      <c r="G1143" t="s">
        <v>122</v>
      </c>
      <c r="H1143" t="s">
        <v>122</v>
      </c>
      <c r="I1143">
        <v>196103.82914253228</v>
      </c>
      <c r="J1143">
        <v>16847081.615384616</v>
      </c>
    </row>
    <row r="1144" spans="1:10" x14ac:dyDescent="0.25">
      <c r="A1144">
        <v>28</v>
      </c>
      <c r="B1144">
        <v>35</v>
      </c>
      <c r="C1144" t="s">
        <v>27</v>
      </c>
      <c r="D1144" t="s">
        <v>34</v>
      </c>
      <c r="E1144">
        <v>46373.4153846154</v>
      </c>
      <c r="F1144">
        <v>134760.33846153851</v>
      </c>
      <c r="G1144" t="s">
        <v>122</v>
      </c>
      <c r="H1144" t="s">
        <v>122</v>
      </c>
      <c r="I1144">
        <v>99917.83067241445</v>
      </c>
      <c r="J1144">
        <v>6040469.6307692314</v>
      </c>
    </row>
    <row r="1145" spans="1:10" x14ac:dyDescent="0.25">
      <c r="A1145">
        <v>28</v>
      </c>
      <c r="B1145">
        <v>36</v>
      </c>
      <c r="C1145" t="s">
        <v>27</v>
      </c>
      <c r="D1145" t="s">
        <v>35</v>
      </c>
      <c r="E1145">
        <v>26997.646153846148</v>
      </c>
      <c r="F1145">
        <v>210606.72307692311</v>
      </c>
      <c r="G1145" t="s">
        <v>122</v>
      </c>
      <c r="H1145" t="s">
        <v>122</v>
      </c>
      <c r="I1145">
        <v>0</v>
      </c>
      <c r="J1145">
        <v>4809893.538461539</v>
      </c>
    </row>
    <row r="1146" spans="1:10" x14ac:dyDescent="0.25">
      <c r="A1146">
        <v>28</v>
      </c>
      <c r="B1146">
        <v>37</v>
      </c>
      <c r="C1146" t="s">
        <v>27</v>
      </c>
      <c r="D1146" t="s">
        <v>36</v>
      </c>
      <c r="E1146">
        <v>33416.646153846203</v>
      </c>
      <c r="F1146">
        <v>205422.2267399267</v>
      </c>
      <c r="G1146" t="s">
        <v>122</v>
      </c>
      <c r="H1146" t="s">
        <v>122</v>
      </c>
      <c r="I1146">
        <v>0</v>
      </c>
      <c r="J1146">
        <v>1889366</v>
      </c>
    </row>
    <row r="1147" spans="1:10" x14ac:dyDescent="0.25">
      <c r="A1147">
        <v>28</v>
      </c>
      <c r="B1147">
        <v>38</v>
      </c>
      <c r="C1147" t="s">
        <v>27</v>
      </c>
      <c r="D1147" t="s">
        <v>37</v>
      </c>
      <c r="E1147">
        <v>23384.799999999999</v>
      </c>
      <c r="F1147">
        <v>126399.18461538463</v>
      </c>
      <c r="G1147" t="s">
        <v>122</v>
      </c>
      <c r="H1147" t="s">
        <v>122</v>
      </c>
      <c r="I1147">
        <v>0</v>
      </c>
      <c r="J1147">
        <v>1829308.7076923079</v>
      </c>
    </row>
    <row r="1148" spans="1:10" x14ac:dyDescent="0.25">
      <c r="A1148">
        <v>28</v>
      </c>
      <c r="B1148">
        <v>39</v>
      </c>
      <c r="C1148" t="s">
        <v>27</v>
      </c>
      <c r="D1148" t="s">
        <v>38</v>
      </c>
      <c r="E1148">
        <v>26455.18461538462</v>
      </c>
      <c r="F1148">
        <v>210569.6424908425</v>
      </c>
      <c r="G1148" t="s">
        <v>122</v>
      </c>
      <c r="H1148" t="s">
        <v>122</v>
      </c>
      <c r="I1148">
        <v>291462.11502078123</v>
      </c>
      <c r="J1148">
        <v>6955550.3846153859</v>
      </c>
    </row>
    <row r="1149" spans="1:10" x14ac:dyDescent="0.25">
      <c r="A1149">
        <v>28</v>
      </c>
      <c r="B1149">
        <v>40</v>
      </c>
      <c r="C1149" t="s">
        <v>27</v>
      </c>
      <c r="D1149" t="s">
        <v>39</v>
      </c>
      <c r="E1149">
        <v>33001.56923076923</v>
      </c>
      <c r="F1149">
        <v>191888.94285714289</v>
      </c>
      <c r="G1149" t="s">
        <v>122</v>
      </c>
      <c r="H1149" t="s">
        <v>122</v>
      </c>
      <c r="I1149">
        <v>252472.58961860818</v>
      </c>
      <c r="J1149">
        <v>14173179.6</v>
      </c>
    </row>
    <row r="1150" spans="1:10" x14ac:dyDescent="0.25">
      <c r="A1150">
        <v>28</v>
      </c>
      <c r="B1150">
        <v>41</v>
      </c>
      <c r="C1150" t="s">
        <v>27</v>
      </c>
      <c r="D1150" t="s">
        <v>40</v>
      </c>
      <c r="E1150">
        <v>45360.492307692301</v>
      </c>
      <c r="F1150">
        <v>140067.29267399269</v>
      </c>
      <c r="G1150" t="s">
        <v>122</v>
      </c>
      <c r="H1150" t="s">
        <v>122</v>
      </c>
      <c r="I1150">
        <v>0</v>
      </c>
      <c r="J1150">
        <v>0</v>
      </c>
    </row>
    <row r="1151" spans="1:10" x14ac:dyDescent="0.25">
      <c r="A1151">
        <v>29</v>
      </c>
      <c r="B1151">
        <v>1</v>
      </c>
      <c r="C1151" t="s">
        <v>28</v>
      </c>
      <c r="D1151" t="s">
        <v>0</v>
      </c>
      <c r="E1151">
        <v>105484.57142857141</v>
      </c>
      <c r="F1151">
        <v>411232.94615384616</v>
      </c>
      <c r="G1151">
        <v>1550733121.0375998</v>
      </c>
      <c r="H1151">
        <v>549714864.90737712</v>
      </c>
      <c r="I1151">
        <v>237020.76405970863</v>
      </c>
      <c r="J1151">
        <v>9798625.5999999996</v>
      </c>
    </row>
    <row r="1152" spans="1:10" x14ac:dyDescent="0.25">
      <c r="A1152">
        <v>29</v>
      </c>
      <c r="B1152">
        <v>2</v>
      </c>
      <c r="C1152" t="s">
        <v>28</v>
      </c>
      <c r="D1152" t="s">
        <v>1</v>
      </c>
      <c r="E1152">
        <v>34223.571428571398</v>
      </c>
      <c r="F1152">
        <v>401621.33076923079</v>
      </c>
      <c r="G1152">
        <v>10441110384.539999</v>
      </c>
      <c r="H1152">
        <v>426183396.34594858</v>
      </c>
      <c r="I1152">
        <v>1956588.6681637964</v>
      </c>
      <c r="J1152">
        <v>7154705.2153846156</v>
      </c>
    </row>
    <row r="1153" spans="1:10" x14ac:dyDescent="0.25">
      <c r="A1153">
        <v>29</v>
      </c>
      <c r="B1153">
        <v>3</v>
      </c>
      <c r="C1153" t="s">
        <v>28</v>
      </c>
      <c r="D1153" t="s">
        <v>2</v>
      </c>
      <c r="E1153">
        <v>29488.214285714301</v>
      </c>
      <c r="F1153">
        <v>404655.56153846148</v>
      </c>
      <c r="G1153">
        <v>10179952334.067999</v>
      </c>
      <c r="H1153">
        <v>468036242.48755938</v>
      </c>
      <c r="I1153">
        <v>1956587.3603860186</v>
      </c>
      <c r="J1153">
        <v>5764587.5076923072</v>
      </c>
    </row>
    <row r="1154" spans="1:10" x14ac:dyDescent="0.25">
      <c r="A1154">
        <v>29</v>
      </c>
      <c r="B1154">
        <v>4</v>
      </c>
      <c r="C1154" t="s">
        <v>28</v>
      </c>
      <c r="D1154" t="s">
        <v>3</v>
      </c>
      <c r="E1154">
        <v>44144.571428571398</v>
      </c>
      <c r="F1154">
        <v>393762.4846153846</v>
      </c>
      <c r="G1154">
        <v>20452921229.388</v>
      </c>
      <c r="H1154">
        <v>519508581.68852723</v>
      </c>
      <c r="I1154">
        <v>1956587.6548304632</v>
      </c>
      <c r="J1154">
        <v>31238929.784615364</v>
      </c>
    </row>
    <row r="1155" spans="1:10" x14ac:dyDescent="0.25">
      <c r="A1155">
        <v>29</v>
      </c>
      <c r="B1155">
        <v>5</v>
      </c>
      <c r="C1155" t="s">
        <v>28</v>
      </c>
      <c r="D1155" t="s">
        <v>4</v>
      </c>
      <c r="E1155">
        <v>77881.142857142899</v>
      </c>
      <c r="F1155">
        <v>425562.56153846148</v>
      </c>
      <c r="G1155">
        <v>24965559582.643997</v>
      </c>
      <c r="H1155">
        <v>430592477.76555771</v>
      </c>
      <c r="I1155">
        <v>1956588.5792749077</v>
      </c>
      <c r="J1155">
        <v>125151850.30769241</v>
      </c>
    </row>
    <row r="1156" spans="1:10" x14ac:dyDescent="0.25">
      <c r="A1156">
        <v>29</v>
      </c>
      <c r="B1156">
        <v>6</v>
      </c>
      <c r="C1156" t="s">
        <v>28</v>
      </c>
      <c r="D1156" t="s">
        <v>5</v>
      </c>
      <c r="E1156">
        <v>26209.285714285699</v>
      </c>
      <c r="F1156">
        <v>491351.87289377296</v>
      </c>
      <c r="G1156">
        <v>34657189889.363617</v>
      </c>
      <c r="H1156">
        <v>550049251.52841485</v>
      </c>
      <c r="I1156">
        <v>605207.12665476091</v>
      </c>
      <c r="J1156">
        <v>14180125.323076932</v>
      </c>
    </row>
    <row r="1157" spans="1:10" x14ac:dyDescent="0.25">
      <c r="A1157">
        <v>29</v>
      </c>
      <c r="B1157">
        <v>7</v>
      </c>
      <c r="C1157" t="s">
        <v>28</v>
      </c>
      <c r="D1157" t="s">
        <v>6</v>
      </c>
      <c r="E1157">
        <v>17959.28571428571</v>
      </c>
      <c r="F1157">
        <v>424898.17692307686</v>
      </c>
      <c r="G1157">
        <v>24457954868.191998</v>
      </c>
      <c r="H1157">
        <v>411360253.99412918</v>
      </c>
      <c r="I1157">
        <v>66480.53560551854</v>
      </c>
      <c r="J1157">
        <v>6241525.9846153827</v>
      </c>
    </row>
    <row r="1158" spans="1:10" x14ac:dyDescent="0.25">
      <c r="A1158">
        <v>29</v>
      </c>
      <c r="B1158">
        <v>8</v>
      </c>
      <c r="C1158" t="s">
        <v>28</v>
      </c>
      <c r="D1158" t="s">
        <v>7</v>
      </c>
      <c r="E1158">
        <v>47606.357142857101</v>
      </c>
      <c r="F1158">
        <v>482495.94615384599</v>
      </c>
      <c r="G1158">
        <v>24707169914.699993</v>
      </c>
      <c r="H1158">
        <v>436572394.23195583</v>
      </c>
      <c r="I1158">
        <v>6613.5825874466873</v>
      </c>
      <c r="J1158">
        <v>12571465.630769255</v>
      </c>
    </row>
    <row r="1159" spans="1:10" x14ac:dyDescent="0.25">
      <c r="A1159">
        <v>29</v>
      </c>
      <c r="B1159">
        <v>9</v>
      </c>
      <c r="C1159" t="s">
        <v>28</v>
      </c>
      <c r="D1159" t="s">
        <v>8</v>
      </c>
      <c r="E1159">
        <v>13601.954545454544</v>
      </c>
      <c r="F1159">
        <v>932828.72179487196</v>
      </c>
      <c r="G1159">
        <v>54283318231.282669</v>
      </c>
      <c r="H1159">
        <v>417054238.64594859</v>
      </c>
      <c r="I1159">
        <v>66480.257827740759</v>
      </c>
      <c r="J1159">
        <v>5244600</v>
      </c>
    </row>
    <row r="1160" spans="1:10" x14ac:dyDescent="0.25">
      <c r="A1160">
        <v>29</v>
      </c>
      <c r="B1160">
        <v>10</v>
      </c>
      <c r="C1160" t="s">
        <v>28</v>
      </c>
      <c r="D1160" t="s">
        <v>9</v>
      </c>
      <c r="E1160">
        <v>34084.714285714304</v>
      </c>
      <c r="F1160">
        <v>457205.0230769231</v>
      </c>
      <c r="G1160">
        <v>28262603994.723999</v>
      </c>
      <c r="H1160">
        <v>477928254.82555771</v>
      </c>
      <c r="I1160">
        <v>63964.259655092734</v>
      </c>
      <c r="J1160">
        <v>7715522.584615388</v>
      </c>
    </row>
    <row r="1161" spans="1:10" x14ac:dyDescent="0.25">
      <c r="A1161">
        <v>29</v>
      </c>
      <c r="B1161">
        <v>11</v>
      </c>
      <c r="C1161" t="s">
        <v>28</v>
      </c>
      <c r="D1161" t="s">
        <v>10</v>
      </c>
      <c r="E1161">
        <v>34251.884615384595</v>
      </c>
      <c r="F1161">
        <v>459969.1</v>
      </c>
      <c r="G1161">
        <v>33675662522.007999</v>
      </c>
      <c r="H1161">
        <v>474381307.03280091</v>
      </c>
      <c r="I1161">
        <v>6612.9825874466869</v>
      </c>
      <c r="J1161">
        <v>10909569.230769232</v>
      </c>
    </row>
    <row r="1162" spans="1:10" x14ac:dyDescent="0.25">
      <c r="A1162">
        <v>29</v>
      </c>
      <c r="B1162">
        <v>12</v>
      </c>
      <c r="C1162" t="s">
        <v>28</v>
      </c>
      <c r="D1162" t="s">
        <v>11</v>
      </c>
      <c r="E1162">
        <v>31220.5</v>
      </c>
      <c r="F1162">
        <v>404695.17692307686</v>
      </c>
      <c r="G1162">
        <v>22699902859.055996</v>
      </c>
      <c r="H1162">
        <v>485411256.51799774</v>
      </c>
      <c r="I1162">
        <v>59.414451365427929</v>
      </c>
      <c r="J1162">
        <v>15.5</v>
      </c>
    </row>
    <row r="1163" spans="1:10" x14ac:dyDescent="0.25">
      <c r="A1163">
        <v>29</v>
      </c>
      <c r="B1163">
        <v>13</v>
      </c>
      <c r="C1163" t="s">
        <v>28</v>
      </c>
      <c r="D1163" t="s">
        <v>12</v>
      </c>
      <c r="E1163">
        <v>16298.884615384621</v>
      </c>
      <c r="F1163">
        <v>386383.63846153847</v>
      </c>
      <c r="G1163">
        <v>18811489277.484001</v>
      </c>
      <c r="H1163">
        <v>416229930.3074829</v>
      </c>
      <c r="I1163">
        <v>751592.00402276719</v>
      </c>
      <c r="J1163">
        <v>13744854.674285715</v>
      </c>
    </row>
    <row r="1164" spans="1:10" x14ac:dyDescent="0.25">
      <c r="A1164">
        <v>29</v>
      </c>
      <c r="B1164">
        <v>14</v>
      </c>
      <c r="C1164" t="s">
        <v>28</v>
      </c>
      <c r="D1164" t="s">
        <v>13</v>
      </c>
      <c r="E1164">
        <v>36923.884615384595</v>
      </c>
      <c r="F1164">
        <v>532847.86923076899</v>
      </c>
      <c r="G1164">
        <v>22052314032.495991</v>
      </c>
      <c r="H1164">
        <v>456352805.69948292</v>
      </c>
      <c r="I1164">
        <v>751592.38180054491</v>
      </c>
      <c r="J1164">
        <v>2296398.6</v>
      </c>
    </row>
    <row r="1165" spans="1:10" x14ac:dyDescent="0.25">
      <c r="A1165">
        <v>29</v>
      </c>
      <c r="B1165">
        <v>15</v>
      </c>
      <c r="C1165" t="s">
        <v>28</v>
      </c>
      <c r="D1165" t="s">
        <v>14</v>
      </c>
      <c r="E1165">
        <v>60723.269230769198</v>
      </c>
      <c r="F1165">
        <v>655023.56153846206</v>
      </c>
      <c r="G1165">
        <v>32303325367.428024</v>
      </c>
      <c r="H1165">
        <v>522258303.87206</v>
      </c>
      <c r="I1165">
        <v>303242.46969482314</v>
      </c>
      <c r="J1165">
        <v>4182848.3428571429</v>
      </c>
    </row>
    <row r="1166" spans="1:10" x14ac:dyDescent="0.25">
      <c r="A1166">
        <v>29</v>
      </c>
      <c r="B1166">
        <v>16</v>
      </c>
      <c r="C1166" t="s">
        <v>28</v>
      </c>
      <c r="D1166" t="s">
        <v>15</v>
      </c>
      <c r="E1166">
        <v>50415.730769230802</v>
      </c>
      <c r="F1166">
        <v>893236.792307692</v>
      </c>
      <c r="G1166">
        <v>58922472192.991982</v>
      </c>
      <c r="H1166">
        <v>493180114.52677429</v>
      </c>
      <c r="I1166">
        <v>0</v>
      </c>
      <c r="J1166">
        <v>3034642.36</v>
      </c>
    </row>
    <row r="1167" spans="1:10" x14ac:dyDescent="0.25">
      <c r="A1167">
        <v>29</v>
      </c>
      <c r="B1167">
        <v>17</v>
      </c>
      <c r="C1167" t="s">
        <v>28</v>
      </c>
      <c r="D1167" t="s">
        <v>16</v>
      </c>
      <c r="E1167">
        <v>77474.807692307702</v>
      </c>
      <c r="F1167">
        <v>538120.63846153801</v>
      </c>
      <c r="G1167">
        <v>44512801092.899956</v>
      </c>
      <c r="H1167">
        <v>769236724.86313105</v>
      </c>
      <c r="I1167">
        <v>608254.37839521025</v>
      </c>
      <c r="J1167">
        <v>6863314.1485714288</v>
      </c>
    </row>
    <row r="1168" spans="1:10" x14ac:dyDescent="0.25">
      <c r="A1168">
        <v>29</v>
      </c>
      <c r="B1168">
        <v>18</v>
      </c>
      <c r="C1168" t="s">
        <v>28</v>
      </c>
      <c r="D1168" t="s">
        <v>17</v>
      </c>
      <c r="E1168">
        <v>36741.269230769205</v>
      </c>
      <c r="F1168">
        <v>415291.4846153846</v>
      </c>
      <c r="G1168">
        <v>32542174287.823997</v>
      </c>
      <c r="H1168">
        <v>486593107.43477428</v>
      </c>
      <c r="I1168">
        <v>608256.92283965473</v>
      </c>
      <c r="J1168">
        <v>4099275.8400000008</v>
      </c>
    </row>
    <row r="1169" spans="1:10" x14ac:dyDescent="0.25">
      <c r="A1169">
        <v>29</v>
      </c>
      <c r="B1169">
        <v>19</v>
      </c>
      <c r="C1169" t="s">
        <v>28</v>
      </c>
      <c r="D1169" t="s">
        <v>18</v>
      </c>
      <c r="E1169">
        <v>14292.42307692308</v>
      </c>
      <c r="F1169">
        <v>454010.4846153846</v>
      </c>
      <c r="G1169">
        <v>3552849967.1479998</v>
      </c>
      <c r="H1169">
        <v>407955206.70017338</v>
      </c>
      <c r="I1169">
        <v>608254.81728409918</v>
      </c>
      <c r="J1169">
        <v>1376820.9485714287</v>
      </c>
    </row>
    <row r="1170" spans="1:10" x14ac:dyDescent="0.25">
      <c r="A1170">
        <v>29</v>
      </c>
      <c r="B1170">
        <v>20</v>
      </c>
      <c r="C1170" t="s">
        <v>28</v>
      </c>
      <c r="D1170" t="s">
        <v>19</v>
      </c>
      <c r="E1170">
        <v>71464.192307692298</v>
      </c>
      <c r="F1170">
        <v>425825.76666666666</v>
      </c>
      <c r="G1170">
        <v>4853068130.5773335</v>
      </c>
      <c r="H1170">
        <v>532245258.85021782</v>
      </c>
      <c r="I1170">
        <v>0</v>
      </c>
      <c r="J1170">
        <v>1135993.5885714286</v>
      </c>
    </row>
    <row r="1171" spans="1:10" x14ac:dyDescent="0.25">
      <c r="A1171">
        <v>29</v>
      </c>
      <c r="B1171">
        <v>21</v>
      </c>
      <c r="C1171" t="s">
        <v>28</v>
      </c>
      <c r="D1171" t="s">
        <v>20</v>
      </c>
      <c r="E1171">
        <v>50308.807692307702</v>
      </c>
      <c r="F1171">
        <v>469977.433333333</v>
      </c>
      <c r="G1171">
        <v>10292900571.043993</v>
      </c>
      <c r="H1171">
        <v>530134863.25656718</v>
      </c>
      <c r="I1171">
        <v>751594.46513387829</v>
      </c>
      <c r="J1171">
        <v>1092772.8</v>
      </c>
    </row>
    <row r="1172" spans="1:10" x14ac:dyDescent="0.25">
      <c r="A1172">
        <v>29</v>
      </c>
      <c r="B1172">
        <v>22</v>
      </c>
      <c r="C1172" t="s">
        <v>28</v>
      </c>
      <c r="D1172" t="s">
        <v>21</v>
      </c>
      <c r="E1172">
        <v>34748.6538461538</v>
      </c>
      <c r="F1172">
        <v>489104.433333333</v>
      </c>
      <c r="G1172">
        <v>1389708077.7718658</v>
      </c>
      <c r="H1172">
        <v>492979375.91999996</v>
      </c>
      <c r="I1172">
        <v>608255.36617298808</v>
      </c>
      <c r="J1172">
        <v>3532713.1714285715</v>
      </c>
    </row>
    <row r="1173" spans="1:10" x14ac:dyDescent="0.25">
      <c r="A1173">
        <v>29</v>
      </c>
      <c r="B1173">
        <v>23</v>
      </c>
      <c r="C1173" t="s">
        <v>28</v>
      </c>
      <c r="D1173" t="s">
        <v>22</v>
      </c>
      <c r="E1173">
        <v>19427.192307692312</v>
      </c>
      <c r="F1173">
        <v>472840.76666666695</v>
      </c>
      <c r="G1173">
        <v>5289556174.9160023</v>
      </c>
      <c r="H1173">
        <v>415945942.83760083</v>
      </c>
      <c r="I1173">
        <v>334497.66942804912</v>
      </c>
      <c r="J1173">
        <v>16198282.784615381</v>
      </c>
    </row>
    <row r="1174" spans="1:10" x14ac:dyDescent="0.25">
      <c r="A1174">
        <v>29</v>
      </c>
      <c r="B1174">
        <v>24</v>
      </c>
      <c r="C1174" t="s">
        <v>28</v>
      </c>
      <c r="D1174" t="s">
        <v>23</v>
      </c>
      <c r="E1174">
        <v>20589.576923076922</v>
      </c>
      <c r="F1174">
        <v>430312.76666666666</v>
      </c>
      <c r="G1174">
        <v>10802812669.549334</v>
      </c>
      <c r="H1174">
        <v>445366034.87760085</v>
      </c>
      <c r="I1174">
        <v>338753.4944578713</v>
      </c>
      <c r="J1174">
        <v>9623976.5076923091</v>
      </c>
    </row>
    <row r="1175" spans="1:10" x14ac:dyDescent="0.25">
      <c r="A1175">
        <v>29</v>
      </c>
      <c r="B1175">
        <v>25</v>
      </c>
      <c r="C1175" t="s">
        <v>28</v>
      </c>
      <c r="D1175" t="s">
        <v>24</v>
      </c>
      <c r="E1175">
        <v>18194.192307692312</v>
      </c>
      <c r="F1175">
        <v>423260.43333333329</v>
      </c>
      <c r="G1175">
        <v>7469158354.1119995</v>
      </c>
      <c r="H1175">
        <v>420848068.7376008</v>
      </c>
      <c r="I1175">
        <v>216456.35862778829</v>
      </c>
      <c r="J1175">
        <v>6733158.8923076931</v>
      </c>
    </row>
    <row r="1176" spans="1:10" x14ac:dyDescent="0.25">
      <c r="A1176">
        <v>29</v>
      </c>
      <c r="B1176">
        <v>26</v>
      </c>
      <c r="C1176" t="s">
        <v>28</v>
      </c>
      <c r="D1176" t="s">
        <v>25</v>
      </c>
      <c r="E1176">
        <v>17273.26923076923</v>
      </c>
      <c r="F1176">
        <v>409334.1</v>
      </c>
      <c r="G1176">
        <v>15951684383.544001</v>
      </c>
      <c r="H1176">
        <v>425063846.51205999</v>
      </c>
      <c r="I1176">
        <v>216455.8608500105</v>
      </c>
      <c r="J1176">
        <v>12249868.720000001</v>
      </c>
    </row>
    <row r="1177" spans="1:10" x14ac:dyDescent="0.25">
      <c r="A1177">
        <v>29</v>
      </c>
      <c r="B1177">
        <v>27</v>
      </c>
      <c r="C1177" t="s">
        <v>28</v>
      </c>
      <c r="D1177" t="s">
        <v>26</v>
      </c>
      <c r="E1177">
        <v>72488.5</v>
      </c>
      <c r="F1177">
        <v>779267.2</v>
      </c>
      <c r="G1177">
        <v>8717475142.2719994</v>
      </c>
      <c r="H1177">
        <v>423743929.46221781</v>
      </c>
      <c r="I1177">
        <v>380081.75789083343</v>
      </c>
      <c r="J1177">
        <v>23432334.886153847</v>
      </c>
    </row>
    <row r="1178" spans="1:10" x14ac:dyDescent="0.25">
      <c r="A1178">
        <v>29</v>
      </c>
      <c r="B1178">
        <v>28</v>
      </c>
      <c r="C1178" t="s">
        <v>28</v>
      </c>
      <c r="D1178" t="s">
        <v>27</v>
      </c>
      <c r="E1178">
        <v>49552.800000000003</v>
      </c>
      <c r="F1178">
        <v>479266.5</v>
      </c>
      <c r="G1178" t="s">
        <v>122</v>
      </c>
      <c r="H1178" t="s">
        <v>122</v>
      </c>
      <c r="I1178">
        <v>431574.11538138177</v>
      </c>
      <c r="J1178">
        <v>34028271.615384623</v>
      </c>
    </row>
    <row r="1179" spans="1:10" x14ac:dyDescent="0.25">
      <c r="A1179">
        <v>29</v>
      </c>
      <c r="B1179">
        <v>29</v>
      </c>
      <c r="C1179" t="s">
        <v>28</v>
      </c>
      <c r="D1179" t="s">
        <v>28</v>
      </c>
      <c r="E1179">
        <v>0</v>
      </c>
      <c r="F1179">
        <v>0</v>
      </c>
      <c r="G1179">
        <v>0</v>
      </c>
      <c r="H1179">
        <v>0</v>
      </c>
      <c r="I1179">
        <v>666293.47695961152</v>
      </c>
      <c r="J1179">
        <v>57159418.012307689</v>
      </c>
    </row>
    <row r="1180" spans="1:10" x14ac:dyDescent="0.25">
      <c r="A1180">
        <v>29</v>
      </c>
      <c r="B1180">
        <v>30</v>
      </c>
      <c r="C1180" t="s">
        <v>28</v>
      </c>
      <c r="D1180" t="s">
        <v>29</v>
      </c>
      <c r="E1180">
        <v>20759.8</v>
      </c>
      <c r="F1180">
        <v>592195.19999999995</v>
      </c>
      <c r="G1180">
        <v>12596347221.119999</v>
      </c>
      <c r="H1180">
        <v>67322212.333600864</v>
      </c>
      <c r="I1180">
        <v>431576.15649249288</v>
      </c>
      <c r="J1180">
        <v>12698620.209230771</v>
      </c>
    </row>
    <row r="1181" spans="1:10" x14ac:dyDescent="0.25">
      <c r="A1181">
        <v>29</v>
      </c>
      <c r="B1181">
        <v>31</v>
      </c>
      <c r="C1181" t="s">
        <v>28</v>
      </c>
      <c r="D1181" t="s">
        <v>30</v>
      </c>
      <c r="E1181">
        <v>15648.961538461539</v>
      </c>
      <c r="F1181">
        <v>386946.79230769229</v>
      </c>
      <c r="G1181">
        <v>17456980711.987999</v>
      </c>
      <c r="H1181">
        <v>37020227.883745946</v>
      </c>
      <c r="I1181">
        <v>203232.32256830219</v>
      </c>
      <c r="J1181">
        <v>3335652.2092307699</v>
      </c>
    </row>
    <row r="1182" spans="1:10" x14ac:dyDescent="0.25">
      <c r="A1182">
        <v>29</v>
      </c>
      <c r="B1182">
        <v>32</v>
      </c>
      <c r="C1182" t="s">
        <v>28</v>
      </c>
      <c r="D1182" t="s">
        <v>31</v>
      </c>
      <c r="E1182">
        <v>13493.884615384615</v>
      </c>
      <c r="F1182">
        <v>412493.6</v>
      </c>
      <c r="G1182">
        <v>17894599358.271999</v>
      </c>
      <c r="H1182">
        <v>14941043.852331419</v>
      </c>
      <c r="I1182">
        <v>566972.03351190034</v>
      </c>
      <c r="J1182">
        <v>11631793.070769232</v>
      </c>
    </row>
    <row r="1183" spans="1:10" x14ac:dyDescent="0.25">
      <c r="A1183">
        <v>29</v>
      </c>
      <c r="B1183">
        <v>33</v>
      </c>
      <c r="C1183" t="s">
        <v>28</v>
      </c>
      <c r="D1183" t="s">
        <v>32</v>
      </c>
      <c r="E1183">
        <v>77171.26923076919</v>
      </c>
      <c r="F1183">
        <v>462203.82307692309</v>
      </c>
      <c r="G1183">
        <v>17842084419.18</v>
      </c>
      <c r="H1183">
        <v>93844664.216331422</v>
      </c>
      <c r="I1183">
        <v>440021.7232224248</v>
      </c>
      <c r="J1183">
        <v>6745974.7846153844</v>
      </c>
    </row>
    <row r="1184" spans="1:10" x14ac:dyDescent="0.25">
      <c r="A1184">
        <v>29</v>
      </c>
      <c r="B1184">
        <v>34</v>
      </c>
      <c r="C1184" t="s">
        <v>28</v>
      </c>
      <c r="D1184" t="s">
        <v>33</v>
      </c>
      <c r="E1184">
        <v>309781.80769230798</v>
      </c>
      <c r="F1184">
        <v>629765.48888888897</v>
      </c>
      <c r="G1184">
        <v>22028138795.312004</v>
      </c>
      <c r="H1184">
        <v>803620336.7717458</v>
      </c>
      <c r="I1184">
        <v>4663604.7205173038</v>
      </c>
      <c r="J1184">
        <v>6081908.1661538454</v>
      </c>
    </row>
    <row r="1185" spans="1:10" x14ac:dyDescent="0.25">
      <c r="A1185">
        <v>29</v>
      </c>
      <c r="B1185">
        <v>35</v>
      </c>
      <c r="C1185" t="s">
        <v>28</v>
      </c>
      <c r="D1185" t="s">
        <v>34</v>
      </c>
      <c r="E1185">
        <v>36100.115384615405</v>
      </c>
      <c r="F1185">
        <v>378175.63846153847</v>
      </c>
      <c r="G1185">
        <v>13386842774.568001</v>
      </c>
      <c r="H1185">
        <v>173885727.84374595</v>
      </c>
      <c r="I1185">
        <v>237022.28628193084</v>
      </c>
      <c r="J1185">
        <v>3315143.8523076922</v>
      </c>
    </row>
    <row r="1186" spans="1:10" x14ac:dyDescent="0.25">
      <c r="A1186">
        <v>29</v>
      </c>
      <c r="B1186">
        <v>36</v>
      </c>
      <c r="C1186" t="s">
        <v>28</v>
      </c>
      <c r="D1186" t="s">
        <v>35</v>
      </c>
      <c r="E1186">
        <v>16724.346153846149</v>
      </c>
      <c r="F1186">
        <v>454022.0230769231</v>
      </c>
      <c r="G1186">
        <v>15237106220.628</v>
      </c>
      <c r="H1186">
        <v>29279421.217948612</v>
      </c>
      <c r="I1186">
        <v>237021.57517081973</v>
      </c>
      <c r="J1186">
        <v>6013536.036923077</v>
      </c>
    </row>
    <row r="1187" spans="1:10" x14ac:dyDescent="0.25">
      <c r="A1187">
        <v>29</v>
      </c>
      <c r="B1187">
        <v>37</v>
      </c>
      <c r="C1187" t="s">
        <v>28</v>
      </c>
      <c r="D1187" t="s">
        <v>36</v>
      </c>
      <c r="E1187">
        <v>23143.3461538462</v>
      </c>
      <c r="F1187">
        <v>448837.52673992666</v>
      </c>
      <c r="G1187">
        <v>30762695710.217133</v>
      </c>
      <c r="H1187">
        <v>82453788.595560402</v>
      </c>
      <c r="I1187">
        <v>237020.23628193082</v>
      </c>
      <c r="J1187">
        <v>5342895.4276923081</v>
      </c>
    </row>
    <row r="1188" spans="1:10" x14ac:dyDescent="0.25">
      <c r="A1188">
        <v>29</v>
      </c>
      <c r="B1188">
        <v>38</v>
      </c>
      <c r="C1188" t="s">
        <v>28</v>
      </c>
      <c r="D1188" t="s">
        <v>37</v>
      </c>
      <c r="E1188">
        <v>13111.5</v>
      </c>
      <c r="F1188">
        <v>369814.4846153846</v>
      </c>
      <c r="G1188">
        <v>34824823520.475998</v>
      </c>
      <c r="H1188">
        <v>12040816.39969188</v>
      </c>
      <c r="I1188">
        <v>380084.4567797223</v>
      </c>
      <c r="J1188">
        <v>4872835.8</v>
      </c>
    </row>
    <row r="1189" spans="1:10" x14ac:dyDescent="0.25">
      <c r="A1189">
        <v>29</v>
      </c>
      <c r="B1189">
        <v>39</v>
      </c>
      <c r="C1189" t="s">
        <v>28</v>
      </c>
      <c r="D1189" t="s">
        <v>38</v>
      </c>
      <c r="E1189">
        <v>16181.884615384621</v>
      </c>
      <c r="F1189">
        <v>453984.94249084248</v>
      </c>
      <c r="G1189">
        <v>33237545116.38895</v>
      </c>
      <c r="H1189">
        <v>29795450.915560391</v>
      </c>
      <c r="I1189">
        <v>566973.48017856712</v>
      </c>
      <c r="J1189">
        <v>11616948.960000001</v>
      </c>
    </row>
    <row r="1190" spans="1:10" x14ac:dyDescent="0.25">
      <c r="A1190">
        <v>29</v>
      </c>
      <c r="B1190">
        <v>40</v>
      </c>
      <c r="C1190" t="s">
        <v>28</v>
      </c>
      <c r="D1190" t="s">
        <v>39</v>
      </c>
      <c r="E1190">
        <v>22728.26923076923</v>
      </c>
      <c r="F1190">
        <v>435304.24285714288</v>
      </c>
      <c r="G1190">
        <v>36670934851.110863</v>
      </c>
      <c r="H1190">
        <v>15902965.763959303</v>
      </c>
      <c r="I1190">
        <v>237020.76405970863</v>
      </c>
      <c r="J1190">
        <v>9798625.5999999996</v>
      </c>
    </row>
    <row r="1191" spans="1:10" x14ac:dyDescent="0.25">
      <c r="A1191">
        <v>29</v>
      </c>
      <c r="B1191">
        <v>41</v>
      </c>
      <c r="C1191" t="s">
        <v>28</v>
      </c>
      <c r="D1191" t="s">
        <v>40</v>
      </c>
      <c r="E1191">
        <v>35087.192307692298</v>
      </c>
      <c r="F1191">
        <v>383482.59267399268</v>
      </c>
      <c r="G1191">
        <v>31942842146.839622</v>
      </c>
      <c r="H1191">
        <v>169007033.35969189</v>
      </c>
      <c r="I1191">
        <v>0</v>
      </c>
      <c r="J1191">
        <v>0</v>
      </c>
    </row>
    <row r="1192" spans="1:10" x14ac:dyDescent="0.25">
      <c r="A1192">
        <v>30</v>
      </c>
      <c r="B1192">
        <v>1</v>
      </c>
      <c r="C1192" t="s">
        <v>29</v>
      </c>
      <c r="D1192" t="s">
        <v>0</v>
      </c>
      <c r="E1192">
        <v>96498.4714285714</v>
      </c>
      <c r="F1192">
        <v>273326.64615384623</v>
      </c>
      <c r="G1192">
        <v>1751324085.6320004</v>
      </c>
      <c r="H1192">
        <v>201905982.69562688</v>
      </c>
      <c r="I1192">
        <v>193814.20705250243</v>
      </c>
      <c r="J1192">
        <v>143352.61538461543</v>
      </c>
    </row>
    <row r="1193" spans="1:10" x14ac:dyDescent="0.25">
      <c r="A1193">
        <v>30</v>
      </c>
      <c r="B1193">
        <v>2</v>
      </c>
      <c r="C1193" t="s">
        <v>29</v>
      </c>
      <c r="D1193" t="s">
        <v>1</v>
      </c>
      <c r="E1193">
        <v>23054.37912087909</v>
      </c>
      <c r="F1193">
        <v>263715.03076923086</v>
      </c>
      <c r="G1193">
        <v>7340666110.4800024</v>
      </c>
      <c r="H1193">
        <v>78374514.134198308</v>
      </c>
      <c r="I1193">
        <v>193812.89927472465</v>
      </c>
      <c r="J1193">
        <v>197133.90769230769</v>
      </c>
    </row>
    <row r="1194" spans="1:10" x14ac:dyDescent="0.25">
      <c r="A1194">
        <v>30</v>
      </c>
      <c r="B1194">
        <v>3</v>
      </c>
      <c r="C1194" t="s">
        <v>29</v>
      </c>
      <c r="D1194" t="s">
        <v>2</v>
      </c>
      <c r="E1194">
        <v>18319.021978021992</v>
      </c>
      <c r="F1194">
        <v>266749.26153846155</v>
      </c>
      <c r="G1194">
        <v>7214980676.2399998</v>
      </c>
      <c r="H1194">
        <v>120772505.44223547</v>
      </c>
      <c r="I1194">
        <v>1950890.4020106075</v>
      </c>
      <c r="J1194">
        <v>6943418.4923076881</v>
      </c>
    </row>
    <row r="1195" spans="1:10" x14ac:dyDescent="0.25">
      <c r="A1195">
        <v>30</v>
      </c>
      <c r="B1195">
        <v>4</v>
      </c>
      <c r="C1195" t="s">
        <v>29</v>
      </c>
      <c r="D1195" t="s">
        <v>3</v>
      </c>
      <c r="E1195">
        <v>32975.379120879094</v>
      </c>
      <c r="F1195">
        <v>255856.18461538464</v>
      </c>
      <c r="G1195">
        <v>10521614816.928001</v>
      </c>
      <c r="H1195">
        <v>171234174.21044391</v>
      </c>
      <c r="I1195">
        <v>1950891.326455052</v>
      </c>
      <c r="J1195">
        <v>29622371.446153875</v>
      </c>
    </row>
    <row r="1196" spans="1:10" x14ac:dyDescent="0.25">
      <c r="A1196">
        <v>30</v>
      </c>
      <c r="B1196">
        <v>5</v>
      </c>
      <c r="C1196" t="s">
        <v>29</v>
      </c>
      <c r="D1196" t="s">
        <v>4</v>
      </c>
      <c r="E1196">
        <v>66711.950549450587</v>
      </c>
      <c r="F1196">
        <v>287656.26153846155</v>
      </c>
      <c r="G1196">
        <v>21800420993.208</v>
      </c>
      <c r="H1196">
        <v>82620565.374945685</v>
      </c>
      <c r="I1196">
        <v>751592.62402276718</v>
      </c>
      <c r="J1196">
        <v>3071489.7230769247</v>
      </c>
    </row>
    <row r="1197" spans="1:10" x14ac:dyDescent="0.25">
      <c r="A1197">
        <v>30</v>
      </c>
      <c r="B1197">
        <v>6</v>
      </c>
      <c r="C1197" t="s">
        <v>29</v>
      </c>
      <c r="D1197" t="s">
        <v>5</v>
      </c>
      <c r="E1197">
        <v>15040.093406593391</v>
      </c>
      <c r="F1197">
        <v>353445.57289377303</v>
      </c>
      <c r="G1197">
        <v>30981582724.107819</v>
      </c>
      <c r="H1197">
        <v>202077339.13780281</v>
      </c>
      <c r="I1197">
        <v>237704.51187225053</v>
      </c>
      <c r="J1197">
        <v>4872980.953846151</v>
      </c>
    </row>
    <row r="1198" spans="1:10" x14ac:dyDescent="0.25">
      <c r="A1198">
        <v>30</v>
      </c>
      <c r="B1198">
        <v>7</v>
      </c>
      <c r="C1198" t="s">
        <v>29</v>
      </c>
      <c r="D1198" t="s">
        <v>6</v>
      </c>
      <c r="E1198">
        <v>6790.0934065934025</v>
      </c>
      <c r="F1198">
        <v>286991.87692307692</v>
      </c>
      <c r="G1198">
        <v>21433540620.672001</v>
      </c>
      <c r="H1198">
        <v>63388341.603517115</v>
      </c>
      <c r="I1198">
        <v>210553.67265554721</v>
      </c>
      <c r="J1198">
        <v>11974153.846153891</v>
      </c>
    </row>
    <row r="1199" spans="1:10" x14ac:dyDescent="0.25">
      <c r="A1199">
        <v>30</v>
      </c>
      <c r="B1199">
        <v>8</v>
      </c>
      <c r="C1199" t="s">
        <v>29</v>
      </c>
      <c r="D1199" t="s">
        <v>7</v>
      </c>
      <c r="E1199">
        <v>36437.164835164796</v>
      </c>
      <c r="F1199">
        <v>344589.64615384606</v>
      </c>
      <c r="G1199">
        <v>23545300529.015995</v>
      </c>
      <c r="H1199">
        <v>88297986.753872484</v>
      </c>
      <c r="I1199">
        <v>237704.23409447278</v>
      </c>
      <c r="J1199">
        <v>1762061.5384615385</v>
      </c>
    </row>
    <row r="1200" spans="1:10" x14ac:dyDescent="0.25">
      <c r="A1200">
        <v>30</v>
      </c>
      <c r="B1200">
        <v>9</v>
      </c>
      <c r="C1200" t="s">
        <v>29</v>
      </c>
      <c r="D1200" t="s">
        <v>8</v>
      </c>
      <c r="E1200">
        <v>2432.7622377622374</v>
      </c>
      <c r="F1200">
        <v>794922.42179487203</v>
      </c>
      <c r="G1200">
        <v>11147069933.242002</v>
      </c>
      <c r="H1200">
        <v>69245356.434198305</v>
      </c>
      <c r="I1200">
        <v>196042.14309343055</v>
      </c>
      <c r="J1200">
        <v>4647768.3076923117</v>
      </c>
    </row>
    <row r="1201" spans="1:10" x14ac:dyDescent="0.25">
      <c r="A1201">
        <v>30</v>
      </c>
      <c r="B1201">
        <v>10</v>
      </c>
      <c r="C1201" t="s">
        <v>29</v>
      </c>
      <c r="D1201" t="s">
        <v>9</v>
      </c>
      <c r="E1201">
        <v>22915.521978021992</v>
      </c>
      <c r="F1201">
        <v>319298.72307692317</v>
      </c>
      <c r="G1201">
        <v>25204662110.808006</v>
      </c>
      <c r="H1201">
        <v>129956342.43494569</v>
      </c>
      <c r="I1201">
        <v>210553.07265554721</v>
      </c>
      <c r="J1201">
        <v>11559076.923076922</v>
      </c>
    </row>
    <row r="1202" spans="1:10" x14ac:dyDescent="0.25">
      <c r="A1202">
        <v>30</v>
      </c>
      <c r="B1202">
        <v>11</v>
      </c>
      <c r="C1202" t="s">
        <v>29</v>
      </c>
      <c r="D1202" t="s">
        <v>10</v>
      </c>
      <c r="E1202">
        <v>23082.69230769229</v>
      </c>
      <c r="F1202">
        <v>322062.80000000005</v>
      </c>
      <c r="G1202">
        <v>16813249826.464001</v>
      </c>
      <c r="H1202">
        <v>127053350.18959637</v>
      </c>
      <c r="I1202">
        <v>38.044444444444444</v>
      </c>
      <c r="J1202">
        <v>12</v>
      </c>
    </row>
    <row r="1203" spans="1:10" x14ac:dyDescent="0.25">
      <c r="A1203">
        <v>30</v>
      </c>
      <c r="B1203">
        <v>12</v>
      </c>
      <c r="C1203" t="s">
        <v>29</v>
      </c>
      <c r="D1203" t="s">
        <v>11</v>
      </c>
      <c r="E1203">
        <v>20051.307692307691</v>
      </c>
      <c r="F1203">
        <v>266788.87692307692</v>
      </c>
      <c r="G1203">
        <v>9345838461.2720013</v>
      </c>
      <c r="H1203">
        <v>137903236.74889377</v>
      </c>
      <c r="I1203">
        <v>554294.03016514331</v>
      </c>
      <c r="J1203">
        <v>12138798.285714285</v>
      </c>
    </row>
    <row r="1204" spans="1:10" x14ac:dyDescent="0.25">
      <c r="A1204">
        <v>30</v>
      </c>
      <c r="B1204">
        <v>13</v>
      </c>
      <c r="C1204" t="s">
        <v>29</v>
      </c>
      <c r="D1204" t="s">
        <v>12</v>
      </c>
      <c r="E1204">
        <v>5129.6923076923122</v>
      </c>
      <c r="F1204">
        <v>248477.33846153854</v>
      </c>
      <c r="G1204">
        <v>6864315683.2160015</v>
      </c>
      <c r="H1204">
        <v>68799376.424893528</v>
      </c>
      <c r="I1204">
        <v>554294.40794292116</v>
      </c>
      <c r="J1204">
        <v>1308908.2461538464</v>
      </c>
    </row>
    <row r="1205" spans="1:10" x14ac:dyDescent="0.25">
      <c r="A1205">
        <v>30</v>
      </c>
      <c r="B1205">
        <v>14</v>
      </c>
      <c r="C1205" t="s">
        <v>29</v>
      </c>
      <c r="D1205" t="s">
        <v>13</v>
      </c>
      <c r="E1205">
        <v>25754.69230769229</v>
      </c>
      <c r="F1205">
        <v>394941.56923076906</v>
      </c>
      <c r="G1205">
        <v>8027282180.5919952</v>
      </c>
      <c r="H1205">
        <v>108922251.81689355</v>
      </c>
      <c r="I1205">
        <v>101719.39680415479</v>
      </c>
      <c r="J1205">
        <v>2932306.2857142859</v>
      </c>
    </row>
    <row r="1206" spans="1:10" x14ac:dyDescent="0.25">
      <c r="A1206">
        <v>30</v>
      </c>
      <c r="B1206">
        <v>15</v>
      </c>
      <c r="C1206" t="s">
        <v>29</v>
      </c>
      <c r="D1206" t="s">
        <v>14</v>
      </c>
      <c r="E1206">
        <v>49554.076923076893</v>
      </c>
      <c r="F1206">
        <v>517117.26153846207</v>
      </c>
      <c r="G1206">
        <v>16376876141.328014</v>
      </c>
      <c r="H1206">
        <v>175056002.17801589</v>
      </c>
      <c r="I1206">
        <v>193812.95149694686</v>
      </c>
      <c r="J1206">
        <v>3510062.558241759</v>
      </c>
    </row>
    <row r="1207" spans="1:10" x14ac:dyDescent="0.25">
      <c r="A1207">
        <v>30</v>
      </c>
      <c r="B1207">
        <v>16</v>
      </c>
      <c r="C1207" t="s">
        <v>29</v>
      </c>
      <c r="D1207" t="s">
        <v>15</v>
      </c>
      <c r="E1207">
        <v>39246.538461538497</v>
      </c>
      <c r="F1207">
        <v>755330.49230769207</v>
      </c>
      <c r="G1207">
        <v>33957483582.335983</v>
      </c>
      <c r="H1207">
        <v>145621490.38214126</v>
      </c>
      <c r="I1207">
        <v>302764.75937123102</v>
      </c>
      <c r="J1207">
        <v>4446552.9802197805</v>
      </c>
    </row>
    <row r="1208" spans="1:10" x14ac:dyDescent="0.25">
      <c r="A1208">
        <v>30</v>
      </c>
      <c r="B1208">
        <v>17</v>
      </c>
      <c r="C1208" t="s">
        <v>29</v>
      </c>
      <c r="D1208" t="s">
        <v>16</v>
      </c>
      <c r="E1208">
        <v>66305.61538461539</v>
      </c>
      <c r="F1208">
        <v>400214.33846153808</v>
      </c>
      <c r="G1208">
        <v>24697627040.799973</v>
      </c>
      <c r="H1208">
        <v>420867950.4490757</v>
      </c>
      <c r="I1208">
        <v>302767.30381567543</v>
      </c>
      <c r="J1208">
        <v>2490870.9450549455</v>
      </c>
    </row>
    <row r="1209" spans="1:10" x14ac:dyDescent="0.25">
      <c r="A1209">
        <v>30</v>
      </c>
      <c r="B1209">
        <v>18</v>
      </c>
      <c r="C1209" t="s">
        <v>29</v>
      </c>
      <c r="D1209" t="s">
        <v>17</v>
      </c>
      <c r="E1209">
        <v>25572.076923076893</v>
      </c>
      <c r="F1209">
        <v>277385.18461538467</v>
      </c>
      <c r="G1209">
        <v>15893982456.536003</v>
      </c>
      <c r="H1209">
        <v>139034483.29014128</v>
      </c>
      <c r="I1209">
        <v>302765.19826011988</v>
      </c>
      <c r="J1209">
        <v>514253.85494505515</v>
      </c>
    </row>
    <row r="1210" spans="1:10" x14ac:dyDescent="0.25">
      <c r="A1210">
        <v>30</v>
      </c>
      <c r="B1210">
        <v>19</v>
      </c>
      <c r="C1210" t="s">
        <v>29</v>
      </c>
      <c r="D1210" t="s">
        <v>18</v>
      </c>
      <c r="E1210">
        <v>3123.2307692307722</v>
      </c>
      <c r="F1210">
        <v>316104.18461538467</v>
      </c>
      <c r="G1210">
        <v>9031374726.144001</v>
      </c>
      <c r="H1210">
        <v>60808939.552321836</v>
      </c>
      <c r="I1210">
        <v>193813.10483028021</v>
      </c>
      <c r="J1210">
        <v>384164.17582417594</v>
      </c>
    </row>
    <row r="1211" spans="1:10" x14ac:dyDescent="0.25">
      <c r="A1211">
        <v>30</v>
      </c>
      <c r="B1211">
        <v>20</v>
      </c>
      <c r="C1211" t="s">
        <v>29</v>
      </c>
      <c r="D1211" t="s">
        <v>19</v>
      </c>
      <c r="E1211">
        <v>60294.999999999993</v>
      </c>
      <c r="F1211">
        <v>287919.46666666673</v>
      </c>
      <c r="G1211">
        <v>9239255067.8826675</v>
      </c>
      <c r="H1211">
        <v>184892062.31815585</v>
      </c>
      <c r="I1211">
        <v>554296.49127625453</v>
      </c>
      <c r="J1211">
        <v>478727.63076923095</v>
      </c>
    </row>
    <row r="1212" spans="1:10" x14ac:dyDescent="0.25">
      <c r="A1212">
        <v>30</v>
      </c>
      <c r="B1212">
        <v>21</v>
      </c>
      <c r="C1212" t="s">
        <v>29</v>
      </c>
      <c r="D1212" t="s">
        <v>20</v>
      </c>
      <c r="E1212">
        <v>39139.615384615397</v>
      </c>
      <c r="F1212">
        <v>332071.13333333307</v>
      </c>
      <c r="G1212">
        <v>12958199310.541323</v>
      </c>
      <c r="H1212">
        <v>182759397.07871899</v>
      </c>
      <c r="I1212">
        <v>302765.74714900879</v>
      </c>
      <c r="J1212">
        <v>2103700.153846154</v>
      </c>
    </row>
    <row r="1213" spans="1:10" x14ac:dyDescent="0.25">
      <c r="A1213">
        <v>30</v>
      </c>
      <c r="B1213">
        <v>22</v>
      </c>
      <c r="C1213" t="s">
        <v>29</v>
      </c>
      <c r="D1213" t="s">
        <v>21</v>
      </c>
      <c r="E1213">
        <v>23579.461538461492</v>
      </c>
      <c r="F1213">
        <v>351198.13333333307</v>
      </c>
      <c r="G1213">
        <v>6142160345.5679951</v>
      </c>
      <c r="H1213">
        <v>145792404.12560081</v>
      </c>
      <c r="I1213">
        <v>73602.510604490875</v>
      </c>
      <c r="J1213">
        <v>11486884.338461541</v>
      </c>
    </row>
    <row r="1214" spans="1:10" x14ac:dyDescent="0.25">
      <c r="A1214">
        <v>30</v>
      </c>
      <c r="B1214">
        <v>23</v>
      </c>
      <c r="C1214" t="s">
        <v>29</v>
      </c>
      <c r="D1214" t="s">
        <v>22</v>
      </c>
      <c r="E1214">
        <v>8258.0000000000036</v>
      </c>
      <c r="F1214">
        <v>334934.46666666702</v>
      </c>
      <c r="G1214">
        <v>5875313235.237339</v>
      </c>
      <c r="H1214">
        <v>68627278.807999998</v>
      </c>
      <c r="I1214">
        <v>492327.85823399771</v>
      </c>
      <c r="J1214">
        <v>5882222.0923076924</v>
      </c>
    </row>
    <row r="1215" spans="1:10" x14ac:dyDescent="0.25">
      <c r="A1215">
        <v>30</v>
      </c>
      <c r="B1215">
        <v>24</v>
      </c>
      <c r="C1215" t="s">
        <v>29</v>
      </c>
      <c r="D1215" t="s">
        <v>23</v>
      </c>
      <c r="E1215">
        <v>9420.3846153846134</v>
      </c>
      <c r="F1215">
        <v>292406.46666666673</v>
      </c>
      <c r="G1215">
        <v>1187110603.7474668</v>
      </c>
      <c r="H1215">
        <v>98047370.84799999</v>
      </c>
      <c r="I1215">
        <v>433835.09881901339</v>
      </c>
      <c r="J1215">
        <v>3069219.6615384622</v>
      </c>
    </row>
    <row r="1216" spans="1:10" x14ac:dyDescent="0.25">
      <c r="A1216">
        <v>30</v>
      </c>
      <c r="B1216">
        <v>25</v>
      </c>
      <c r="C1216" t="s">
        <v>29</v>
      </c>
      <c r="D1216" t="s">
        <v>24</v>
      </c>
      <c r="E1216">
        <v>7025.0000000000027</v>
      </c>
      <c r="F1216">
        <v>285354.13333333336</v>
      </c>
      <c r="G1216">
        <v>1798415889.9200003</v>
      </c>
      <c r="H1216">
        <v>73529404.708000004</v>
      </c>
      <c r="I1216">
        <v>433834.60104123561</v>
      </c>
      <c r="J1216">
        <v>8780376.1846153866</v>
      </c>
    </row>
    <row r="1217" spans="1:10" x14ac:dyDescent="0.25">
      <c r="A1217">
        <v>30</v>
      </c>
      <c r="B1217">
        <v>26</v>
      </c>
      <c r="C1217" t="s">
        <v>29</v>
      </c>
      <c r="D1217" t="s">
        <v>25</v>
      </c>
      <c r="E1217">
        <v>6104.076923076922</v>
      </c>
      <c r="F1217">
        <v>271427.80000000005</v>
      </c>
      <c r="G1217">
        <v>7270247908.5600014</v>
      </c>
      <c r="H1217">
        <v>77861544.818015873</v>
      </c>
      <c r="I1217">
        <v>540637.37865147786</v>
      </c>
      <c r="J1217">
        <v>19079432.307692304</v>
      </c>
    </row>
    <row r="1218" spans="1:10" x14ac:dyDescent="0.25">
      <c r="A1218">
        <v>30</v>
      </c>
      <c r="B1218">
        <v>27</v>
      </c>
      <c r="C1218" t="s">
        <v>29</v>
      </c>
      <c r="D1218" t="s">
        <v>26</v>
      </c>
      <c r="E1218">
        <v>61319.307692307695</v>
      </c>
      <c r="F1218">
        <v>641360.9</v>
      </c>
      <c r="G1218">
        <v>18155823938.251999</v>
      </c>
      <c r="H1218">
        <v>76390732.930155858</v>
      </c>
      <c r="I1218">
        <v>65974.010189665001</v>
      </c>
      <c r="J1218">
        <v>30567745.661538463</v>
      </c>
    </row>
    <row r="1219" spans="1:10" x14ac:dyDescent="0.25">
      <c r="A1219">
        <v>30</v>
      </c>
      <c r="B1219">
        <v>28</v>
      </c>
      <c r="C1219" t="s">
        <v>29</v>
      </c>
      <c r="D1219" t="s">
        <v>27</v>
      </c>
      <c r="E1219">
        <v>38383.607692307698</v>
      </c>
      <c r="F1219">
        <v>341360.20000000007</v>
      </c>
      <c r="G1219" t="s">
        <v>122</v>
      </c>
      <c r="H1219" t="s">
        <v>122</v>
      </c>
      <c r="I1219">
        <v>387418.90147349698</v>
      </c>
      <c r="J1219">
        <v>51535463.692307688</v>
      </c>
    </row>
    <row r="1220" spans="1:10" x14ac:dyDescent="0.25">
      <c r="A1220">
        <v>30</v>
      </c>
      <c r="B1220">
        <v>29</v>
      </c>
      <c r="C1220" t="s">
        <v>29</v>
      </c>
      <c r="D1220" t="s">
        <v>28</v>
      </c>
      <c r="E1220">
        <v>34430.807692307695</v>
      </c>
      <c r="F1220">
        <v>586139.20000000007</v>
      </c>
      <c r="G1220">
        <v>12467532467.520002</v>
      </c>
      <c r="H1220">
        <v>67322212.333600864</v>
      </c>
      <c r="I1220">
        <v>230609.82672075843</v>
      </c>
      <c r="J1220">
        <v>8067483.815384618</v>
      </c>
    </row>
    <row r="1221" spans="1:10" x14ac:dyDescent="0.25">
      <c r="A1221">
        <v>30</v>
      </c>
      <c r="B1221">
        <v>30</v>
      </c>
      <c r="C1221" t="s">
        <v>29</v>
      </c>
      <c r="D1221" t="s">
        <v>29</v>
      </c>
      <c r="E1221">
        <v>0</v>
      </c>
      <c r="F1221">
        <v>0</v>
      </c>
      <c r="G1221">
        <v>0</v>
      </c>
      <c r="H1221">
        <v>0</v>
      </c>
      <c r="I1221">
        <v>16298.145806071323</v>
      </c>
      <c r="J1221">
        <v>1492439.3230769238</v>
      </c>
    </row>
    <row r="1222" spans="1:10" x14ac:dyDescent="0.25">
      <c r="A1222">
        <v>30</v>
      </c>
      <c r="B1222">
        <v>31</v>
      </c>
      <c r="C1222" t="s">
        <v>29</v>
      </c>
      <c r="D1222" t="s">
        <v>30</v>
      </c>
      <c r="E1222">
        <v>4479.7692307692323</v>
      </c>
      <c r="F1222">
        <v>249040.49230769236</v>
      </c>
      <c r="G1222">
        <v>15499333887.360003</v>
      </c>
      <c r="H1222">
        <v>40782409.853530526</v>
      </c>
      <c r="I1222">
        <v>208973.81835052324</v>
      </c>
      <c r="J1222">
        <v>9636880.2461538482</v>
      </c>
    </row>
    <row r="1223" spans="1:10" x14ac:dyDescent="0.25">
      <c r="A1223">
        <v>30</v>
      </c>
      <c r="B1223">
        <v>32</v>
      </c>
      <c r="C1223" t="s">
        <v>29</v>
      </c>
      <c r="D1223" t="s">
        <v>31</v>
      </c>
      <c r="E1223">
        <v>2324.6923076923076</v>
      </c>
      <c r="F1223">
        <v>274587.30000000005</v>
      </c>
      <c r="G1223">
        <v>16627787720.388002</v>
      </c>
      <c r="H1223">
        <v>18704460.218916439</v>
      </c>
      <c r="I1223">
        <v>155712.23242701154</v>
      </c>
      <c r="J1223">
        <v>5249468.8</v>
      </c>
    </row>
    <row r="1224" spans="1:10" x14ac:dyDescent="0.25">
      <c r="A1224">
        <v>30</v>
      </c>
      <c r="B1224">
        <v>33</v>
      </c>
      <c r="C1224" t="s">
        <v>29</v>
      </c>
      <c r="D1224" t="s">
        <v>32</v>
      </c>
      <c r="E1224">
        <v>66002.076923076893</v>
      </c>
      <c r="F1224">
        <v>324297.52307692316</v>
      </c>
      <c r="G1224">
        <v>18071064372.632</v>
      </c>
      <c r="H1224">
        <v>97608080.582916453</v>
      </c>
      <c r="I1224">
        <v>60246.545216347979</v>
      </c>
      <c r="J1224">
        <v>4039574.8</v>
      </c>
    </row>
    <row r="1225" spans="1:10" x14ac:dyDescent="0.25">
      <c r="A1225">
        <v>30</v>
      </c>
      <c r="B1225">
        <v>34</v>
      </c>
      <c r="C1225" t="s">
        <v>29</v>
      </c>
      <c r="D1225" t="s">
        <v>33</v>
      </c>
      <c r="E1225">
        <v>298612.61538461567</v>
      </c>
      <c r="F1225">
        <v>491859.18888888904</v>
      </c>
      <c r="G1225">
        <v>25625785043.640892</v>
      </c>
      <c r="H1225">
        <v>807382518.74153042</v>
      </c>
      <c r="I1225">
        <v>1956581.9091954043</v>
      </c>
      <c r="J1225">
        <v>1274109.2000000007</v>
      </c>
    </row>
    <row r="1226" spans="1:10" x14ac:dyDescent="0.25">
      <c r="A1226">
        <v>30</v>
      </c>
      <c r="B1226">
        <v>35</v>
      </c>
      <c r="C1226" t="s">
        <v>29</v>
      </c>
      <c r="D1226" t="s">
        <v>34</v>
      </c>
      <c r="E1226">
        <v>24930.923076923093</v>
      </c>
      <c r="F1226">
        <v>240269.33846153854</v>
      </c>
      <c r="G1226">
        <v>12618945656.000004</v>
      </c>
      <c r="H1226">
        <v>177647909.81353053</v>
      </c>
      <c r="I1226">
        <v>1956581.1980842932</v>
      </c>
      <c r="J1226">
        <v>3242524.9230769235</v>
      </c>
    </row>
    <row r="1227" spans="1:10" x14ac:dyDescent="0.25">
      <c r="A1227">
        <v>30</v>
      </c>
      <c r="B1227">
        <v>36</v>
      </c>
      <c r="C1227" t="s">
        <v>29</v>
      </c>
      <c r="D1227" t="s">
        <v>35</v>
      </c>
      <c r="E1227">
        <v>5555.1538461538421</v>
      </c>
      <c r="F1227">
        <v>316115.72307692317</v>
      </c>
      <c r="G1227">
        <v>16021313853.840004</v>
      </c>
      <c r="H1227">
        <v>32528434.150198314</v>
      </c>
      <c r="I1227">
        <v>1956579.8591954042</v>
      </c>
      <c r="J1227">
        <v>3278976.7384615391</v>
      </c>
    </row>
    <row r="1228" spans="1:10" x14ac:dyDescent="0.25">
      <c r="A1228">
        <v>30</v>
      </c>
      <c r="B1228">
        <v>37</v>
      </c>
      <c r="C1228" t="s">
        <v>29</v>
      </c>
      <c r="D1228" t="s">
        <v>36</v>
      </c>
      <c r="E1228">
        <v>11974.153846153891</v>
      </c>
      <c r="F1228">
        <v>310931.22673992673</v>
      </c>
      <c r="G1228">
        <v>14795077873.713144</v>
      </c>
      <c r="H1228">
        <v>85881145.633389011</v>
      </c>
      <c r="I1228">
        <v>717925.54526804166</v>
      </c>
      <c r="J1228">
        <v>2028925.2307692317</v>
      </c>
    </row>
    <row r="1229" spans="1:10" x14ac:dyDescent="0.25">
      <c r="A1229">
        <v>30</v>
      </c>
      <c r="B1229">
        <v>38</v>
      </c>
      <c r="C1229" t="s">
        <v>29</v>
      </c>
      <c r="D1229" t="s">
        <v>37</v>
      </c>
      <c r="E1229">
        <v>1942.3076923076924</v>
      </c>
      <c r="F1229">
        <v>231908.18461538467</v>
      </c>
      <c r="G1229">
        <v>16978666091.264002</v>
      </c>
      <c r="H1229">
        <v>15846593.546007767</v>
      </c>
      <c r="I1229">
        <v>208975.2650171899</v>
      </c>
      <c r="J1229">
        <v>9523189.1999999993</v>
      </c>
    </row>
    <row r="1230" spans="1:10" x14ac:dyDescent="0.25">
      <c r="A1230">
        <v>30</v>
      </c>
      <c r="B1230">
        <v>39</v>
      </c>
      <c r="C1230" t="s">
        <v>29</v>
      </c>
      <c r="D1230" t="s">
        <v>38</v>
      </c>
      <c r="E1230">
        <v>5012.6923076923122</v>
      </c>
      <c r="F1230">
        <v>316078.64249084255</v>
      </c>
      <c r="G1230">
        <v>16517448052.100956</v>
      </c>
      <c r="H1230">
        <v>33222807.953389004</v>
      </c>
      <c r="I1230">
        <v>1956588.6681637964</v>
      </c>
      <c r="J1230">
        <v>7154705.2153846156</v>
      </c>
    </row>
    <row r="1231" spans="1:10" x14ac:dyDescent="0.25">
      <c r="A1231">
        <v>30</v>
      </c>
      <c r="B1231">
        <v>40</v>
      </c>
      <c r="C1231" t="s">
        <v>29</v>
      </c>
      <c r="D1231" t="s">
        <v>39</v>
      </c>
      <c r="E1231">
        <v>11559.076923076922</v>
      </c>
      <c r="F1231">
        <v>297397.94285714295</v>
      </c>
      <c r="G1231">
        <v>18805685310.464001</v>
      </c>
      <c r="H1231">
        <v>18681014.966944698</v>
      </c>
      <c r="I1231">
        <v>193814.20705250243</v>
      </c>
      <c r="J1231">
        <v>143352.61538461543</v>
      </c>
    </row>
    <row r="1232" spans="1:10" x14ac:dyDescent="0.25">
      <c r="A1232">
        <v>30</v>
      </c>
      <c r="B1232">
        <v>41</v>
      </c>
      <c r="C1232" t="s">
        <v>29</v>
      </c>
      <c r="D1232" t="s">
        <v>40</v>
      </c>
      <c r="E1232">
        <v>23917.999999999993</v>
      </c>
      <c r="F1232">
        <v>245576.29267399275</v>
      </c>
      <c r="G1232">
        <v>15309530599.899622</v>
      </c>
      <c r="H1232">
        <v>172812810.50600779</v>
      </c>
      <c r="I1232">
        <v>0</v>
      </c>
      <c r="J1232">
        <v>0</v>
      </c>
    </row>
    <row r="1233" spans="1:10" x14ac:dyDescent="0.25">
      <c r="A1233">
        <v>31</v>
      </c>
      <c r="B1233">
        <v>1</v>
      </c>
      <c r="C1233" t="s">
        <v>30</v>
      </c>
      <c r="D1233" t="s">
        <v>0</v>
      </c>
      <c r="E1233">
        <v>94315.379120879094</v>
      </c>
      <c r="F1233">
        <v>68695.153846153888</v>
      </c>
      <c r="G1233">
        <v>1125655277.7600007</v>
      </c>
      <c r="H1233">
        <v>171277147.40713573</v>
      </c>
      <c r="I1233">
        <v>0</v>
      </c>
      <c r="J1233">
        <v>150640.06153846154</v>
      </c>
    </row>
    <row r="1234" spans="1:10" x14ac:dyDescent="0.25">
      <c r="A1234">
        <v>31</v>
      </c>
      <c r="B1234">
        <v>2</v>
      </c>
      <c r="C1234" t="s">
        <v>30</v>
      </c>
      <c r="D1234" t="s">
        <v>1</v>
      </c>
      <c r="E1234">
        <v>23054.37912087909</v>
      </c>
      <c r="F1234">
        <v>59083.538461538497</v>
      </c>
      <c r="G1234">
        <v>1138825750.4800007</v>
      </c>
      <c r="H1234">
        <v>47745678.845707156</v>
      </c>
      <c r="I1234">
        <v>1365014.6156819749</v>
      </c>
      <c r="J1234">
        <v>5755381.107692305</v>
      </c>
    </row>
    <row r="1235" spans="1:10" x14ac:dyDescent="0.25">
      <c r="A1235">
        <v>31</v>
      </c>
      <c r="B1235">
        <v>3</v>
      </c>
      <c r="C1235" t="s">
        <v>30</v>
      </c>
      <c r="D1235" t="s">
        <v>2</v>
      </c>
      <c r="E1235">
        <v>18319.021978021992</v>
      </c>
      <c r="F1235">
        <v>62117.76923076919</v>
      </c>
      <c r="G1235">
        <v>1373481026.0399992</v>
      </c>
      <c r="H1235">
        <v>90432382.706712753</v>
      </c>
      <c r="I1235">
        <v>1365015.5401264192</v>
      </c>
      <c r="J1235">
        <v>25800129.969230793</v>
      </c>
    </row>
    <row r="1236" spans="1:10" x14ac:dyDescent="0.25">
      <c r="A1236">
        <v>31</v>
      </c>
      <c r="B1236">
        <v>4</v>
      </c>
      <c r="C1236" t="s">
        <v>30</v>
      </c>
      <c r="D1236" t="s">
        <v>3</v>
      </c>
      <c r="E1236">
        <v>32975.379120879094</v>
      </c>
      <c r="F1236">
        <v>51224.69230769229</v>
      </c>
      <c r="G1236">
        <v>495019034.55999976</v>
      </c>
      <c r="H1236">
        <v>140630323.11302742</v>
      </c>
      <c r="I1236">
        <v>554294.65016514342</v>
      </c>
      <c r="J1236">
        <v>2622733.1076923092</v>
      </c>
    </row>
    <row r="1237" spans="1:10" x14ac:dyDescent="0.25">
      <c r="A1237">
        <v>31</v>
      </c>
      <c r="B1237">
        <v>5</v>
      </c>
      <c r="C1237" t="s">
        <v>30</v>
      </c>
      <c r="D1237" t="s">
        <v>4</v>
      </c>
      <c r="E1237">
        <v>66711.950549450587</v>
      </c>
      <c r="F1237">
        <v>83024.76923076919</v>
      </c>
      <c r="G1237">
        <v>1290696420.4799993</v>
      </c>
      <c r="H1237">
        <v>52065853.352721281</v>
      </c>
      <c r="I1237">
        <v>61320.906260264441</v>
      </c>
      <c r="J1237">
        <v>4768544.0615384588</v>
      </c>
    </row>
    <row r="1238" spans="1:10" x14ac:dyDescent="0.25">
      <c r="A1238">
        <v>31</v>
      </c>
      <c r="B1238">
        <v>6</v>
      </c>
      <c r="C1238" t="s">
        <v>30</v>
      </c>
      <c r="D1238" t="s">
        <v>5</v>
      </c>
      <c r="E1238">
        <v>15040.093406593391</v>
      </c>
      <c r="F1238">
        <v>148814.0805860807</v>
      </c>
      <c r="G1238">
        <v>4079803497.4628601</v>
      </c>
      <c r="H1238">
        <v>171522627.11557838</v>
      </c>
      <c r="I1238">
        <v>1261.368881648541</v>
      </c>
      <c r="J1238">
        <v>11974153.846153891</v>
      </c>
    </row>
    <row r="1239" spans="1:10" x14ac:dyDescent="0.25">
      <c r="A1239">
        <v>31</v>
      </c>
      <c r="B1239">
        <v>7</v>
      </c>
      <c r="C1239" t="s">
        <v>30</v>
      </c>
      <c r="D1239" t="s">
        <v>6</v>
      </c>
      <c r="E1239">
        <v>6790.0934065934025</v>
      </c>
      <c r="F1239">
        <v>82360.384615384595</v>
      </c>
      <c r="G1239">
        <v>1340925893.9999995</v>
      </c>
      <c r="H1239">
        <v>32833629.581292711</v>
      </c>
      <c r="I1239">
        <v>61320.62848248666</v>
      </c>
      <c r="J1239">
        <v>1729430.7692307695</v>
      </c>
    </row>
    <row r="1240" spans="1:10" x14ac:dyDescent="0.25">
      <c r="A1240">
        <v>31</v>
      </c>
      <c r="B1240">
        <v>8</v>
      </c>
      <c r="C1240" t="s">
        <v>30</v>
      </c>
      <c r="D1240" t="s">
        <v>7</v>
      </c>
      <c r="E1240">
        <v>36437.164835164796</v>
      </c>
      <c r="F1240">
        <v>139958.1538461537</v>
      </c>
      <c r="G1240">
        <v>1271654187.5199988</v>
      </c>
      <c r="H1240">
        <v>57694135.656455979</v>
      </c>
      <c r="I1240">
        <v>58849.582861860486</v>
      </c>
      <c r="J1240">
        <v>4812184.6153846197</v>
      </c>
    </row>
    <row r="1241" spans="1:10" x14ac:dyDescent="0.25">
      <c r="A1241">
        <v>31</v>
      </c>
      <c r="B1241">
        <v>9</v>
      </c>
      <c r="C1241" t="s">
        <v>30</v>
      </c>
      <c r="D1241" t="s">
        <v>8</v>
      </c>
      <c r="E1241">
        <v>2432.7622377622374</v>
      </c>
      <c r="F1241">
        <v>590290.92948717973</v>
      </c>
      <c r="G1241">
        <v>9300623885.0000038</v>
      </c>
      <c r="H1241">
        <v>38616521.145707153</v>
      </c>
      <c r="I1241">
        <v>1260.7688816485411</v>
      </c>
      <c r="J1241">
        <v>10578867.199999999</v>
      </c>
    </row>
    <row r="1242" spans="1:10" x14ac:dyDescent="0.25">
      <c r="A1242">
        <v>31</v>
      </c>
      <c r="B1242">
        <v>10</v>
      </c>
      <c r="C1242" t="s">
        <v>30</v>
      </c>
      <c r="D1242" t="s">
        <v>9</v>
      </c>
      <c r="E1242">
        <v>22915.521978021992</v>
      </c>
      <c r="F1242">
        <v>114667.23076923079</v>
      </c>
      <c r="G1242">
        <v>2288482724.8000007</v>
      </c>
      <c r="H1242">
        <v>99401630.412721276</v>
      </c>
      <c r="I1242">
        <v>79.474954397757131</v>
      </c>
      <c r="J1242">
        <v>25</v>
      </c>
    </row>
    <row r="1243" spans="1:10" x14ac:dyDescent="0.25">
      <c r="A1243">
        <v>31</v>
      </c>
      <c r="B1243">
        <v>11</v>
      </c>
      <c r="C1243" t="s">
        <v>30</v>
      </c>
      <c r="D1243" t="s">
        <v>10</v>
      </c>
      <c r="E1243">
        <v>23082.69230769229</v>
      </c>
      <c r="F1243">
        <v>117431.30769230769</v>
      </c>
      <c r="G1243">
        <v>13408128216.719997</v>
      </c>
      <c r="H1243">
        <v>96659673.828218699</v>
      </c>
      <c r="I1243">
        <v>554292.72238736565</v>
      </c>
      <c r="J1243">
        <v>8025401.3032967029</v>
      </c>
    </row>
    <row r="1244" spans="1:10" x14ac:dyDescent="0.25">
      <c r="A1244">
        <v>31</v>
      </c>
      <c r="B1244">
        <v>12</v>
      </c>
      <c r="C1244" t="s">
        <v>30</v>
      </c>
      <c r="D1244" t="s">
        <v>11</v>
      </c>
      <c r="E1244">
        <v>20051.307692307691</v>
      </c>
      <c r="F1244">
        <v>62157.384615384595</v>
      </c>
      <c r="G1244">
        <v>6029542286.4799976</v>
      </c>
      <c r="H1244">
        <v>107484607.73785549</v>
      </c>
      <c r="I1244">
        <v>554293.10016514338</v>
      </c>
      <c r="J1244">
        <v>740686.03076923068</v>
      </c>
    </row>
    <row r="1245" spans="1:10" x14ac:dyDescent="0.25">
      <c r="A1245">
        <v>31</v>
      </c>
      <c r="B1245">
        <v>13</v>
      </c>
      <c r="C1245" t="s">
        <v>30</v>
      </c>
      <c r="D1245" t="s">
        <v>12</v>
      </c>
      <c r="E1245">
        <v>5129.6923076923122</v>
      </c>
      <c r="F1245">
        <v>43845.846153846192</v>
      </c>
      <c r="G1245">
        <v>3928549231.0400033</v>
      </c>
      <c r="H1245">
        <v>38406546.142565504</v>
      </c>
      <c r="I1245">
        <v>101718.08902637701</v>
      </c>
      <c r="J1245">
        <v>2016891.0681318683</v>
      </c>
    </row>
    <row r="1246" spans="1:10" x14ac:dyDescent="0.25">
      <c r="A1246">
        <v>31</v>
      </c>
      <c r="B1246">
        <v>14</v>
      </c>
      <c r="C1246" t="s">
        <v>30</v>
      </c>
      <c r="D1246" t="s">
        <v>13</v>
      </c>
      <c r="E1246">
        <v>25754.69230769229</v>
      </c>
      <c r="F1246">
        <v>190310.07692307667</v>
      </c>
      <c r="G1246">
        <v>15662298571.079981</v>
      </c>
      <c r="H1246">
        <v>78529421.534565508</v>
      </c>
      <c r="I1246">
        <v>193811.64371916908</v>
      </c>
      <c r="J1246">
        <v>4913385.2835164834</v>
      </c>
    </row>
    <row r="1247" spans="1:10" x14ac:dyDescent="0.25">
      <c r="A1247">
        <v>31</v>
      </c>
      <c r="B1247">
        <v>15</v>
      </c>
      <c r="C1247" t="s">
        <v>30</v>
      </c>
      <c r="D1247" t="s">
        <v>14</v>
      </c>
      <c r="E1247">
        <v>49554.076923076893</v>
      </c>
      <c r="F1247">
        <v>312485.76923076971</v>
      </c>
      <c r="G1247">
        <v>28556449524.000042</v>
      </c>
      <c r="H1247">
        <v>144701926.06011951</v>
      </c>
      <c r="I1247">
        <v>302763.45159345324</v>
      </c>
      <c r="J1247">
        <v>9707498.9274725262</v>
      </c>
    </row>
    <row r="1248" spans="1:10" x14ac:dyDescent="0.25">
      <c r="A1248">
        <v>31</v>
      </c>
      <c r="B1248">
        <v>16</v>
      </c>
      <c r="C1248" t="s">
        <v>30</v>
      </c>
      <c r="D1248" t="s">
        <v>15</v>
      </c>
      <c r="E1248">
        <v>39246.538461538497</v>
      </c>
      <c r="F1248">
        <v>550698.99999999977</v>
      </c>
      <c r="G1248">
        <v>58539568035.519966</v>
      </c>
      <c r="H1248">
        <v>115258112.78578752</v>
      </c>
      <c r="I1248">
        <v>302765.99603789765</v>
      </c>
      <c r="J1248">
        <v>3560887.3538461537</v>
      </c>
    </row>
    <row r="1249" spans="1:10" x14ac:dyDescent="0.25">
      <c r="A1249">
        <v>31</v>
      </c>
      <c r="B1249">
        <v>17</v>
      </c>
      <c r="C1249" t="s">
        <v>30</v>
      </c>
      <c r="D1249" t="s">
        <v>16</v>
      </c>
      <c r="E1249">
        <v>66305.61538461539</v>
      </c>
      <c r="F1249">
        <v>195582.84615384569</v>
      </c>
      <c r="G1249">
        <v>24190586093.399944</v>
      </c>
      <c r="H1249">
        <v>390511922.71668971</v>
      </c>
      <c r="I1249">
        <v>302763.8904823421</v>
      </c>
      <c r="J1249">
        <v>704600.87912087899</v>
      </c>
    </row>
    <row r="1250" spans="1:10" x14ac:dyDescent="0.25">
      <c r="A1250">
        <v>31</v>
      </c>
      <c r="B1250">
        <v>18</v>
      </c>
      <c r="C1250" t="s">
        <v>30</v>
      </c>
      <c r="D1250" t="s">
        <v>17</v>
      </c>
      <c r="E1250">
        <v>25572.076923076893</v>
      </c>
      <c r="F1250">
        <v>72753.692307692298</v>
      </c>
      <c r="G1250">
        <v>8631693035.2799988</v>
      </c>
      <c r="H1250">
        <v>108671105.69378754</v>
      </c>
      <c r="I1250">
        <v>193811.79705250243</v>
      </c>
      <c r="J1250">
        <v>1176946.3406593406</v>
      </c>
    </row>
    <row r="1251" spans="1:10" x14ac:dyDescent="0.25">
      <c r="A1251">
        <v>31</v>
      </c>
      <c r="B1251">
        <v>19</v>
      </c>
      <c r="C1251" t="s">
        <v>30</v>
      </c>
      <c r="D1251" t="s">
        <v>18</v>
      </c>
      <c r="E1251">
        <v>3123.2307692307722</v>
      </c>
      <c r="F1251">
        <v>111472.69230769228</v>
      </c>
      <c r="G1251">
        <v>5040763933.7999992</v>
      </c>
      <c r="H1251">
        <v>30200147.557388969</v>
      </c>
      <c r="I1251">
        <v>554295.18349847675</v>
      </c>
      <c r="J1251">
        <v>175016.44615384607</v>
      </c>
    </row>
    <row r="1252" spans="1:10" x14ac:dyDescent="0.25">
      <c r="A1252">
        <v>31</v>
      </c>
      <c r="B1252">
        <v>20</v>
      </c>
      <c r="C1252" t="s">
        <v>30</v>
      </c>
      <c r="D1252" t="s">
        <v>19</v>
      </c>
      <c r="E1252">
        <v>60294.999999999993</v>
      </c>
      <c r="F1252">
        <v>83287.974358974388</v>
      </c>
      <c r="G1252">
        <v>3083870511.400001</v>
      </c>
      <c r="H1252">
        <v>154376603.53131899</v>
      </c>
      <c r="I1252">
        <v>302764.43937123101</v>
      </c>
      <c r="J1252">
        <v>3577075.1868131869</v>
      </c>
    </row>
    <row r="1253" spans="1:10" x14ac:dyDescent="0.25">
      <c r="A1253">
        <v>31</v>
      </c>
      <c r="B1253">
        <v>21</v>
      </c>
      <c r="C1253" t="s">
        <v>30</v>
      </c>
      <c r="D1253" t="s">
        <v>20</v>
      </c>
      <c r="E1253">
        <v>39139.615384615397</v>
      </c>
      <c r="F1253">
        <v>127439.64102564068</v>
      </c>
      <c r="G1253">
        <v>3152464204.8799915</v>
      </c>
      <c r="H1253">
        <v>152207508.77156481</v>
      </c>
      <c r="I1253">
        <v>73601.202826713095</v>
      </c>
      <c r="J1253">
        <v>8901790.4615384601</v>
      </c>
    </row>
    <row r="1254" spans="1:10" x14ac:dyDescent="0.25">
      <c r="A1254">
        <v>31</v>
      </c>
      <c r="B1254">
        <v>22</v>
      </c>
      <c r="C1254" t="s">
        <v>30</v>
      </c>
      <c r="D1254" t="s">
        <v>21</v>
      </c>
      <c r="E1254">
        <v>23579.461538461492</v>
      </c>
      <c r="F1254">
        <v>146566.64102564068</v>
      </c>
      <c r="G1254">
        <v>6958702707.9466515</v>
      </c>
      <c r="H1254">
        <v>115490419.6757459</v>
      </c>
      <c r="I1254">
        <v>492326.55045621993</v>
      </c>
      <c r="J1254">
        <v>4082685.2307692305</v>
      </c>
    </row>
    <row r="1255" spans="1:10" x14ac:dyDescent="0.25">
      <c r="A1255">
        <v>31</v>
      </c>
      <c r="B1255">
        <v>23</v>
      </c>
      <c r="C1255" t="s">
        <v>30</v>
      </c>
      <c r="D1255" t="s">
        <v>22</v>
      </c>
      <c r="E1255">
        <v>8258.0000000000036</v>
      </c>
      <c r="F1255">
        <v>130302.97435897469</v>
      </c>
      <c r="G1255">
        <v>6159160992.0000162</v>
      </c>
      <c r="H1255">
        <v>38348245.213530526</v>
      </c>
      <c r="I1255">
        <v>433833.79104123561</v>
      </c>
      <c r="J1255">
        <v>1494769.2923076919</v>
      </c>
    </row>
    <row r="1256" spans="1:10" x14ac:dyDescent="0.25">
      <c r="A1256">
        <v>31</v>
      </c>
      <c r="B1256">
        <v>24</v>
      </c>
      <c r="C1256" t="s">
        <v>30</v>
      </c>
      <c r="D1256" t="s">
        <v>23</v>
      </c>
      <c r="E1256">
        <v>9420.3846153846134</v>
      </c>
      <c r="F1256">
        <v>87774.974358974388</v>
      </c>
      <c r="G1256">
        <v>5794696658.2400017</v>
      </c>
      <c r="H1256">
        <v>67768337.253530532</v>
      </c>
      <c r="I1256">
        <v>433833.29326345783</v>
      </c>
      <c r="J1256">
        <v>6975572.9230769239</v>
      </c>
    </row>
    <row r="1257" spans="1:10" x14ac:dyDescent="0.25">
      <c r="A1257">
        <v>31</v>
      </c>
      <c r="B1257">
        <v>25</v>
      </c>
      <c r="C1257" t="s">
        <v>30</v>
      </c>
      <c r="D1257" t="s">
        <v>24</v>
      </c>
      <c r="E1257">
        <v>7025.0000000000027</v>
      </c>
      <c r="F1257">
        <v>80722.641025640987</v>
      </c>
      <c r="G1257">
        <v>4727101713.9333305</v>
      </c>
      <c r="H1257">
        <v>43250371.113530524</v>
      </c>
      <c r="I1257">
        <v>540636.07087370008</v>
      </c>
      <c r="J1257">
        <v>17015005.846153844</v>
      </c>
    </row>
    <row r="1258" spans="1:10" x14ac:dyDescent="0.25">
      <c r="A1258">
        <v>31</v>
      </c>
      <c r="B1258">
        <v>26</v>
      </c>
      <c r="C1258" t="s">
        <v>30</v>
      </c>
      <c r="D1258" t="s">
        <v>25</v>
      </c>
      <c r="E1258">
        <v>6104.076923076922</v>
      </c>
      <c r="F1258">
        <v>66796.307692307688</v>
      </c>
      <c r="G1258">
        <v>4806154649.5999994</v>
      </c>
      <c r="H1258">
        <v>47507468.700119525</v>
      </c>
      <c r="I1258">
        <v>65972.702411887221</v>
      </c>
      <c r="J1258">
        <v>26440513.600000005</v>
      </c>
    </row>
    <row r="1259" spans="1:10" x14ac:dyDescent="0.25">
      <c r="A1259">
        <v>31</v>
      </c>
      <c r="B1259">
        <v>27</v>
      </c>
      <c r="C1259" t="s">
        <v>30</v>
      </c>
      <c r="D1259" t="s">
        <v>26</v>
      </c>
      <c r="E1259">
        <v>61319.307692307695</v>
      </c>
      <c r="F1259">
        <v>436729.40769230766</v>
      </c>
      <c r="G1259">
        <v>14909068519.799995</v>
      </c>
      <c r="H1259">
        <v>45875274.143319011</v>
      </c>
      <c r="I1259">
        <v>387417.5936957192</v>
      </c>
      <c r="J1259">
        <v>47656583.446153849</v>
      </c>
    </row>
    <row r="1260" spans="1:10" x14ac:dyDescent="0.25">
      <c r="A1260">
        <v>31</v>
      </c>
      <c r="B1260">
        <v>28</v>
      </c>
      <c r="C1260" t="s">
        <v>30</v>
      </c>
      <c r="D1260" t="s">
        <v>27</v>
      </c>
      <c r="E1260">
        <v>38383.607692307698</v>
      </c>
      <c r="F1260">
        <v>136728.70769230768</v>
      </c>
      <c r="G1260" t="s">
        <v>122</v>
      </c>
      <c r="H1260" t="s">
        <v>122</v>
      </c>
      <c r="I1260">
        <v>230608.51894298068</v>
      </c>
      <c r="J1260">
        <v>6359620.4000000004</v>
      </c>
    </row>
    <row r="1261" spans="1:10" x14ac:dyDescent="0.25">
      <c r="A1261">
        <v>31</v>
      </c>
      <c r="B1261">
        <v>29</v>
      </c>
      <c r="C1261" t="s">
        <v>30</v>
      </c>
      <c r="D1261" t="s">
        <v>28</v>
      </c>
      <c r="E1261">
        <v>34430.807692307695</v>
      </c>
      <c r="F1261">
        <v>381507.70769230771</v>
      </c>
      <c r="G1261">
        <v>17211598150.071999</v>
      </c>
      <c r="H1261">
        <v>37020227.883745946</v>
      </c>
      <c r="I1261">
        <v>16280.838028293543</v>
      </c>
      <c r="J1261">
        <v>691949.07692307676</v>
      </c>
    </row>
    <row r="1262" spans="1:10" x14ac:dyDescent="0.25">
      <c r="A1262">
        <v>31</v>
      </c>
      <c r="B1262">
        <v>30</v>
      </c>
      <c r="C1262" t="s">
        <v>30</v>
      </c>
      <c r="D1262" t="s">
        <v>29</v>
      </c>
      <c r="E1262">
        <v>9590.6076923076926</v>
      </c>
      <c r="F1262">
        <v>249657.40769230769</v>
      </c>
      <c r="G1262">
        <v>15537728356.620001</v>
      </c>
      <c r="H1262">
        <v>40782409.853530526</v>
      </c>
      <c r="I1262">
        <v>208972.51057274546</v>
      </c>
      <c r="J1262">
        <v>7985197.846153846</v>
      </c>
    </row>
    <row r="1263" spans="1:10" x14ac:dyDescent="0.25">
      <c r="A1263">
        <v>31</v>
      </c>
      <c r="B1263">
        <v>31</v>
      </c>
      <c r="C1263" t="s">
        <v>30</v>
      </c>
      <c r="D1263" t="s">
        <v>30</v>
      </c>
      <c r="E1263">
        <v>0</v>
      </c>
      <c r="F1263">
        <v>0</v>
      </c>
      <c r="G1263">
        <v>0</v>
      </c>
      <c r="H1263">
        <v>0</v>
      </c>
      <c r="I1263">
        <v>155710.92464923376</v>
      </c>
      <c r="J1263">
        <v>4053831.6307692309</v>
      </c>
    </row>
    <row r="1264" spans="1:10" x14ac:dyDescent="0.25">
      <c r="A1264">
        <v>31</v>
      </c>
      <c r="B1264">
        <v>32</v>
      </c>
      <c r="C1264" t="s">
        <v>30</v>
      </c>
      <c r="D1264" t="s">
        <v>31</v>
      </c>
      <c r="E1264">
        <v>2324.6923076923076</v>
      </c>
      <c r="F1264">
        <v>69955.807692307688</v>
      </c>
      <c r="G1264">
        <v>229997346.65199995</v>
      </c>
      <c r="H1264">
        <v>300134039.9502573</v>
      </c>
      <c r="I1264">
        <v>60245.237438570199</v>
      </c>
      <c r="J1264">
        <v>2976855.7846153844</v>
      </c>
    </row>
    <row r="1265" spans="1:10" x14ac:dyDescent="0.25">
      <c r="A1265">
        <v>31</v>
      </c>
      <c r="B1265">
        <v>33</v>
      </c>
      <c r="C1265" t="s">
        <v>30</v>
      </c>
      <c r="D1265" t="s">
        <v>32</v>
      </c>
      <c r="E1265">
        <v>66002.076923076893</v>
      </c>
      <c r="F1265">
        <v>119666.03076923078</v>
      </c>
      <c r="G1265">
        <v>1256971987.1999998</v>
      </c>
      <c r="H1265">
        <v>379037660.31425732</v>
      </c>
      <c r="I1265">
        <v>1956580.6014176265</v>
      </c>
      <c r="J1265">
        <v>438021.99999999994</v>
      </c>
    </row>
    <row r="1266" spans="1:10" x14ac:dyDescent="0.25">
      <c r="A1266">
        <v>31</v>
      </c>
      <c r="B1266">
        <v>34</v>
      </c>
      <c r="C1266" t="s">
        <v>30</v>
      </c>
      <c r="D1266" t="s">
        <v>33</v>
      </c>
      <c r="E1266">
        <v>298612.61538461567</v>
      </c>
      <c r="F1266">
        <v>287227.69658119668</v>
      </c>
      <c r="G1266">
        <v>3635532868.4911118</v>
      </c>
      <c r="H1266">
        <v>1088934375.2295985</v>
      </c>
      <c r="I1266">
        <v>1956579.8903065154</v>
      </c>
      <c r="J1266">
        <v>2017528.1846153843</v>
      </c>
    </row>
    <row r="1267" spans="1:10" x14ac:dyDescent="0.25">
      <c r="A1267">
        <v>31</v>
      </c>
      <c r="B1267">
        <v>35</v>
      </c>
      <c r="C1267" t="s">
        <v>30</v>
      </c>
      <c r="D1267" t="s">
        <v>34</v>
      </c>
      <c r="E1267">
        <v>24930.923076923093</v>
      </c>
      <c r="F1267">
        <v>35637.846153846192</v>
      </c>
      <c r="G1267">
        <v>404287130.88000041</v>
      </c>
      <c r="H1267">
        <v>459199766.30159879</v>
      </c>
      <c r="I1267">
        <v>1956578.5514176264</v>
      </c>
      <c r="J1267">
        <v>1759670.7692307692</v>
      </c>
    </row>
    <row r="1268" spans="1:10" x14ac:dyDescent="0.25">
      <c r="A1268">
        <v>31</v>
      </c>
      <c r="B1268">
        <v>36</v>
      </c>
      <c r="C1268" t="s">
        <v>30</v>
      </c>
      <c r="D1268" t="s">
        <v>35</v>
      </c>
      <c r="E1268">
        <v>5555.1538461538421</v>
      </c>
      <c r="F1268">
        <v>111484.23076923079</v>
      </c>
      <c r="G1268">
        <v>1586746137.8000004</v>
      </c>
      <c r="H1268">
        <v>314065063.18853694</v>
      </c>
      <c r="I1268">
        <v>717924.23749026388</v>
      </c>
      <c r="J1268">
        <v>831336.58461538434</v>
      </c>
    </row>
    <row r="1269" spans="1:10" x14ac:dyDescent="0.25">
      <c r="A1269">
        <v>31</v>
      </c>
      <c r="B1269">
        <v>37</v>
      </c>
      <c r="C1269" t="s">
        <v>30</v>
      </c>
      <c r="D1269" t="s">
        <v>36</v>
      </c>
      <c r="E1269">
        <v>11974.153846153891</v>
      </c>
      <c r="F1269">
        <v>106299.73443223439</v>
      </c>
      <c r="G1269">
        <v>11629101655.109518</v>
      </c>
      <c r="H1269">
        <v>367589518.41198951</v>
      </c>
      <c r="I1269">
        <v>208973.95723941212</v>
      </c>
      <c r="J1269">
        <v>7763508.461538461</v>
      </c>
    </row>
    <row r="1270" spans="1:10" x14ac:dyDescent="0.25">
      <c r="A1270">
        <v>31</v>
      </c>
      <c r="B1270">
        <v>38</v>
      </c>
      <c r="C1270" t="s">
        <v>30</v>
      </c>
      <c r="D1270" t="s">
        <v>37</v>
      </c>
      <c r="E1270">
        <v>1942.3076923076924</v>
      </c>
      <c r="F1270">
        <v>27276.692307692312</v>
      </c>
      <c r="G1270">
        <v>3683142303.4800005</v>
      </c>
      <c r="H1270">
        <v>297672405.40360826</v>
      </c>
      <c r="I1270">
        <v>1956587.3603860186</v>
      </c>
      <c r="J1270">
        <v>5764587.5076923072</v>
      </c>
    </row>
    <row r="1271" spans="1:10" x14ac:dyDescent="0.25">
      <c r="A1271">
        <v>31</v>
      </c>
      <c r="B1271">
        <v>39</v>
      </c>
      <c r="C1271" t="s">
        <v>30</v>
      </c>
      <c r="D1271" t="s">
        <v>38</v>
      </c>
      <c r="E1271">
        <v>5012.6923076923122</v>
      </c>
      <c r="F1271">
        <v>111447.15018315018</v>
      </c>
      <c r="G1271">
        <v>12713159799.588572</v>
      </c>
      <c r="H1271">
        <v>314931180.7319895</v>
      </c>
      <c r="I1271">
        <v>193812.89927472465</v>
      </c>
      <c r="J1271">
        <v>197133.90769230769</v>
      </c>
    </row>
    <row r="1272" spans="1:10" x14ac:dyDescent="0.25">
      <c r="A1272">
        <v>31</v>
      </c>
      <c r="B1272">
        <v>40</v>
      </c>
      <c r="C1272" t="s">
        <v>30</v>
      </c>
      <c r="D1272" t="s">
        <v>39</v>
      </c>
      <c r="E1272">
        <v>11559.076923076922</v>
      </c>
      <c r="F1272">
        <v>92766.450549450587</v>
      </c>
      <c r="G1272">
        <v>11605327867.165718</v>
      </c>
      <c r="H1272">
        <v>300144320.52096623</v>
      </c>
      <c r="I1272">
        <v>0</v>
      </c>
      <c r="J1272">
        <v>150640.06153846154</v>
      </c>
    </row>
    <row r="1273" spans="1:10" x14ac:dyDescent="0.25">
      <c r="A1273">
        <v>31</v>
      </c>
      <c r="B1273">
        <v>41</v>
      </c>
      <c r="C1273" t="s">
        <v>30</v>
      </c>
      <c r="D1273" t="s">
        <v>40</v>
      </c>
      <c r="E1273">
        <v>23917.999999999993</v>
      </c>
      <c r="F1273">
        <v>40944.800366300391</v>
      </c>
      <c r="G1273">
        <v>5085745464.5380983</v>
      </c>
      <c r="H1273">
        <v>454638622.36360824</v>
      </c>
      <c r="I1273">
        <v>0</v>
      </c>
      <c r="J1273">
        <v>0</v>
      </c>
    </row>
    <row r="1274" spans="1:10" x14ac:dyDescent="0.25">
      <c r="A1274">
        <v>32</v>
      </c>
      <c r="B1274">
        <v>1</v>
      </c>
      <c r="C1274" t="s">
        <v>31</v>
      </c>
      <c r="D1274" t="s">
        <v>0</v>
      </c>
      <c r="E1274">
        <v>92587.148351648328</v>
      </c>
      <c r="F1274">
        <v>95137.446153846191</v>
      </c>
      <c r="G1274">
        <v>1399053228.1600003</v>
      </c>
      <c r="H1274">
        <v>149229037.9573994</v>
      </c>
      <c r="I1274">
        <v>1365013.3079041971</v>
      </c>
      <c r="J1274">
        <v>2570953.8461538451</v>
      </c>
    </row>
    <row r="1275" spans="1:10" x14ac:dyDescent="0.25">
      <c r="A1275">
        <v>32</v>
      </c>
      <c r="B1275">
        <v>2</v>
      </c>
      <c r="C1275" t="s">
        <v>31</v>
      </c>
      <c r="D1275" t="s">
        <v>1</v>
      </c>
      <c r="E1275">
        <v>21326.14835164832</v>
      </c>
      <c r="F1275">
        <v>85525.830769230786</v>
      </c>
      <c r="G1275">
        <v>1504758571.7200003</v>
      </c>
      <c r="H1275">
        <v>25697569.395970821</v>
      </c>
      <c r="I1275">
        <v>1365014.2323486414</v>
      </c>
      <c r="J1275">
        <v>18763093.107692331</v>
      </c>
    </row>
    <row r="1276" spans="1:10" x14ac:dyDescent="0.25">
      <c r="A1276">
        <v>32</v>
      </c>
      <c r="B1276">
        <v>3</v>
      </c>
      <c r="C1276" t="s">
        <v>31</v>
      </c>
      <c r="D1276" t="s">
        <v>2</v>
      </c>
      <c r="E1276">
        <v>16590.791208791223</v>
      </c>
      <c r="F1276">
        <v>88560.061538461494</v>
      </c>
      <c r="G1276">
        <v>1809306854.0479991</v>
      </c>
      <c r="H1276">
        <v>68219165.703197882</v>
      </c>
      <c r="I1276">
        <v>554293.34238736564</v>
      </c>
      <c r="J1276">
        <v>1605626.3076923087</v>
      </c>
    </row>
    <row r="1277" spans="1:10" x14ac:dyDescent="0.25">
      <c r="A1277">
        <v>32</v>
      </c>
      <c r="B1277">
        <v>4</v>
      </c>
      <c r="C1277" t="s">
        <v>31</v>
      </c>
      <c r="D1277" t="s">
        <v>3</v>
      </c>
      <c r="E1277">
        <v>31247.14835164832</v>
      </c>
      <c r="F1277">
        <v>77666.984615384587</v>
      </c>
      <c r="G1277">
        <v>1003451227.8719996</v>
      </c>
      <c r="H1277">
        <v>118430096.72168599</v>
      </c>
      <c r="I1277">
        <v>61319.598482486661</v>
      </c>
      <c r="J1277">
        <v>3096746.1538461512</v>
      </c>
    </row>
    <row r="1278" spans="1:10" x14ac:dyDescent="0.25">
      <c r="A1278">
        <v>32</v>
      </c>
      <c r="B1278">
        <v>5</v>
      </c>
      <c r="C1278" t="s">
        <v>31</v>
      </c>
      <c r="D1278" t="s">
        <v>4</v>
      </c>
      <c r="E1278">
        <v>64983.719780219821</v>
      </c>
      <c r="F1278">
        <v>109467.06153846149</v>
      </c>
      <c r="G1278">
        <v>2092712466.2079992</v>
      </c>
      <c r="H1278">
        <v>29974138.925360691</v>
      </c>
      <c r="I1278">
        <v>1260.0611038707632</v>
      </c>
      <c r="J1278">
        <v>9622970.9538461976</v>
      </c>
    </row>
    <row r="1279" spans="1:10" x14ac:dyDescent="0.25">
      <c r="A1279">
        <v>32</v>
      </c>
      <c r="B1279">
        <v>6</v>
      </c>
      <c r="C1279" t="s">
        <v>31</v>
      </c>
      <c r="D1279" t="s">
        <v>5</v>
      </c>
      <c r="E1279">
        <v>13311.862637362623</v>
      </c>
      <c r="F1279">
        <v>175256.37289377299</v>
      </c>
      <c r="G1279">
        <v>5421429710.8803835</v>
      </c>
      <c r="H1279">
        <v>149430912.68821782</v>
      </c>
      <c r="I1279">
        <v>61319.32070470888</v>
      </c>
      <c r="J1279">
        <v>181622.86153846153</v>
      </c>
    </row>
    <row r="1280" spans="1:10" x14ac:dyDescent="0.25">
      <c r="A1280">
        <v>32</v>
      </c>
      <c r="B1280">
        <v>7</v>
      </c>
      <c r="C1280" t="s">
        <v>31</v>
      </c>
      <c r="D1280" t="s">
        <v>6</v>
      </c>
      <c r="E1280">
        <v>5061.862637362633</v>
      </c>
      <c r="F1280">
        <v>108802.67692307688</v>
      </c>
      <c r="G1280">
        <v>2160011671.7759991</v>
      </c>
      <c r="H1280">
        <v>10741915.153932123</v>
      </c>
      <c r="I1280">
        <v>58848.275084082714</v>
      </c>
      <c r="J1280">
        <v>3058490.5846153884</v>
      </c>
    </row>
    <row r="1281" spans="1:10" x14ac:dyDescent="0.25">
      <c r="A1281">
        <v>32</v>
      </c>
      <c r="B1281">
        <v>8</v>
      </c>
      <c r="C1281" t="s">
        <v>31</v>
      </c>
      <c r="D1281" t="s">
        <v>7</v>
      </c>
      <c r="E1281">
        <v>34708.934065934023</v>
      </c>
      <c r="F1281">
        <v>166400.44615384599</v>
      </c>
      <c r="G1281">
        <v>2097444343.6799979</v>
      </c>
      <c r="H1281">
        <v>35493909.265114561</v>
      </c>
      <c r="I1281">
        <v>1259.4611038707633</v>
      </c>
      <c r="J1281">
        <v>9134822.2461538464</v>
      </c>
    </row>
    <row r="1282" spans="1:10" x14ac:dyDescent="0.25">
      <c r="A1282">
        <v>32</v>
      </c>
      <c r="B1282">
        <v>9</v>
      </c>
      <c r="C1282" t="s">
        <v>31</v>
      </c>
      <c r="D1282" t="s">
        <v>8</v>
      </c>
      <c r="E1282">
        <v>704.53146853146802</v>
      </c>
      <c r="F1282">
        <v>616733.22179487196</v>
      </c>
      <c r="G1282">
        <v>9004650408.8093357</v>
      </c>
      <c r="H1282">
        <v>16568411.695970818</v>
      </c>
      <c r="I1282">
        <v>78.663338582723341</v>
      </c>
      <c r="J1282">
        <v>22.88</v>
      </c>
    </row>
    <row r="1283" spans="1:10" x14ac:dyDescent="0.25">
      <c r="A1283">
        <v>32</v>
      </c>
      <c r="B1283">
        <v>10</v>
      </c>
      <c r="C1283" t="s">
        <v>31</v>
      </c>
      <c r="D1283" t="s">
        <v>9</v>
      </c>
      <c r="E1283">
        <v>21187.291208791223</v>
      </c>
      <c r="F1283">
        <v>141109.5230769231</v>
      </c>
      <c r="G1283">
        <v>3275693891.1840005</v>
      </c>
      <c r="H1283">
        <v>77309915.985360697</v>
      </c>
      <c r="I1283">
        <v>2285612.2929103854</v>
      </c>
      <c r="J1283">
        <v>9945846.2197802179</v>
      </c>
    </row>
    <row r="1284" spans="1:10" x14ac:dyDescent="0.25">
      <c r="A1284">
        <v>32</v>
      </c>
      <c r="B1284">
        <v>11</v>
      </c>
      <c r="C1284" t="s">
        <v>31</v>
      </c>
      <c r="D1284" t="s">
        <v>10</v>
      </c>
      <c r="E1284">
        <v>21354.461538461521</v>
      </c>
      <c r="F1284">
        <v>143873.59999999998</v>
      </c>
      <c r="G1284">
        <v>16177912991.551996</v>
      </c>
      <c r="H1284">
        <v>74602635.604967341</v>
      </c>
      <c r="I1284">
        <v>2285612.670688163</v>
      </c>
      <c r="J1284">
        <v>5929288.6153846122</v>
      </c>
    </row>
    <row r="1285" spans="1:10" x14ac:dyDescent="0.25">
      <c r="A1285">
        <v>32</v>
      </c>
      <c r="B1285">
        <v>12</v>
      </c>
      <c r="C1285" t="s">
        <v>31</v>
      </c>
      <c r="D1285" t="s">
        <v>11</v>
      </c>
      <c r="E1285">
        <v>18323.076923076922</v>
      </c>
      <c r="F1285">
        <v>88599.676923076884</v>
      </c>
      <c r="G1285">
        <v>8445657883.0799952</v>
      </c>
      <c r="H1285">
        <v>85440552.493586257</v>
      </c>
      <c r="I1285">
        <v>1892074.3504607235</v>
      </c>
      <c r="J1285">
        <v>8262669.1648351597</v>
      </c>
    </row>
    <row r="1286" spans="1:10" x14ac:dyDescent="0.25">
      <c r="A1286">
        <v>32</v>
      </c>
      <c r="B1286">
        <v>13</v>
      </c>
      <c r="C1286" t="s">
        <v>31</v>
      </c>
      <c r="D1286" t="s">
        <v>12</v>
      </c>
      <c r="E1286">
        <v>3401.4615384615427</v>
      </c>
      <c r="F1286">
        <v>70288.138461538489</v>
      </c>
      <c r="G1286">
        <v>6179626295.5680027</v>
      </c>
      <c r="H1286">
        <v>16331225.772286709</v>
      </c>
      <c r="I1286">
        <v>1950889.1464550518</v>
      </c>
      <c r="J1286">
        <v>15755697.230769226</v>
      </c>
    </row>
    <row r="1287" spans="1:10" x14ac:dyDescent="0.25">
      <c r="A1287">
        <v>32</v>
      </c>
      <c r="B1287">
        <v>14</v>
      </c>
      <c r="C1287" t="s">
        <v>31</v>
      </c>
      <c r="D1287" t="s">
        <v>13</v>
      </c>
      <c r="E1287">
        <v>24026.461538461521</v>
      </c>
      <c r="F1287">
        <v>216752.36923076899</v>
      </c>
      <c r="G1287">
        <v>17474185853.11998</v>
      </c>
      <c r="H1287">
        <v>56454101.164286718</v>
      </c>
      <c r="I1287">
        <v>2052057.8046197651</v>
      </c>
      <c r="J1287">
        <v>23470486.21978021</v>
      </c>
    </row>
    <row r="1288" spans="1:10" x14ac:dyDescent="0.25">
      <c r="A1288">
        <v>32</v>
      </c>
      <c r="B1288">
        <v>15</v>
      </c>
      <c r="C1288" t="s">
        <v>31</v>
      </c>
      <c r="D1288" t="s">
        <v>14</v>
      </c>
      <c r="E1288">
        <v>47825.84615384612</v>
      </c>
      <c r="F1288">
        <v>338928.061538462</v>
      </c>
      <c r="G1288">
        <v>30723666092.992035</v>
      </c>
      <c r="H1288">
        <v>122581353.18531321</v>
      </c>
      <c r="I1288">
        <v>2052060.3490642097</v>
      </c>
      <c r="J1288">
        <v>22641955.06813186</v>
      </c>
    </row>
    <row r="1289" spans="1:10" x14ac:dyDescent="0.25">
      <c r="A1289">
        <v>32</v>
      </c>
      <c r="B1289">
        <v>16</v>
      </c>
      <c r="C1289" t="s">
        <v>31</v>
      </c>
      <c r="D1289" t="s">
        <v>15</v>
      </c>
      <c r="E1289">
        <v>37518.307692307724</v>
      </c>
      <c r="F1289">
        <v>577141.292307692</v>
      </c>
      <c r="G1289">
        <v>60380429658.62397</v>
      </c>
      <c r="H1289">
        <v>93094303.56674394</v>
      </c>
      <c r="I1289">
        <v>2052058.2435086542</v>
      </c>
      <c r="J1289">
        <v>14679804.729670323</v>
      </c>
    </row>
    <row r="1290" spans="1:10" x14ac:dyDescent="0.25">
      <c r="A1290">
        <v>32</v>
      </c>
      <c r="B1290">
        <v>17</v>
      </c>
      <c r="C1290" t="s">
        <v>31</v>
      </c>
      <c r="D1290" t="s">
        <v>16</v>
      </c>
      <c r="E1290">
        <v>64577.384615384624</v>
      </c>
      <c r="F1290">
        <v>222025.13846153801</v>
      </c>
      <c r="G1290">
        <v>27087946111.855946</v>
      </c>
      <c r="H1290">
        <v>368394236.53031677</v>
      </c>
      <c r="I1290">
        <v>1950889.2997883852</v>
      </c>
      <c r="J1290">
        <v>11522478.75824175</v>
      </c>
    </row>
    <row r="1291" spans="1:10" x14ac:dyDescent="0.25">
      <c r="A1291">
        <v>32</v>
      </c>
      <c r="B1291">
        <v>18</v>
      </c>
      <c r="C1291" t="s">
        <v>31</v>
      </c>
      <c r="D1291" t="s">
        <v>17</v>
      </c>
      <c r="E1291">
        <v>23843.846153846123</v>
      </c>
      <c r="F1291">
        <v>99195.984615384601</v>
      </c>
      <c r="G1291">
        <v>11602164720.424</v>
      </c>
      <c r="H1291">
        <v>86507296.474743962</v>
      </c>
      <c r="I1291">
        <v>2285614.7540214965</v>
      </c>
      <c r="J1291">
        <v>7810112.3076923033</v>
      </c>
    </row>
    <row r="1292" spans="1:10" x14ac:dyDescent="0.25">
      <c r="A1292">
        <v>32</v>
      </c>
      <c r="B1292">
        <v>19</v>
      </c>
      <c r="C1292" t="s">
        <v>31</v>
      </c>
      <c r="D1292" t="s">
        <v>18</v>
      </c>
      <c r="E1292">
        <v>1395.0000000000032</v>
      </c>
      <c r="F1292">
        <v>137914.9846153846</v>
      </c>
      <c r="G1292">
        <v>5997448253.3759995</v>
      </c>
      <c r="H1292">
        <v>8235162.592349235</v>
      </c>
      <c r="I1292">
        <v>2052058.7923975429</v>
      </c>
      <c r="J1292">
        <v>19554585.164835155</v>
      </c>
    </row>
    <row r="1293" spans="1:10" x14ac:dyDescent="0.25">
      <c r="A1293">
        <v>32</v>
      </c>
      <c r="B1293">
        <v>20</v>
      </c>
      <c r="C1293" t="s">
        <v>31</v>
      </c>
      <c r="D1293" t="s">
        <v>19</v>
      </c>
      <c r="E1293">
        <v>58566.76923076922</v>
      </c>
      <c r="F1293">
        <v>109730.26666666669</v>
      </c>
      <c r="G1293">
        <v>3878521616.3893342</v>
      </c>
      <c r="H1293">
        <v>132321283.72250324</v>
      </c>
      <c r="I1293">
        <v>1866093.0173389856</v>
      </c>
      <c r="J1293">
        <v>57642614.615384579</v>
      </c>
    </row>
    <row r="1294" spans="1:10" x14ac:dyDescent="0.25">
      <c r="A1294">
        <v>32</v>
      </c>
      <c r="B1294">
        <v>21</v>
      </c>
      <c r="C1294" t="s">
        <v>31</v>
      </c>
      <c r="D1294" t="s">
        <v>20</v>
      </c>
      <c r="E1294">
        <v>37411.384615384624</v>
      </c>
      <c r="F1294">
        <v>153881.933333333</v>
      </c>
      <c r="G1294">
        <v>3547944941.8746581</v>
      </c>
      <c r="H1294">
        <v>130164404.7115355</v>
      </c>
      <c r="I1294">
        <v>1986498.3436824314</v>
      </c>
      <c r="J1294">
        <v>45690616.70769228</v>
      </c>
    </row>
    <row r="1295" spans="1:10" x14ac:dyDescent="0.25">
      <c r="A1295">
        <v>32</v>
      </c>
      <c r="B1295">
        <v>22</v>
      </c>
      <c r="C1295" t="s">
        <v>31</v>
      </c>
      <c r="D1295" t="s">
        <v>21</v>
      </c>
      <c r="E1295">
        <v>21851.230769230722</v>
      </c>
      <c r="F1295">
        <v>173008.933333333</v>
      </c>
      <c r="G1295">
        <v>7923366243.7973166</v>
      </c>
      <c r="H1295">
        <v>93411235.644331396</v>
      </c>
      <c r="I1295">
        <v>1812164.5732739132</v>
      </c>
      <c r="J1295">
        <v>41221564.49230767</v>
      </c>
    </row>
    <row r="1296" spans="1:10" x14ac:dyDescent="0.25">
      <c r="A1296">
        <v>32</v>
      </c>
      <c r="B1296">
        <v>23</v>
      </c>
      <c r="C1296" t="s">
        <v>31</v>
      </c>
      <c r="D1296" t="s">
        <v>22</v>
      </c>
      <c r="E1296">
        <v>6529.7692307692332</v>
      </c>
      <c r="F1296">
        <v>156745.26666666701</v>
      </c>
      <c r="G1296">
        <v>7145602899.8293495</v>
      </c>
      <c r="H1296">
        <v>16270295.578916434</v>
      </c>
      <c r="I1296">
        <v>1812164.0754961355</v>
      </c>
      <c r="J1296">
        <v>41888772.092307679</v>
      </c>
    </row>
    <row r="1297" spans="1:10" x14ac:dyDescent="0.25">
      <c r="A1297">
        <v>32</v>
      </c>
      <c r="B1297">
        <v>24</v>
      </c>
      <c r="C1297" t="s">
        <v>31</v>
      </c>
      <c r="D1297" t="s">
        <v>23</v>
      </c>
      <c r="E1297">
        <v>7692.153846153843</v>
      </c>
      <c r="F1297">
        <v>114217.26666666669</v>
      </c>
      <c r="G1297">
        <v>7348396285.5333347</v>
      </c>
      <c r="H1297">
        <v>45690387.618916437</v>
      </c>
      <c r="I1297">
        <v>1782418.1993654834</v>
      </c>
      <c r="J1297">
        <v>55162628.461538441</v>
      </c>
    </row>
    <row r="1298" spans="1:10" x14ac:dyDescent="0.25">
      <c r="A1298">
        <v>32</v>
      </c>
      <c r="B1298">
        <v>25</v>
      </c>
      <c r="C1298" t="s">
        <v>31</v>
      </c>
      <c r="D1298" t="s">
        <v>24</v>
      </c>
      <c r="E1298">
        <v>5296.7692307692332</v>
      </c>
      <c r="F1298">
        <v>107164.93333333329</v>
      </c>
      <c r="G1298">
        <v>6095451389.4559975</v>
      </c>
      <c r="H1298">
        <v>21172421.478916436</v>
      </c>
      <c r="I1298">
        <v>1985061.5389775895</v>
      </c>
      <c r="J1298">
        <v>74255776.246153817</v>
      </c>
    </row>
    <row r="1299" spans="1:10" x14ac:dyDescent="0.25">
      <c r="A1299">
        <v>32</v>
      </c>
      <c r="B1299">
        <v>26</v>
      </c>
      <c r="C1299" t="s">
        <v>31</v>
      </c>
      <c r="D1299" t="s">
        <v>25</v>
      </c>
      <c r="E1299">
        <v>4375.8461538461524</v>
      </c>
      <c r="F1299">
        <v>93238.599999999991</v>
      </c>
      <c r="G1299">
        <v>6552040521.9359989</v>
      </c>
      <c r="H1299">
        <v>25386895.82531321</v>
      </c>
      <c r="I1299">
        <v>2307753.202752206</v>
      </c>
      <c r="J1299">
        <v>106352246.46153843</v>
      </c>
    </row>
    <row r="1300" spans="1:10" x14ac:dyDescent="0.25">
      <c r="A1300">
        <v>32</v>
      </c>
      <c r="B1300">
        <v>27</v>
      </c>
      <c r="C1300" t="s">
        <v>31</v>
      </c>
      <c r="D1300" t="s">
        <v>26</v>
      </c>
      <c r="E1300">
        <v>59591.076923076922</v>
      </c>
      <c r="F1300">
        <v>463171.69999999995</v>
      </c>
      <c r="G1300">
        <v>15009004831.027996</v>
      </c>
      <c r="H1300">
        <v>23819954.334503267</v>
      </c>
      <c r="I1300">
        <v>1985063.5800887004</v>
      </c>
      <c r="J1300">
        <v>60628877.723076887</v>
      </c>
    </row>
    <row r="1301" spans="1:10" x14ac:dyDescent="0.25">
      <c r="A1301">
        <v>32</v>
      </c>
      <c r="B1301">
        <v>28</v>
      </c>
      <c r="C1301" t="s">
        <v>31</v>
      </c>
      <c r="D1301" t="s">
        <v>27</v>
      </c>
      <c r="E1301">
        <v>36655.376923076925</v>
      </c>
      <c r="F1301">
        <v>163171</v>
      </c>
      <c r="G1301" t="s">
        <v>122</v>
      </c>
      <c r="H1301" t="s">
        <v>122</v>
      </c>
      <c r="I1301">
        <v>1812131.5834337983</v>
      </c>
      <c r="J1301">
        <v>18472913.846153833</v>
      </c>
    </row>
    <row r="1302" spans="1:10" x14ac:dyDescent="0.25">
      <c r="A1302">
        <v>32</v>
      </c>
      <c r="B1302">
        <v>29</v>
      </c>
      <c r="C1302" t="s">
        <v>31</v>
      </c>
      <c r="D1302" t="s">
        <v>28</v>
      </c>
      <c r="E1302">
        <v>32702.576923076922</v>
      </c>
      <c r="F1302">
        <v>407950</v>
      </c>
      <c r="G1302">
        <v>17697491084</v>
      </c>
      <c r="H1302">
        <v>14941043.852331419</v>
      </c>
      <c r="I1302">
        <v>1511513.0575750284</v>
      </c>
      <c r="J1302">
        <v>21534808.615384601</v>
      </c>
    </row>
    <row r="1303" spans="1:10" x14ac:dyDescent="0.25">
      <c r="A1303">
        <v>32</v>
      </c>
      <c r="B1303">
        <v>30</v>
      </c>
      <c r="C1303" t="s">
        <v>31</v>
      </c>
      <c r="D1303" t="s">
        <v>29</v>
      </c>
      <c r="E1303">
        <v>7862.376923076923</v>
      </c>
      <c r="F1303">
        <v>276099.7</v>
      </c>
      <c r="G1303">
        <v>16719371949.331999</v>
      </c>
      <c r="H1303">
        <v>18704460.218916439</v>
      </c>
      <c r="I1303">
        <v>1941889.3616241675</v>
      </c>
      <c r="J1303">
        <v>12858848.492307689</v>
      </c>
    </row>
    <row r="1304" spans="1:10" x14ac:dyDescent="0.25">
      <c r="A1304">
        <v>32</v>
      </c>
      <c r="B1304">
        <v>31</v>
      </c>
      <c r="C1304" t="s">
        <v>31</v>
      </c>
      <c r="D1304" t="s">
        <v>30</v>
      </c>
      <c r="E1304">
        <v>2751.5384615384628</v>
      </c>
      <c r="F1304">
        <v>70851.292307692289</v>
      </c>
      <c r="G1304">
        <v>232941477.98719993</v>
      </c>
      <c r="H1304">
        <v>300134039.9502573</v>
      </c>
      <c r="I1304">
        <v>1853768.2397836971</v>
      </c>
      <c r="J1304">
        <v>22082452.492307685</v>
      </c>
    </row>
    <row r="1305" spans="1:10" x14ac:dyDescent="0.25">
      <c r="A1305">
        <v>32</v>
      </c>
      <c r="B1305">
        <v>32</v>
      </c>
      <c r="C1305" t="s">
        <v>31</v>
      </c>
      <c r="D1305" t="s">
        <v>31</v>
      </c>
      <c r="E1305">
        <v>0</v>
      </c>
      <c r="F1305">
        <v>0</v>
      </c>
      <c r="G1305">
        <v>0</v>
      </c>
      <c r="H1305">
        <v>0</v>
      </c>
      <c r="I1305">
        <v>1956589.1770526855</v>
      </c>
      <c r="J1305">
        <v>19959800.123076912</v>
      </c>
    </row>
    <row r="1306" spans="1:10" x14ac:dyDescent="0.25">
      <c r="A1306">
        <v>32</v>
      </c>
      <c r="B1306">
        <v>33</v>
      </c>
      <c r="C1306" t="s">
        <v>31</v>
      </c>
      <c r="D1306" t="s">
        <v>32</v>
      </c>
      <c r="E1306">
        <v>64273.84615384612</v>
      </c>
      <c r="F1306">
        <v>146108.32307692309</v>
      </c>
      <c r="G1306">
        <v>1074305277.9199998</v>
      </c>
      <c r="H1306">
        <v>0</v>
      </c>
      <c r="I1306">
        <v>1956545.1847509597</v>
      </c>
      <c r="J1306">
        <v>30828974.769230753</v>
      </c>
    </row>
    <row r="1307" spans="1:10" x14ac:dyDescent="0.25">
      <c r="A1307">
        <v>32</v>
      </c>
      <c r="B1307">
        <v>34</v>
      </c>
      <c r="C1307" t="s">
        <v>31</v>
      </c>
      <c r="D1307" t="s">
        <v>33</v>
      </c>
      <c r="E1307">
        <v>296884.38461538492</v>
      </c>
      <c r="F1307">
        <v>313669.98888888897</v>
      </c>
      <c r="G1307">
        <v>3410107198.0040007</v>
      </c>
      <c r="H1307">
        <v>1722155996.7732968</v>
      </c>
      <c r="I1307">
        <v>1956543.845862071</v>
      </c>
      <c r="J1307">
        <v>26875362.461538453</v>
      </c>
    </row>
    <row r="1308" spans="1:10" x14ac:dyDescent="0.25">
      <c r="A1308">
        <v>32</v>
      </c>
      <c r="B1308">
        <v>35</v>
      </c>
      <c r="C1308" t="s">
        <v>31</v>
      </c>
      <c r="D1308" t="s">
        <v>34</v>
      </c>
      <c r="E1308">
        <v>23202.692307692323</v>
      </c>
      <c r="F1308">
        <v>62080.138461538489</v>
      </c>
      <c r="G1308">
        <v>648829325.52800024</v>
      </c>
      <c r="H1308">
        <v>1092421387.8452969</v>
      </c>
      <c r="I1308">
        <v>1782420.8982543722</v>
      </c>
      <c r="J1308">
        <v>31361316.923076905</v>
      </c>
    </row>
    <row r="1309" spans="1:10" x14ac:dyDescent="0.25">
      <c r="A1309">
        <v>32</v>
      </c>
      <c r="B1309">
        <v>36</v>
      </c>
      <c r="C1309" t="s">
        <v>31</v>
      </c>
      <c r="D1309" t="s">
        <v>35</v>
      </c>
      <c r="E1309">
        <v>3826.923076923073</v>
      </c>
      <c r="F1309">
        <v>137926.5230769231</v>
      </c>
      <c r="G1309">
        <v>1724048436.0960002</v>
      </c>
      <c r="H1309">
        <v>947391922.45997059</v>
      </c>
      <c r="I1309">
        <v>1964960.1275838704</v>
      </c>
      <c r="J1309">
        <v>19915053.630769223</v>
      </c>
    </row>
    <row r="1310" spans="1:10" x14ac:dyDescent="0.25">
      <c r="A1310">
        <v>32</v>
      </c>
      <c r="B1310">
        <v>37</v>
      </c>
      <c r="C1310" t="s">
        <v>31</v>
      </c>
      <c r="D1310" t="s">
        <v>36</v>
      </c>
      <c r="E1310">
        <v>10245.923076923124</v>
      </c>
      <c r="F1310">
        <v>132742.02673992669</v>
      </c>
      <c r="G1310">
        <v>14291803050.980949</v>
      </c>
      <c r="H1310">
        <v>1000955856.7769442</v>
      </c>
      <c r="I1310">
        <v>1956587.6548304632</v>
      </c>
      <c r="J1310">
        <v>31238929.784615364</v>
      </c>
    </row>
    <row r="1311" spans="1:10" x14ac:dyDescent="0.25">
      <c r="A1311">
        <v>32</v>
      </c>
      <c r="B1311">
        <v>38</v>
      </c>
      <c r="C1311" t="s">
        <v>31</v>
      </c>
      <c r="D1311" t="s">
        <v>37</v>
      </c>
      <c r="E1311">
        <v>214.07692307692307</v>
      </c>
      <c r="F1311">
        <v>53718.984615384608</v>
      </c>
      <c r="G1311">
        <v>7160512880.7359991</v>
      </c>
      <c r="H1311">
        <v>930950858.5941546</v>
      </c>
      <c r="I1311">
        <v>1950890.4020106075</v>
      </c>
      <c r="J1311">
        <v>6943418.4923076881</v>
      </c>
    </row>
    <row r="1312" spans="1:10" x14ac:dyDescent="0.25">
      <c r="A1312">
        <v>32</v>
      </c>
      <c r="B1312">
        <v>39</v>
      </c>
      <c r="C1312" t="s">
        <v>31</v>
      </c>
      <c r="D1312" t="s">
        <v>38</v>
      </c>
      <c r="E1312">
        <v>3284.4615384615427</v>
      </c>
      <c r="F1312">
        <v>137889.44249084248</v>
      </c>
      <c r="G1312">
        <v>15490538578.465143</v>
      </c>
      <c r="H1312">
        <v>948297519.09694409</v>
      </c>
      <c r="I1312">
        <v>1365014.6156819749</v>
      </c>
      <c r="J1312">
        <v>5755381.107692305</v>
      </c>
    </row>
    <row r="1313" spans="1:10" x14ac:dyDescent="0.25">
      <c r="A1313">
        <v>32</v>
      </c>
      <c r="B1313">
        <v>40</v>
      </c>
      <c r="C1313" t="s">
        <v>31</v>
      </c>
      <c r="D1313" t="s">
        <v>39</v>
      </c>
      <c r="E1313">
        <v>9830.8461538461543</v>
      </c>
      <c r="F1313">
        <v>119208.74285714289</v>
      </c>
      <c r="G1313">
        <v>14706720617.739433</v>
      </c>
      <c r="H1313">
        <v>933721283.70745635</v>
      </c>
      <c r="I1313">
        <v>1365013.3079041971</v>
      </c>
      <c r="J1313">
        <v>2570953.8461538451</v>
      </c>
    </row>
    <row r="1314" spans="1:10" x14ac:dyDescent="0.25">
      <c r="A1314">
        <v>32</v>
      </c>
      <c r="B1314">
        <v>41</v>
      </c>
      <c r="C1314" t="s">
        <v>31</v>
      </c>
      <c r="D1314" t="s">
        <v>40</v>
      </c>
      <c r="E1314">
        <v>22189.769230769223</v>
      </c>
      <c r="F1314">
        <v>67387.092673992694</v>
      </c>
      <c r="G1314">
        <v>8249805519.972002</v>
      </c>
      <c r="H1314">
        <v>1087917075.5541546</v>
      </c>
      <c r="I1314">
        <v>0</v>
      </c>
      <c r="J1314">
        <v>0</v>
      </c>
    </row>
    <row r="1315" spans="1:10" x14ac:dyDescent="0.25">
      <c r="A1315">
        <v>33</v>
      </c>
      <c r="B1315">
        <v>1</v>
      </c>
      <c r="C1315" t="s">
        <v>32</v>
      </c>
      <c r="D1315" t="s">
        <v>0</v>
      </c>
      <c r="E1315">
        <v>122636.6868131868</v>
      </c>
      <c r="F1315">
        <v>141247.8666666667</v>
      </c>
      <c r="G1315">
        <v>1394647535.978667</v>
      </c>
      <c r="H1315">
        <v>228132658.32139939</v>
      </c>
      <c r="I1315">
        <v>0</v>
      </c>
      <c r="J1315">
        <v>18046752.553846169</v>
      </c>
    </row>
    <row r="1316" spans="1:10" x14ac:dyDescent="0.25">
      <c r="A1316">
        <v>33</v>
      </c>
      <c r="B1316">
        <v>2</v>
      </c>
      <c r="C1316" t="s">
        <v>32</v>
      </c>
      <c r="D1316" t="s">
        <v>1</v>
      </c>
      <c r="E1316">
        <v>51375.686813186781</v>
      </c>
      <c r="F1316">
        <v>131636.25128205132</v>
      </c>
      <c r="G1316">
        <v>1686902763.829334</v>
      </c>
      <c r="H1316">
        <v>104601189.75997083</v>
      </c>
      <c r="I1316">
        <v>2285612.9129103855</v>
      </c>
      <c r="J1316">
        <v>2982124.9230769235</v>
      </c>
    </row>
    <row r="1317" spans="1:10" x14ac:dyDescent="0.25">
      <c r="A1317">
        <v>33</v>
      </c>
      <c r="B1317">
        <v>3</v>
      </c>
      <c r="C1317" t="s">
        <v>32</v>
      </c>
      <c r="D1317" t="s">
        <v>2</v>
      </c>
      <c r="E1317">
        <v>46640.32967032968</v>
      </c>
      <c r="F1317">
        <v>134670.48205128202</v>
      </c>
      <c r="G1317">
        <v>2100649434.0479994</v>
      </c>
      <c r="H1317">
        <v>147122786.06719789</v>
      </c>
      <c r="I1317">
        <v>743860.20641374995</v>
      </c>
      <c r="J1317">
        <v>26288134.153846145</v>
      </c>
    </row>
    <row r="1318" spans="1:10" x14ac:dyDescent="0.25">
      <c r="A1318">
        <v>33</v>
      </c>
      <c r="B1318">
        <v>4</v>
      </c>
      <c r="C1318" t="s">
        <v>32</v>
      </c>
      <c r="D1318" t="s">
        <v>3</v>
      </c>
      <c r="E1318">
        <v>61296.686813186781</v>
      </c>
      <c r="F1318">
        <v>123777.40512820511</v>
      </c>
      <c r="G1318">
        <v>2431295204.6826658</v>
      </c>
      <c r="H1318">
        <v>197333717.085686</v>
      </c>
      <c r="I1318">
        <v>820475.91685060353</v>
      </c>
      <c r="J1318">
        <v>32521403.076923065</v>
      </c>
    </row>
    <row r="1319" spans="1:10" x14ac:dyDescent="0.25">
      <c r="A1319">
        <v>33</v>
      </c>
      <c r="B1319">
        <v>5</v>
      </c>
      <c r="C1319" t="s">
        <v>32</v>
      </c>
      <c r="D1319" t="s">
        <v>4</v>
      </c>
      <c r="E1319">
        <v>95033.258241758274</v>
      </c>
      <c r="F1319">
        <v>155577.48205128202</v>
      </c>
      <c r="G1319">
        <v>3954729808.9493322</v>
      </c>
      <c r="H1319">
        <v>108877759.2893607</v>
      </c>
      <c r="I1319">
        <v>743859.9286359722</v>
      </c>
      <c r="J1319">
        <v>32316960.153846189</v>
      </c>
    </row>
    <row r="1320" spans="1:10" x14ac:dyDescent="0.25">
      <c r="A1320">
        <v>33</v>
      </c>
      <c r="B1320">
        <v>6</v>
      </c>
      <c r="C1320" t="s">
        <v>32</v>
      </c>
      <c r="D1320" t="s">
        <v>5</v>
      </c>
      <c r="E1320">
        <v>43361.401098901086</v>
      </c>
      <c r="F1320">
        <v>221366.7934065935</v>
      </c>
      <c r="G1320">
        <v>8254590632.6971464</v>
      </c>
      <c r="H1320">
        <v>228334533.05221784</v>
      </c>
      <c r="I1320">
        <v>705460.71257409977</v>
      </c>
      <c r="J1320">
        <v>29773928.800000001</v>
      </c>
    </row>
    <row r="1321" spans="1:10" x14ac:dyDescent="0.25">
      <c r="A1321">
        <v>33</v>
      </c>
      <c r="B1321">
        <v>7</v>
      </c>
      <c r="C1321" t="s">
        <v>32</v>
      </c>
      <c r="D1321" t="s">
        <v>6</v>
      </c>
      <c r="E1321">
        <v>35111.401098901093</v>
      </c>
      <c r="F1321">
        <v>154913.09743589742</v>
      </c>
      <c r="G1321">
        <v>4051745866.9119992</v>
      </c>
      <c r="H1321">
        <v>89645535.517932132</v>
      </c>
      <c r="I1321">
        <v>820475.31685060356</v>
      </c>
      <c r="J1321">
        <v>35653063.84615384</v>
      </c>
    </row>
    <row r="1322" spans="1:10" x14ac:dyDescent="0.25">
      <c r="A1322">
        <v>33</v>
      </c>
      <c r="B1322">
        <v>8</v>
      </c>
      <c r="C1322" t="s">
        <v>32</v>
      </c>
      <c r="D1322" t="s">
        <v>7</v>
      </c>
      <c r="E1322">
        <v>64758.472527472484</v>
      </c>
      <c r="F1322">
        <v>212510.86666666652</v>
      </c>
      <c r="G1322">
        <v>4017985458.2399979</v>
      </c>
      <c r="H1322">
        <v>114397529.62911457</v>
      </c>
      <c r="I1322">
        <v>77.355560804945569</v>
      </c>
      <c r="J1322">
        <v>23.23</v>
      </c>
    </row>
    <row r="1323" spans="1:10" x14ac:dyDescent="0.25">
      <c r="A1323">
        <v>33</v>
      </c>
      <c r="B1323">
        <v>9</v>
      </c>
      <c r="C1323" t="s">
        <v>32</v>
      </c>
      <c r="D1323" t="s">
        <v>8</v>
      </c>
      <c r="E1323">
        <v>30754.069930069927</v>
      </c>
      <c r="F1323">
        <v>662843.64230769244</v>
      </c>
      <c r="G1323">
        <v>9364575437.2860012</v>
      </c>
      <c r="H1323">
        <v>95472032.059970826</v>
      </c>
      <c r="I1323">
        <v>2285613.2173548299</v>
      </c>
      <c r="J1323">
        <v>21108335.327472541</v>
      </c>
    </row>
    <row r="1324" spans="1:10" x14ac:dyDescent="0.25">
      <c r="A1324">
        <v>33</v>
      </c>
      <c r="B1324">
        <v>10</v>
      </c>
      <c r="C1324" t="s">
        <v>32</v>
      </c>
      <c r="D1324" t="s">
        <v>9</v>
      </c>
      <c r="E1324">
        <v>51236.82967032968</v>
      </c>
      <c r="F1324">
        <v>187219.94358974363</v>
      </c>
      <c r="G1324">
        <v>5526028787.7813349</v>
      </c>
      <c r="H1324">
        <v>156213536.3493607</v>
      </c>
      <c r="I1324">
        <v>2285613.5951326075</v>
      </c>
      <c r="J1324">
        <v>24013226.76923079</v>
      </c>
    </row>
    <row r="1325" spans="1:10" x14ac:dyDescent="0.25">
      <c r="A1325">
        <v>33</v>
      </c>
      <c r="B1325">
        <v>11</v>
      </c>
      <c r="C1325" t="s">
        <v>32</v>
      </c>
      <c r="D1325" t="s">
        <v>10</v>
      </c>
      <c r="E1325">
        <v>51403.999999999985</v>
      </c>
      <c r="F1325">
        <v>189984.02051282051</v>
      </c>
      <c r="G1325">
        <v>20454819552.533333</v>
      </c>
      <c r="H1325">
        <v>153506255.96896735</v>
      </c>
      <c r="I1325">
        <v>1892075.274905168</v>
      </c>
      <c r="J1325">
        <v>32422507.428571459</v>
      </c>
    </row>
    <row r="1326" spans="1:10" x14ac:dyDescent="0.25">
      <c r="A1326">
        <v>33</v>
      </c>
      <c r="B1326">
        <v>12</v>
      </c>
      <c r="C1326" t="s">
        <v>32</v>
      </c>
      <c r="D1326" t="s">
        <v>11</v>
      </c>
      <c r="E1326">
        <v>48372.615384615383</v>
      </c>
      <c r="F1326">
        <v>134710.09743589742</v>
      </c>
      <c r="G1326">
        <v>12190180748.765329</v>
      </c>
      <c r="H1326">
        <v>164344172.85758626</v>
      </c>
      <c r="I1326">
        <v>1950890.0708994963</v>
      </c>
      <c r="J1326">
        <v>48567494.24175828</v>
      </c>
    </row>
    <row r="1327" spans="1:10" x14ac:dyDescent="0.25">
      <c r="A1327">
        <v>33</v>
      </c>
      <c r="B1327">
        <v>13</v>
      </c>
      <c r="C1327" t="s">
        <v>32</v>
      </c>
      <c r="D1327" t="s">
        <v>12</v>
      </c>
      <c r="E1327">
        <v>33451</v>
      </c>
      <c r="F1327">
        <v>116398.55897435901</v>
      </c>
      <c r="G1327">
        <v>9671165166.0213337</v>
      </c>
      <c r="H1327">
        <v>95234846.136286721</v>
      </c>
      <c r="I1327">
        <v>2052058.7290642096</v>
      </c>
      <c r="J1327">
        <v>66329497.246153906</v>
      </c>
    </row>
    <row r="1328" spans="1:10" x14ac:dyDescent="0.25">
      <c r="A1328">
        <v>33</v>
      </c>
      <c r="B1328">
        <v>14</v>
      </c>
      <c r="C1328" t="s">
        <v>32</v>
      </c>
      <c r="D1328" t="s">
        <v>13</v>
      </c>
      <c r="E1328">
        <v>54075.999999999985</v>
      </c>
      <c r="F1328">
        <v>262862.78974358947</v>
      </c>
      <c r="G1328">
        <v>19921414014.111977</v>
      </c>
      <c r="H1328">
        <v>135357721.52828673</v>
      </c>
      <c r="I1328">
        <v>2052061.273508654</v>
      </c>
      <c r="J1328">
        <v>87306459.824175894</v>
      </c>
    </row>
    <row r="1329" spans="1:10" x14ac:dyDescent="0.25">
      <c r="A1329">
        <v>33</v>
      </c>
      <c r="B1329">
        <v>15</v>
      </c>
      <c r="C1329" t="s">
        <v>32</v>
      </c>
      <c r="D1329" t="s">
        <v>14</v>
      </c>
      <c r="E1329">
        <v>77875.384615384581</v>
      </c>
      <c r="F1329">
        <v>385038.48205128254</v>
      </c>
      <c r="G1329">
        <v>33043109240.362705</v>
      </c>
      <c r="H1329">
        <v>201484973.54931322</v>
      </c>
      <c r="I1329">
        <v>2052059.1679530987</v>
      </c>
      <c r="J1329">
        <v>59436761.38901104</v>
      </c>
    </row>
    <row r="1330" spans="1:10" x14ac:dyDescent="0.25">
      <c r="A1330">
        <v>33</v>
      </c>
      <c r="B1330">
        <v>16</v>
      </c>
      <c r="C1330" t="s">
        <v>32</v>
      </c>
      <c r="D1330" t="s">
        <v>15</v>
      </c>
      <c r="E1330">
        <v>67567.846153846185</v>
      </c>
      <c r="F1330">
        <v>623251.71282051248</v>
      </c>
      <c r="G1330">
        <v>62193041918.933296</v>
      </c>
      <c r="H1330">
        <v>171997923.93074393</v>
      </c>
      <c r="I1330">
        <v>1950890.2242328296</v>
      </c>
      <c r="J1330">
        <v>43495131.318681352</v>
      </c>
    </row>
    <row r="1331" spans="1:10" x14ac:dyDescent="0.25">
      <c r="A1331">
        <v>33</v>
      </c>
      <c r="B1331">
        <v>17</v>
      </c>
      <c r="C1331" t="s">
        <v>32</v>
      </c>
      <c r="D1331" t="s">
        <v>16</v>
      </c>
      <c r="E1331">
        <v>94626.923076923093</v>
      </c>
      <c r="F1331">
        <v>268135.55897435849</v>
      </c>
      <c r="G1331">
        <v>31418011892.410606</v>
      </c>
      <c r="H1331">
        <v>447297856.89431679</v>
      </c>
      <c r="I1331">
        <v>2285615.678465941</v>
      </c>
      <c r="J1331">
        <v>25125441.76923079</v>
      </c>
    </row>
    <row r="1332" spans="1:10" x14ac:dyDescent="0.25">
      <c r="A1332">
        <v>33</v>
      </c>
      <c r="B1332">
        <v>18</v>
      </c>
      <c r="C1332" t="s">
        <v>32</v>
      </c>
      <c r="D1332" t="s">
        <v>17</v>
      </c>
      <c r="E1332">
        <v>53893.384615384581</v>
      </c>
      <c r="F1332">
        <v>145306.40512820511</v>
      </c>
      <c r="G1332">
        <v>16293236268.306667</v>
      </c>
      <c r="H1332">
        <v>165410916.83874398</v>
      </c>
      <c r="I1332">
        <v>2052059.7168419873</v>
      </c>
      <c r="J1332">
        <v>71490642.197802261</v>
      </c>
    </row>
    <row r="1333" spans="1:10" x14ac:dyDescent="0.25">
      <c r="A1333">
        <v>33</v>
      </c>
      <c r="B1333">
        <v>19</v>
      </c>
      <c r="C1333" t="s">
        <v>32</v>
      </c>
      <c r="D1333" t="s">
        <v>18</v>
      </c>
      <c r="E1333">
        <v>31444.538461538465</v>
      </c>
      <c r="F1333">
        <v>184025.40512820511</v>
      </c>
      <c r="G1333">
        <v>7123115522.3946657</v>
      </c>
      <c r="H1333">
        <v>87138782.956349239</v>
      </c>
      <c r="I1333">
        <v>1866093.9417834301</v>
      </c>
      <c r="J1333">
        <v>245361919.38461563</v>
      </c>
    </row>
    <row r="1334" spans="1:10" x14ac:dyDescent="0.25">
      <c r="A1334">
        <v>33</v>
      </c>
      <c r="B1334">
        <v>20</v>
      </c>
      <c r="C1334" t="s">
        <v>32</v>
      </c>
      <c r="D1334" t="s">
        <v>19</v>
      </c>
      <c r="E1334">
        <v>88616.307692307688</v>
      </c>
      <c r="F1334">
        <v>155840.6871794872</v>
      </c>
      <c r="G1334">
        <v>4755341429.477334</v>
      </c>
      <c r="H1334">
        <v>211224904.08650327</v>
      </c>
      <c r="I1334">
        <v>1986499.2681268756</v>
      </c>
      <c r="J1334">
        <v>203275548.18461558</v>
      </c>
    </row>
    <row r="1335" spans="1:10" x14ac:dyDescent="0.25">
      <c r="A1335">
        <v>33</v>
      </c>
      <c r="B1335">
        <v>21</v>
      </c>
      <c r="C1335" t="s">
        <v>32</v>
      </c>
      <c r="D1335" t="s">
        <v>20</v>
      </c>
      <c r="E1335">
        <v>67460.923076923093</v>
      </c>
      <c r="F1335">
        <v>199992.35384615351</v>
      </c>
      <c r="G1335">
        <v>3655252251.5519934</v>
      </c>
      <c r="H1335">
        <v>209068025.07553551</v>
      </c>
      <c r="I1335">
        <v>1812165.4977183577</v>
      </c>
      <c r="J1335">
        <v>186556628.92307708</v>
      </c>
    </row>
    <row r="1336" spans="1:10" x14ac:dyDescent="0.25">
      <c r="A1336">
        <v>33</v>
      </c>
      <c r="B1336">
        <v>22</v>
      </c>
      <c r="C1336" t="s">
        <v>32</v>
      </c>
      <c r="D1336" t="s">
        <v>21</v>
      </c>
      <c r="E1336">
        <v>51900.769230769183</v>
      </c>
      <c r="F1336">
        <v>219119.35384615351</v>
      </c>
      <c r="G1336">
        <v>8987863950.3839855</v>
      </c>
      <c r="H1336">
        <v>172314856.00833142</v>
      </c>
      <c r="I1336">
        <v>1812164.99994058</v>
      </c>
      <c r="J1336">
        <v>170815587.07692325</v>
      </c>
    </row>
    <row r="1337" spans="1:10" x14ac:dyDescent="0.25">
      <c r="A1337">
        <v>33</v>
      </c>
      <c r="B1337">
        <v>23</v>
      </c>
      <c r="C1337" t="s">
        <v>32</v>
      </c>
      <c r="D1337" t="s">
        <v>22</v>
      </c>
      <c r="E1337">
        <v>36579.307692307695</v>
      </c>
      <c r="F1337">
        <v>202855.68717948752</v>
      </c>
      <c r="G1337">
        <v>8267489015.9573469</v>
      </c>
      <c r="H1337">
        <v>95173915.942916438</v>
      </c>
      <c r="I1337">
        <v>1782419.1238099278</v>
      </c>
      <c r="J1337">
        <v>198347221.23076943</v>
      </c>
    </row>
    <row r="1338" spans="1:10" x14ac:dyDescent="0.25">
      <c r="A1338">
        <v>33</v>
      </c>
      <c r="B1338">
        <v>24</v>
      </c>
      <c r="C1338" t="s">
        <v>32</v>
      </c>
      <c r="D1338" t="s">
        <v>23</v>
      </c>
      <c r="E1338">
        <v>37741.692307692305</v>
      </c>
      <c r="F1338">
        <v>160327.6871794872</v>
      </c>
      <c r="G1338">
        <v>9540324678.0453339</v>
      </c>
      <c r="H1338">
        <v>124594007.98291644</v>
      </c>
      <c r="I1338">
        <v>1985062.4634220337</v>
      </c>
      <c r="J1338">
        <v>244422486.15384635</v>
      </c>
    </row>
    <row r="1339" spans="1:10" x14ac:dyDescent="0.25">
      <c r="A1339">
        <v>33</v>
      </c>
      <c r="B1339">
        <v>25</v>
      </c>
      <c r="C1339" t="s">
        <v>32</v>
      </c>
      <c r="D1339" t="s">
        <v>24</v>
      </c>
      <c r="E1339">
        <v>35346.307692307695</v>
      </c>
      <c r="F1339">
        <v>153275.35384615383</v>
      </c>
      <c r="G1339">
        <v>7985621411.3279982</v>
      </c>
      <c r="H1339">
        <v>100076041.84291644</v>
      </c>
      <c r="I1339">
        <v>2307754.1271966505</v>
      </c>
      <c r="J1339">
        <v>296937670.15384638</v>
      </c>
    </row>
    <row r="1340" spans="1:10" x14ac:dyDescent="0.25">
      <c r="A1340">
        <v>33</v>
      </c>
      <c r="B1340">
        <v>26</v>
      </c>
      <c r="C1340" t="s">
        <v>32</v>
      </c>
      <c r="D1340" t="s">
        <v>25</v>
      </c>
      <c r="E1340">
        <v>34425.38461538461</v>
      </c>
      <c r="F1340">
        <v>139349.02051282051</v>
      </c>
      <c r="G1340">
        <v>9126307364.9946651</v>
      </c>
      <c r="H1340">
        <v>104290516.18931322</v>
      </c>
      <c r="I1340">
        <v>1985064.5045331449</v>
      </c>
      <c r="J1340">
        <v>257493576.73846179</v>
      </c>
    </row>
    <row r="1341" spans="1:10" x14ac:dyDescent="0.25">
      <c r="A1341">
        <v>33</v>
      </c>
      <c r="B1341">
        <v>27</v>
      </c>
      <c r="C1341" t="s">
        <v>32</v>
      </c>
      <c r="D1341" t="s">
        <v>26</v>
      </c>
      <c r="E1341">
        <v>89640.615384615376</v>
      </c>
      <c r="F1341">
        <v>509282.12051282049</v>
      </c>
      <c r="G1341">
        <v>14069183405.869331</v>
      </c>
      <c r="H1341">
        <v>102723574.69850327</v>
      </c>
      <c r="I1341">
        <v>1812132.5078782425</v>
      </c>
      <c r="J1341">
        <v>83006694.153846219</v>
      </c>
    </row>
    <row r="1342" spans="1:10" x14ac:dyDescent="0.25">
      <c r="A1342">
        <v>33</v>
      </c>
      <c r="B1342">
        <v>28</v>
      </c>
      <c r="C1342" t="s">
        <v>32</v>
      </c>
      <c r="D1342" t="s">
        <v>27</v>
      </c>
      <c r="E1342">
        <v>66704.915384615393</v>
      </c>
      <c r="F1342">
        <v>209281.42051282051</v>
      </c>
      <c r="G1342" t="s">
        <v>122</v>
      </c>
      <c r="H1342" t="s">
        <v>122</v>
      </c>
      <c r="I1342">
        <v>1511513.9820194729</v>
      </c>
      <c r="J1342">
        <v>73113572.307692364</v>
      </c>
    </row>
    <row r="1343" spans="1:10" x14ac:dyDescent="0.25">
      <c r="A1343">
        <v>33</v>
      </c>
      <c r="B1343">
        <v>29</v>
      </c>
      <c r="C1343" t="s">
        <v>32</v>
      </c>
      <c r="D1343" t="s">
        <v>28</v>
      </c>
      <c r="E1343">
        <v>62752.115384615383</v>
      </c>
      <c r="F1343">
        <v>454060.42051282054</v>
      </c>
      <c r="G1343">
        <v>17527731164.719997</v>
      </c>
      <c r="H1343">
        <v>93844664.216331422</v>
      </c>
      <c r="I1343">
        <v>1941890.286068612</v>
      </c>
      <c r="J1343">
        <v>45435292.153846197</v>
      </c>
    </row>
    <row r="1344" spans="1:10" x14ac:dyDescent="0.25">
      <c r="A1344">
        <v>33</v>
      </c>
      <c r="B1344">
        <v>30</v>
      </c>
      <c r="C1344" t="s">
        <v>32</v>
      </c>
      <c r="D1344" t="s">
        <v>29</v>
      </c>
      <c r="E1344">
        <v>37911.915384615386</v>
      </c>
      <c r="F1344">
        <v>322210.12051282055</v>
      </c>
      <c r="G1344">
        <v>17954746536.622665</v>
      </c>
      <c r="H1344">
        <v>97608080.582916453</v>
      </c>
      <c r="I1344">
        <v>1853769.1642281415</v>
      </c>
      <c r="J1344">
        <v>92243437.538461626</v>
      </c>
    </row>
    <row r="1345" spans="1:10" x14ac:dyDescent="0.25">
      <c r="A1345">
        <v>33</v>
      </c>
      <c r="B1345">
        <v>31</v>
      </c>
      <c r="C1345" t="s">
        <v>32</v>
      </c>
      <c r="D1345" t="s">
        <v>30</v>
      </c>
      <c r="E1345">
        <v>32801.076923076922</v>
      </c>
      <c r="F1345">
        <v>116961.71282051281</v>
      </c>
      <c r="G1345">
        <v>1228565831.4666665</v>
      </c>
      <c r="H1345">
        <v>379037660.31425732</v>
      </c>
      <c r="I1345">
        <v>1956590.1014971298</v>
      </c>
      <c r="J1345">
        <v>91060656.923077017</v>
      </c>
    </row>
    <row r="1346" spans="1:10" x14ac:dyDescent="0.25">
      <c r="A1346">
        <v>33</v>
      </c>
      <c r="B1346">
        <v>32</v>
      </c>
      <c r="C1346" t="s">
        <v>32</v>
      </c>
      <c r="D1346" t="s">
        <v>31</v>
      </c>
      <c r="E1346">
        <v>30645.999999999996</v>
      </c>
      <c r="F1346">
        <v>142508.52051282051</v>
      </c>
      <c r="G1346">
        <v>1047836649.6266665</v>
      </c>
      <c r="H1346">
        <v>0</v>
      </c>
      <c r="I1346">
        <v>1956546.1091954042</v>
      </c>
      <c r="J1346">
        <v>135953334.00000012</v>
      </c>
    </row>
    <row r="1347" spans="1:10" x14ac:dyDescent="0.25">
      <c r="A1347">
        <v>33</v>
      </c>
      <c r="B1347">
        <v>33</v>
      </c>
      <c r="C1347" t="s">
        <v>32</v>
      </c>
      <c r="D1347" t="s">
        <v>32</v>
      </c>
      <c r="E1347">
        <v>0</v>
      </c>
      <c r="F1347">
        <v>0</v>
      </c>
      <c r="G1347">
        <v>0</v>
      </c>
      <c r="H1347">
        <v>0</v>
      </c>
      <c r="I1347">
        <v>1956544.7703065155</v>
      </c>
      <c r="J1347">
        <v>118388180.46153857</v>
      </c>
    </row>
    <row r="1348" spans="1:10" x14ac:dyDescent="0.25">
      <c r="A1348">
        <v>33</v>
      </c>
      <c r="B1348">
        <v>34</v>
      </c>
      <c r="C1348" t="s">
        <v>32</v>
      </c>
      <c r="D1348" t="s">
        <v>33</v>
      </c>
      <c r="E1348">
        <v>326933.92307692335</v>
      </c>
      <c r="F1348">
        <v>359780.4094017095</v>
      </c>
      <c r="G1348">
        <v>1628806504.173245</v>
      </c>
      <c r="H1348">
        <v>794395599.86929691</v>
      </c>
      <c r="I1348">
        <v>1782421.8226988167</v>
      </c>
      <c r="J1348">
        <v>142418482.15384629</v>
      </c>
    </row>
    <row r="1349" spans="1:10" x14ac:dyDescent="0.25">
      <c r="A1349">
        <v>33</v>
      </c>
      <c r="B1349">
        <v>35</v>
      </c>
      <c r="C1349" t="s">
        <v>32</v>
      </c>
      <c r="D1349" t="s">
        <v>34</v>
      </c>
      <c r="E1349">
        <v>53252.23076923078</v>
      </c>
      <c r="F1349">
        <v>108190.55897435901</v>
      </c>
      <c r="G1349">
        <v>801185710.18400013</v>
      </c>
      <c r="H1349">
        <v>164660990.94129708</v>
      </c>
      <c r="I1349">
        <v>1964961.0520283149</v>
      </c>
      <c r="J1349">
        <v>67724681.538461596</v>
      </c>
    </row>
    <row r="1350" spans="1:10" x14ac:dyDescent="0.25">
      <c r="A1350">
        <v>33</v>
      </c>
      <c r="B1350">
        <v>36</v>
      </c>
      <c r="C1350" t="s">
        <v>32</v>
      </c>
      <c r="D1350" t="s">
        <v>35</v>
      </c>
      <c r="E1350">
        <v>33876.461538461532</v>
      </c>
      <c r="F1350">
        <v>184036.94358974363</v>
      </c>
      <c r="G1350">
        <v>1430511801.0453336</v>
      </c>
      <c r="H1350">
        <v>19665990.484537046</v>
      </c>
      <c r="I1350">
        <v>1956588.5792749077</v>
      </c>
      <c r="J1350">
        <v>125151850.30769241</v>
      </c>
    </row>
    <row r="1351" spans="1:10" x14ac:dyDescent="0.25">
      <c r="A1351">
        <v>33</v>
      </c>
      <c r="B1351">
        <v>37</v>
      </c>
      <c r="C1351" t="s">
        <v>32</v>
      </c>
      <c r="D1351" t="s">
        <v>36</v>
      </c>
      <c r="E1351">
        <v>40295.461538461583</v>
      </c>
      <c r="F1351">
        <v>178852.4472527472</v>
      </c>
      <c r="G1351">
        <v>18420321168.769707</v>
      </c>
      <c r="H1351">
        <v>73195459.872944325</v>
      </c>
      <c r="I1351">
        <v>1950891.326455052</v>
      </c>
      <c r="J1351">
        <v>29622371.446153875</v>
      </c>
    </row>
    <row r="1352" spans="1:10" x14ac:dyDescent="0.25">
      <c r="A1352">
        <v>33</v>
      </c>
      <c r="B1352">
        <v>38</v>
      </c>
      <c r="C1352" t="s">
        <v>32</v>
      </c>
      <c r="D1352" t="s">
        <v>37</v>
      </c>
      <c r="E1352">
        <v>30263.615384615383</v>
      </c>
      <c r="F1352">
        <v>99829.405128205137</v>
      </c>
      <c r="G1352">
        <v>12840205835.109333</v>
      </c>
      <c r="H1352">
        <v>3190461.6901547071</v>
      </c>
      <c r="I1352">
        <v>1365015.5401264192</v>
      </c>
      <c r="J1352">
        <v>25800129.969230793</v>
      </c>
    </row>
    <row r="1353" spans="1:10" x14ac:dyDescent="0.25">
      <c r="A1353">
        <v>33</v>
      </c>
      <c r="B1353">
        <v>39</v>
      </c>
      <c r="C1353" t="s">
        <v>32</v>
      </c>
      <c r="D1353" t="s">
        <v>38</v>
      </c>
      <c r="E1353">
        <v>33334</v>
      </c>
      <c r="F1353">
        <v>183999.86300366302</v>
      </c>
      <c r="G1353">
        <v>19800865577.347431</v>
      </c>
      <c r="H1353">
        <v>20537122.192944318</v>
      </c>
      <c r="I1353">
        <v>1365014.2323486414</v>
      </c>
      <c r="J1353">
        <v>18763093.107692331</v>
      </c>
    </row>
    <row r="1354" spans="1:10" x14ac:dyDescent="0.25">
      <c r="A1354">
        <v>33</v>
      </c>
      <c r="B1354">
        <v>40</v>
      </c>
      <c r="C1354" t="s">
        <v>32</v>
      </c>
      <c r="D1354" t="s">
        <v>39</v>
      </c>
      <c r="E1354">
        <v>39880.38461538461</v>
      </c>
      <c r="F1354">
        <v>165319.16336996341</v>
      </c>
      <c r="G1354">
        <v>19613908597.57029</v>
      </c>
      <c r="H1354">
        <v>5960886.8034564601</v>
      </c>
      <c r="I1354">
        <v>0</v>
      </c>
      <c r="J1354">
        <v>18046752.553846169</v>
      </c>
    </row>
    <row r="1355" spans="1:10" x14ac:dyDescent="0.25">
      <c r="A1355">
        <v>33</v>
      </c>
      <c r="B1355">
        <v>41</v>
      </c>
      <c r="C1355" t="s">
        <v>32</v>
      </c>
      <c r="D1355" t="s">
        <v>40</v>
      </c>
      <c r="E1355">
        <v>52239.307692307688</v>
      </c>
      <c r="F1355">
        <v>113497.51318681322</v>
      </c>
      <c r="G1355">
        <v>13364314018.145147</v>
      </c>
      <c r="H1355">
        <v>160156678.65015471</v>
      </c>
      <c r="I1355">
        <v>0</v>
      </c>
      <c r="J1355">
        <v>0</v>
      </c>
    </row>
    <row r="1356" spans="1:10" x14ac:dyDescent="0.25">
      <c r="A1356">
        <v>34</v>
      </c>
      <c r="B1356">
        <v>1</v>
      </c>
      <c r="C1356" t="s">
        <v>33</v>
      </c>
      <c r="D1356" t="s">
        <v>0</v>
      </c>
      <c r="E1356">
        <v>217152.84065934064</v>
      </c>
      <c r="F1356">
        <v>323157.07264957268</v>
      </c>
      <c r="G1356">
        <v>1968776296.8444443</v>
      </c>
      <c r="H1356">
        <v>937877256.29513562</v>
      </c>
      <c r="I1356">
        <v>2285613.83735483</v>
      </c>
      <c r="J1356">
        <v>4137514.7692307699</v>
      </c>
    </row>
    <row r="1357" spans="1:10" x14ac:dyDescent="0.25">
      <c r="A1357">
        <v>34</v>
      </c>
      <c r="B1357">
        <v>2</v>
      </c>
      <c r="C1357" t="s">
        <v>33</v>
      </c>
      <c r="D1357" t="s">
        <v>1</v>
      </c>
      <c r="E1357">
        <v>145891.84065934064</v>
      </c>
      <c r="F1357">
        <v>313545.45726495731</v>
      </c>
      <c r="G1357">
        <v>2815926668.0600004</v>
      </c>
      <c r="H1357">
        <v>814345787.73370707</v>
      </c>
      <c r="I1357">
        <v>743861.13085819443</v>
      </c>
      <c r="J1357">
        <v>100300311.13846155</v>
      </c>
    </row>
    <row r="1358" spans="1:10" x14ac:dyDescent="0.25">
      <c r="A1358">
        <v>34</v>
      </c>
      <c r="B1358">
        <v>3</v>
      </c>
      <c r="C1358" t="s">
        <v>33</v>
      </c>
      <c r="D1358" t="s">
        <v>2</v>
      </c>
      <c r="E1358">
        <v>141156.48351648354</v>
      </c>
      <c r="F1358">
        <v>316579.688034188</v>
      </c>
      <c r="G1358">
        <v>3724395408.2844443</v>
      </c>
      <c r="H1358">
        <v>857032491.59471262</v>
      </c>
      <c r="I1358">
        <v>820476.84129504801</v>
      </c>
      <c r="J1358">
        <v>129419150.7692308</v>
      </c>
    </row>
    <row r="1359" spans="1:10" x14ac:dyDescent="0.25">
      <c r="A1359">
        <v>34</v>
      </c>
      <c r="B1359">
        <v>4</v>
      </c>
      <c r="C1359" t="s">
        <v>33</v>
      </c>
      <c r="D1359" t="s">
        <v>3</v>
      </c>
      <c r="E1359">
        <v>155812.84065934064</v>
      </c>
      <c r="F1359">
        <v>305686.61111111112</v>
      </c>
      <c r="G1359">
        <v>6197099074.8044443</v>
      </c>
      <c r="H1359">
        <v>907230432.00102735</v>
      </c>
      <c r="I1359">
        <v>743860.85308041668</v>
      </c>
      <c r="J1359">
        <v>100722229.72307691</v>
      </c>
    </row>
    <row r="1360" spans="1:10" x14ac:dyDescent="0.25">
      <c r="A1360">
        <v>34</v>
      </c>
      <c r="B1360">
        <v>5</v>
      </c>
      <c r="C1360" t="s">
        <v>33</v>
      </c>
      <c r="D1360" t="s">
        <v>4</v>
      </c>
      <c r="E1360">
        <v>189549.41208791215</v>
      </c>
      <c r="F1360">
        <v>337486.688034188</v>
      </c>
      <c r="G1360">
        <v>8773776423.5</v>
      </c>
      <c r="H1360">
        <v>818665962.24072123</v>
      </c>
      <c r="I1360">
        <v>705461.63701854413</v>
      </c>
      <c r="J1360">
        <v>114656017.96923079</v>
      </c>
    </row>
    <row r="1361" spans="1:10" x14ac:dyDescent="0.25">
      <c r="A1361">
        <v>34</v>
      </c>
      <c r="B1361">
        <v>6</v>
      </c>
      <c r="C1361" t="s">
        <v>33</v>
      </c>
      <c r="D1361" t="s">
        <v>5</v>
      </c>
      <c r="E1361">
        <v>137877.55494505493</v>
      </c>
      <c r="F1361">
        <v>403275.99938949948</v>
      </c>
      <c r="G1361">
        <v>15270820006.802225</v>
      </c>
      <c r="H1361">
        <v>938122736.00357831</v>
      </c>
      <c r="I1361">
        <v>820476.24129504804</v>
      </c>
      <c r="J1361">
        <v>120956884.61538462</v>
      </c>
    </row>
    <row r="1362" spans="1:10" x14ac:dyDescent="0.25">
      <c r="A1362">
        <v>34</v>
      </c>
      <c r="B1362">
        <v>7</v>
      </c>
      <c r="C1362" t="s">
        <v>33</v>
      </c>
      <c r="D1362" t="s">
        <v>6</v>
      </c>
      <c r="E1362">
        <v>129627.55494505494</v>
      </c>
      <c r="F1362">
        <v>336822.30341880338</v>
      </c>
      <c r="G1362">
        <v>9021852761.5333328</v>
      </c>
      <c r="H1362">
        <v>799433738.46929264</v>
      </c>
      <c r="I1362">
        <v>70.19041382202515</v>
      </c>
      <c r="J1362">
        <v>22.35</v>
      </c>
    </row>
    <row r="1363" spans="1:10" x14ac:dyDescent="0.25">
      <c r="A1363">
        <v>34</v>
      </c>
      <c r="B1363">
        <v>8</v>
      </c>
      <c r="C1363" t="s">
        <v>33</v>
      </c>
      <c r="D1363" t="s">
        <v>7</v>
      </c>
      <c r="E1363">
        <v>159274.62637362635</v>
      </c>
      <c r="F1363">
        <v>394420.07264957251</v>
      </c>
      <c r="G1363">
        <v>7705958504.1866636</v>
      </c>
      <c r="H1363">
        <v>824294244.54445589</v>
      </c>
      <c r="I1363">
        <v>0</v>
      </c>
      <c r="J1363">
        <v>4696517.6703296714</v>
      </c>
    </row>
    <row r="1364" spans="1:10" x14ac:dyDescent="0.25">
      <c r="A1364">
        <v>34</v>
      </c>
      <c r="B1364">
        <v>9</v>
      </c>
      <c r="C1364" t="s">
        <v>33</v>
      </c>
      <c r="D1364" t="s">
        <v>8</v>
      </c>
      <c r="E1364">
        <v>125270.22377622378</v>
      </c>
      <c r="F1364">
        <v>844752.84829059849</v>
      </c>
      <c r="G1364">
        <v>11934566870.307781</v>
      </c>
      <c r="H1364">
        <v>805216630.03370702</v>
      </c>
      <c r="I1364">
        <v>0</v>
      </c>
      <c r="J1364">
        <v>1948030.6153846167</v>
      </c>
    </row>
    <row r="1365" spans="1:10" x14ac:dyDescent="0.25">
      <c r="A1365">
        <v>34</v>
      </c>
      <c r="B1365">
        <v>10</v>
      </c>
      <c r="C1365" t="s">
        <v>33</v>
      </c>
      <c r="D1365" t="s">
        <v>9</v>
      </c>
      <c r="E1365">
        <v>145752.98351648354</v>
      </c>
      <c r="F1365">
        <v>369129.14957264962</v>
      </c>
      <c r="G1365">
        <v>11127944525.008888</v>
      </c>
      <c r="H1365">
        <v>866001739.30072117</v>
      </c>
      <c r="I1365">
        <v>671323.12130759633</v>
      </c>
      <c r="J1365">
        <v>3502733.1868131883</v>
      </c>
    </row>
    <row r="1366" spans="1:10" x14ac:dyDescent="0.25">
      <c r="A1366">
        <v>34</v>
      </c>
      <c r="B1366">
        <v>11</v>
      </c>
      <c r="C1366" t="s">
        <v>33</v>
      </c>
      <c r="D1366" t="s">
        <v>10</v>
      </c>
      <c r="E1366">
        <v>145920.15384615384</v>
      </c>
      <c r="F1366">
        <v>371893.2264957265</v>
      </c>
      <c r="G1366">
        <v>38692559698.255562</v>
      </c>
      <c r="H1366">
        <v>863259782.71621859</v>
      </c>
      <c r="I1366">
        <v>751591.36846721161</v>
      </c>
      <c r="J1366">
        <v>8918998.6945054978</v>
      </c>
    </row>
    <row r="1367" spans="1:10" x14ac:dyDescent="0.25">
      <c r="A1367">
        <v>34</v>
      </c>
      <c r="B1367">
        <v>12</v>
      </c>
      <c r="C1367" t="s">
        <v>33</v>
      </c>
      <c r="D1367" t="s">
        <v>11</v>
      </c>
      <c r="E1367">
        <v>142888.76923076925</v>
      </c>
      <c r="F1367">
        <v>316619.30341880338</v>
      </c>
      <c r="G1367">
        <v>27504110978.928883</v>
      </c>
      <c r="H1367">
        <v>874084716.62585533</v>
      </c>
      <c r="I1367">
        <v>968746.28997247049</v>
      </c>
      <c r="J1367">
        <v>14568413.281318687</v>
      </c>
    </row>
    <row r="1368" spans="1:10" x14ac:dyDescent="0.25">
      <c r="A1368">
        <v>34</v>
      </c>
      <c r="B1368">
        <v>13</v>
      </c>
      <c r="C1368" t="s">
        <v>33</v>
      </c>
      <c r="D1368" t="s">
        <v>12</v>
      </c>
      <c r="E1368">
        <v>127967.15384615386</v>
      </c>
      <c r="F1368">
        <v>298307.764957265</v>
      </c>
      <c r="G1368">
        <v>23704358332.935558</v>
      </c>
      <c r="H1368">
        <v>805006655.03056538</v>
      </c>
      <c r="I1368">
        <v>968748.83441691496</v>
      </c>
      <c r="J1368">
        <v>10381148.901098907</v>
      </c>
    </row>
    <row r="1369" spans="1:10" x14ac:dyDescent="0.25">
      <c r="A1369">
        <v>34</v>
      </c>
      <c r="B1369">
        <v>14</v>
      </c>
      <c r="C1369" t="s">
        <v>33</v>
      </c>
      <c r="D1369" t="s">
        <v>13</v>
      </c>
      <c r="E1369">
        <v>148592.15384615384</v>
      </c>
      <c r="F1369">
        <v>444771.99572649552</v>
      </c>
      <c r="G1369">
        <v>32095850246.173317</v>
      </c>
      <c r="H1369">
        <v>845129530.42256534</v>
      </c>
      <c r="I1369">
        <v>968746.72886135941</v>
      </c>
      <c r="J1369">
        <v>5645929.2967033004</v>
      </c>
    </row>
    <row r="1370" spans="1:10" x14ac:dyDescent="0.25">
      <c r="A1370">
        <v>34</v>
      </c>
      <c r="B1370">
        <v>15</v>
      </c>
      <c r="C1370" t="s">
        <v>33</v>
      </c>
      <c r="D1370" t="s">
        <v>14</v>
      </c>
      <c r="E1370">
        <v>172391.53846153844</v>
      </c>
      <c r="F1370">
        <v>566947.68803418847</v>
      </c>
      <c r="G1370">
        <v>46480480510.442253</v>
      </c>
      <c r="H1370">
        <v>911302034.9481194</v>
      </c>
      <c r="I1370">
        <v>751591.52180054504</v>
      </c>
      <c r="J1370">
        <v>4905018.1450549485</v>
      </c>
    </row>
    <row r="1371" spans="1:10" x14ac:dyDescent="0.25">
      <c r="A1371">
        <v>34</v>
      </c>
      <c r="B1371">
        <v>16</v>
      </c>
      <c r="C1371" t="s">
        <v>33</v>
      </c>
      <c r="D1371" t="s">
        <v>15</v>
      </c>
      <c r="E1371">
        <v>162084.00000000003</v>
      </c>
      <c r="F1371">
        <v>805160.91880341852</v>
      </c>
      <c r="G1371">
        <v>77300730060.755524</v>
      </c>
      <c r="H1371">
        <v>881858221.67378736</v>
      </c>
      <c r="I1371">
        <v>0</v>
      </c>
      <c r="J1371">
        <v>2334074.8153846171</v>
      </c>
    </row>
    <row r="1372" spans="1:10" x14ac:dyDescent="0.25">
      <c r="A1372">
        <v>34</v>
      </c>
      <c r="B1372">
        <v>17</v>
      </c>
      <c r="C1372" t="s">
        <v>33</v>
      </c>
      <c r="D1372" t="s">
        <v>16</v>
      </c>
      <c r="E1372">
        <v>189143.07692307694</v>
      </c>
      <c r="F1372">
        <v>450044.76495726453</v>
      </c>
      <c r="G1372">
        <v>51101790982.111053</v>
      </c>
      <c r="H1372">
        <v>1157112031.6046896</v>
      </c>
      <c r="I1372">
        <v>968747.27775024832</v>
      </c>
      <c r="J1372">
        <v>9286796.7032967079</v>
      </c>
    </row>
    <row r="1373" spans="1:10" x14ac:dyDescent="0.25">
      <c r="A1373">
        <v>34</v>
      </c>
      <c r="B1373">
        <v>18</v>
      </c>
      <c r="C1373" t="s">
        <v>33</v>
      </c>
      <c r="D1373" t="s">
        <v>17</v>
      </c>
      <c r="E1373">
        <v>148409.53846153844</v>
      </c>
      <c r="F1373">
        <v>327215.61111111112</v>
      </c>
      <c r="G1373">
        <v>35436220352.635551</v>
      </c>
      <c r="H1373">
        <v>875271214.58178747</v>
      </c>
      <c r="I1373">
        <v>702684.82219743077</v>
      </c>
      <c r="J1373">
        <v>25585322.030769244</v>
      </c>
    </row>
    <row r="1374" spans="1:10" x14ac:dyDescent="0.25">
      <c r="A1374">
        <v>34</v>
      </c>
      <c r="B1374">
        <v>19</v>
      </c>
      <c r="C1374" t="s">
        <v>33</v>
      </c>
      <c r="D1374" t="s">
        <v>18</v>
      </c>
      <c r="E1374">
        <v>125960.69230769231</v>
      </c>
      <c r="F1374">
        <v>365934.61111111112</v>
      </c>
      <c r="G1374">
        <v>12838215698.07111</v>
      </c>
      <c r="H1374">
        <v>796800256.44538879</v>
      </c>
      <c r="I1374">
        <v>735264.48339241405</v>
      </c>
      <c r="J1374">
        <v>18789700.800000012</v>
      </c>
    </row>
    <row r="1375" spans="1:10" x14ac:dyDescent="0.25">
      <c r="A1375">
        <v>34</v>
      </c>
      <c r="B1375">
        <v>20</v>
      </c>
      <c r="C1375" t="s">
        <v>33</v>
      </c>
      <c r="D1375" t="s">
        <v>19</v>
      </c>
      <c r="E1375">
        <v>183132.46153846153</v>
      </c>
      <c r="F1375">
        <v>337749.89316239319</v>
      </c>
      <c r="G1375">
        <v>9082175687.1111126</v>
      </c>
      <c r="H1375">
        <v>920976712.41931891</v>
      </c>
      <c r="I1375">
        <v>508966.67125478206</v>
      </c>
      <c r="J1375">
        <v>15221606.892307701</v>
      </c>
    </row>
    <row r="1376" spans="1:10" x14ac:dyDescent="0.25">
      <c r="A1376">
        <v>34</v>
      </c>
      <c r="B1376">
        <v>21</v>
      </c>
      <c r="C1376" t="s">
        <v>33</v>
      </c>
      <c r="D1376" t="s">
        <v>20</v>
      </c>
      <c r="E1376">
        <v>161977.07692307694</v>
      </c>
      <c r="F1376">
        <v>381901.55982905952</v>
      </c>
      <c r="G1376">
        <v>5575976638.3777733</v>
      </c>
      <c r="H1376">
        <v>918807617.65956473</v>
      </c>
      <c r="I1376">
        <v>508966.17347700428</v>
      </c>
      <c r="J1376">
        <v>18738553.600000009</v>
      </c>
    </row>
    <row r="1377" spans="1:10" x14ac:dyDescent="0.25">
      <c r="A1377">
        <v>34</v>
      </c>
      <c r="B1377">
        <v>22</v>
      </c>
      <c r="C1377" t="s">
        <v>33</v>
      </c>
      <c r="D1377" t="s">
        <v>21</v>
      </c>
      <c r="E1377">
        <v>146416.92307692303</v>
      </c>
      <c r="F1377">
        <v>401028.55982905952</v>
      </c>
      <c r="G1377">
        <v>14975096193.139988</v>
      </c>
      <c r="H1377">
        <v>882090528.56374574</v>
      </c>
      <c r="I1377">
        <v>380064.06049306458</v>
      </c>
      <c r="J1377">
        <v>29477424.4923077</v>
      </c>
    </row>
    <row r="1378" spans="1:10" x14ac:dyDescent="0.25">
      <c r="A1378">
        <v>34</v>
      </c>
      <c r="B1378">
        <v>23</v>
      </c>
      <c r="C1378" t="s">
        <v>33</v>
      </c>
      <c r="D1378" t="s">
        <v>22</v>
      </c>
      <c r="E1378">
        <v>131095.46153846153</v>
      </c>
      <c r="F1378">
        <v>384764.89316239348</v>
      </c>
      <c r="G1378">
        <v>14206120088.788898</v>
      </c>
      <c r="H1378">
        <v>804948354.10153043</v>
      </c>
      <c r="I1378">
        <v>256769.17295019151</v>
      </c>
      <c r="J1378">
        <v>42525448.000000007</v>
      </c>
    </row>
    <row r="1379" spans="1:10" x14ac:dyDescent="0.25">
      <c r="A1379">
        <v>34</v>
      </c>
      <c r="B1379">
        <v>24</v>
      </c>
      <c r="C1379" t="s">
        <v>33</v>
      </c>
      <c r="D1379" t="s">
        <v>23</v>
      </c>
      <c r="E1379">
        <v>132257.84615384616</v>
      </c>
      <c r="F1379">
        <v>342236.89316239319</v>
      </c>
      <c r="G1379">
        <v>19124635653.137779</v>
      </c>
      <c r="H1379">
        <v>834368446.14153039</v>
      </c>
      <c r="I1379">
        <v>1062802.9199561263</v>
      </c>
      <c r="J1379">
        <v>64413410.153846167</v>
      </c>
    </row>
    <row r="1380" spans="1:10" x14ac:dyDescent="0.25">
      <c r="A1380">
        <v>34</v>
      </c>
      <c r="B1380">
        <v>25</v>
      </c>
      <c r="C1380" t="s">
        <v>33</v>
      </c>
      <c r="D1380" t="s">
        <v>24</v>
      </c>
      <c r="E1380">
        <v>129862.46153846155</v>
      </c>
      <c r="F1380">
        <v>335184.55982905981</v>
      </c>
      <c r="G1380">
        <v>16248393314.891111</v>
      </c>
      <c r="H1380">
        <v>809850480.00153041</v>
      </c>
      <c r="I1380">
        <v>256771.21406130263</v>
      </c>
      <c r="J1380">
        <v>23417200.800000016</v>
      </c>
    </row>
    <row r="1381" spans="1:10" x14ac:dyDescent="0.25">
      <c r="A1381">
        <v>34</v>
      </c>
      <c r="B1381">
        <v>26</v>
      </c>
      <c r="C1381" t="s">
        <v>33</v>
      </c>
      <c r="D1381" t="s">
        <v>25</v>
      </c>
      <c r="E1381">
        <v>128941.53846153847</v>
      </c>
      <c r="F1381">
        <v>321258.2264957265</v>
      </c>
      <c r="G1381">
        <v>19808293933.222225</v>
      </c>
      <c r="H1381">
        <v>814107577.58811939</v>
      </c>
      <c r="I1381">
        <v>571422.29692697362</v>
      </c>
      <c r="J1381">
        <v>6634302.6461538505</v>
      </c>
    </row>
    <row r="1382" spans="1:10" x14ac:dyDescent="0.25">
      <c r="A1382">
        <v>34</v>
      </c>
      <c r="B1382">
        <v>27</v>
      </c>
      <c r="C1382" t="s">
        <v>33</v>
      </c>
      <c r="D1382" t="s">
        <v>26</v>
      </c>
      <c r="E1382">
        <v>184156.76923076925</v>
      </c>
      <c r="F1382">
        <v>691191.32649572648</v>
      </c>
      <c r="G1382">
        <v>16589725389.672888</v>
      </c>
      <c r="H1382">
        <v>812475383.0313189</v>
      </c>
      <c r="I1382">
        <v>927436.39376436779</v>
      </c>
      <c r="J1382">
        <v>11630020.430769233</v>
      </c>
    </row>
    <row r="1383" spans="1:10" x14ac:dyDescent="0.25">
      <c r="A1383">
        <v>34</v>
      </c>
      <c r="B1383">
        <v>28</v>
      </c>
      <c r="C1383" t="s">
        <v>33</v>
      </c>
      <c r="D1383" t="s">
        <v>27</v>
      </c>
      <c r="E1383">
        <v>161221.06923076924</v>
      </c>
      <c r="F1383">
        <v>391190.62649572652</v>
      </c>
      <c r="G1383" t="s">
        <v>122</v>
      </c>
      <c r="H1383" t="s">
        <v>122</v>
      </c>
      <c r="I1383">
        <v>178178.82101679925</v>
      </c>
      <c r="J1383">
        <v>5980041.8769230787</v>
      </c>
    </row>
    <row r="1384" spans="1:10" x14ac:dyDescent="0.25">
      <c r="A1384">
        <v>34</v>
      </c>
      <c r="B1384">
        <v>29</v>
      </c>
      <c r="C1384" t="s">
        <v>33</v>
      </c>
      <c r="D1384" t="s">
        <v>28</v>
      </c>
      <c r="E1384">
        <v>157268.26923076925</v>
      </c>
      <c r="F1384">
        <v>635969.62649572652</v>
      </c>
      <c r="G1384">
        <v>22245149105.848</v>
      </c>
      <c r="H1384">
        <v>803620336.7717458</v>
      </c>
      <c r="I1384">
        <v>16303.517196668461</v>
      </c>
      <c r="J1384">
        <v>9210444.6153846197</v>
      </c>
    </row>
    <row r="1385" spans="1:10" x14ac:dyDescent="0.25">
      <c r="A1385">
        <v>34</v>
      </c>
      <c r="B1385">
        <v>30</v>
      </c>
      <c r="C1385" t="s">
        <v>33</v>
      </c>
      <c r="D1385" t="s">
        <v>29</v>
      </c>
      <c r="E1385">
        <v>132428.06923076924</v>
      </c>
      <c r="F1385">
        <v>504119.32649572648</v>
      </c>
      <c r="G1385">
        <v>26264536251.33511</v>
      </c>
      <c r="H1385">
        <v>807382518.74153042</v>
      </c>
      <c r="I1385">
        <v>605208.64887698309</v>
      </c>
      <c r="J1385">
        <v>7075037.5384615436</v>
      </c>
    </row>
    <row r="1386" spans="1:10" x14ac:dyDescent="0.25">
      <c r="A1386">
        <v>34</v>
      </c>
      <c r="B1386">
        <v>31</v>
      </c>
      <c r="C1386" t="s">
        <v>33</v>
      </c>
      <c r="D1386" t="s">
        <v>30</v>
      </c>
      <c r="E1386">
        <v>127317.23076923078</v>
      </c>
      <c r="F1386">
        <v>298870.91880341881</v>
      </c>
      <c r="G1386">
        <v>3782904857.9888887</v>
      </c>
      <c r="H1386">
        <v>1088934375.2295985</v>
      </c>
      <c r="I1386">
        <v>605207.93776587199</v>
      </c>
      <c r="J1386">
        <v>11914330.153846161</v>
      </c>
    </row>
    <row r="1387" spans="1:10" x14ac:dyDescent="0.25">
      <c r="A1387">
        <v>34</v>
      </c>
      <c r="B1387">
        <v>32</v>
      </c>
      <c r="C1387" t="s">
        <v>33</v>
      </c>
      <c r="D1387" t="s">
        <v>31</v>
      </c>
      <c r="E1387">
        <v>125162.15384615384</v>
      </c>
      <c r="F1387">
        <v>324417.7264957265</v>
      </c>
      <c r="G1387">
        <v>3526952732.0800004</v>
      </c>
      <c r="H1387">
        <v>1722155996.7732968</v>
      </c>
      <c r="I1387">
        <v>605206.59887698316</v>
      </c>
      <c r="J1387">
        <v>10236042.615384622</v>
      </c>
    </row>
    <row r="1388" spans="1:10" x14ac:dyDescent="0.25">
      <c r="A1388">
        <v>34</v>
      </c>
      <c r="B1388">
        <v>33</v>
      </c>
      <c r="C1388" t="s">
        <v>33</v>
      </c>
      <c r="D1388" t="s">
        <v>32</v>
      </c>
      <c r="E1388">
        <v>188839.53846153844</v>
      </c>
      <c r="F1388">
        <v>374127.94957264961</v>
      </c>
      <c r="G1388">
        <v>1693761032.3760891</v>
      </c>
      <c r="H1388">
        <v>794395599.86929691</v>
      </c>
      <c r="I1388">
        <v>380066.75938195345</v>
      </c>
      <c r="J1388">
        <v>11336572.061538467</v>
      </c>
    </row>
    <row r="1389" spans="1:10" x14ac:dyDescent="0.25">
      <c r="A1389">
        <v>34</v>
      </c>
      <c r="B1389">
        <v>34</v>
      </c>
      <c r="C1389" t="s">
        <v>33</v>
      </c>
      <c r="D1389" t="s">
        <v>33</v>
      </c>
      <c r="E1389">
        <v>0</v>
      </c>
      <c r="F1389">
        <v>0</v>
      </c>
      <c r="G1389">
        <v>0</v>
      </c>
      <c r="H1389">
        <v>0</v>
      </c>
      <c r="I1389">
        <v>927437.84043103456</v>
      </c>
      <c r="J1389">
        <v>10866326.64615385</v>
      </c>
    </row>
    <row r="1390" spans="1:10" x14ac:dyDescent="0.25">
      <c r="A1390">
        <v>34</v>
      </c>
      <c r="B1390">
        <v>35</v>
      </c>
      <c r="C1390" t="s">
        <v>33</v>
      </c>
      <c r="D1390" t="s">
        <v>34</v>
      </c>
      <c r="E1390">
        <v>147768.38461538462</v>
      </c>
      <c r="F1390">
        <v>290099.764957265</v>
      </c>
      <c r="G1390">
        <v>1858796837.9777782</v>
      </c>
      <c r="H1390">
        <v>0</v>
      </c>
      <c r="I1390">
        <v>605207.12665476091</v>
      </c>
      <c r="J1390">
        <v>14180125.323076932</v>
      </c>
    </row>
    <row r="1391" spans="1:10" x14ac:dyDescent="0.25">
      <c r="A1391">
        <v>34</v>
      </c>
      <c r="B1391">
        <v>36</v>
      </c>
      <c r="C1391" t="s">
        <v>33</v>
      </c>
      <c r="D1391" t="s">
        <v>35</v>
      </c>
      <c r="E1391">
        <v>128392.61538461539</v>
      </c>
      <c r="F1391">
        <v>365946.14957264962</v>
      </c>
      <c r="G1391">
        <v>2056485619.9844444</v>
      </c>
      <c r="H1391">
        <v>22693493.405707158</v>
      </c>
      <c r="I1391">
        <v>751592.62402276718</v>
      </c>
      <c r="J1391">
        <v>3071489.7230769247</v>
      </c>
    </row>
    <row r="1392" spans="1:10" x14ac:dyDescent="0.25">
      <c r="A1392">
        <v>34</v>
      </c>
      <c r="B1392">
        <v>37</v>
      </c>
      <c r="C1392" t="s">
        <v>33</v>
      </c>
      <c r="D1392" t="s">
        <v>36</v>
      </c>
      <c r="E1392">
        <v>134811.61538461543</v>
      </c>
      <c r="F1392">
        <v>360761.65323565318</v>
      </c>
      <c r="G1392">
        <v>35753370226.716187</v>
      </c>
      <c r="H1392">
        <v>76267780.058835626</v>
      </c>
      <c r="I1392">
        <v>554294.65016514342</v>
      </c>
      <c r="J1392">
        <v>2622733.1076923092</v>
      </c>
    </row>
    <row r="1393" spans="1:10" x14ac:dyDescent="0.25">
      <c r="A1393">
        <v>34</v>
      </c>
      <c r="B1393">
        <v>38</v>
      </c>
      <c r="C1393" t="s">
        <v>33</v>
      </c>
      <c r="D1393" t="s">
        <v>37</v>
      </c>
      <c r="E1393">
        <v>124779.76923076923</v>
      </c>
      <c r="F1393">
        <v>281738.61111111112</v>
      </c>
      <c r="G1393">
        <v>35142665656.944443</v>
      </c>
      <c r="H1393">
        <v>6318328.5641012974</v>
      </c>
      <c r="I1393">
        <v>554293.34238736564</v>
      </c>
      <c r="J1393">
        <v>1605626.3076923087</v>
      </c>
    </row>
    <row r="1394" spans="1:10" x14ac:dyDescent="0.25">
      <c r="A1394">
        <v>34</v>
      </c>
      <c r="B1394">
        <v>39</v>
      </c>
      <c r="C1394" t="s">
        <v>33</v>
      </c>
      <c r="D1394" t="s">
        <v>38</v>
      </c>
      <c r="E1394">
        <v>127850.15384615386</v>
      </c>
      <c r="F1394">
        <v>365909.06898656901</v>
      </c>
      <c r="G1394">
        <v>37973867543.073013</v>
      </c>
      <c r="H1394">
        <v>23609442.378835618</v>
      </c>
      <c r="I1394">
        <v>2285612.9129103855</v>
      </c>
      <c r="J1394">
        <v>2982124.9230769235</v>
      </c>
    </row>
    <row r="1395" spans="1:10" x14ac:dyDescent="0.25">
      <c r="A1395">
        <v>34</v>
      </c>
      <c r="B1395">
        <v>40</v>
      </c>
      <c r="C1395" t="s">
        <v>33</v>
      </c>
      <c r="D1395" t="s">
        <v>39</v>
      </c>
      <c r="E1395">
        <v>134396.53846153847</v>
      </c>
      <c r="F1395">
        <v>347228.3693528694</v>
      </c>
      <c r="G1395">
        <v>39864844633.090164</v>
      </c>
      <c r="H1395">
        <v>9103681.3222549018</v>
      </c>
      <c r="I1395">
        <v>2285613.83735483</v>
      </c>
      <c r="J1395">
        <v>4137514.7692307699</v>
      </c>
    </row>
    <row r="1396" spans="1:10" x14ac:dyDescent="0.25">
      <c r="A1396">
        <v>34</v>
      </c>
      <c r="B1396">
        <v>41</v>
      </c>
      <c r="C1396" t="s">
        <v>33</v>
      </c>
      <c r="D1396" t="s">
        <v>40</v>
      </c>
      <c r="E1396">
        <v>146755.46153846153</v>
      </c>
      <c r="F1396">
        <v>295406.7191697192</v>
      </c>
      <c r="G1396">
        <v>33651516372.131435</v>
      </c>
      <c r="H1396">
        <v>163284545.52410132</v>
      </c>
      <c r="I1396">
        <v>0</v>
      </c>
      <c r="J1396">
        <v>0</v>
      </c>
    </row>
    <row r="1397" spans="1:10" x14ac:dyDescent="0.25">
      <c r="A1397">
        <v>35</v>
      </c>
      <c r="B1397">
        <v>1</v>
      </c>
      <c r="C1397" t="s">
        <v>34</v>
      </c>
      <c r="D1397" t="s">
        <v>0</v>
      </c>
      <c r="E1397">
        <v>12224.379120879092</v>
      </c>
      <c r="F1397">
        <v>62655.230769230817</v>
      </c>
      <c r="G1397">
        <v>411331590.00000036</v>
      </c>
      <c r="H1397">
        <v>308142647.36713576</v>
      </c>
      <c r="I1397">
        <v>572425.47729547578</v>
      </c>
      <c r="J1397">
        <v>10135815.015384613</v>
      </c>
    </row>
    <row r="1398" spans="1:10" x14ac:dyDescent="0.25">
      <c r="A1398">
        <v>35</v>
      </c>
      <c r="B1398">
        <v>2</v>
      </c>
      <c r="C1398" t="s">
        <v>34</v>
      </c>
      <c r="D1398" t="s">
        <v>1</v>
      </c>
      <c r="E1398">
        <v>30963.37912087909</v>
      </c>
      <c r="F1398">
        <v>53043.615384615419</v>
      </c>
      <c r="G1398">
        <v>507024823.76000029</v>
      </c>
      <c r="H1398">
        <v>184611178.80570716</v>
      </c>
      <c r="I1398">
        <v>607072.01734916936</v>
      </c>
      <c r="J1398">
        <v>18737884.184615429</v>
      </c>
    </row>
    <row r="1399" spans="1:10" x14ac:dyDescent="0.25">
      <c r="A1399">
        <v>35</v>
      </c>
      <c r="B1399">
        <v>3</v>
      </c>
      <c r="C1399" t="s">
        <v>34</v>
      </c>
      <c r="D1399" t="s">
        <v>2</v>
      </c>
      <c r="E1399">
        <v>26228.021978021992</v>
      </c>
      <c r="F1399">
        <v>56077.84615384612</v>
      </c>
      <c r="G1399">
        <v>695069201.27999961</v>
      </c>
      <c r="H1399">
        <v>227297882.66671276</v>
      </c>
      <c r="I1399">
        <v>572425.19951769803</v>
      </c>
      <c r="J1399">
        <v>7695841.5692307698</v>
      </c>
    </row>
    <row r="1400" spans="1:10" x14ac:dyDescent="0.25">
      <c r="A1400">
        <v>35</v>
      </c>
      <c r="B1400">
        <v>4</v>
      </c>
      <c r="C1400" t="s">
        <v>34</v>
      </c>
      <c r="D1400" t="s">
        <v>3</v>
      </c>
      <c r="E1400">
        <v>40884.379120879094</v>
      </c>
      <c r="F1400">
        <v>45184.769230769212</v>
      </c>
      <c r="G1400">
        <v>818720907.59999955</v>
      </c>
      <c r="H1400">
        <v>277495823.07302743</v>
      </c>
      <c r="I1400">
        <v>530824.70296031202</v>
      </c>
      <c r="J1400">
        <v>11247040.984615387</v>
      </c>
    </row>
    <row r="1401" spans="1:10" x14ac:dyDescent="0.25">
      <c r="A1401">
        <v>35</v>
      </c>
      <c r="B1401">
        <v>5</v>
      </c>
      <c r="C1401" t="s">
        <v>34</v>
      </c>
      <c r="D1401" t="s">
        <v>4</v>
      </c>
      <c r="E1401">
        <v>74620.950549450587</v>
      </c>
      <c r="F1401">
        <v>76984.846153846112</v>
      </c>
      <c r="G1401">
        <v>1839676074.599999</v>
      </c>
      <c r="H1401">
        <v>188931353.31272128</v>
      </c>
      <c r="I1401">
        <v>607071.41734916926</v>
      </c>
      <c r="J1401">
        <v>17069609.846153844</v>
      </c>
    </row>
    <row r="1402" spans="1:10" x14ac:dyDescent="0.25">
      <c r="A1402">
        <v>35</v>
      </c>
      <c r="B1402">
        <v>6</v>
      </c>
      <c r="C1402" t="s">
        <v>34</v>
      </c>
      <c r="D1402" t="s">
        <v>5</v>
      </c>
      <c r="E1402">
        <v>22949.093406593391</v>
      </c>
      <c r="F1402">
        <v>142774.15750915761</v>
      </c>
      <c r="G1402">
        <v>5106477650.3714314</v>
      </c>
      <c r="H1402">
        <v>308388127.07557839</v>
      </c>
      <c r="I1402">
        <v>71.114858266469597</v>
      </c>
      <c r="J1402">
        <v>22.5</v>
      </c>
    </row>
    <row r="1403" spans="1:10" x14ac:dyDescent="0.25">
      <c r="A1403">
        <v>35</v>
      </c>
      <c r="B1403">
        <v>7</v>
      </c>
      <c r="C1403" t="s">
        <v>34</v>
      </c>
      <c r="D1403" t="s">
        <v>6</v>
      </c>
      <c r="E1403">
        <v>14699.093406593402</v>
      </c>
      <c r="F1403">
        <v>76320.461538461517</v>
      </c>
      <c r="G1403">
        <v>1887933151.4399996</v>
      </c>
      <c r="H1403">
        <v>169699129.54129273</v>
      </c>
      <c r="I1403">
        <v>572424.85729547578</v>
      </c>
      <c r="J1403">
        <v>67112146.087912098</v>
      </c>
    </row>
    <row r="1404" spans="1:10" x14ac:dyDescent="0.25">
      <c r="A1404">
        <v>35</v>
      </c>
      <c r="B1404">
        <v>8</v>
      </c>
      <c r="C1404" t="s">
        <v>34</v>
      </c>
      <c r="D1404" t="s">
        <v>7</v>
      </c>
      <c r="E1404">
        <v>44346.164835164789</v>
      </c>
      <c r="F1404">
        <v>133918.23076923061</v>
      </c>
      <c r="G1404">
        <v>2328050593.8799973</v>
      </c>
      <c r="H1404">
        <v>194559635.61645597</v>
      </c>
      <c r="I1404">
        <v>572425.23507325351</v>
      </c>
      <c r="J1404">
        <v>7000549.7846153835</v>
      </c>
    </row>
    <row r="1405" spans="1:10" x14ac:dyDescent="0.25">
      <c r="A1405">
        <v>35</v>
      </c>
      <c r="B1405">
        <v>9</v>
      </c>
      <c r="C1405" t="s">
        <v>34</v>
      </c>
      <c r="D1405" t="s">
        <v>8</v>
      </c>
      <c r="E1405">
        <v>10341.762237762236</v>
      </c>
      <c r="F1405">
        <v>584251.00641025661</v>
      </c>
      <c r="G1405">
        <v>5369850999.9166679</v>
      </c>
      <c r="H1405">
        <v>175482021.10570717</v>
      </c>
      <c r="I1405">
        <v>177900.9893362335</v>
      </c>
      <c r="J1405">
        <v>12796512.593406592</v>
      </c>
    </row>
    <row r="1406" spans="1:10" x14ac:dyDescent="0.25">
      <c r="A1406">
        <v>35</v>
      </c>
      <c r="B1406">
        <v>10</v>
      </c>
      <c r="C1406" t="s">
        <v>34</v>
      </c>
      <c r="D1406" t="s">
        <v>9</v>
      </c>
      <c r="E1406">
        <v>30824.521978021992</v>
      </c>
      <c r="F1406">
        <v>108627.30769230772</v>
      </c>
      <c r="G1406">
        <v>3000885861.1999998</v>
      </c>
      <c r="H1406">
        <v>236267130.37272128</v>
      </c>
      <c r="I1406">
        <v>237703.25631669498</v>
      </c>
      <c r="J1406">
        <v>30963395.393406592</v>
      </c>
    </row>
    <row r="1407" spans="1:10" x14ac:dyDescent="0.25">
      <c r="A1407">
        <v>35</v>
      </c>
      <c r="B1407">
        <v>11</v>
      </c>
      <c r="C1407" t="s">
        <v>34</v>
      </c>
      <c r="D1407" t="s">
        <v>10</v>
      </c>
      <c r="E1407">
        <v>30991.69230769229</v>
      </c>
      <c r="F1407">
        <v>111391.38461538461</v>
      </c>
      <c r="G1407">
        <v>11636198009.279997</v>
      </c>
      <c r="H1407">
        <v>233525173.78821871</v>
      </c>
      <c r="I1407">
        <v>338866.9333107539</v>
      </c>
      <c r="J1407">
        <v>50262917.582417578</v>
      </c>
    </row>
    <row r="1408" spans="1:10" x14ac:dyDescent="0.25">
      <c r="A1408">
        <v>35</v>
      </c>
      <c r="B1408">
        <v>12</v>
      </c>
      <c r="C1408" t="s">
        <v>34</v>
      </c>
      <c r="D1408" t="s">
        <v>11</v>
      </c>
      <c r="E1408">
        <v>27960.307692307691</v>
      </c>
      <c r="F1408">
        <v>56117.461538461517</v>
      </c>
      <c r="G1408">
        <v>4898394450.9599981</v>
      </c>
      <c r="H1408">
        <v>244350107.69785547</v>
      </c>
      <c r="I1408">
        <v>338869.47775519837</v>
      </c>
      <c r="J1408">
        <v>15228060.439560438</v>
      </c>
    </row>
    <row r="1409" spans="1:10" x14ac:dyDescent="0.25">
      <c r="A1409">
        <v>35</v>
      </c>
      <c r="B1409">
        <v>13</v>
      </c>
      <c r="C1409" t="s">
        <v>34</v>
      </c>
      <c r="D1409" t="s">
        <v>12</v>
      </c>
      <c r="E1409">
        <v>13038.692307692312</v>
      </c>
      <c r="F1409">
        <v>37805.923076923114</v>
      </c>
      <c r="G1409">
        <v>3020047528.6800027</v>
      </c>
      <c r="H1409">
        <v>175272046.1025655</v>
      </c>
      <c r="I1409">
        <v>338867.37219964276</v>
      </c>
      <c r="J1409">
        <v>5995931.4989010952</v>
      </c>
    </row>
    <row r="1410" spans="1:10" x14ac:dyDescent="0.25">
      <c r="A1410">
        <v>35</v>
      </c>
      <c r="B1410">
        <v>14</v>
      </c>
      <c r="C1410" t="s">
        <v>34</v>
      </c>
      <c r="D1410" t="s">
        <v>13</v>
      </c>
      <c r="E1410">
        <v>33663.69230769229</v>
      </c>
      <c r="F1410">
        <v>184270.15384615361</v>
      </c>
      <c r="G1410">
        <v>13374814239.359983</v>
      </c>
      <c r="H1410">
        <v>215394921.49456552</v>
      </c>
      <c r="I1410">
        <v>237703.40965002833</v>
      </c>
      <c r="J1410">
        <v>9957555.5538461488</v>
      </c>
    </row>
    <row r="1411" spans="1:10" x14ac:dyDescent="0.25">
      <c r="A1411">
        <v>35</v>
      </c>
      <c r="B1411">
        <v>15</v>
      </c>
      <c r="C1411" t="s">
        <v>34</v>
      </c>
      <c r="D1411" t="s">
        <v>14</v>
      </c>
      <c r="E1411">
        <v>57463.076923076893</v>
      </c>
      <c r="F1411">
        <v>306445.84615384665</v>
      </c>
      <c r="G1411">
        <v>24721207050.240036</v>
      </c>
      <c r="H1411">
        <v>281567426.02011955</v>
      </c>
      <c r="I1411">
        <v>572427.31840658688</v>
      </c>
      <c r="J1411">
        <v>3691327.5384615357</v>
      </c>
    </row>
    <row r="1412" spans="1:10" x14ac:dyDescent="0.25">
      <c r="A1412">
        <v>35</v>
      </c>
      <c r="B1412">
        <v>16</v>
      </c>
      <c r="C1412" t="s">
        <v>34</v>
      </c>
      <c r="D1412" t="s">
        <v>15</v>
      </c>
      <c r="E1412">
        <v>47155.538461538497</v>
      </c>
      <c r="F1412">
        <v>544659.07692307665</v>
      </c>
      <c r="G1412">
        <v>51976183906.239975</v>
      </c>
      <c r="H1412">
        <v>252123612.74578753</v>
      </c>
      <c r="I1412">
        <v>338867.92108853167</v>
      </c>
      <c r="J1412">
        <v>16961040.94065934</v>
      </c>
    </row>
    <row r="1413" spans="1:10" x14ac:dyDescent="0.25">
      <c r="A1413">
        <v>35</v>
      </c>
      <c r="B1413">
        <v>17</v>
      </c>
      <c r="C1413" t="s">
        <v>34</v>
      </c>
      <c r="D1413" t="s">
        <v>16</v>
      </c>
      <c r="E1413">
        <v>74214.61538461539</v>
      </c>
      <c r="F1413">
        <v>189542.92307692263</v>
      </c>
      <c r="G1413">
        <v>21601903674.399948</v>
      </c>
      <c r="H1413">
        <v>527377422.67668974</v>
      </c>
      <c r="I1413">
        <v>0</v>
      </c>
      <c r="J1413">
        <v>1401003.4153846151</v>
      </c>
    </row>
    <row r="1414" spans="1:10" x14ac:dyDescent="0.25">
      <c r="A1414">
        <v>35</v>
      </c>
      <c r="B1414">
        <v>18</v>
      </c>
      <c r="C1414" t="s">
        <v>34</v>
      </c>
      <c r="D1414" t="s">
        <v>17</v>
      </c>
      <c r="E1414">
        <v>33481.076923076893</v>
      </c>
      <c r="F1414">
        <v>66713.76923076922</v>
      </c>
      <c r="G1414">
        <v>7189812292.3199978</v>
      </c>
      <c r="H1414">
        <v>245536605.65378755</v>
      </c>
      <c r="I1414">
        <v>101904.95632183937</v>
      </c>
      <c r="J1414">
        <v>1546589.7230769226</v>
      </c>
    </row>
    <row r="1415" spans="1:10" x14ac:dyDescent="0.25">
      <c r="A1415">
        <v>35</v>
      </c>
      <c r="B1415">
        <v>19</v>
      </c>
      <c r="C1415" t="s">
        <v>34</v>
      </c>
      <c r="D1415" t="s">
        <v>18</v>
      </c>
      <c r="E1415">
        <v>11032.230769230771</v>
      </c>
      <c r="F1415">
        <v>105432.76923076921</v>
      </c>
      <c r="G1415">
        <v>3743234431.039999</v>
      </c>
      <c r="H1415">
        <v>167065647.51738897</v>
      </c>
      <c r="I1415">
        <v>72550.845265514392</v>
      </c>
      <c r="J1415">
        <v>1127853.2307692301</v>
      </c>
    </row>
    <row r="1416" spans="1:10" x14ac:dyDescent="0.25">
      <c r="A1416">
        <v>35</v>
      </c>
      <c r="B1416">
        <v>20</v>
      </c>
      <c r="C1416" t="s">
        <v>34</v>
      </c>
      <c r="D1416" t="s">
        <v>19</v>
      </c>
      <c r="E1416">
        <v>68203.999999999985</v>
      </c>
      <c r="F1416">
        <v>77248.05128205131</v>
      </c>
      <c r="G1416">
        <v>2109675179.7333341</v>
      </c>
      <c r="H1416">
        <v>291242103.491319</v>
      </c>
      <c r="I1416">
        <v>72550.34748773661</v>
      </c>
      <c r="J1416">
        <v>3409139.63076923</v>
      </c>
    </row>
    <row r="1417" spans="1:10" x14ac:dyDescent="0.25">
      <c r="A1417">
        <v>35</v>
      </c>
      <c r="B1417">
        <v>21</v>
      </c>
      <c r="C1417" t="s">
        <v>34</v>
      </c>
      <c r="D1417" t="s">
        <v>20</v>
      </c>
      <c r="E1417">
        <v>47048.61538461539</v>
      </c>
      <c r="F1417">
        <v>121399.7179487176</v>
      </c>
      <c r="G1417">
        <v>1829887084.5733278</v>
      </c>
      <c r="H1417">
        <v>289073008.73156482</v>
      </c>
      <c r="I1417">
        <v>200913.4287465204</v>
      </c>
      <c r="J1417">
        <v>11429754.184615383</v>
      </c>
    </row>
    <row r="1418" spans="1:10" x14ac:dyDescent="0.25">
      <c r="A1418">
        <v>35</v>
      </c>
      <c r="B1418">
        <v>22</v>
      </c>
      <c r="C1418" t="s">
        <v>34</v>
      </c>
      <c r="D1418" t="s">
        <v>21</v>
      </c>
      <c r="E1418">
        <v>31488.461538461492</v>
      </c>
      <c r="F1418">
        <v>140526.71794871762</v>
      </c>
      <c r="G1418">
        <v>5313933523.1999874</v>
      </c>
      <c r="H1418">
        <v>252355919.63574591</v>
      </c>
      <c r="I1418">
        <v>271767.19451662357</v>
      </c>
      <c r="J1418">
        <v>12617181.046153845</v>
      </c>
    </row>
    <row r="1419" spans="1:10" x14ac:dyDescent="0.25">
      <c r="A1419">
        <v>35</v>
      </c>
      <c r="B1419">
        <v>23</v>
      </c>
      <c r="C1419" t="s">
        <v>34</v>
      </c>
      <c r="D1419" t="s">
        <v>22</v>
      </c>
      <c r="E1419">
        <v>16167.000000000002</v>
      </c>
      <c r="F1419">
        <v>124263.05128205162</v>
      </c>
      <c r="G1419">
        <v>4725037908.2133465</v>
      </c>
      <c r="H1419">
        <v>175213745.17353052</v>
      </c>
      <c r="I1419">
        <v>423143.25246469816</v>
      </c>
      <c r="J1419">
        <v>18654326.923076924</v>
      </c>
    </row>
    <row r="1420" spans="1:10" x14ac:dyDescent="0.25">
      <c r="A1420">
        <v>35</v>
      </c>
      <c r="B1420">
        <v>24</v>
      </c>
      <c r="C1420" t="s">
        <v>34</v>
      </c>
      <c r="D1420" t="s">
        <v>23</v>
      </c>
      <c r="E1420">
        <v>17329.38461538461</v>
      </c>
      <c r="F1420">
        <v>81735.05128205131</v>
      </c>
      <c r="G1420">
        <v>4601801085.6533346</v>
      </c>
      <c r="H1420">
        <v>204633837.21353054</v>
      </c>
      <c r="I1420">
        <v>271769.23562773468</v>
      </c>
      <c r="J1420">
        <v>3405872.461538461</v>
      </c>
    </row>
    <row r="1421" spans="1:10" x14ac:dyDescent="0.25">
      <c r="A1421">
        <v>35</v>
      </c>
      <c r="B1421">
        <v>25</v>
      </c>
      <c r="C1421" t="s">
        <v>34</v>
      </c>
      <c r="D1421" t="s">
        <v>24</v>
      </c>
      <c r="E1421">
        <v>14934.000000000002</v>
      </c>
      <c r="F1421">
        <v>74682.717948717909</v>
      </c>
      <c r="G1421">
        <v>3651695138.7466645</v>
      </c>
      <c r="H1421">
        <v>180115871.07353052</v>
      </c>
      <c r="I1421">
        <v>72561.903986289486</v>
      </c>
      <c r="J1421">
        <v>3141984.0307692289</v>
      </c>
    </row>
    <row r="1422" spans="1:10" x14ac:dyDescent="0.25">
      <c r="A1422">
        <v>35</v>
      </c>
      <c r="B1422">
        <v>26</v>
      </c>
      <c r="C1422" t="s">
        <v>34</v>
      </c>
      <c r="D1422" t="s">
        <v>25</v>
      </c>
      <c r="E1422">
        <v>14013.076923076922</v>
      </c>
      <c r="F1422">
        <v>60756.384615384617</v>
      </c>
      <c r="G1422">
        <v>3784437429.5199995</v>
      </c>
      <c r="H1422">
        <v>184372968.66011953</v>
      </c>
      <c r="I1422">
        <v>251754.1217485801</v>
      </c>
      <c r="J1422">
        <v>21385816.738461539</v>
      </c>
    </row>
    <row r="1423" spans="1:10" x14ac:dyDescent="0.25">
      <c r="A1423">
        <v>35</v>
      </c>
      <c r="B1423">
        <v>27</v>
      </c>
      <c r="C1423" t="s">
        <v>34</v>
      </c>
      <c r="D1423" t="s">
        <v>26</v>
      </c>
      <c r="E1423">
        <v>69228.307692307688</v>
      </c>
      <c r="F1423">
        <v>430689.4846153846</v>
      </c>
      <c r="G1423">
        <v>10518212455.379999</v>
      </c>
      <c r="H1423">
        <v>182740774.10331902</v>
      </c>
      <c r="I1423">
        <v>202335.52207030871</v>
      </c>
      <c r="J1423">
        <v>18136925.230769228</v>
      </c>
    </row>
    <row r="1424" spans="1:10" x14ac:dyDescent="0.25">
      <c r="A1424">
        <v>35</v>
      </c>
      <c r="B1424">
        <v>28</v>
      </c>
      <c r="C1424" t="s">
        <v>34</v>
      </c>
      <c r="D1424" t="s">
        <v>27</v>
      </c>
      <c r="E1424">
        <v>46292.607692307691</v>
      </c>
      <c r="F1424">
        <v>130688.7846153846</v>
      </c>
      <c r="G1424" t="s">
        <v>122</v>
      </c>
      <c r="H1424" t="s">
        <v>122</v>
      </c>
      <c r="I1424">
        <v>1697877.8515948968</v>
      </c>
      <c r="J1424">
        <v>6340804.9230769221</v>
      </c>
    </row>
    <row r="1425" spans="1:10" x14ac:dyDescent="0.25">
      <c r="A1425">
        <v>35</v>
      </c>
      <c r="B1425">
        <v>29</v>
      </c>
      <c r="C1425" t="s">
        <v>34</v>
      </c>
      <c r="D1425" t="s">
        <v>28</v>
      </c>
      <c r="E1425">
        <v>42339.807692307688</v>
      </c>
      <c r="F1425">
        <v>375467.78461538465</v>
      </c>
      <c r="G1425">
        <v>13290988864.352001</v>
      </c>
      <c r="H1425">
        <v>173885727.84374595</v>
      </c>
      <c r="I1425">
        <v>66482.057827740762</v>
      </c>
      <c r="J1425">
        <v>2259571.1999999979</v>
      </c>
    </row>
    <row r="1426" spans="1:10" x14ac:dyDescent="0.25">
      <c r="A1426">
        <v>35</v>
      </c>
      <c r="B1426">
        <v>30</v>
      </c>
      <c r="C1426" t="s">
        <v>34</v>
      </c>
      <c r="D1426" t="s">
        <v>29</v>
      </c>
      <c r="E1426">
        <v>17499.607692307691</v>
      </c>
      <c r="F1426">
        <v>243617.48461538463</v>
      </c>
      <c r="G1426">
        <v>12794790292.000002</v>
      </c>
      <c r="H1426">
        <v>177647909.81353053</v>
      </c>
      <c r="I1426">
        <v>66481.346716629647</v>
      </c>
      <c r="J1426">
        <v>2684990.7692307676</v>
      </c>
    </row>
    <row r="1427" spans="1:10" x14ac:dyDescent="0.25">
      <c r="A1427">
        <v>35</v>
      </c>
      <c r="B1427">
        <v>31</v>
      </c>
      <c r="C1427" t="s">
        <v>34</v>
      </c>
      <c r="D1427" t="s">
        <v>30</v>
      </c>
      <c r="E1427">
        <v>12388.76923076923</v>
      </c>
      <c r="F1427">
        <v>38369.076923076915</v>
      </c>
      <c r="G1427">
        <v>435271086.71999991</v>
      </c>
      <c r="H1427">
        <v>459199766.30159879</v>
      </c>
      <c r="I1427">
        <v>66480.007827740759</v>
      </c>
      <c r="J1427">
        <v>3080847.8769230754</v>
      </c>
    </row>
    <row r="1428" spans="1:10" x14ac:dyDescent="0.25">
      <c r="A1428">
        <v>35</v>
      </c>
      <c r="B1428">
        <v>32</v>
      </c>
      <c r="C1428" t="s">
        <v>34</v>
      </c>
      <c r="D1428" t="s">
        <v>31</v>
      </c>
      <c r="E1428">
        <v>10233.692307692307</v>
      </c>
      <c r="F1428">
        <v>63915.884615384617</v>
      </c>
      <c r="G1428">
        <v>668015589.73999989</v>
      </c>
      <c r="H1428">
        <v>1092421387.8452969</v>
      </c>
      <c r="I1428">
        <v>200916.1276354093</v>
      </c>
      <c r="J1428">
        <v>2293990.9846153827</v>
      </c>
    </row>
    <row r="1429" spans="1:10" x14ac:dyDescent="0.25">
      <c r="A1429">
        <v>35</v>
      </c>
      <c r="B1429">
        <v>33</v>
      </c>
      <c r="C1429" t="s">
        <v>34</v>
      </c>
      <c r="D1429" t="s">
        <v>32</v>
      </c>
      <c r="E1429">
        <v>73911.076923076893</v>
      </c>
      <c r="F1429">
        <v>113626.10769230771</v>
      </c>
      <c r="G1429">
        <v>841437687.81599998</v>
      </c>
      <c r="H1429">
        <v>164660990.94129708</v>
      </c>
      <c r="I1429">
        <v>251755.56841524679</v>
      </c>
      <c r="J1429">
        <v>21051774.430769231</v>
      </c>
    </row>
    <row r="1430" spans="1:10" x14ac:dyDescent="0.25">
      <c r="A1430">
        <v>35</v>
      </c>
      <c r="B1430">
        <v>34</v>
      </c>
      <c r="C1430" t="s">
        <v>34</v>
      </c>
      <c r="D1430" t="s">
        <v>33</v>
      </c>
      <c r="E1430">
        <v>306521.61538461567</v>
      </c>
      <c r="F1430">
        <v>281187.77350427362</v>
      </c>
      <c r="G1430">
        <v>1801693787.4622228</v>
      </c>
      <c r="H1430">
        <v>0</v>
      </c>
      <c r="I1430">
        <v>66480.53560551854</v>
      </c>
      <c r="J1430">
        <v>6241525.9846153827</v>
      </c>
    </row>
    <row r="1431" spans="1:10" x14ac:dyDescent="0.25">
      <c r="A1431">
        <v>35</v>
      </c>
      <c r="B1431">
        <v>35</v>
      </c>
      <c r="C1431" t="s">
        <v>34</v>
      </c>
      <c r="D1431" t="s">
        <v>34</v>
      </c>
      <c r="E1431">
        <v>0</v>
      </c>
      <c r="F1431">
        <v>0</v>
      </c>
      <c r="G1431">
        <v>0</v>
      </c>
      <c r="H1431">
        <v>0</v>
      </c>
      <c r="I1431">
        <v>237704.51187225053</v>
      </c>
      <c r="J1431">
        <v>4872980.953846151</v>
      </c>
    </row>
    <row r="1432" spans="1:10" x14ac:dyDescent="0.25">
      <c r="A1432">
        <v>35</v>
      </c>
      <c r="B1432">
        <v>36</v>
      </c>
      <c r="C1432" t="s">
        <v>34</v>
      </c>
      <c r="D1432" t="s">
        <v>35</v>
      </c>
      <c r="E1432">
        <v>13464.153846153842</v>
      </c>
      <c r="F1432">
        <v>105444.30769230772</v>
      </c>
      <c r="G1432">
        <v>284649861.05599999</v>
      </c>
      <c r="H1432">
        <v>215177045.54970717</v>
      </c>
      <c r="I1432">
        <v>61320.906260264441</v>
      </c>
      <c r="J1432">
        <v>4768544.0615384588</v>
      </c>
    </row>
    <row r="1433" spans="1:10" x14ac:dyDescent="0.25">
      <c r="A1433">
        <v>35</v>
      </c>
      <c r="B1433">
        <v>37</v>
      </c>
      <c r="C1433" t="s">
        <v>34</v>
      </c>
      <c r="D1433" t="s">
        <v>36</v>
      </c>
      <c r="E1433">
        <v>19883.153846153891</v>
      </c>
      <c r="F1433">
        <v>100259.81135531131</v>
      </c>
      <c r="G1433">
        <v>10004726055.523804</v>
      </c>
      <c r="H1433">
        <v>268751332.20283562</v>
      </c>
      <c r="I1433">
        <v>61319.598482486661</v>
      </c>
      <c r="J1433">
        <v>3096746.1538461512</v>
      </c>
    </row>
    <row r="1434" spans="1:10" x14ac:dyDescent="0.25">
      <c r="A1434">
        <v>35</v>
      </c>
      <c r="B1434">
        <v>38</v>
      </c>
      <c r="C1434" t="s">
        <v>34</v>
      </c>
      <c r="D1434" t="s">
        <v>37</v>
      </c>
      <c r="E1434">
        <v>9851.3076923076915</v>
      </c>
      <c r="F1434">
        <v>21236.769230769234</v>
      </c>
      <c r="G1434">
        <v>2663468026.5600009</v>
      </c>
      <c r="H1434">
        <v>198801880.7081013</v>
      </c>
      <c r="I1434">
        <v>743860.20641374995</v>
      </c>
      <c r="J1434">
        <v>26288134.153846145</v>
      </c>
    </row>
    <row r="1435" spans="1:10" x14ac:dyDescent="0.25">
      <c r="A1435">
        <v>35</v>
      </c>
      <c r="B1435">
        <v>39</v>
      </c>
      <c r="C1435" t="s">
        <v>34</v>
      </c>
      <c r="D1435" t="s">
        <v>38</v>
      </c>
      <c r="E1435">
        <v>12921.692307692312</v>
      </c>
      <c r="F1435">
        <v>105407.2271062271</v>
      </c>
      <c r="G1435">
        <v>11011079271.994284</v>
      </c>
      <c r="H1435">
        <v>216092994.52283561</v>
      </c>
      <c r="I1435">
        <v>743861.13085819443</v>
      </c>
      <c r="J1435">
        <v>100300311.13846155</v>
      </c>
    </row>
    <row r="1436" spans="1:10" x14ac:dyDescent="0.25">
      <c r="A1436">
        <v>35</v>
      </c>
      <c r="B1436">
        <v>40</v>
      </c>
      <c r="C1436" t="s">
        <v>34</v>
      </c>
      <c r="D1436" t="s">
        <v>39</v>
      </c>
      <c r="E1436">
        <v>19468.076923076922</v>
      </c>
      <c r="F1436">
        <v>86726.527472527509</v>
      </c>
      <c r="G1436">
        <v>10011620135.840002</v>
      </c>
      <c r="H1436">
        <v>201587233.46625489</v>
      </c>
      <c r="I1436">
        <v>572425.47729547578</v>
      </c>
      <c r="J1436">
        <v>10135815.015384613</v>
      </c>
    </row>
    <row r="1437" spans="1:10" x14ac:dyDescent="0.25">
      <c r="A1437">
        <v>35</v>
      </c>
      <c r="B1437">
        <v>41</v>
      </c>
      <c r="C1437" t="s">
        <v>34</v>
      </c>
      <c r="D1437" t="s">
        <v>40</v>
      </c>
      <c r="E1437">
        <v>31826.999999999993</v>
      </c>
      <c r="F1437">
        <v>34904.877289377313</v>
      </c>
      <c r="G1437">
        <v>3998218262.5742879</v>
      </c>
      <c r="H1437">
        <v>355768097.66810131</v>
      </c>
      <c r="I1437">
        <v>0</v>
      </c>
      <c r="J1437">
        <v>0</v>
      </c>
    </row>
    <row r="1438" spans="1:10" x14ac:dyDescent="0.25">
      <c r="A1438">
        <v>36</v>
      </c>
      <c r="B1438">
        <v>1</v>
      </c>
      <c r="C1438" t="s">
        <v>35</v>
      </c>
      <c r="D1438" t="s">
        <v>0</v>
      </c>
      <c r="E1438">
        <v>94588.302197802172</v>
      </c>
      <c r="F1438">
        <v>141154.76923076928</v>
      </c>
      <c r="G1438">
        <v>633108500.19200015</v>
      </c>
      <c r="H1438">
        <v>0</v>
      </c>
      <c r="I1438">
        <v>84558.205458119657</v>
      </c>
      <c r="J1438">
        <v>3002983.261538473</v>
      </c>
    </row>
    <row r="1439" spans="1:10" x14ac:dyDescent="0.25">
      <c r="A1439">
        <v>36</v>
      </c>
      <c r="B1439">
        <v>2</v>
      </c>
      <c r="C1439" t="s">
        <v>35</v>
      </c>
      <c r="D1439" t="s">
        <v>1</v>
      </c>
      <c r="E1439">
        <v>23327.302197802168</v>
      </c>
      <c r="F1439">
        <v>131543.15384615387</v>
      </c>
      <c r="G1439">
        <v>1022479673.1200001</v>
      </c>
      <c r="H1439">
        <v>0</v>
      </c>
      <c r="I1439">
        <v>0</v>
      </c>
      <c r="J1439">
        <v>132913.84615384613</v>
      </c>
    </row>
    <row r="1440" spans="1:10" x14ac:dyDescent="0.25">
      <c r="A1440">
        <v>36</v>
      </c>
      <c r="B1440">
        <v>3</v>
      </c>
      <c r="C1440" t="s">
        <v>35</v>
      </c>
      <c r="D1440" t="s">
        <v>2</v>
      </c>
      <c r="E1440">
        <v>18591.94505494507</v>
      </c>
      <c r="F1440">
        <v>134577.38461538457</v>
      </c>
      <c r="G1440">
        <v>1420668852.2399998</v>
      </c>
      <c r="H1440">
        <v>0</v>
      </c>
      <c r="I1440">
        <v>70469.756778962459</v>
      </c>
      <c r="J1440">
        <v>879526.40000000072</v>
      </c>
    </row>
    <row r="1441" spans="1:10" x14ac:dyDescent="0.25">
      <c r="A1441">
        <v>36</v>
      </c>
      <c r="B1441">
        <v>4</v>
      </c>
      <c r="C1441" t="s">
        <v>35</v>
      </c>
      <c r="D1441" t="s">
        <v>3</v>
      </c>
      <c r="E1441">
        <v>33248.302197802164</v>
      </c>
      <c r="F1441">
        <v>123684.30769230767</v>
      </c>
      <c r="G1441">
        <v>2474937839.0399995</v>
      </c>
      <c r="H1441">
        <v>132361119.95996562</v>
      </c>
      <c r="I1441">
        <v>84557.605458119651</v>
      </c>
      <c r="J1441">
        <v>2579376</v>
      </c>
    </row>
    <row r="1442" spans="1:10" x14ac:dyDescent="0.25">
      <c r="A1442">
        <v>36</v>
      </c>
      <c r="B1442">
        <v>5</v>
      </c>
      <c r="C1442" t="s">
        <v>35</v>
      </c>
      <c r="D1442" t="s">
        <v>4</v>
      </c>
      <c r="E1442">
        <v>66984.873626373665</v>
      </c>
      <c r="F1442">
        <v>155484.38461538457</v>
      </c>
      <c r="G1442">
        <v>4009525581.079999</v>
      </c>
      <c r="H1442">
        <v>43783342.195270389</v>
      </c>
      <c r="I1442">
        <v>70.336889399164789</v>
      </c>
      <c r="J1442">
        <v>21.92</v>
      </c>
    </row>
    <row r="1443" spans="1:10" x14ac:dyDescent="0.25">
      <c r="A1443">
        <v>36</v>
      </c>
      <c r="B1443">
        <v>6</v>
      </c>
      <c r="C1443" t="s">
        <v>35</v>
      </c>
      <c r="D1443" t="s">
        <v>5</v>
      </c>
      <c r="E1443">
        <v>15313.016483516469</v>
      </c>
      <c r="F1443">
        <v>221273.69597069608</v>
      </c>
      <c r="G1443">
        <v>8332468165.3771458</v>
      </c>
      <c r="H1443">
        <v>163240115.9581275</v>
      </c>
      <c r="I1443">
        <v>607071.39734916924</v>
      </c>
      <c r="J1443">
        <v>89936775.393406644</v>
      </c>
    </row>
    <row r="1444" spans="1:10" x14ac:dyDescent="0.25">
      <c r="A1444">
        <v>36</v>
      </c>
      <c r="B1444">
        <v>7</v>
      </c>
      <c r="C1444" t="s">
        <v>35</v>
      </c>
      <c r="D1444" t="s">
        <v>6</v>
      </c>
      <c r="E1444">
        <v>7063.0164835164796</v>
      </c>
      <c r="F1444">
        <v>154819.99999999997</v>
      </c>
      <c r="G1444">
        <v>4065573199.9999995</v>
      </c>
      <c r="H1444">
        <v>24551118.423841819</v>
      </c>
      <c r="I1444">
        <v>607071.77512694709</v>
      </c>
      <c r="J1444">
        <v>13995536.769230809</v>
      </c>
    </row>
    <row r="1445" spans="1:10" x14ac:dyDescent="0.25">
      <c r="A1445">
        <v>36</v>
      </c>
      <c r="B1445">
        <v>8</v>
      </c>
      <c r="C1445" t="s">
        <v>35</v>
      </c>
      <c r="D1445" t="s">
        <v>7</v>
      </c>
      <c r="E1445">
        <v>36710.087912087867</v>
      </c>
      <c r="F1445">
        <v>212417.76923076907</v>
      </c>
      <c r="G1445">
        <v>4094318515.0799966</v>
      </c>
      <c r="H1445">
        <v>49424932.503394186</v>
      </c>
      <c r="I1445">
        <v>133237.00513236489</v>
      </c>
      <c r="J1445">
        <v>21127930.470329709</v>
      </c>
    </row>
    <row r="1446" spans="1:10" x14ac:dyDescent="0.25">
      <c r="A1446">
        <v>36</v>
      </c>
      <c r="B1446">
        <v>9</v>
      </c>
      <c r="C1446" t="s">
        <v>35</v>
      </c>
      <c r="D1446" t="s">
        <v>8</v>
      </c>
      <c r="E1446">
        <v>2705.6853146853141</v>
      </c>
      <c r="F1446">
        <v>662750.54487179511</v>
      </c>
      <c r="G1446">
        <v>6683070454.4000025</v>
      </c>
      <c r="H1446">
        <v>0</v>
      </c>
      <c r="I1446">
        <v>210552.41709999164</v>
      </c>
      <c r="J1446">
        <v>41346228.571428619</v>
      </c>
    </row>
    <row r="1447" spans="1:10" x14ac:dyDescent="0.25">
      <c r="A1447">
        <v>36</v>
      </c>
      <c r="B1447">
        <v>10</v>
      </c>
      <c r="C1447" t="s">
        <v>35</v>
      </c>
      <c r="D1447" t="s">
        <v>9</v>
      </c>
      <c r="E1447">
        <v>23188.44505494507</v>
      </c>
      <c r="F1447">
        <v>187126.84615384619</v>
      </c>
      <c r="G1447">
        <v>5680527332.8800001</v>
      </c>
      <c r="H1447">
        <v>91119119.255270392</v>
      </c>
      <c r="I1447">
        <v>330393.64250702923</v>
      </c>
      <c r="J1447">
        <v>61216470.989011042</v>
      </c>
    </row>
    <row r="1448" spans="1:10" x14ac:dyDescent="0.25">
      <c r="A1448">
        <v>36</v>
      </c>
      <c r="B1448">
        <v>11</v>
      </c>
      <c r="C1448" t="s">
        <v>35</v>
      </c>
      <c r="D1448" t="s">
        <v>10</v>
      </c>
      <c r="E1448">
        <v>23355.615384615368</v>
      </c>
      <c r="F1448">
        <v>189890.92307692306</v>
      </c>
      <c r="G1448">
        <v>19487381281.119999</v>
      </c>
      <c r="H1448">
        <v>88430764.91525878</v>
      </c>
      <c r="I1448">
        <v>330396.18695147365</v>
      </c>
      <c r="J1448">
        <v>25110590.109890159</v>
      </c>
    </row>
    <row r="1449" spans="1:10" x14ac:dyDescent="0.25">
      <c r="A1449">
        <v>36</v>
      </c>
      <c r="B1449">
        <v>12</v>
      </c>
      <c r="C1449" t="s">
        <v>35</v>
      </c>
      <c r="D1449" t="s">
        <v>11</v>
      </c>
      <c r="E1449">
        <v>20324.23076923077</v>
      </c>
      <c r="F1449">
        <v>134616.99999999997</v>
      </c>
      <c r="G1449">
        <v>11503028034.679996</v>
      </c>
      <c r="H1449">
        <v>99272913.630810514</v>
      </c>
      <c r="I1449">
        <v>330394.0813959181</v>
      </c>
      <c r="J1449">
        <v>13977348.131868182</v>
      </c>
    </row>
    <row r="1450" spans="1:10" x14ac:dyDescent="0.25">
      <c r="A1450">
        <v>36</v>
      </c>
      <c r="B1450">
        <v>13</v>
      </c>
      <c r="C1450" t="s">
        <v>35</v>
      </c>
      <c r="D1450" t="s">
        <v>12</v>
      </c>
      <c r="E1450">
        <v>5402.6153846153884</v>
      </c>
      <c r="F1450">
        <v>116305.46153846158</v>
      </c>
      <c r="G1450">
        <v>9077027180.2400017</v>
      </c>
      <c r="H1450">
        <v>30183569.016955897</v>
      </c>
      <c r="I1450">
        <v>210552.57043332499</v>
      </c>
      <c r="J1450">
        <v>17782428.571428619</v>
      </c>
    </row>
    <row r="1451" spans="1:10" x14ac:dyDescent="0.25">
      <c r="A1451">
        <v>36</v>
      </c>
      <c r="B1451">
        <v>14</v>
      </c>
      <c r="C1451" t="s">
        <v>35</v>
      </c>
      <c r="D1451" t="s">
        <v>13</v>
      </c>
      <c r="E1451">
        <v>26027.615384615368</v>
      </c>
      <c r="F1451">
        <v>262769.69230769208</v>
      </c>
      <c r="G1451">
        <v>18589494731.279984</v>
      </c>
      <c r="H1451">
        <v>70306444.408955902</v>
      </c>
      <c r="I1451">
        <v>607073.85846028035</v>
      </c>
      <c r="J1451">
        <v>10614092.307692353</v>
      </c>
    </row>
    <row r="1452" spans="1:10" x14ac:dyDescent="0.25">
      <c r="A1452">
        <v>36</v>
      </c>
      <c r="B1452">
        <v>15</v>
      </c>
      <c r="C1452" t="s">
        <v>35</v>
      </c>
      <c r="D1452" t="s">
        <v>14</v>
      </c>
      <c r="E1452">
        <v>49826.999999999964</v>
      </c>
      <c r="F1452">
        <v>384945.38461538509</v>
      </c>
      <c r="G1452">
        <v>30609040042.400036</v>
      </c>
      <c r="H1452">
        <v>136385138.03438318</v>
      </c>
      <c r="I1452">
        <v>330394.63028480695</v>
      </c>
      <c r="J1452">
        <v>27093267.69230774</v>
      </c>
    </row>
    <row r="1453" spans="1:10" x14ac:dyDescent="0.25">
      <c r="A1453">
        <v>36</v>
      </c>
      <c r="B1453">
        <v>16</v>
      </c>
      <c r="C1453" t="s">
        <v>35</v>
      </c>
      <c r="D1453" t="s">
        <v>15</v>
      </c>
      <c r="E1453">
        <v>39519.461538461568</v>
      </c>
      <c r="F1453">
        <v>623158.61538461514</v>
      </c>
      <c r="G1453">
        <v>59041836025.919983</v>
      </c>
      <c r="H1453">
        <v>107114785.08775717</v>
      </c>
      <c r="I1453">
        <v>77502.031368696538</v>
      </c>
      <c r="J1453">
        <v>6433111.6307692444</v>
      </c>
    </row>
    <row r="1454" spans="1:10" x14ac:dyDescent="0.25">
      <c r="A1454">
        <v>36</v>
      </c>
      <c r="B1454">
        <v>17</v>
      </c>
      <c r="C1454" t="s">
        <v>35</v>
      </c>
      <c r="D1454" t="s">
        <v>16</v>
      </c>
      <c r="E1454">
        <v>66578.538461538468</v>
      </c>
      <c r="F1454">
        <v>268042.4615384611</v>
      </c>
      <c r="G1454">
        <v>30055654820.79995</v>
      </c>
      <c r="H1454">
        <v>382245327.01199412</v>
      </c>
      <c r="I1454">
        <v>42240.37952799911</v>
      </c>
      <c r="J1454">
        <v>5751829.661538478</v>
      </c>
    </row>
    <row r="1455" spans="1:10" x14ac:dyDescent="0.25">
      <c r="A1455">
        <v>36</v>
      </c>
      <c r="B1455">
        <v>18</v>
      </c>
      <c r="C1455" t="s">
        <v>35</v>
      </c>
      <c r="D1455" t="s">
        <v>17</v>
      </c>
      <c r="E1455">
        <v>25844.999999999971</v>
      </c>
      <c r="F1455">
        <v>145213.30769230769</v>
      </c>
      <c r="G1455">
        <v>15459124118.839998</v>
      </c>
      <c r="H1455">
        <v>100527777.99575719</v>
      </c>
      <c r="I1455">
        <v>13792.640357072287</v>
      </c>
      <c r="J1455">
        <v>4540123.0769230947</v>
      </c>
    </row>
    <row r="1456" spans="1:10" x14ac:dyDescent="0.25">
      <c r="A1456">
        <v>36</v>
      </c>
      <c r="B1456">
        <v>19</v>
      </c>
      <c r="C1456" t="s">
        <v>35</v>
      </c>
      <c r="D1456" t="s">
        <v>18</v>
      </c>
      <c r="E1456">
        <v>3396.1538461538494</v>
      </c>
      <c r="F1456">
        <v>183932.30769230769</v>
      </c>
      <c r="G1456">
        <v>6192139996.7999992</v>
      </c>
      <c r="H1456">
        <v>22022537.363072947</v>
      </c>
      <c r="I1456">
        <v>13792.142579294508</v>
      </c>
      <c r="J1456">
        <v>8547011.6923077088</v>
      </c>
    </row>
    <row r="1457" spans="1:10" x14ac:dyDescent="0.25">
      <c r="A1457">
        <v>36</v>
      </c>
      <c r="B1457">
        <v>20</v>
      </c>
      <c r="C1457" t="s">
        <v>35</v>
      </c>
      <c r="D1457" t="s">
        <v>19</v>
      </c>
      <c r="E1457">
        <v>60567.923076923063</v>
      </c>
      <c r="F1457">
        <v>155747.58974358978</v>
      </c>
      <c r="G1457">
        <v>3967233755.4666677</v>
      </c>
      <c r="H1457">
        <v>146188915.15718573</v>
      </c>
      <c r="I1457">
        <v>173442.98587546192</v>
      </c>
      <c r="J1457">
        <v>17589743.75384618</v>
      </c>
    </row>
    <row r="1458" spans="1:10" x14ac:dyDescent="0.25">
      <c r="A1458">
        <v>36</v>
      </c>
      <c r="B1458">
        <v>21</v>
      </c>
      <c r="C1458" t="s">
        <v>35</v>
      </c>
      <c r="D1458" t="s">
        <v>20</v>
      </c>
      <c r="E1458">
        <v>39412.538461538468</v>
      </c>
      <c r="F1458">
        <v>199899.25641025609</v>
      </c>
      <c r="G1458">
        <v>2645674654.5599957</v>
      </c>
      <c r="H1458">
        <v>144033094.91790578</v>
      </c>
      <c r="I1458">
        <v>250883.47504095791</v>
      </c>
      <c r="J1458">
        <v>15600948.000000017</v>
      </c>
    </row>
    <row r="1459" spans="1:10" x14ac:dyDescent="0.25">
      <c r="A1459">
        <v>36</v>
      </c>
      <c r="B1459">
        <v>22</v>
      </c>
      <c r="C1459" t="s">
        <v>35</v>
      </c>
      <c r="D1459" t="s">
        <v>21</v>
      </c>
      <c r="E1459">
        <v>23852.38461538457</v>
      </c>
      <c r="F1459">
        <v>219026.25641025609</v>
      </c>
      <c r="G1459">
        <v>7879732405.8666544</v>
      </c>
      <c r="H1459">
        <v>107749613.00994858</v>
      </c>
      <c r="I1459">
        <v>419608.63409598795</v>
      </c>
      <c r="J1459">
        <v>9086458.9538461603</v>
      </c>
    </row>
    <row r="1460" spans="1:10" x14ac:dyDescent="0.25">
      <c r="A1460">
        <v>36</v>
      </c>
      <c r="B1460">
        <v>23</v>
      </c>
      <c r="C1460" t="s">
        <v>35</v>
      </c>
      <c r="D1460" t="s">
        <v>22</v>
      </c>
      <c r="E1460">
        <v>8530.9230769230799</v>
      </c>
      <c r="F1460">
        <v>202762.5897435901</v>
      </c>
      <c r="G1460">
        <v>7241382025.066678</v>
      </c>
      <c r="H1460">
        <v>30094269.51019831</v>
      </c>
      <c r="I1460">
        <v>250885.51615206903</v>
      </c>
      <c r="J1460">
        <v>4938499.9384615514</v>
      </c>
    </row>
    <row r="1461" spans="1:10" x14ac:dyDescent="0.25">
      <c r="A1461">
        <v>36</v>
      </c>
      <c r="B1461">
        <v>24</v>
      </c>
      <c r="C1461" t="s">
        <v>35</v>
      </c>
      <c r="D1461" t="s">
        <v>23</v>
      </c>
      <c r="E1461">
        <v>9693.3076923076896</v>
      </c>
      <c r="F1461">
        <v>160234.58974358978</v>
      </c>
      <c r="G1461">
        <v>8693232834.8933353</v>
      </c>
      <c r="H1461">
        <v>59514361.550198317</v>
      </c>
      <c r="I1461">
        <v>13803.862629216803</v>
      </c>
      <c r="J1461">
        <v>9156003.9384615738</v>
      </c>
    </row>
    <row r="1462" spans="1:10" x14ac:dyDescent="0.25">
      <c r="A1462">
        <v>36</v>
      </c>
      <c r="B1462">
        <v>25</v>
      </c>
      <c r="C1462" t="s">
        <v>35</v>
      </c>
      <c r="D1462" t="s">
        <v>24</v>
      </c>
      <c r="E1462">
        <v>7297.9230769230799</v>
      </c>
      <c r="F1462">
        <v>153182.25641025638</v>
      </c>
      <c r="G1462">
        <v>7208438367.5733309</v>
      </c>
      <c r="H1462">
        <v>34996395.410198316</v>
      </c>
      <c r="I1462">
        <v>227197.60011596902</v>
      </c>
      <c r="J1462">
        <v>33603473.076923117</v>
      </c>
    </row>
    <row r="1463" spans="1:10" x14ac:dyDescent="0.25">
      <c r="A1463">
        <v>36</v>
      </c>
      <c r="B1463">
        <v>26</v>
      </c>
      <c r="C1463" t="s">
        <v>35</v>
      </c>
      <c r="D1463" t="s">
        <v>25</v>
      </c>
      <c r="E1463">
        <v>6376.9999999999982</v>
      </c>
      <c r="F1463">
        <v>139255.92307692306</v>
      </c>
      <c r="G1463">
        <v>8418092963.079999</v>
      </c>
      <c r="H1463">
        <v>39190680.674383193</v>
      </c>
      <c r="I1463">
        <v>167169.75812288246</v>
      </c>
      <c r="J1463">
        <v>28702404.830769271</v>
      </c>
    </row>
    <row r="1464" spans="1:10" x14ac:dyDescent="0.25">
      <c r="A1464">
        <v>36</v>
      </c>
      <c r="B1464">
        <v>27</v>
      </c>
      <c r="C1464" t="s">
        <v>35</v>
      </c>
      <c r="D1464" t="s">
        <v>26</v>
      </c>
      <c r="E1464">
        <v>61592.230769230766</v>
      </c>
      <c r="F1464">
        <v>509189.02307692304</v>
      </c>
      <c r="G1464">
        <v>11499321221.559999</v>
      </c>
      <c r="H1464">
        <v>37687585.769185752</v>
      </c>
      <c r="I1464">
        <v>613022758.19416559</v>
      </c>
      <c r="J1464">
        <v>13357924.430769265</v>
      </c>
    </row>
    <row r="1465" spans="1:10" x14ac:dyDescent="0.25">
      <c r="A1465">
        <v>36</v>
      </c>
      <c r="B1465">
        <v>28</v>
      </c>
      <c r="C1465" t="s">
        <v>35</v>
      </c>
      <c r="D1465" t="s">
        <v>27</v>
      </c>
      <c r="E1465">
        <v>38656.530769230769</v>
      </c>
      <c r="F1465">
        <v>209188.32307692309</v>
      </c>
      <c r="G1465" t="s">
        <v>122</v>
      </c>
      <c r="H1465" t="s">
        <v>122</v>
      </c>
      <c r="I1465">
        <v>6615.1048096689092</v>
      </c>
      <c r="J1465">
        <v>7315895.0769231077</v>
      </c>
    </row>
    <row r="1466" spans="1:10" x14ac:dyDescent="0.25">
      <c r="A1466">
        <v>36</v>
      </c>
      <c r="B1466">
        <v>29</v>
      </c>
      <c r="C1466" t="s">
        <v>35</v>
      </c>
      <c r="D1466" t="s">
        <v>28</v>
      </c>
      <c r="E1466">
        <v>34703.730769230766</v>
      </c>
      <c r="F1466">
        <v>453967.32307692309</v>
      </c>
      <c r="G1466">
        <v>15235270473.312</v>
      </c>
      <c r="H1466">
        <v>29279421.217948612</v>
      </c>
      <c r="I1466">
        <v>6614.3936985577984</v>
      </c>
      <c r="J1466">
        <v>7354973.0769231012</v>
      </c>
    </row>
    <row r="1467" spans="1:10" x14ac:dyDescent="0.25">
      <c r="A1467">
        <v>36</v>
      </c>
      <c r="B1467">
        <v>30</v>
      </c>
      <c r="C1467" t="s">
        <v>35</v>
      </c>
      <c r="D1467" t="s">
        <v>29</v>
      </c>
      <c r="E1467">
        <v>9863.5307692307688</v>
      </c>
      <c r="F1467">
        <v>322117.0230769231</v>
      </c>
      <c r="G1467">
        <v>16325470540.179996</v>
      </c>
      <c r="H1467">
        <v>32528434.150198314</v>
      </c>
      <c r="I1467">
        <v>6613.054809668909</v>
      </c>
      <c r="J1467">
        <v>8059923.2000000263</v>
      </c>
    </row>
    <row r="1468" spans="1:10" x14ac:dyDescent="0.25">
      <c r="A1468">
        <v>36</v>
      </c>
      <c r="B1468">
        <v>31</v>
      </c>
      <c r="C1468" t="s">
        <v>35</v>
      </c>
      <c r="D1468" t="s">
        <v>30</v>
      </c>
      <c r="E1468">
        <v>4752.6923076923085</v>
      </c>
      <c r="F1468">
        <v>116868.61538461538</v>
      </c>
      <c r="G1468">
        <v>1663381653.2799997</v>
      </c>
      <c r="H1468">
        <v>314065063.18853694</v>
      </c>
      <c r="I1468">
        <v>173441.68476435082</v>
      </c>
      <c r="J1468">
        <v>6766799.2615384888</v>
      </c>
    </row>
    <row r="1469" spans="1:10" x14ac:dyDescent="0.25">
      <c r="A1469">
        <v>36</v>
      </c>
      <c r="B1469">
        <v>32</v>
      </c>
      <c r="C1469" t="s">
        <v>35</v>
      </c>
      <c r="D1469" t="s">
        <v>31</v>
      </c>
      <c r="E1469">
        <v>2597.6153846153838</v>
      </c>
      <c r="F1469">
        <v>142415.42307692306</v>
      </c>
      <c r="G1469">
        <v>1780158608.7599998</v>
      </c>
      <c r="H1469">
        <v>947391922.45997059</v>
      </c>
      <c r="I1469">
        <v>227199.04678263568</v>
      </c>
      <c r="J1469">
        <v>32865392.307692342</v>
      </c>
    </row>
    <row r="1470" spans="1:10" x14ac:dyDescent="0.25">
      <c r="A1470">
        <v>36</v>
      </c>
      <c r="B1470">
        <v>33</v>
      </c>
      <c r="C1470" t="s">
        <v>35</v>
      </c>
      <c r="D1470" t="s">
        <v>32</v>
      </c>
      <c r="E1470">
        <v>66274.999999999971</v>
      </c>
      <c r="F1470">
        <v>192125.64615384617</v>
      </c>
      <c r="G1470">
        <v>1493384962.5280001</v>
      </c>
      <c r="H1470">
        <v>19665990.484537046</v>
      </c>
      <c r="I1470">
        <v>6613.5825874466873</v>
      </c>
      <c r="J1470">
        <v>12571465.630769255</v>
      </c>
    </row>
    <row r="1471" spans="1:10" x14ac:dyDescent="0.25">
      <c r="A1471">
        <v>36</v>
      </c>
      <c r="B1471">
        <v>34</v>
      </c>
      <c r="C1471" t="s">
        <v>35</v>
      </c>
      <c r="D1471" t="s">
        <v>33</v>
      </c>
      <c r="E1471">
        <v>298885.53846153873</v>
      </c>
      <c r="F1471">
        <v>359687.31196581206</v>
      </c>
      <c r="G1471">
        <v>2021313205.8155558</v>
      </c>
      <c r="H1471">
        <v>22693493.405707158</v>
      </c>
      <c r="I1471">
        <v>210553.67265554721</v>
      </c>
      <c r="J1471">
        <v>11974153.846153891</v>
      </c>
    </row>
    <row r="1472" spans="1:10" x14ac:dyDescent="0.25">
      <c r="A1472">
        <v>36</v>
      </c>
      <c r="B1472">
        <v>35</v>
      </c>
      <c r="C1472" t="s">
        <v>35</v>
      </c>
      <c r="D1472" t="s">
        <v>34</v>
      </c>
      <c r="E1472">
        <v>25203.846153846171</v>
      </c>
      <c r="F1472">
        <v>108097.46153846158</v>
      </c>
      <c r="G1472">
        <v>291812124.15200007</v>
      </c>
      <c r="H1472">
        <v>215177045.54970717</v>
      </c>
      <c r="I1472">
        <v>1261.368881648541</v>
      </c>
      <c r="J1472">
        <v>11974153.846153891</v>
      </c>
    </row>
    <row r="1473" spans="1:10" x14ac:dyDescent="0.25">
      <c r="A1473">
        <v>36</v>
      </c>
      <c r="B1473">
        <v>36</v>
      </c>
      <c r="C1473" t="s">
        <v>35</v>
      </c>
      <c r="D1473" t="s">
        <v>35</v>
      </c>
      <c r="E1473">
        <v>0</v>
      </c>
      <c r="F1473">
        <v>0</v>
      </c>
      <c r="G1473">
        <v>0</v>
      </c>
      <c r="H1473">
        <v>0</v>
      </c>
      <c r="I1473">
        <v>1260.0611038707632</v>
      </c>
      <c r="J1473">
        <v>9622970.9538461976</v>
      </c>
    </row>
    <row r="1474" spans="1:10" x14ac:dyDescent="0.25">
      <c r="A1474">
        <v>36</v>
      </c>
      <c r="B1474">
        <v>37</v>
      </c>
      <c r="C1474" t="s">
        <v>35</v>
      </c>
      <c r="D1474" t="s">
        <v>36</v>
      </c>
      <c r="E1474">
        <v>12247.076923076969</v>
      </c>
      <c r="F1474">
        <v>178759.34981684978</v>
      </c>
      <c r="G1474">
        <v>17462500357.428566</v>
      </c>
      <c r="H1474">
        <v>70899901.448758766</v>
      </c>
      <c r="I1474">
        <v>820475.91685060353</v>
      </c>
      <c r="J1474">
        <v>32521403.076923065</v>
      </c>
    </row>
    <row r="1475" spans="1:10" x14ac:dyDescent="0.25">
      <c r="A1475">
        <v>36</v>
      </c>
      <c r="B1475">
        <v>38</v>
      </c>
      <c r="C1475" t="s">
        <v>35</v>
      </c>
      <c r="D1475" t="s">
        <v>37</v>
      </c>
      <c r="E1475">
        <v>2215.2307692307691</v>
      </c>
      <c r="F1475">
        <v>99736.307692307702</v>
      </c>
      <c r="G1475">
        <v>12299178266.240002</v>
      </c>
      <c r="H1475">
        <v>897729.68147020647</v>
      </c>
      <c r="I1475">
        <v>820476.84129504801</v>
      </c>
      <c r="J1475">
        <v>129419150.7692308</v>
      </c>
    </row>
    <row r="1476" spans="1:10" x14ac:dyDescent="0.25">
      <c r="A1476">
        <v>36</v>
      </c>
      <c r="B1476">
        <v>39</v>
      </c>
      <c r="C1476" t="s">
        <v>35</v>
      </c>
      <c r="D1476" t="s">
        <v>38</v>
      </c>
      <c r="E1476">
        <v>5285.6153846153884</v>
      </c>
      <c r="F1476">
        <v>183906.76556776557</v>
      </c>
      <c r="G1476">
        <v>18815309922.201904</v>
      </c>
      <c r="H1476">
        <v>18241563.768758766</v>
      </c>
      <c r="I1476">
        <v>607072.01734916936</v>
      </c>
      <c r="J1476">
        <v>18737884.184615429</v>
      </c>
    </row>
    <row r="1477" spans="1:10" x14ac:dyDescent="0.25">
      <c r="A1477">
        <v>36</v>
      </c>
      <c r="B1477">
        <v>40</v>
      </c>
      <c r="C1477" t="s">
        <v>35</v>
      </c>
      <c r="D1477" t="s">
        <v>39</v>
      </c>
      <c r="E1477">
        <v>11832</v>
      </c>
      <c r="F1477">
        <v>165226.06593406596</v>
      </c>
      <c r="G1477">
        <v>18726418297.005714</v>
      </c>
      <c r="H1477">
        <v>3751250.1163286781</v>
      </c>
      <c r="I1477">
        <v>84558.205458119657</v>
      </c>
      <c r="J1477">
        <v>3002983.261538473</v>
      </c>
    </row>
    <row r="1478" spans="1:10" x14ac:dyDescent="0.25">
      <c r="A1478">
        <v>36</v>
      </c>
      <c r="B1478">
        <v>41</v>
      </c>
      <c r="C1478" t="s">
        <v>35</v>
      </c>
      <c r="D1478" t="s">
        <v>40</v>
      </c>
      <c r="E1478">
        <v>24190.923076923071</v>
      </c>
      <c r="F1478">
        <v>113404.41575091578</v>
      </c>
      <c r="G1478">
        <v>12751795818.524765</v>
      </c>
      <c r="H1478">
        <v>157863946.64147022</v>
      </c>
      <c r="I1478">
        <v>0</v>
      </c>
      <c r="J1478">
        <v>0</v>
      </c>
    </row>
    <row r="1479" spans="1:10" x14ac:dyDescent="0.25">
      <c r="A1479">
        <v>37</v>
      </c>
      <c r="B1479">
        <v>1</v>
      </c>
      <c r="C1479" t="s">
        <v>36</v>
      </c>
      <c r="D1479" t="s">
        <v>0</v>
      </c>
      <c r="E1479">
        <v>98077.22527472525</v>
      </c>
      <c r="F1479">
        <v>130586.4212454213</v>
      </c>
      <c r="G1479">
        <v>12173657947.761908</v>
      </c>
      <c r="H1479">
        <v>216629200.10618734</v>
      </c>
      <c r="I1479">
        <v>84557.927680341876</v>
      </c>
      <c r="J1479">
        <v>1122577.4769230769</v>
      </c>
    </row>
    <row r="1480" spans="1:10" x14ac:dyDescent="0.25">
      <c r="A1480">
        <v>37</v>
      </c>
      <c r="B1480">
        <v>2</v>
      </c>
      <c r="C1480" t="s">
        <v>36</v>
      </c>
      <c r="D1480" t="s">
        <v>1</v>
      </c>
      <c r="E1480">
        <v>26816.225274725242</v>
      </c>
      <c r="F1480">
        <v>120974.80586080591</v>
      </c>
      <c r="G1480">
        <v>10934540099.356194</v>
      </c>
      <c r="H1480">
        <v>93097731.544758767</v>
      </c>
      <c r="I1480">
        <v>0</v>
      </c>
      <c r="J1480">
        <v>940630.52307692333</v>
      </c>
    </row>
    <row r="1481" spans="1:10" x14ac:dyDescent="0.25">
      <c r="A1481">
        <v>37</v>
      </c>
      <c r="B1481">
        <v>3</v>
      </c>
      <c r="C1481" t="s">
        <v>36</v>
      </c>
      <c r="D1481" t="s">
        <v>2</v>
      </c>
      <c r="E1481">
        <v>22080.868131868148</v>
      </c>
      <c r="F1481">
        <v>124009.0366300366</v>
      </c>
      <c r="G1481">
        <v>11104587599.495235</v>
      </c>
      <c r="H1481">
        <v>135816461.96655169</v>
      </c>
      <c r="I1481">
        <v>0</v>
      </c>
      <c r="J1481">
        <v>1133748.3076923077</v>
      </c>
    </row>
    <row r="1482" spans="1:10" x14ac:dyDescent="0.25">
      <c r="A1482">
        <v>37</v>
      </c>
      <c r="B1482">
        <v>4</v>
      </c>
      <c r="C1482" t="s">
        <v>36</v>
      </c>
      <c r="D1482" t="s">
        <v>3</v>
      </c>
      <c r="E1482">
        <v>36737.225274725242</v>
      </c>
      <c r="F1482">
        <v>113115.95970695969</v>
      </c>
      <c r="G1482">
        <v>13158983201.438093</v>
      </c>
      <c r="H1482">
        <v>185885575.18341815</v>
      </c>
      <c r="I1482">
        <v>12.988888888888889</v>
      </c>
      <c r="J1482">
        <v>5.45</v>
      </c>
    </row>
    <row r="1483" spans="1:10" x14ac:dyDescent="0.25">
      <c r="A1483">
        <v>37</v>
      </c>
      <c r="B1483">
        <v>5</v>
      </c>
      <c r="C1483" t="s">
        <v>36</v>
      </c>
      <c r="D1483" t="s">
        <v>4</v>
      </c>
      <c r="E1483">
        <v>70473.796703296743</v>
      </c>
      <c r="F1483">
        <v>144916.0366300366</v>
      </c>
      <c r="G1483">
        <v>17687941326.613327</v>
      </c>
      <c r="H1483">
        <v>97312959.592130303</v>
      </c>
      <c r="I1483">
        <v>572424.57951769803</v>
      </c>
      <c r="J1483">
        <v>66729952.400000006</v>
      </c>
    </row>
    <row r="1484" spans="1:10" x14ac:dyDescent="0.25">
      <c r="A1484">
        <v>37</v>
      </c>
      <c r="B1484">
        <v>6</v>
      </c>
      <c r="C1484" t="s">
        <v>36</v>
      </c>
      <c r="D1484" t="s">
        <v>5</v>
      </c>
      <c r="E1484">
        <v>18801.939560439547</v>
      </c>
      <c r="F1484">
        <v>210705.34798534808</v>
      </c>
      <c r="G1484">
        <v>28429183086.933342</v>
      </c>
      <c r="H1484">
        <v>216769733.35498744</v>
      </c>
      <c r="I1484">
        <v>572424.95729547576</v>
      </c>
      <c r="J1484">
        <v>4707272.4000000004</v>
      </c>
    </row>
    <row r="1485" spans="1:10" x14ac:dyDescent="0.25">
      <c r="A1485">
        <v>37</v>
      </c>
      <c r="B1485">
        <v>7</v>
      </c>
      <c r="C1485" t="s">
        <v>36</v>
      </c>
      <c r="D1485" t="s">
        <v>6</v>
      </c>
      <c r="E1485">
        <v>10551.939560439556</v>
      </c>
      <c r="F1485">
        <v>144251.65201465201</v>
      </c>
      <c r="G1485">
        <v>17591696685.565716</v>
      </c>
      <c r="H1485">
        <v>78080735.820701733</v>
      </c>
      <c r="I1485">
        <v>177900.71155845572</v>
      </c>
      <c r="J1485">
        <v>10800553.142857142</v>
      </c>
    </row>
    <row r="1486" spans="1:10" x14ac:dyDescent="0.25">
      <c r="A1486">
        <v>37</v>
      </c>
      <c r="B1486">
        <v>8</v>
      </c>
      <c r="C1486" t="s">
        <v>36</v>
      </c>
      <c r="D1486" t="s">
        <v>7</v>
      </c>
      <c r="E1486">
        <v>40199.010989010945</v>
      </c>
      <c r="F1486">
        <v>201849.42124542111</v>
      </c>
      <c r="G1486">
        <v>23333090659.984749</v>
      </c>
      <c r="H1486">
        <v>102949387.72684674</v>
      </c>
      <c r="I1486">
        <v>237702.9785389172</v>
      </c>
      <c r="J1486">
        <v>27025190.68571429</v>
      </c>
    </row>
    <row r="1487" spans="1:10" x14ac:dyDescent="0.25">
      <c r="A1487">
        <v>37</v>
      </c>
      <c r="B1487">
        <v>9</v>
      </c>
      <c r="C1487" t="s">
        <v>36</v>
      </c>
      <c r="D1487" t="s">
        <v>8</v>
      </c>
      <c r="E1487">
        <v>6194.6083916083908</v>
      </c>
      <c r="F1487">
        <v>652182.19688644703</v>
      </c>
      <c r="G1487">
        <v>68744986223.815735</v>
      </c>
      <c r="H1487">
        <v>83968573.844758779</v>
      </c>
      <c r="I1487">
        <v>338866.65553297615</v>
      </c>
      <c r="J1487">
        <v>44336227.885714285</v>
      </c>
    </row>
    <row r="1488" spans="1:10" x14ac:dyDescent="0.25">
      <c r="A1488">
        <v>37</v>
      </c>
      <c r="B1488">
        <v>10</v>
      </c>
      <c r="C1488" t="s">
        <v>36</v>
      </c>
      <c r="D1488" t="s">
        <v>9</v>
      </c>
      <c r="E1488">
        <v>26677.368131868148</v>
      </c>
      <c r="F1488">
        <v>176558.49816849822</v>
      </c>
      <c r="G1488">
        <v>22282664134.114288</v>
      </c>
      <c r="H1488">
        <v>144648736.65213031</v>
      </c>
      <c r="I1488">
        <v>338869.19997742056</v>
      </c>
      <c r="J1488">
        <v>12079822.857142856</v>
      </c>
    </row>
    <row r="1489" spans="1:10" x14ac:dyDescent="0.25">
      <c r="A1489">
        <v>37</v>
      </c>
      <c r="B1489">
        <v>11</v>
      </c>
      <c r="C1489" t="s">
        <v>36</v>
      </c>
      <c r="D1489" t="s">
        <v>10</v>
      </c>
      <c r="E1489">
        <v>26844.538461538446</v>
      </c>
      <c r="F1489">
        <v>179322.5750915751</v>
      </c>
      <c r="G1489">
        <v>2147308934.7885711</v>
      </c>
      <c r="H1489">
        <v>141580750.8906135</v>
      </c>
      <c r="I1489">
        <v>338867.09442186501</v>
      </c>
      <c r="J1489">
        <v>2752995.1428571427</v>
      </c>
    </row>
    <row r="1490" spans="1:10" x14ac:dyDescent="0.25">
      <c r="A1490">
        <v>37</v>
      </c>
      <c r="B1490">
        <v>12</v>
      </c>
      <c r="C1490" t="s">
        <v>36</v>
      </c>
      <c r="D1490" t="s">
        <v>11</v>
      </c>
      <c r="E1490">
        <v>23813.153846153844</v>
      </c>
      <c r="F1490">
        <v>124048.65201465201</v>
      </c>
      <c r="G1490">
        <v>2606014081.5238085</v>
      </c>
      <c r="H1490">
        <v>152525693.44258243</v>
      </c>
      <c r="I1490">
        <v>237703.13187225052</v>
      </c>
      <c r="J1490">
        <v>6348671.9428571425</v>
      </c>
    </row>
    <row r="1491" spans="1:10" x14ac:dyDescent="0.25">
      <c r="A1491">
        <v>37</v>
      </c>
      <c r="B1491">
        <v>13</v>
      </c>
      <c r="C1491" t="s">
        <v>36</v>
      </c>
      <c r="D1491" t="s">
        <v>12</v>
      </c>
      <c r="E1491">
        <v>8891.5384615384646</v>
      </c>
      <c r="F1491">
        <v>105737.1135531136</v>
      </c>
      <c r="G1491">
        <v>2726676783.070477</v>
      </c>
      <c r="H1491">
        <v>83485376.119589448</v>
      </c>
      <c r="I1491">
        <v>572427.04062880913</v>
      </c>
      <c r="J1491">
        <v>905658</v>
      </c>
    </row>
    <row r="1492" spans="1:10" x14ac:dyDescent="0.25">
      <c r="A1492">
        <v>37</v>
      </c>
      <c r="B1492">
        <v>14</v>
      </c>
      <c r="C1492" t="s">
        <v>36</v>
      </c>
      <c r="D1492" t="s">
        <v>13</v>
      </c>
      <c r="E1492">
        <v>29516.538461538446</v>
      </c>
      <c r="F1492">
        <v>252201.34432234408</v>
      </c>
      <c r="G1492">
        <v>7126140656.8495178</v>
      </c>
      <c r="H1492">
        <v>123608251.51158944</v>
      </c>
      <c r="I1492">
        <v>338867.64331075386</v>
      </c>
      <c r="J1492">
        <v>14158571.428571429</v>
      </c>
    </row>
    <row r="1493" spans="1:10" x14ac:dyDescent="0.25">
      <c r="A1493">
        <v>37</v>
      </c>
      <c r="B1493">
        <v>15</v>
      </c>
      <c r="C1493" t="s">
        <v>36</v>
      </c>
      <c r="D1493" t="s">
        <v>14</v>
      </c>
      <c r="E1493">
        <v>53315.923076923042</v>
      </c>
      <c r="F1493">
        <v>374377.03663003712</v>
      </c>
      <c r="G1493">
        <v>23516089228.716221</v>
      </c>
      <c r="H1493">
        <v>189568125.96041259</v>
      </c>
      <c r="I1493">
        <v>0</v>
      </c>
      <c r="J1493">
        <v>1382498.4615384615</v>
      </c>
    </row>
    <row r="1494" spans="1:10" x14ac:dyDescent="0.25">
      <c r="A1494">
        <v>37</v>
      </c>
      <c r="B1494">
        <v>16</v>
      </c>
      <c r="C1494" t="s">
        <v>36</v>
      </c>
      <c r="D1494" t="s">
        <v>15</v>
      </c>
      <c r="E1494">
        <v>43008.384615384646</v>
      </c>
      <c r="F1494">
        <v>612590.26739926706</v>
      </c>
      <c r="G1494">
        <v>25674246193.359985</v>
      </c>
      <c r="H1494">
        <v>160146491.57468197</v>
      </c>
      <c r="I1494">
        <v>101904.67854406161</v>
      </c>
      <c r="J1494">
        <v>1127642.5846153847</v>
      </c>
    </row>
    <row r="1495" spans="1:10" x14ac:dyDescent="0.25">
      <c r="A1495">
        <v>37</v>
      </c>
      <c r="B1495">
        <v>17</v>
      </c>
      <c r="C1495" t="s">
        <v>36</v>
      </c>
      <c r="D1495" t="s">
        <v>16</v>
      </c>
      <c r="E1495">
        <v>70067.461538461546</v>
      </c>
      <c r="F1495">
        <v>257474.1135531131</v>
      </c>
      <c r="G1495">
        <v>10087815171.081886</v>
      </c>
      <c r="H1495">
        <v>435399370.49628103</v>
      </c>
      <c r="I1495">
        <v>72550.567487736611</v>
      </c>
      <c r="J1495">
        <v>444476.30769230769</v>
      </c>
    </row>
    <row r="1496" spans="1:10" x14ac:dyDescent="0.25">
      <c r="A1496">
        <v>37</v>
      </c>
      <c r="B1496">
        <v>18</v>
      </c>
      <c r="C1496" t="s">
        <v>36</v>
      </c>
      <c r="D1496" t="s">
        <v>17</v>
      </c>
      <c r="E1496">
        <v>29333.923076923049</v>
      </c>
      <c r="F1496">
        <v>134644.95970695969</v>
      </c>
      <c r="G1496">
        <v>5968390971.5352373</v>
      </c>
      <c r="H1496">
        <v>153559484.48268199</v>
      </c>
      <c r="I1496">
        <v>72550.069709958829</v>
      </c>
      <c r="J1496">
        <v>2891947.076923077</v>
      </c>
    </row>
    <row r="1497" spans="1:10" x14ac:dyDescent="0.25">
      <c r="A1497">
        <v>37</v>
      </c>
      <c r="B1497">
        <v>19</v>
      </c>
      <c r="C1497" t="s">
        <v>36</v>
      </c>
      <c r="D1497" t="s">
        <v>18</v>
      </c>
      <c r="E1497">
        <v>6885.0769230769256</v>
      </c>
      <c r="F1497">
        <v>173363.95970695969</v>
      </c>
      <c r="G1497">
        <v>13147728536.540951</v>
      </c>
      <c r="H1497">
        <v>75542375.748398423</v>
      </c>
      <c r="I1497">
        <v>200913.15096874262</v>
      </c>
      <c r="J1497">
        <v>10706532.307692308</v>
      </c>
    </row>
    <row r="1498" spans="1:10" x14ac:dyDescent="0.25">
      <c r="A1498">
        <v>37</v>
      </c>
      <c r="B1498">
        <v>20</v>
      </c>
      <c r="C1498" t="s">
        <v>36</v>
      </c>
      <c r="D1498" t="s">
        <v>19</v>
      </c>
      <c r="E1498">
        <v>64056.846153846142</v>
      </c>
      <c r="F1498">
        <v>145179.24175824178</v>
      </c>
      <c r="G1498">
        <v>11521093617.262859</v>
      </c>
      <c r="H1498">
        <v>199669846.15090817</v>
      </c>
      <c r="I1498">
        <v>271766.91673884582</v>
      </c>
      <c r="J1498">
        <v>11591211.015384614</v>
      </c>
    </row>
    <row r="1499" spans="1:10" x14ac:dyDescent="0.25">
      <c r="A1499">
        <v>37</v>
      </c>
      <c r="B1499">
        <v>21</v>
      </c>
      <c r="C1499" t="s">
        <v>36</v>
      </c>
      <c r="D1499" t="s">
        <v>20</v>
      </c>
      <c r="E1499">
        <v>42901.461538461546</v>
      </c>
      <c r="F1499">
        <v>189330.90842490809</v>
      </c>
      <c r="G1499">
        <v>16337432247.112354</v>
      </c>
      <c r="H1499">
        <v>197577966.08039421</v>
      </c>
      <c r="I1499">
        <v>423142.97468692041</v>
      </c>
      <c r="J1499">
        <v>16209042.092307694</v>
      </c>
    </row>
    <row r="1500" spans="1:10" x14ac:dyDescent="0.25">
      <c r="A1500">
        <v>37</v>
      </c>
      <c r="B1500">
        <v>22</v>
      </c>
      <c r="C1500" t="s">
        <v>36</v>
      </c>
      <c r="D1500" t="s">
        <v>21</v>
      </c>
      <c r="E1500">
        <v>27341.307692307644</v>
      </c>
      <c r="F1500">
        <v>208457.90842490809</v>
      </c>
      <c r="G1500">
        <v>13499142129.137121</v>
      </c>
      <c r="H1500">
        <v>160923980.38756037</v>
      </c>
      <c r="I1500">
        <v>271768.95784995693</v>
      </c>
      <c r="J1500">
        <v>2258156.923076923</v>
      </c>
    </row>
    <row r="1501" spans="1:10" x14ac:dyDescent="0.25">
      <c r="A1501">
        <v>37</v>
      </c>
      <c r="B1501">
        <v>23</v>
      </c>
      <c r="C1501" t="s">
        <v>36</v>
      </c>
      <c r="D1501" t="s">
        <v>22</v>
      </c>
      <c r="E1501">
        <v>12019.846153846156</v>
      </c>
      <c r="F1501">
        <v>192194.2417582421</v>
      </c>
      <c r="G1501">
        <v>12143132017.302879</v>
      </c>
      <c r="H1501">
        <v>83446980.99338901</v>
      </c>
      <c r="I1501">
        <v>72561.62620851172</v>
      </c>
      <c r="J1501">
        <v>1158911.4461538463</v>
      </c>
    </row>
    <row r="1502" spans="1:10" x14ac:dyDescent="0.25">
      <c r="A1502">
        <v>37</v>
      </c>
      <c r="B1502">
        <v>24</v>
      </c>
      <c r="C1502" t="s">
        <v>36</v>
      </c>
      <c r="D1502" t="s">
        <v>23</v>
      </c>
      <c r="E1502">
        <v>13182.230769230766</v>
      </c>
      <c r="F1502">
        <v>149666.24175824178</v>
      </c>
      <c r="G1502">
        <v>6744284132.7085714</v>
      </c>
      <c r="H1502">
        <v>112867073.033389</v>
      </c>
      <c r="I1502">
        <v>251753.84397080232</v>
      </c>
      <c r="J1502">
        <v>20337305.692307692</v>
      </c>
    </row>
    <row r="1503" spans="1:10" x14ac:dyDescent="0.25">
      <c r="A1503">
        <v>37</v>
      </c>
      <c r="B1503">
        <v>25</v>
      </c>
      <c r="C1503" t="s">
        <v>36</v>
      </c>
      <c r="D1503" t="s">
        <v>24</v>
      </c>
      <c r="E1503">
        <v>10786.846153846156</v>
      </c>
      <c r="F1503">
        <v>142613.90842490841</v>
      </c>
      <c r="G1503">
        <v>7639884119.8857126</v>
      </c>
      <c r="H1503">
        <v>88349106.893389001</v>
      </c>
      <c r="I1503">
        <v>202335.24429253093</v>
      </c>
      <c r="J1503">
        <v>16596453.999999998</v>
      </c>
    </row>
    <row r="1504" spans="1:10" x14ac:dyDescent="0.25">
      <c r="A1504">
        <v>37</v>
      </c>
      <c r="B1504">
        <v>26</v>
      </c>
      <c r="C1504" t="s">
        <v>36</v>
      </c>
      <c r="D1504" t="s">
        <v>25</v>
      </c>
      <c r="E1504">
        <v>9865.9230769230744</v>
      </c>
      <c r="F1504">
        <v>128687.5750915751</v>
      </c>
      <c r="G1504">
        <v>7948197617.920001</v>
      </c>
      <c r="H1504">
        <v>92373668.600412607</v>
      </c>
      <c r="I1504">
        <v>1697877.573817119</v>
      </c>
      <c r="J1504">
        <v>4813820.307692307</v>
      </c>
    </row>
    <row r="1505" spans="1:10" x14ac:dyDescent="0.25">
      <c r="A1505">
        <v>37</v>
      </c>
      <c r="B1505">
        <v>27</v>
      </c>
      <c r="C1505" t="s">
        <v>36</v>
      </c>
      <c r="D1505" t="s">
        <v>26</v>
      </c>
      <c r="E1505">
        <v>65081.153846153844</v>
      </c>
      <c r="F1505">
        <v>498620.67509157507</v>
      </c>
      <c r="G1505">
        <v>37683895754.509903</v>
      </c>
      <c r="H1505">
        <v>91168516.76290819</v>
      </c>
      <c r="I1505">
        <v>66481.780049962981</v>
      </c>
      <c r="J1505">
        <v>478694.15384615381</v>
      </c>
    </row>
    <row r="1506" spans="1:10" x14ac:dyDescent="0.25">
      <c r="A1506">
        <v>37</v>
      </c>
      <c r="B1506">
        <v>28</v>
      </c>
      <c r="C1506" t="s">
        <v>36</v>
      </c>
      <c r="D1506" t="s">
        <v>27</v>
      </c>
      <c r="E1506">
        <v>42145.453846153847</v>
      </c>
      <c r="F1506">
        <v>198619.97509157509</v>
      </c>
      <c r="G1506" t="s">
        <v>122</v>
      </c>
      <c r="H1506" t="s">
        <v>122</v>
      </c>
      <c r="I1506">
        <v>66481.068938851866</v>
      </c>
      <c r="J1506">
        <v>1485886.3384615385</v>
      </c>
    </row>
    <row r="1507" spans="1:10" x14ac:dyDescent="0.25">
      <c r="A1507">
        <v>37</v>
      </c>
      <c r="B1507">
        <v>29</v>
      </c>
      <c r="C1507" t="s">
        <v>36</v>
      </c>
      <c r="D1507" t="s">
        <v>28</v>
      </c>
      <c r="E1507">
        <v>38192.653846153844</v>
      </c>
      <c r="F1507">
        <v>443398.97509157512</v>
      </c>
      <c r="G1507">
        <v>30389944994.211433</v>
      </c>
      <c r="H1507">
        <v>82453788.595560402</v>
      </c>
      <c r="I1507">
        <v>66479.730049962978</v>
      </c>
      <c r="J1507">
        <v>1675215.3846153847</v>
      </c>
    </row>
    <row r="1508" spans="1:10" x14ac:dyDescent="0.25">
      <c r="A1508">
        <v>37</v>
      </c>
      <c r="B1508">
        <v>30</v>
      </c>
      <c r="C1508" t="s">
        <v>36</v>
      </c>
      <c r="D1508" t="s">
        <v>29</v>
      </c>
      <c r="E1508">
        <v>13352.453846153847</v>
      </c>
      <c r="F1508">
        <v>311548.67509157513</v>
      </c>
      <c r="G1508">
        <v>14824457992.723431</v>
      </c>
      <c r="H1508">
        <v>85881145.633389011</v>
      </c>
      <c r="I1508">
        <v>200915.84985763152</v>
      </c>
      <c r="J1508">
        <v>630496.00000000012</v>
      </c>
    </row>
    <row r="1509" spans="1:10" x14ac:dyDescent="0.25">
      <c r="A1509">
        <v>37</v>
      </c>
      <c r="B1509">
        <v>31</v>
      </c>
      <c r="C1509" t="s">
        <v>36</v>
      </c>
      <c r="D1509" t="s">
        <v>30</v>
      </c>
      <c r="E1509">
        <v>8241.6153846153866</v>
      </c>
      <c r="F1509">
        <v>106300.2673992674</v>
      </c>
      <c r="G1509">
        <v>11629159961.255236</v>
      </c>
      <c r="H1509">
        <v>367589518.41198951</v>
      </c>
      <c r="I1509">
        <v>251755.29063746901</v>
      </c>
      <c r="J1509">
        <v>20023200</v>
      </c>
    </row>
    <row r="1510" spans="1:10" x14ac:dyDescent="0.25">
      <c r="A1510">
        <v>37</v>
      </c>
      <c r="B1510">
        <v>32</v>
      </c>
      <c r="C1510" t="s">
        <v>36</v>
      </c>
      <c r="D1510" t="s">
        <v>31</v>
      </c>
      <c r="E1510">
        <v>6086.538461538461</v>
      </c>
      <c r="F1510">
        <v>131847.0750915751</v>
      </c>
      <c r="G1510">
        <v>14195447186.809526</v>
      </c>
      <c r="H1510">
        <v>1000955856.7769442</v>
      </c>
      <c r="I1510">
        <v>66480.257827740759</v>
      </c>
      <c r="J1510">
        <v>5244600</v>
      </c>
    </row>
    <row r="1511" spans="1:10" x14ac:dyDescent="0.25">
      <c r="A1511">
        <v>37</v>
      </c>
      <c r="B1511">
        <v>33</v>
      </c>
      <c r="C1511" t="s">
        <v>36</v>
      </c>
      <c r="D1511" t="s">
        <v>32</v>
      </c>
      <c r="E1511">
        <v>69763.923076923049</v>
      </c>
      <c r="F1511">
        <v>181557.29816849821</v>
      </c>
      <c r="G1511">
        <v>18698898416.926479</v>
      </c>
      <c r="H1511">
        <v>73195459.872944325</v>
      </c>
      <c r="I1511">
        <v>237704.23409447278</v>
      </c>
      <c r="J1511">
        <v>1762061.5384615385</v>
      </c>
    </row>
    <row r="1512" spans="1:10" x14ac:dyDescent="0.25">
      <c r="A1512">
        <v>37</v>
      </c>
      <c r="B1512">
        <v>34</v>
      </c>
      <c r="C1512" t="s">
        <v>36</v>
      </c>
      <c r="D1512" t="s">
        <v>33</v>
      </c>
      <c r="E1512">
        <v>302374.46153846185</v>
      </c>
      <c r="F1512">
        <v>349118.96398046409</v>
      </c>
      <c r="G1512">
        <v>34599518713.835243</v>
      </c>
      <c r="H1512">
        <v>76267780.058835626</v>
      </c>
      <c r="I1512">
        <v>61320.62848248666</v>
      </c>
      <c r="J1512">
        <v>1729430.7692307695</v>
      </c>
    </row>
    <row r="1513" spans="1:10" x14ac:dyDescent="0.25">
      <c r="A1513">
        <v>37</v>
      </c>
      <c r="B1513">
        <v>35</v>
      </c>
      <c r="C1513" t="s">
        <v>36</v>
      </c>
      <c r="D1513" t="s">
        <v>34</v>
      </c>
      <c r="E1513">
        <v>28692.769230769249</v>
      </c>
      <c r="F1513">
        <v>97529.113553113595</v>
      </c>
      <c r="G1513">
        <v>9732235183.2380981</v>
      </c>
      <c r="H1513">
        <v>268751332.20283562</v>
      </c>
      <c r="I1513">
        <v>61319.32070470888</v>
      </c>
      <c r="J1513">
        <v>181622.86153846153</v>
      </c>
    </row>
    <row r="1514" spans="1:10" x14ac:dyDescent="0.25">
      <c r="A1514">
        <v>37</v>
      </c>
      <c r="B1514">
        <v>36</v>
      </c>
      <c r="C1514" t="s">
        <v>36</v>
      </c>
      <c r="D1514" t="s">
        <v>35</v>
      </c>
      <c r="E1514">
        <v>9316.9999999999964</v>
      </c>
      <c r="F1514">
        <v>173375.49816849822</v>
      </c>
      <c r="G1514">
        <v>16936566964.685717</v>
      </c>
      <c r="H1514">
        <v>70899901.448758766</v>
      </c>
      <c r="I1514">
        <v>743859.9286359722</v>
      </c>
      <c r="J1514">
        <v>32316960.153846189</v>
      </c>
    </row>
    <row r="1515" spans="1:10" x14ac:dyDescent="0.25">
      <c r="A1515">
        <v>37</v>
      </c>
      <c r="B1515">
        <v>37</v>
      </c>
      <c r="C1515" t="s">
        <v>36</v>
      </c>
      <c r="D1515" t="s">
        <v>36</v>
      </c>
      <c r="E1515">
        <v>0</v>
      </c>
      <c r="F1515">
        <v>0</v>
      </c>
      <c r="G1515">
        <v>0</v>
      </c>
      <c r="H1515">
        <v>0</v>
      </c>
      <c r="I1515">
        <v>743860.85308041668</v>
      </c>
      <c r="J1515">
        <v>100722229.72307691</v>
      </c>
    </row>
    <row r="1516" spans="1:10" x14ac:dyDescent="0.25">
      <c r="A1516">
        <v>37</v>
      </c>
      <c r="B1516">
        <v>38</v>
      </c>
      <c r="C1516" t="s">
        <v>36</v>
      </c>
      <c r="D1516" t="s">
        <v>37</v>
      </c>
      <c r="E1516">
        <v>5704.1538461538457</v>
      </c>
      <c r="F1516">
        <v>89167.959706959722</v>
      </c>
      <c r="G1516">
        <v>3034649605.9885716</v>
      </c>
      <c r="H1516">
        <v>54458198.877323665</v>
      </c>
      <c r="I1516">
        <v>572425.19951769803</v>
      </c>
      <c r="J1516">
        <v>7695841.5692307698</v>
      </c>
    </row>
    <row r="1517" spans="1:10" x14ac:dyDescent="0.25">
      <c r="A1517">
        <v>37</v>
      </c>
      <c r="B1517">
        <v>39</v>
      </c>
      <c r="C1517" t="s">
        <v>36</v>
      </c>
      <c r="D1517" t="s">
        <v>38</v>
      </c>
      <c r="E1517">
        <v>8774.5384615384646</v>
      </c>
      <c r="F1517">
        <v>173338.41758241761</v>
      </c>
      <c r="G1517">
        <v>1283626450.4914286</v>
      </c>
      <c r="H1517">
        <v>0</v>
      </c>
      <c r="I1517">
        <v>0</v>
      </c>
      <c r="J1517">
        <v>132913.84615384613</v>
      </c>
    </row>
    <row r="1518" spans="1:10" x14ac:dyDescent="0.25">
      <c r="A1518">
        <v>37</v>
      </c>
      <c r="B1518">
        <v>40</v>
      </c>
      <c r="C1518" t="s">
        <v>36</v>
      </c>
      <c r="D1518" t="s">
        <v>39</v>
      </c>
      <c r="E1518">
        <v>15320.923076923076</v>
      </c>
      <c r="F1518">
        <v>154657.717948718</v>
      </c>
      <c r="G1518">
        <v>3305907702.0933347</v>
      </c>
      <c r="H1518">
        <v>57287286.054019339</v>
      </c>
      <c r="I1518">
        <v>84557.927680341876</v>
      </c>
      <c r="J1518">
        <v>1122577.4769230769</v>
      </c>
    </row>
    <row r="1519" spans="1:10" x14ac:dyDescent="0.25">
      <c r="A1519">
        <v>37</v>
      </c>
      <c r="B1519">
        <v>41</v>
      </c>
      <c r="C1519" t="s">
        <v>36</v>
      </c>
      <c r="D1519" t="s">
        <v>40</v>
      </c>
      <c r="E1519">
        <v>27679.846153846149</v>
      </c>
      <c r="F1519">
        <v>102836.0677655678</v>
      </c>
      <c r="G1519">
        <v>2673470388.128572</v>
      </c>
      <c r="H1519">
        <v>211424415.83732367</v>
      </c>
      <c r="I1519">
        <v>0</v>
      </c>
      <c r="J1519">
        <v>0</v>
      </c>
    </row>
    <row r="1520" spans="1:10" x14ac:dyDescent="0.25">
      <c r="A1520">
        <v>38</v>
      </c>
      <c r="B1520">
        <v>1</v>
      </c>
      <c r="C1520" t="s">
        <v>37</v>
      </c>
      <c r="D1520" t="s">
        <v>0</v>
      </c>
      <c r="E1520">
        <v>92502.071428571406</v>
      </c>
      <c r="F1520">
        <v>53919.538461538505</v>
      </c>
      <c r="G1520">
        <v>6408485964.0800037</v>
      </c>
      <c r="H1520">
        <v>146627028.33889878</v>
      </c>
      <c r="I1520">
        <v>84557.584129389812</v>
      </c>
      <c r="J1520">
        <v>378807.138461539</v>
      </c>
    </row>
    <row r="1521" spans="1:10" x14ac:dyDescent="0.25">
      <c r="A1521">
        <v>38</v>
      </c>
      <c r="B1521">
        <v>2</v>
      </c>
      <c r="C1521" t="s">
        <v>37</v>
      </c>
      <c r="D1521" t="s">
        <v>1</v>
      </c>
      <c r="E1521">
        <v>21241.071428571398</v>
      </c>
      <c r="F1521">
        <v>44307.923076923107</v>
      </c>
      <c r="G1521">
        <v>5140458133.0800037</v>
      </c>
      <c r="H1521">
        <v>23095559.777470205</v>
      </c>
      <c r="I1521">
        <v>84557.327680341885</v>
      </c>
      <c r="J1521">
        <v>1660679.0769230768</v>
      </c>
    </row>
    <row r="1522" spans="1:10" x14ac:dyDescent="0.25">
      <c r="A1522">
        <v>38</v>
      </c>
      <c r="B1522">
        <v>3</v>
      </c>
      <c r="C1522" t="s">
        <v>37</v>
      </c>
      <c r="D1522" t="s">
        <v>2</v>
      </c>
      <c r="E1522">
        <v>16505.714285714301</v>
      </c>
      <c r="F1522">
        <v>47342.153846153808</v>
      </c>
      <c r="G1522">
        <v>5452696954.5599957</v>
      </c>
      <c r="H1522">
        <v>65819639.853282109</v>
      </c>
      <c r="I1522">
        <v>0</v>
      </c>
      <c r="J1522">
        <v>1.85</v>
      </c>
    </row>
    <row r="1523" spans="1:10" x14ac:dyDescent="0.25">
      <c r="A1523">
        <v>38</v>
      </c>
      <c r="B1523">
        <v>4</v>
      </c>
      <c r="C1523" t="s">
        <v>37</v>
      </c>
      <c r="D1523" t="s">
        <v>3</v>
      </c>
      <c r="E1523">
        <v>31162.071428571398</v>
      </c>
      <c r="F1523">
        <v>36449.076923076907</v>
      </c>
      <c r="G1523">
        <v>5174367820.5599976</v>
      </c>
      <c r="H1523">
        <v>115968462.17503692</v>
      </c>
      <c r="I1523">
        <v>530824.08296031202</v>
      </c>
      <c r="J1523">
        <v>76472369.145054966</v>
      </c>
    </row>
    <row r="1524" spans="1:10" x14ac:dyDescent="0.25">
      <c r="A1524">
        <v>38</v>
      </c>
      <c r="B1524">
        <v>5</v>
      </c>
      <c r="C1524" t="s">
        <v>37</v>
      </c>
      <c r="D1524" t="s">
        <v>4</v>
      </c>
      <c r="E1524">
        <v>64898.642857142899</v>
      </c>
      <c r="F1524">
        <v>68249.153846153815</v>
      </c>
      <c r="G1524">
        <v>10147565380.359995</v>
      </c>
      <c r="H1524">
        <v>27333963.85314095</v>
      </c>
      <c r="I1524">
        <v>530824.46073808987</v>
      </c>
      <c r="J1524">
        <v>5255540.4000000004</v>
      </c>
    </row>
    <row r="1525" spans="1:10" x14ac:dyDescent="0.25">
      <c r="A1525">
        <v>38</v>
      </c>
      <c r="B1525">
        <v>6</v>
      </c>
      <c r="C1525" t="s">
        <v>37</v>
      </c>
      <c r="D1525" t="s">
        <v>5</v>
      </c>
      <c r="E1525">
        <v>13226.785714285699</v>
      </c>
      <c r="F1525">
        <v>134038.4652014653</v>
      </c>
      <c r="G1525">
        <v>21520363488.108585</v>
      </c>
      <c r="H1525">
        <v>146790737.61599806</v>
      </c>
      <c r="I1525">
        <v>128619.19901464572</v>
      </c>
      <c r="J1525">
        <v>14509440.870329676</v>
      </c>
    </row>
    <row r="1526" spans="1:10" x14ac:dyDescent="0.25">
      <c r="A1526">
        <v>38</v>
      </c>
      <c r="B1526">
        <v>7</v>
      </c>
      <c r="C1526" t="s">
        <v>37</v>
      </c>
      <c r="D1526" t="s">
        <v>6</v>
      </c>
      <c r="E1526">
        <v>4976.7857142857101</v>
      </c>
      <c r="F1526">
        <v>67584.769230769205</v>
      </c>
      <c r="G1526">
        <v>9974241344.7999954</v>
      </c>
      <c r="H1526">
        <v>8101740.0817123801</v>
      </c>
      <c r="I1526">
        <v>340128.08571900416</v>
      </c>
      <c r="J1526">
        <v>32794527.472527482</v>
      </c>
    </row>
    <row r="1527" spans="1:10" x14ac:dyDescent="0.25">
      <c r="A1527">
        <v>38</v>
      </c>
      <c r="B1527">
        <v>8</v>
      </c>
      <c r="C1527" t="s">
        <v>37</v>
      </c>
      <c r="D1527" t="s">
        <v>7</v>
      </c>
      <c r="E1527">
        <v>34623.857142857101</v>
      </c>
      <c r="F1527">
        <v>125182.53846153831</v>
      </c>
      <c r="G1527">
        <v>17679064227.879978</v>
      </c>
      <c r="H1527">
        <v>33032274.718465488</v>
      </c>
      <c r="I1527">
        <v>297267.72474839422</v>
      </c>
      <c r="J1527">
        <v>51709274.285714284</v>
      </c>
    </row>
    <row r="1528" spans="1:10" x14ac:dyDescent="0.25">
      <c r="A1528">
        <v>38</v>
      </c>
      <c r="B1528">
        <v>9</v>
      </c>
      <c r="C1528" t="s">
        <v>37</v>
      </c>
      <c r="D1528" t="s">
        <v>8</v>
      </c>
      <c r="E1528">
        <v>619.45454545454504</v>
      </c>
      <c r="F1528">
        <v>575515.31410256424</v>
      </c>
      <c r="G1528">
        <v>75444256484.480011</v>
      </c>
      <c r="H1528">
        <v>13966402.077470206</v>
      </c>
      <c r="I1528">
        <v>297270.26919283863</v>
      </c>
      <c r="J1528">
        <v>16447870.769230776</v>
      </c>
    </row>
    <row r="1529" spans="1:10" x14ac:dyDescent="0.25">
      <c r="A1529">
        <v>38</v>
      </c>
      <c r="B1529">
        <v>10</v>
      </c>
      <c r="C1529" t="s">
        <v>37</v>
      </c>
      <c r="D1529" t="s">
        <v>9</v>
      </c>
      <c r="E1529">
        <v>21102.214285714301</v>
      </c>
      <c r="F1529">
        <v>99891.615384615419</v>
      </c>
      <c r="G1529">
        <v>15167075387.240005</v>
      </c>
      <c r="H1529">
        <v>74669740.913140953</v>
      </c>
      <c r="I1529">
        <v>297268.16363728308</v>
      </c>
      <c r="J1529">
        <v>6219748.5714285765</v>
      </c>
    </row>
    <row r="1530" spans="1:10" x14ac:dyDescent="0.25">
      <c r="A1530">
        <v>38</v>
      </c>
      <c r="B1530">
        <v>11</v>
      </c>
      <c r="C1530" t="s">
        <v>37</v>
      </c>
      <c r="D1530" t="s">
        <v>10</v>
      </c>
      <c r="E1530">
        <v>21269.384615384599</v>
      </c>
      <c r="F1530">
        <v>102655.69230769231</v>
      </c>
      <c r="G1530">
        <v>4226917936.6400008</v>
      </c>
      <c r="H1530">
        <v>71572546.841239139</v>
      </c>
      <c r="I1530">
        <v>196041.04087120833</v>
      </c>
      <c r="J1530">
        <v>9731546.3736263774</v>
      </c>
    </row>
    <row r="1531" spans="1:10" x14ac:dyDescent="0.25">
      <c r="A1531">
        <v>38</v>
      </c>
      <c r="B1531">
        <v>12</v>
      </c>
      <c r="C1531" t="s">
        <v>37</v>
      </c>
      <c r="D1531" t="s">
        <v>11</v>
      </c>
      <c r="E1531">
        <v>18238</v>
      </c>
      <c r="F1531">
        <v>47381.769230769205</v>
      </c>
      <c r="G1531">
        <v>2408858823.3599982</v>
      </c>
      <c r="H1531">
        <v>82491301.054522008</v>
      </c>
      <c r="I1531">
        <v>530826.54407142312</v>
      </c>
      <c r="J1531">
        <v>3682120.2461538501</v>
      </c>
    </row>
    <row r="1532" spans="1:10" x14ac:dyDescent="0.25">
      <c r="A1532">
        <v>38</v>
      </c>
      <c r="B1532">
        <v>13</v>
      </c>
      <c r="C1532" t="s">
        <v>37</v>
      </c>
      <c r="D1532" t="s">
        <v>12</v>
      </c>
      <c r="E1532">
        <v>3316.3846153846198</v>
      </c>
      <c r="F1532">
        <v>29070.23076923081</v>
      </c>
      <c r="G1532">
        <v>1494706381.0800021</v>
      </c>
      <c r="H1532">
        <v>13460123.274745006</v>
      </c>
      <c r="I1532">
        <v>297268.71252617193</v>
      </c>
      <c r="J1532">
        <v>17918114.285714291</v>
      </c>
    </row>
    <row r="1533" spans="1:10" x14ac:dyDescent="0.25">
      <c r="A1533">
        <v>38</v>
      </c>
      <c r="B1533">
        <v>14</v>
      </c>
      <c r="C1533" t="s">
        <v>37</v>
      </c>
      <c r="D1533" t="s">
        <v>13</v>
      </c>
      <c r="E1533">
        <v>23941.384615384599</v>
      </c>
      <c r="F1533">
        <v>175534.4615384613</v>
      </c>
      <c r="G1533">
        <v>9458765737.9199867</v>
      </c>
      <c r="H1533">
        <v>53582998.666745014</v>
      </c>
      <c r="I1533">
        <v>123944.31278894425</v>
      </c>
      <c r="J1533">
        <v>3096041.5384615399</v>
      </c>
    </row>
    <row r="1534" spans="1:10" x14ac:dyDescent="0.25">
      <c r="A1534">
        <v>38</v>
      </c>
      <c r="B1534">
        <v>15</v>
      </c>
      <c r="C1534" t="s">
        <v>37</v>
      </c>
      <c r="D1534" t="s">
        <v>14</v>
      </c>
      <c r="E1534">
        <v>47740.769230769198</v>
      </c>
      <c r="F1534">
        <v>297710.15384615434</v>
      </c>
      <c r="G1534">
        <v>18309448354.880028</v>
      </c>
      <c r="H1534">
        <v>119456554.45268545</v>
      </c>
      <c r="I1534">
        <v>99184.202994987791</v>
      </c>
      <c r="J1534">
        <v>2580611.8153846161</v>
      </c>
    </row>
    <row r="1535" spans="1:10" x14ac:dyDescent="0.25">
      <c r="A1535">
        <v>38</v>
      </c>
      <c r="B1535">
        <v>16</v>
      </c>
      <c r="C1535" t="s">
        <v>37</v>
      </c>
      <c r="D1535" t="s">
        <v>15</v>
      </c>
      <c r="E1535">
        <v>37433.230769230802</v>
      </c>
      <c r="F1535">
        <v>535923.38461538428</v>
      </c>
      <c r="G1535">
        <v>24121718609.119987</v>
      </c>
      <c r="H1535">
        <v>90035307.498497128</v>
      </c>
      <c r="I1535">
        <v>64212.665692399205</v>
      </c>
      <c r="J1535">
        <v>1545731.5384615394</v>
      </c>
    </row>
    <row r="1536" spans="1:10" x14ac:dyDescent="0.25">
      <c r="A1536">
        <v>38</v>
      </c>
      <c r="B1536">
        <v>17</v>
      </c>
      <c r="C1536" t="s">
        <v>37</v>
      </c>
      <c r="D1536" t="s">
        <v>16</v>
      </c>
      <c r="E1536">
        <v>64492.307692307702</v>
      </c>
      <c r="F1536">
        <v>180807.23076923031</v>
      </c>
      <c r="G1536">
        <v>3114686609.2799921</v>
      </c>
      <c r="H1536">
        <v>365264114.89764315</v>
      </c>
      <c r="I1536">
        <v>64212.16791462143</v>
      </c>
      <c r="J1536">
        <v>4790671.2923076935</v>
      </c>
    </row>
    <row r="1537" spans="1:10" x14ac:dyDescent="0.25">
      <c r="A1537">
        <v>38</v>
      </c>
      <c r="B1537">
        <v>18</v>
      </c>
      <c r="C1537" t="s">
        <v>37</v>
      </c>
      <c r="D1537" t="s">
        <v>17</v>
      </c>
      <c r="E1537">
        <v>23758.769230769201</v>
      </c>
      <c r="F1537">
        <v>57978.076923076907</v>
      </c>
      <c r="G1537">
        <v>2222856277.999999</v>
      </c>
      <c r="H1537">
        <v>83448300.406497151</v>
      </c>
      <c r="I1537">
        <v>198610.81692777271</v>
      </c>
      <c r="J1537">
        <v>13542930.769230772</v>
      </c>
    </row>
    <row r="1538" spans="1:10" x14ac:dyDescent="0.25">
      <c r="A1538">
        <v>38</v>
      </c>
      <c r="B1538">
        <v>19</v>
      </c>
      <c r="C1538" t="s">
        <v>37</v>
      </c>
      <c r="D1538" t="s">
        <v>18</v>
      </c>
      <c r="E1538">
        <v>1309.9230769230801</v>
      </c>
      <c r="F1538">
        <v>96697.076923076907</v>
      </c>
      <c r="G1538">
        <v>9811720887.3599987</v>
      </c>
      <c r="H1538">
        <v>5576364.483649224</v>
      </c>
      <c r="I1538">
        <v>269273.29542142904</v>
      </c>
      <c r="J1538">
        <v>14043284.676923078</v>
      </c>
    </row>
    <row r="1539" spans="1:10" x14ac:dyDescent="0.25">
      <c r="A1539">
        <v>38</v>
      </c>
      <c r="B1539">
        <v>20</v>
      </c>
      <c r="C1539" t="s">
        <v>37</v>
      </c>
      <c r="D1539" t="s">
        <v>19</v>
      </c>
      <c r="E1539">
        <v>58481.692307692298</v>
      </c>
      <c r="F1539">
        <v>68512.358974359013</v>
      </c>
      <c r="G1539">
        <v>7192939917.5733366</v>
      </c>
      <c r="H1539">
        <v>129658025.36876629</v>
      </c>
      <c r="I1539">
        <v>151.3037587225644</v>
      </c>
      <c r="J1539">
        <v>13199753.07692308</v>
      </c>
    </row>
    <row r="1540" spans="1:10" x14ac:dyDescent="0.25">
      <c r="A1540">
        <v>38</v>
      </c>
      <c r="B1540">
        <v>21</v>
      </c>
      <c r="C1540" t="s">
        <v>37</v>
      </c>
      <c r="D1540" t="s">
        <v>20</v>
      </c>
      <c r="E1540">
        <v>37326.307692307702</v>
      </c>
      <c r="F1540">
        <v>112664.02564102531</v>
      </c>
      <c r="G1540">
        <v>12609371269.426628</v>
      </c>
      <c r="H1540">
        <v>127580051.75059672</v>
      </c>
      <c r="I1540">
        <v>269275.33653254015</v>
      </c>
      <c r="J1540">
        <v>3585610.0000000019</v>
      </c>
    </row>
    <row r="1541" spans="1:10" x14ac:dyDescent="0.25">
      <c r="A1541">
        <v>38</v>
      </c>
      <c r="B1541">
        <v>22</v>
      </c>
      <c r="C1541" t="s">
        <v>37</v>
      </c>
      <c r="D1541" t="s">
        <v>21</v>
      </c>
      <c r="E1541">
        <v>21766.1538461538</v>
      </c>
      <c r="F1541">
        <v>131791.02564102531</v>
      </c>
      <c r="G1541">
        <v>11912184891.333302</v>
      </c>
      <c r="H1541">
        <v>90511008.191691861</v>
      </c>
      <c r="I1541">
        <v>70021.680277008651</v>
      </c>
      <c r="J1541">
        <v>3445844.6769230799</v>
      </c>
    </row>
    <row r="1542" spans="1:10" x14ac:dyDescent="0.25">
      <c r="A1542">
        <v>38</v>
      </c>
      <c r="B1542">
        <v>23</v>
      </c>
      <c r="C1542" t="s">
        <v>37</v>
      </c>
      <c r="D1542" t="s">
        <v>22</v>
      </c>
      <c r="E1542">
        <v>6444.6923076923104</v>
      </c>
      <c r="F1542">
        <v>115527.35897435932</v>
      </c>
      <c r="G1542">
        <v>10260137246.626698</v>
      </c>
      <c r="H1542">
        <v>13412428.906007763</v>
      </c>
      <c r="I1542">
        <v>249281.52068310481</v>
      </c>
      <c r="J1542">
        <v>25306670.769230772</v>
      </c>
    </row>
    <row r="1543" spans="1:10" x14ac:dyDescent="0.25">
      <c r="A1543">
        <v>38</v>
      </c>
      <c r="B1543">
        <v>24</v>
      </c>
      <c r="C1543" t="s">
        <v>37</v>
      </c>
      <c r="D1543" t="s">
        <v>23</v>
      </c>
      <c r="E1543">
        <v>7607.0769230769201</v>
      </c>
      <c r="F1543">
        <v>72999.358974359013</v>
      </c>
      <c r="G1543">
        <v>5164298771.0000019</v>
      </c>
      <c r="H1543">
        <v>42832520.946007766</v>
      </c>
      <c r="I1543">
        <v>199824.34830923041</v>
      </c>
      <c r="J1543">
        <v>20988070.769230772</v>
      </c>
    </row>
    <row r="1544" spans="1:10" x14ac:dyDescent="0.25">
      <c r="A1544">
        <v>38</v>
      </c>
      <c r="B1544">
        <v>25</v>
      </c>
      <c r="C1544" t="s">
        <v>37</v>
      </c>
      <c r="D1544" t="s">
        <v>24</v>
      </c>
      <c r="E1544">
        <v>5211.6923076923104</v>
      </c>
      <c r="F1544">
        <v>65947.025641025612</v>
      </c>
      <c r="G1544">
        <v>5223014982.2933311</v>
      </c>
      <c r="H1544">
        <v>18314554.806007762</v>
      </c>
      <c r="I1544">
        <v>613022755.86958253</v>
      </c>
      <c r="J1544">
        <v>7488832.1538461568</v>
      </c>
    </row>
    <row r="1545" spans="1:10" x14ac:dyDescent="0.25">
      <c r="A1545">
        <v>38</v>
      </c>
      <c r="B1545">
        <v>26</v>
      </c>
      <c r="C1545" t="s">
        <v>37</v>
      </c>
      <c r="D1545" t="s">
        <v>25</v>
      </c>
      <c r="E1545">
        <v>4290.7692307692296</v>
      </c>
      <c r="F1545">
        <v>52020.692307692305</v>
      </c>
      <c r="G1545">
        <v>4125511407.5999994</v>
      </c>
      <c r="H1545">
        <v>22262097.092685454</v>
      </c>
      <c r="I1545">
        <v>63965.781877314956</v>
      </c>
      <c r="J1545">
        <v>2493935.8461538488</v>
      </c>
    </row>
    <row r="1546" spans="1:10" x14ac:dyDescent="0.25">
      <c r="A1546">
        <v>38</v>
      </c>
      <c r="B1546">
        <v>27</v>
      </c>
      <c r="C1546" t="s">
        <v>37</v>
      </c>
      <c r="D1546" t="s">
        <v>26</v>
      </c>
      <c r="E1546">
        <v>59506</v>
      </c>
      <c r="F1546">
        <v>421953.79230769229</v>
      </c>
      <c r="G1546">
        <v>42704272382.444</v>
      </c>
      <c r="H1546">
        <v>21156695.980766315</v>
      </c>
      <c r="I1546">
        <v>63965.070766203848</v>
      </c>
      <c r="J1546">
        <v>3217251.6307692323</v>
      </c>
    </row>
    <row r="1547" spans="1:10" x14ac:dyDescent="0.25">
      <c r="A1547">
        <v>38</v>
      </c>
      <c r="B1547">
        <v>28</v>
      </c>
      <c r="C1547" t="s">
        <v>37</v>
      </c>
      <c r="D1547" t="s">
        <v>27</v>
      </c>
      <c r="E1547">
        <v>36570.300000000003</v>
      </c>
      <c r="F1547">
        <v>121953.09230769231</v>
      </c>
      <c r="G1547" t="s">
        <v>122</v>
      </c>
      <c r="H1547" t="s">
        <v>122</v>
      </c>
      <c r="I1547">
        <v>63963.731877314953</v>
      </c>
      <c r="J1547">
        <v>3562644.6153846174</v>
      </c>
    </row>
    <row r="1548" spans="1:10" x14ac:dyDescent="0.25">
      <c r="A1548">
        <v>38</v>
      </c>
      <c r="B1548">
        <v>29</v>
      </c>
      <c r="C1548" t="s">
        <v>37</v>
      </c>
      <c r="D1548" t="s">
        <v>28</v>
      </c>
      <c r="E1548">
        <v>32617.5</v>
      </c>
      <c r="F1548">
        <v>366732.09230769234</v>
      </c>
      <c r="G1548">
        <v>34534559691.984001</v>
      </c>
      <c r="H1548">
        <v>12040816.39969188</v>
      </c>
      <c r="I1548">
        <v>198613.51581666162</v>
      </c>
      <c r="J1548">
        <v>2495001.3846153868</v>
      </c>
    </row>
    <row r="1549" spans="1:10" x14ac:dyDescent="0.25">
      <c r="A1549">
        <v>38</v>
      </c>
      <c r="B1549">
        <v>30</v>
      </c>
      <c r="C1549" t="s">
        <v>37</v>
      </c>
      <c r="D1549" t="s">
        <v>29</v>
      </c>
      <c r="E1549">
        <v>7777.3</v>
      </c>
      <c r="F1549">
        <v>234881.79230769232</v>
      </c>
      <c r="G1549">
        <v>17196372474.407997</v>
      </c>
      <c r="H1549">
        <v>15846593.546007767</v>
      </c>
      <c r="I1549">
        <v>249271.03074715321</v>
      </c>
      <c r="J1549">
        <v>24868283.261538457</v>
      </c>
    </row>
    <row r="1550" spans="1:10" x14ac:dyDescent="0.25">
      <c r="A1550">
        <v>38</v>
      </c>
      <c r="B1550">
        <v>31</v>
      </c>
      <c r="C1550" t="s">
        <v>37</v>
      </c>
      <c r="D1550" t="s">
        <v>30</v>
      </c>
      <c r="E1550">
        <v>2666.4615384615399</v>
      </c>
      <c r="F1550">
        <v>29633.38461538461</v>
      </c>
      <c r="G1550">
        <v>4001363920.559999</v>
      </c>
      <c r="H1550">
        <v>297672405.40360826</v>
      </c>
      <c r="I1550">
        <v>63964.259655092734</v>
      </c>
      <c r="J1550">
        <v>7715522.584615388</v>
      </c>
    </row>
    <row r="1551" spans="1:10" x14ac:dyDescent="0.25">
      <c r="A1551">
        <v>38</v>
      </c>
      <c r="B1551">
        <v>32</v>
      </c>
      <c r="C1551" t="s">
        <v>37</v>
      </c>
      <c r="D1551" t="s">
        <v>31</v>
      </c>
      <c r="E1551">
        <v>511.38461538461502</v>
      </c>
      <c r="F1551">
        <v>55180.192307692305</v>
      </c>
      <c r="G1551">
        <v>7355285670.5999985</v>
      </c>
      <c r="H1551">
        <v>930950858.5941546</v>
      </c>
      <c r="I1551">
        <v>196042.14309343055</v>
      </c>
      <c r="J1551">
        <v>4647768.3076923117</v>
      </c>
    </row>
    <row r="1552" spans="1:10" x14ac:dyDescent="0.25">
      <c r="A1552">
        <v>38</v>
      </c>
      <c r="B1552">
        <v>33</v>
      </c>
      <c r="C1552" t="s">
        <v>37</v>
      </c>
      <c r="D1552" t="s">
        <v>32</v>
      </c>
      <c r="E1552">
        <v>64188.769230769198</v>
      </c>
      <c r="F1552">
        <v>104890.41538461541</v>
      </c>
      <c r="G1552">
        <v>13491160464.584002</v>
      </c>
      <c r="H1552">
        <v>3190461.6901547071</v>
      </c>
      <c r="I1552">
        <v>58849.582861860486</v>
      </c>
      <c r="J1552">
        <v>4812184.6153846197</v>
      </c>
    </row>
    <row r="1553" spans="1:10" x14ac:dyDescent="0.25">
      <c r="A1553">
        <v>38</v>
      </c>
      <c r="B1553">
        <v>34</v>
      </c>
      <c r="C1553" t="s">
        <v>37</v>
      </c>
      <c r="D1553" t="s">
        <v>33</v>
      </c>
      <c r="E1553">
        <v>296799.30769230798</v>
      </c>
      <c r="F1553">
        <v>272452.0811965813</v>
      </c>
      <c r="G1553">
        <v>33984310348.055569</v>
      </c>
      <c r="H1553">
        <v>6318328.5641012974</v>
      </c>
      <c r="I1553">
        <v>58848.275084082714</v>
      </c>
      <c r="J1553">
        <v>3058490.5846153884</v>
      </c>
    </row>
    <row r="1554" spans="1:10" x14ac:dyDescent="0.25">
      <c r="A1554">
        <v>38</v>
      </c>
      <c r="B1554">
        <v>35</v>
      </c>
      <c r="C1554" t="s">
        <v>37</v>
      </c>
      <c r="D1554" t="s">
        <v>34</v>
      </c>
      <c r="E1554">
        <v>23117.615384615401</v>
      </c>
      <c r="F1554">
        <v>20862.230769230806</v>
      </c>
      <c r="G1554">
        <v>2616494251.6800046</v>
      </c>
      <c r="H1554">
        <v>198801880.7081013</v>
      </c>
      <c r="I1554">
        <v>705460.71257409977</v>
      </c>
      <c r="J1554">
        <v>29773928.800000001</v>
      </c>
    </row>
    <row r="1555" spans="1:10" x14ac:dyDescent="0.25">
      <c r="A1555">
        <v>38</v>
      </c>
      <c r="B1555">
        <v>36</v>
      </c>
      <c r="C1555" t="s">
        <v>37</v>
      </c>
      <c r="D1555" t="s">
        <v>35</v>
      </c>
      <c r="E1555">
        <v>3741.8461538461502</v>
      </c>
      <c r="F1555">
        <v>96708.615384615419</v>
      </c>
      <c r="G1555">
        <v>11925812455.040005</v>
      </c>
      <c r="H1555">
        <v>897729.68147020647</v>
      </c>
      <c r="I1555">
        <v>705461.63701854413</v>
      </c>
      <c r="J1555">
        <v>114656017.96923079</v>
      </c>
    </row>
    <row r="1556" spans="1:10" x14ac:dyDescent="0.25">
      <c r="A1556">
        <v>38</v>
      </c>
      <c r="B1556">
        <v>37</v>
      </c>
      <c r="C1556" t="s">
        <v>37</v>
      </c>
      <c r="D1556" t="s">
        <v>36</v>
      </c>
      <c r="E1556">
        <v>10160.8461538462</v>
      </c>
      <c r="F1556">
        <v>91524.11904761901</v>
      </c>
      <c r="G1556">
        <v>3114836682.5828562</v>
      </c>
      <c r="H1556">
        <v>54458198.877323665</v>
      </c>
      <c r="I1556">
        <v>530824.70296031202</v>
      </c>
      <c r="J1556">
        <v>11247040.984615387</v>
      </c>
    </row>
    <row r="1557" spans="1:10" x14ac:dyDescent="0.25">
      <c r="A1557">
        <v>38</v>
      </c>
      <c r="B1557">
        <v>38</v>
      </c>
      <c r="C1557" t="s">
        <v>37</v>
      </c>
      <c r="D1557" t="s">
        <v>37</v>
      </c>
      <c r="E1557">
        <v>0</v>
      </c>
      <c r="F1557">
        <v>0</v>
      </c>
      <c r="G1557">
        <v>0</v>
      </c>
      <c r="H1557">
        <v>0</v>
      </c>
      <c r="I1557">
        <v>70469.756778962459</v>
      </c>
      <c r="J1557">
        <v>879526.40000000072</v>
      </c>
    </row>
    <row r="1558" spans="1:10" x14ac:dyDescent="0.25">
      <c r="A1558">
        <v>38</v>
      </c>
      <c r="B1558">
        <v>39</v>
      </c>
      <c r="C1558" t="s">
        <v>37</v>
      </c>
      <c r="D1558" t="s">
        <v>38</v>
      </c>
      <c r="E1558">
        <v>3199.3846153846198</v>
      </c>
      <c r="F1558">
        <v>96671.534798534805</v>
      </c>
      <c r="G1558">
        <v>858044942.28761911</v>
      </c>
      <c r="H1558">
        <v>135925203.77596146</v>
      </c>
      <c r="I1558">
        <v>0</v>
      </c>
      <c r="J1558">
        <v>940630.52307692333</v>
      </c>
    </row>
    <row r="1559" spans="1:10" x14ac:dyDescent="0.25">
      <c r="A1559">
        <v>38</v>
      </c>
      <c r="B1559">
        <v>40</v>
      </c>
      <c r="C1559" t="s">
        <v>37</v>
      </c>
      <c r="D1559" t="s">
        <v>39</v>
      </c>
      <c r="E1559">
        <v>9745.7692307692305</v>
      </c>
      <c r="F1559">
        <v>77990.835164835211</v>
      </c>
      <c r="G1559">
        <v>2195498163.2914295</v>
      </c>
      <c r="H1559">
        <v>121367671.15489705</v>
      </c>
      <c r="I1559">
        <v>84557.584129389812</v>
      </c>
      <c r="J1559">
        <v>378807.138461539</v>
      </c>
    </row>
    <row r="1560" spans="1:10" x14ac:dyDescent="0.25">
      <c r="A1560">
        <v>38</v>
      </c>
      <c r="B1560">
        <v>41</v>
      </c>
      <c r="C1560" t="s">
        <v>37</v>
      </c>
      <c r="D1560" t="s">
        <v>40</v>
      </c>
      <c r="E1560">
        <v>22104.692307692301</v>
      </c>
      <c r="F1560">
        <v>26169.184981685008</v>
      </c>
      <c r="G1560">
        <v>232274545.59523833</v>
      </c>
      <c r="H1560">
        <v>0</v>
      </c>
      <c r="I1560">
        <v>0</v>
      </c>
      <c r="J1560">
        <v>0</v>
      </c>
    </row>
    <row r="1561" spans="1:10" x14ac:dyDescent="0.25">
      <c r="A1561">
        <v>39</v>
      </c>
      <c r="B1561">
        <v>1</v>
      </c>
      <c r="C1561" t="s">
        <v>38</v>
      </c>
      <c r="D1561" t="s">
        <v>0</v>
      </c>
      <c r="E1561">
        <v>95182.994505494484</v>
      </c>
      <c r="F1561">
        <v>148202.35897435903</v>
      </c>
      <c r="G1561">
        <v>14508607833.17334</v>
      </c>
      <c r="H1561">
        <v>163970862.42618734</v>
      </c>
      <c r="I1561">
        <v>0</v>
      </c>
      <c r="J1561">
        <v>1048812.8307692306</v>
      </c>
    </row>
    <row r="1562" spans="1:10" x14ac:dyDescent="0.25">
      <c r="A1562">
        <v>39</v>
      </c>
      <c r="B1562">
        <v>2</v>
      </c>
      <c r="C1562" t="s">
        <v>38</v>
      </c>
      <c r="D1562" t="s">
        <v>1</v>
      </c>
      <c r="E1562">
        <v>23921.994505494476</v>
      </c>
      <c r="F1562">
        <v>138590.74358974362</v>
      </c>
      <c r="G1562">
        <v>13174602394.533335</v>
      </c>
      <c r="H1562">
        <v>40439393.864758767</v>
      </c>
      <c r="I1562">
        <v>12.711111111111112</v>
      </c>
      <c r="J1562">
        <v>4.26</v>
      </c>
    </row>
    <row r="1563" spans="1:10" x14ac:dyDescent="0.25">
      <c r="A1563">
        <v>39</v>
      </c>
      <c r="B1563">
        <v>3</v>
      </c>
      <c r="C1563" t="s">
        <v>38</v>
      </c>
      <c r="D1563" t="s">
        <v>2</v>
      </c>
      <c r="E1563">
        <v>19186.637362637379</v>
      </c>
      <c r="F1563">
        <v>141624.97435897432</v>
      </c>
      <c r="G1563">
        <v>13344029714.079994</v>
      </c>
      <c r="H1563">
        <v>83158124.286551684</v>
      </c>
      <c r="I1563">
        <v>607070.79734916927</v>
      </c>
      <c r="J1563">
        <v>83139829.054945052</v>
      </c>
    </row>
    <row r="1564" spans="1:10" x14ac:dyDescent="0.25">
      <c r="A1564">
        <v>39</v>
      </c>
      <c r="B1564">
        <v>4</v>
      </c>
      <c r="C1564" t="s">
        <v>38</v>
      </c>
      <c r="D1564" t="s">
        <v>3</v>
      </c>
      <c r="E1564">
        <v>33842.994505494476</v>
      </c>
      <c r="F1564">
        <v>130731.89743589742</v>
      </c>
      <c r="G1564">
        <v>15819354439.679998</v>
      </c>
      <c r="H1564">
        <v>133227237.50341816</v>
      </c>
      <c r="I1564">
        <v>607071.17512694711</v>
      </c>
      <c r="J1564">
        <v>7739330.9538461594</v>
      </c>
    </row>
    <row r="1565" spans="1:10" x14ac:dyDescent="0.25">
      <c r="A1565">
        <v>39</v>
      </c>
      <c r="B1565">
        <v>5</v>
      </c>
      <c r="C1565" t="s">
        <v>38</v>
      </c>
      <c r="D1565" t="s">
        <v>4</v>
      </c>
      <c r="E1565">
        <v>67579.565934065977</v>
      </c>
      <c r="F1565">
        <v>162531.97435897432</v>
      </c>
      <c r="G1565">
        <v>20759988041.386658</v>
      </c>
      <c r="H1565">
        <v>44654621.912130296</v>
      </c>
      <c r="I1565">
        <v>133236.40513236489</v>
      </c>
      <c r="J1565">
        <v>19810475.208791211</v>
      </c>
    </row>
    <row r="1566" spans="1:10" x14ac:dyDescent="0.25">
      <c r="A1566">
        <v>39</v>
      </c>
      <c r="B1566">
        <v>6</v>
      </c>
      <c r="C1566" t="s">
        <v>38</v>
      </c>
      <c r="D1566" t="s">
        <v>5</v>
      </c>
      <c r="E1566">
        <v>15907.708791208777</v>
      </c>
      <c r="F1566">
        <v>228321.28571428583</v>
      </c>
      <c r="G1566">
        <v>31873231374.548584</v>
      </c>
      <c r="H1566">
        <v>164111395.67498744</v>
      </c>
      <c r="I1566">
        <v>210551.81709999166</v>
      </c>
      <c r="J1566">
        <v>39340912.08791209</v>
      </c>
    </row>
    <row r="1567" spans="1:10" x14ac:dyDescent="0.25">
      <c r="A1567">
        <v>39</v>
      </c>
      <c r="B1567">
        <v>7</v>
      </c>
      <c r="C1567" t="s">
        <v>38</v>
      </c>
      <c r="D1567" t="s">
        <v>6</v>
      </c>
      <c r="E1567">
        <v>7657.7087912087873</v>
      </c>
      <c r="F1567">
        <v>161867.58974358972</v>
      </c>
      <c r="G1567">
        <v>20488098810.133331</v>
      </c>
      <c r="H1567">
        <v>25422398.14070173</v>
      </c>
      <c r="I1567">
        <v>330393.0425070292</v>
      </c>
      <c r="J1567">
        <v>58517514.285714284</v>
      </c>
    </row>
    <row r="1568" spans="1:10" x14ac:dyDescent="0.25">
      <c r="A1568">
        <v>39</v>
      </c>
      <c r="B1568">
        <v>8</v>
      </c>
      <c r="C1568" t="s">
        <v>38</v>
      </c>
      <c r="D1568" t="s">
        <v>7</v>
      </c>
      <c r="E1568">
        <v>37304.780219780179</v>
      </c>
      <c r="F1568">
        <v>219465.35897435882</v>
      </c>
      <c r="G1568">
        <v>26395274296.133312</v>
      </c>
      <c r="H1568">
        <v>50291050.046846732</v>
      </c>
      <c r="I1568">
        <v>330395.58695147361</v>
      </c>
      <c r="J1568">
        <v>23779821.538461536</v>
      </c>
    </row>
    <row r="1569" spans="1:10" x14ac:dyDescent="0.25">
      <c r="A1569">
        <v>39</v>
      </c>
      <c r="B1569">
        <v>9</v>
      </c>
      <c r="C1569" t="s">
        <v>38</v>
      </c>
      <c r="D1569" t="s">
        <v>8</v>
      </c>
      <c r="E1569">
        <v>3300.3776223776222</v>
      </c>
      <c r="F1569">
        <v>669798.13461538486</v>
      </c>
      <c r="G1569">
        <v>73732664670.88002</v>
      </c>
      <c r="H1569">
        <v>31310236.164758764</v>
      </c>
      <c r="I1569">
        <v>297269.61252617196</v>
      </c>
      <c r="J1569">
        <v>13027988.571428571</v>
      </c>
    </row>
    <row r="1570" spans="1:10" x14ac:dyDescent="0.25">
      <c r="A1570">
        <v>39</v>
      </c>
      <c r="B1570">
        <v>10</v>
      </c>
      <c r="C1570" t="s">
        <v>38</v>
      </c>
      <c r="D1570" t="s">
        <v>9</v>
      </c>
      <c r="E1570">
        <v>23783.137362637379</v>
      </c>
      <c r="F1570">
        <v>194174.43589743593</v>
      </c>
      <c r="G1570">
        <v>25413519102.346668</v>
      </c>
      <c r="H1570">
        <v>91990398.972130299</v>
      </c>
      <c r="I1570">
        <v>210551.97043332498</v>
      </c>
      <c r="J1570">
        <v>17350748.571428575</v>
      </c>
    </row>
    <row r="1571" spans="1:10" x14ac:dyDescent="0.25">
      <c r="A1571">
        <v>39</v>
      </c>
      <c r="B1571">
        <v>11</v>
      </c>
      <c r="C1571" t="s">
        <v>38</v>
      </c>
      <c r="D1571" t="s">
        <v>10</v>
      </c>
      <c r="E1571">
        <v>23950.307692307677</v>
      </c>
      <c r="F1571">
        <v>196938.51282051281</v>
      </c>
      <c r="G1571">
        <v>3144336050.7733331</v>
      </c>
      <c r="H1571">
        <v>88922413.210613504</v>
      </c>
      <c r="I1571">
        <v>607073.25846028037</v>
      </c>
      <c r="J1571">
        <v>9623963.8923076913</v>
      </c>
    </row>
    <row r="1572" spans="1:10" x14ac:dyDescent="0.25">
      <c r="A1572">
        <v>39</v>
      </c>
      <c r="B1572">
        <v>12</v>
      </c>
      <c r="C1572" t="s">
        <v>38</v>
      </c>
      <c r="D1572" t="s">
        <v>11</v>
      </c>
      <c r="E1572">
        <v>20918.923076923078</v>
      </c>
      <c r="F1572">
        <v>141664.58974358972</v>
      </c>
      <c r="G1572">
        <v>3920998181.5066662</v>
      </c>
      <c r="H1572">
        <v>99867355.762582421</v>
      </c>
      <c r="I1572">
        <v>330394.03028480697</v>
      </c>
      <c r="J1572">
        <v>25677367.912087914</v>
      </c>
    </row>
    <row r="1573" spans="1:10" x14ac:dyDescent="0.25">
      <c r="A1573">
        <v>39</v>
      </c>
      <c r="B1573">
        <v>13</v>
      </c>
      <c r="C1573" t="s">
        <v>38</v>
      </c>
      <c r="D1573" t="s">
        <v>12</v>
      </c>
      <c r="E1573">
        <v>5997.3076923076969</v>
      </c>
      <c r="F1573">
        <v>123353.05128205132</v>
      </c>
      <c r="G1573">
        <v>3757531306.9333344</v>
      </c>
      <c r="H1573">
        <v>30827038.439589433</v>
      </c>
      <c r="I1573">
        <v>77501.431368696532</v>
      </c>
      <c r="J1573">
        <v>5480067.3230769224</v>
      </c>
    </row>
    <row r="1574" spans="1:10" x14ac:dyDescent="0.25">
      <c r="A1574">
        <v>39</v>
      </c>
      <c r="B1574">
        <v>14</v>
      </c>
      <c r="C1574" t="s">
        <v>38</v>
      </c>
      <c r="D1574" t="s">
        <v>13</v>
      </c>
      <c r="E1574">
        <v>26622.307692307677</v>
      </c>
      <c r="F1574">
        <v>269817.28205128183</v>
      </c>
      <c r="G1574">
        <v>8885093890.6399918</v>
      </c>
      <c r="H1574">
        <v>70949913.831589431</v>
      </c>
      <c r="I1574">
        <v>42239.779527999111</v>
      </c>
      <c r="J1574">
        <v>4602462.9538461538</v>
      </c>
    </row>
    <row r="1575" spans="1:10" x14ac:dyDescent="0.25">
      <c r="A1575">
        <v>39</v>
      </c>
      <c r="B1575">
        <v>15</v>
      </c>
      <c r="C1575" t="s">
        <v>38</v>
      </c>
      <c r="D1575" t="s">
        <v>14</v>
      </c>
      <c r="E1575">
        <v>50421.692307692276</v>
      </c>
      <c r="F1575">
        <v>391992.97435897484</v>
      </c>
      <c r="G1575">
        <v>21081570317.653358</v>
      </c>
      <c r="H1575">
        <v>136909788.28041258</v>
      </c>
      <c r="I1575">
        <v>13792.040357072286</v>
      </c>
      <c r="J1575">
        <v>3621241.2307692301</v>
      </c>
    </row>
    <row r="1576" spans="1:10" x14ac:dyDescent="0.25">
      <c r="A1576">
        <v>39</v>
      </c>
      <c r="B1576">
        <v>16</v>
      </c>
      <c r="C1576" t="s">
        <v>38</v>
      </c>
      <c r="D1576" t="s">
        <v>15</v>
      </c>
      <c r="E1576">
        <v>40114.15384615388</v>
      </c>
      <c r="F1576">
        <v>630206.20512820489</v>
      </c>
      <c r="G1576">
        <v>27405499951.679989</v>
      </c>
      <c r="H1576">
        <v>107488153.89468196</v>
      </c>
      <c r="I1576">
        <v>13791.54257929451</v>
      </c>
      <c r="J1576">
        <v>7064244.9230769239</v>
      </c>
    </row>
    <row r="1577" spans="1:10" x14ac:dyDescent="0.25">
      <c r="A1577">
        <v>39</v>
      </c>
      <c r="B1577">
        <v>17</v>
      </c>
      <c r="C1577" t="s">
        <v>38</v>
      </c>
      <c r="D1577" t="s">
        <v>16</v>
      </c>
      <c r="E1577">
        <v>67173.23076923078</v>
      </c>
      <c r="F1577">
        <v>275090.05128205084</v>
      </c>
      <c r="G1577">
        <v>10098962915.839983</v>
      </c>
      <c r="H1577">
        <v>382741032.81628102</v>
      </c>
      <c r="I1577">
        <v>173442.38587546191</v>
      </c>
      <c r="J1577">
        <v>15776936.861538462</v>
      </c>
    </row>
    <row r="1578" spans="1:10" x14ac:dyDescent="0.25">
      <c r="A1578">
        <v>39</v>
      </c>
      <c r="B1578">
        <v>18</v>
      </c>
      <c r="C1578" t="s">
        <v>38</v>
      </c>
      <c r="D1578" t="s">
        <v>17</v>
      </c>
      <c r="E1578">
        <v>26439.692307692279</v>
      </c>
      <c r="F1578">
        <v>152260.89743589744</v>
      </c>
      <c r="G1578">
        <v>6989152799.333333</v>
      </c>
      <c r="H1578">
        <v>100901146.80268198</v>
      </c>
      <c r="I1578">
        <v>250882.87504095791</v>
      </c>
      <c r="J1578">
        <v>15548578.061538463</v>
      </c>
    </row>
    <row r="1579" spans="1:10" x14ac:dyDescent="0.25">
      <c r="A1579">
        <v>39</v>
      </c>
      <c r="B1579">
        <v>19</v>
      </c>
      <c r="C1579" t="s">
        <v>38</v>
      </c>
      <c r="D1579" t="s">
        <v>18</v>
      </c>
      <c r="E1579">
        <v>3990.846153846157</v>
      </c>
      <c r="F1579">
        <v>190979.89743589744</v>
      </c>
      <c r="G1579">
        <v>15376395039.040001</v>
      </c>
      <c r="H1579">
        <v>22884038.06839842</v>
      </c>
      <c r="I1579">
        <v>419608.03409598791</v>
      </c>
      <c r="J1579">
        <v>11201695.015384616</v>
      </c>
    </row>
    <row r="1580" spans="1:10" x14ac:dyDescent="0.25">
      <c r="A1580">
        <v>39</v>
      </c>
      <c r="B1580">
        <v>20</v>
      </c>
      <c r="C1580" t="s">
        <v>38</v>
      </c>
      <c r="D1580" t="s">
        <v>19</v>
      </c>
      <c r="E1580">
        <v>61162.615384615376</v>
      </c>
      <c r="F1580">
        <v>162795.17948717953</v>
      </c>
      <c r="G1580">
        <v>13680004522.666668</v>
      </c>
      <c r="H1580">
        <v>147011508.47090816</v>
      </c>
      <c r="I1580">
        <v>250884.916152069</v>
      </c>
      <c r="J1580">
        <v>5369731.9384615393</v>
      </c>
    </row>
    <row r="1581" spans="1:10" x14ac:dyDescent="0.25">
      <c r="A1581">
        <v>39</v>
      </c>
      <c r="B1581">
        <v>21</v>
      </c>
      <c r="C1581" t="s">
        <v>38</v>
      </c>
      <c r="D1581" t="s">
        <v>20</v>
      </c>
      <c r="E1581">
        <v>40007.23076923078</v>
      </c>
      <c r="F1581">
        <v>206946.84615384584</v>
      </c>
      <c r="G1581">
        <v>18824845359.519974</v>
      </c>
      <c r="H1581">
        <v>144919628.4003942</v>
      </c>
      <c r="I1581">
        <v>13803.262629216802</v>
      </c>
      <c r="J1581">
        <v>8238240.9846153827</v>
      </c>
    </row>
    <row r="1582" spans="1:10" x14ac:dyDescent="0.25">
      <c r="A1582">
        <v>39</v>
      </c>
      <c r="B1582">
        <v>22</v>
      </c>
      <c r="C1582" t="s">
        <v>38</v>
      </c>
      <c r="D1582" t="s">
        <v>21</v>
      </c>
      <c r="E1582">
        <v>24447.076923076878</v>
      </c>
      <c r="F1582">
        <v>226073.84615384584</v>
      </c>
      <c r="G1582">
        <v>15696632684.799976</v>
      </c>
      <c r="H1582">
        <v>108265642.70756036</v>
      </c>
      <c r="I1582">
        <v>227197.00011596901</v>
      </c>
      <c r="J1582">
        <v>30203523.661538463</v>
      </c>
    </row>
    <row r="1583" spans="1:10" x14ac:dyDescent="0.25">
      <c r="A1583">
        <v>39</v>
      </c>
      <c r="B1583">
        <v>23</v>
      </c>
      <c r="C1583" t="s">
        <v>38</v>
      </c>
      <c r="D1583" t="s">
        <v>22</v>
      </c>
      <c r="E1583">
        <v>9125.6153846153866</v>
      </c>
      <c r="F1583">
        <v>209810.17948717985</v>
      </c>
      <c r="G1583">
        <v>14236845969.653357</v>
      </c>
      <c r="H1583">
        <v>30788643.313388996</v>
      </c>
      <c r="I1583">
        <v>167169.15812288245</v>
      </c>
      <c r="J1583">
        <v>26172662.276923075</v>
      </c>
    </row>
    <row r="1584" spans="1:10" x14ac:dyDescent="0.25">
      <c r="A1584">
        <v>39</v>
      </c>
      <c r="B1584">
        <v>24</v>
      </c>
      <c r="C1584" t="s">
        <v>38</v>
      </c>
      <c r="D1584" t="s">
        <v>23</v>
      </c>
      <c r="E1584">
        <v>10287.999999999996</v>
      </c>
      <c r="F1584">
        <v>167282.17948717953</v>
      </c>
      <c r="G1584">
        <v>8320020083.1333351</v>
      </c>
      <c r="H1584">
        <v>60208735.353388995</v>
      </c>
      <c r="I1584">
        <v>613022757.59416556</v>
      </c>
      <c r="J1584">
        <v>11731740.307692306</v>
      </c>
    </row>
    <row r="1585" spans="1:10" x14ac:dyDescent="0.25">
      <c r="A1585">
        <v>39</v>
      </c>
      <c r="B1585">
        <v>25</v>
      </c>
      <c r="C1585" t="s">
        <v>38</v>
      </c>
      <c r="D1585" t="s">
        <v>24</v>
      </c>
      <c r="E1585">
        <v>7892.6153846153875</v>
      </c>
      <c r="F1585">
        <v>160229.84615384613</v>
      </c>
      <c r="G1585">
        <v>9332536115.6799965</v>
      </c>
      <c r="H1585">
        <v>35690769.213388994</v>
      </c>
      <c r="I1585">
        <v>6614.5048096689097</v>
      </c>
      <c r="J1585">
        <v>6351881.5999999996</v>
      </c>
    </row>
    <row r="1586" spans="1:10" x14ac:dyDescent="0.25">
      <c r="A1586">
        <v>39</v>
      </c>
      <c r="B1586">
        <v>26</v>
      </c>
      <c r="C1586" t="s">
        <v>38</v>
      </c>
      <c r="D1586" t="s">
        <v>25</v>
      </c>
      <c r="E1586">
        <v>6971.6923076923067</v>
      </c>
      <c r="F1586">
        <v>146303.51282051281</v>
      </c>
      <c r="G1586">
        <v>9720083524.0666656</v>
      </c>
      <c r="H1586">
        <v>39715330.9204126</v>
      </c>
      <c r="I1586">
        <v>6613.7936985577981</v>
      </c>
      <c r="J1586">
        <v>6289554.2153846156</v>
      </c>
    </row>
    <row r="1587" spans="1:10" x14ac:dyDescent="0.25">
      <c r="A1587">
        <v>39</v>
      </c>
      <c r="B1587">
        <v>27</v>
      </c>
      <c r="C1587" t="s">
        <v>38</v>
      </c>
      <c r="D1587" t="s">
        <v>26</v>
      </c>
      <c r="E1587">
        <v>62186.923076923078</v>
      </c>
      <c r="F1587">
        <v>516236.61282051279</v>
      </c>
      <c r="G1587">
        <v>41428277271.349327</v>
      </c>
      <c r="H1587">
        <v>38510179.082908183</v>
      </c>
      <c r="I1587">
        <v>6612.4548096689095</v>
      </c>
      <c r="J1587">
        <v>6980520</v>
      </c>
    </row>
    <row r="1588" spans="1:10" x14ac:dyDescent="0.25">
      <c r="A1588">
        <v>39</v>
      </c>
      <c r="B1588">
        <v>28</v>
      </c>
      <c r="C1588" t="s">
        <v>38</v>
      </c>
      <c r="D1588" t="s">
        <v>27</v>
      </c>
      <c r="E1588">
        <v>39251.223076923081</v>
      </c>
      <c r="F1588">
        <v>216235.91282051284</v>
      </c>
      <c r="G1588" t="s">
        <v>122</v>
      </c>
      <c r="H1588" t="s">
        <v>122</v>
      </c>
      <c r="I1588">
        <v>173441.08476435082</v>
      </c>
      <c r="J1588">
        <v>6235197.2307692301</v>
      </c>
    </row>
    <row r="1589" spans="1:10" x14ac:dyDescent="0.25">
      <c r="A1589">
        <v>39</v>
      </c>
      <c r="B1589">
        <v>29</v>
      </c>
      <c r="C1589" t="s">
        <v>38</v>
      </c>
      <c r="D1589" t="s">
        <v>28</v>
      </c>
      <c r="E1589">
        <v>35298.423076923078</v>
      </c>
      <c r="F1589">
        <v>461014.91282051284</v>
      </c>
      <c r="G1589">
        <v>33752229490.538662</v>
      </c>
      <c r="H1589">
        <v>29795450.915560391</v>
      </c>
      <c r="I1589">
        <v>227198.4467826357</v>
      </c>
      <c r="J1589">
        <v>29576273.230769228</v>
      </c>
    </row>
    <row r="1590" spans="1:10" x14ac:dyDescent="0.25">
      <c r="A1590">
        <v>39</v>
      </c>
      <c r="B1590">
        <v>30</v>
      </c>
      <c r="C1590" t="s">
        <v>38</v>
      </c>
      <c r="D1590" t="s">
        <v>29</v>
      </c>
      <c r="E1590">
        <v>10458.223076923077</v>
      </c>
      <c r="F1590">
        <v>329164.61282051285</v>
      </c>
      <c r="G1590">
        <v>17201286838.006668</v>
      </c>
      <c r="H1590">
        <v>33222807.953389004</v>
      </c>
      <c r="I1590">
        <v>6612.9825874466869</v>
      </c>
      <c r="J1590">
        <v>10909569.230769232</v>
      </c>
    </row>
    <row r="1591" spans="1:10" x14ac:dyDescent="0.25">
      <c r="A1591">
        <v>39</v>
      </c>
      <c r="B1591">
        <v>31</v>
      </c>
      <c r="C1591" t="s">
        <v>38</v>
      </c>
      <c r="D1591" t="s">
        <v>30</v>
      </c>
      <c r="E1591">
        <v>5347.3846153846171</v>
      </c>
      <c r="F1591">
        <v>123916.20512820513</v>
      </c>
      <c r="G1591">
        <v>14135547790.719999</v>
      </c>
      <c r="H1591">
        <v>314931180.7319895</v>
      </c>
      <c r="I1591">
        <v>210553.07265554721</v>
      </c>
      <c r="J1591">
        <v>11559076.923076922</v>
      </c>
    </row>
    <row r="1592" spans="1:10" x14ac:dyDescent="0.25">
      <c r="A1592">
        <v>39</v>
      </c>
      <c r="B1592">
        <v>32</v>
      </c>
      <c r="C1592" t="s">
        <v>38</v>
      </c>
      <c r="D1592" t="s">
        <v>31</v>
      </c>
      <c r="E1592">
        <v>3192.3076923076924</v>
      </c>
      <c r="F1592">
        <v>149463.01282051281</v>
      </c>
      <c r="G1592">
        <v>16790716709.899998</v>
      </c>
      <c r="H1592">
        <v>948297519.09694409</v>
      </c>
      <c r="I1592">
        <v>1260.7688816485411</v>
      </c>
      <c r="J1592">
        <v>10578867.199999999</v>
      </c>
    </row>
    <row r="1593" spans="1:10" x14ac:dyDescent="0.25">
      <c r="A1593">
        <v>39</v>
      </c>
      <c r="B1593">
        <v>33</v>
      </c>
      <c r="C1593" t="s">
        <v>38</v>
      </c>
      <c r="D1593" t="s">
        <v>32</v>
      </c>
      <c r="E1593">
        <v>66869.692307692269</v>
      </c>
      <c r="F1593">
        <v>199173.23589743592</v>
      </c>
      <c r="G1593">
        <v>21433725037.784004</v>
      </c>
      <c r="H1593">
        <v>20537122.192944318</v>
      </c>
      <c r="I1593">
        <v>1259.4611038707633</v>
      </c>
      <c r="J1593">
        <v>9134822.2461538464</v>
      </c>
    </row>
    <row r="1594" spans="1:10" x14ac:dyDescent="0.25">
      <c r="A1594">
        <v>39</v>
      </c>
      <c r="B1594">
        <v>34</v>
      </c>
      <c r="C1594" t="s">
        <v>38</v>
      </c>
      <c r="D1594" t="s">
        <v>33</v>
      </c>
      <c r="E1594">
        <v>299480.23076923104</v>
      </c>
      <c r="F1594">
        <v>366734.90170940181</v>
      </c>
      <c r="G1594">
        <v>38059572066.648895</v>
      </c>
      <c r="H1594">
        <v>23609442.378835618</v>
      </c>
      <c r="I1594">
        <v>820475.31685060356</v>
      </c>
      <c r="J1594">
        <v>35653063.84615384</v>
      </c>
    </row>
    <row r="1595" spans="1:10" x14ac:dyDescent="0.25">
      <c r="A1595">
        <v>39</v>
      </c>
      <c r="B1595">
        <v>35</v>
      </c>
      <c r="C1595" t="s">
        <v>38</v>
      </c>
      <c r="D1595" t="s">
        <v>34</v>
      </c>
      <c r="E1595">
        <v>25798.538461538479</v>
      </c>
      <c r="F1595">
        <v>115145.05128205132</v>
      </c>
      <c r="G1595">
        <v>12028314587.640003</v>
      </c>
      <c r="H1595">
        <v>216092994.52283561</v>
      </c>
      <c r="I1595">
        <v>820476.24129504804</v>
      </c>
      <c r="J1595">
        <v>120956884.61538462</v>
      </c>
    </row>
    <row r="1596" spans="1:10" x14ac:dyDescent="0.25">
      <c r="A1596">
        <v>39</v>
      </c>
      <c r="B1596">
        <v>36</v>
      </c>
      <c r="C1596" t="s">
        <v>38</v>
      </c>
      <c r="D1596" t="s">
        <v>35</v>
      </c>
      <c r="E1596">
        <v>6422.7692307692269</v>
      </c>
      <c r="F1596">
        <v>190991.43589743593</v>
      </c>
      <c r="G1596">
        <v>19540135175.573334</v>
      </c>
      <c r="H1596">
        <v>18241563.768758766</v>
      </c>
      <c r="I1596">
        <v>607071.41734916926</v>
      </c>
      <c r="J1596">
        <v>17069609.846153844</v>
      </c>
    </row>
    <row r="1597" spans="1:10" x14ac:dyDescent="0.25">
      <c r="A1597">
        <v>39</v>
      </c>
      <c r="B1597">
        <v>37</v>
      </c>
      <c r="C1597" t="s">
        <v>38</v>
      </c>
      <c r="D1597" t="s">
        <v>36</v>
      </c>
      <c r="E1597">
        <v>12841.769230769278</v>
      </c>
      <c r="F1597">
        <v>185806.93956043952</v>
      </c>
      <c r="G1597">
        <v>1375959845.665714</v>
      </c>
      <c r="H1597">
        <v>0</v>
      </c>
      <c r="I1597">
        <v>84557.605458119651</v>
      </c>
      <c r="J1597">
        <v>2579376</v>
      </c>
    </row>
    <row r="1598" spans="1:10" x14ac:dyDescent="0.25">
      <c r="A1598">
        <v>39</v>
      </c>
      <c r="B1598">
        <v>38</v>
      </c>
      <c r="C1598" t="s">
        <v>38</v>
      </c>
      <c r="D1598" t="s">
        <v>37</v>
      </c>
      <c r="E1598">
        <v>2809.9230769230771</v>
      </c>
      <c r="F1598">
        <v>106783.89743589745</v>
      </c>
      <c r="G1598">
        <v>947801059.57333338</v>
      </c>
      <c r="H1598">
        <v>135925203.77596146</v>
      </c>
      <c r="I1598">
        <v>0</v>
      </c>
      <c r="J1598">
        <v>1133748.3076923077</v>
      </c>
    </row>
    <row r="1599" spans="1:10" x14ac:dyDescent="0.25">
      <c r="A1599">
        <v>39</v>
      </c>
      <c r="B1599">
        <v>39</v>
      </c>
      <c r="C1599" t="s">
        <v>38</v>
      </c>
      <c r="D1599" t="s">
        <v>38</v>
      </c>
      <c r="E1599">
        <v>0</v>
      </c>
      <c r="F1599">
        <v>0</v>
      </c>
      <c r="G1599">
        <v>0</v>
      </c>
      <c r="H1599">
        <v>0</v>
      </c>
      <c r="I1599">
        <v>84557.327680341885</v>
      </c>
      <c r="J1599">
        <v>1660679.0769230768</v>
      </c>
    </row>
    <row r="1600" spans="1:10" x14ac:dyDescent="0.25">
      <c r="A1600">
        <v>39</v>
      </c>
      <c r="B1600">
        <v>40</v>
      </c>
      <c r="C1600" t="s">
        <v>38</v>
      </c>
      <c r="D1600" t="s">
        <v>39</v>
      </c>
      <c r="E1600">
        <v>12426.692307692309</v>
      </c>
      <c r="F1600">
        <v>172273.65567765571</v>
      </c>
      <c r="G1600">
        <v>2687200281.6685715</v>
      </c>
      <c r="H1600">
        <v>2899755.6540193469</v>
      </c>
      <c r="I1600">
        <v>0</v>
      </c>
      <c r="J1600">
        <v>1048812.8307692306</v>
      </c>
    </row>
    <row r="1601" spans="1:10" x14ac:dyDescent="0.25">
      <c r="A1601">
        <v>39</v>
      </c>
      <c r="B1601">
        <v>41</v>
      </c>
      <c r="C1601" t="s">
        <v>38</v>
      </c>
      <c r="D1601" t="s">
        <v>40</v>
      </c>
      <c r="E1601">
        <v>24785.615384615379</v>
      </c>
      <c r="F1601">
        <v>120452.00549450553</v>
      </c>
      <c r="G1601">
        <v>2840436558.5285716</v>
      </c>
      <c r="H1601">
        <v>157036885.43732369</v>
      </c>
      <c r="I1601">
        <v>0</v>
      </c>
      <c r="J1601">
        <v>0</v>
      </c>
    </row>
    <row r="1602" spans="1:10" x14ac:dyDescent="0.25">
      <c r="A1602">
        <v>40</v>
      </c>
      <c r="B1602">
        <v>1</v>
      </c>
      <c r="C1602" t="s">
        <v>39</v>
      </c>
      <c r="D1602" t="s">
        <v>0</v>
      </c>
      <c r="E1602">
        <v>100159.22527472525</v>
      </c>
      <c r="F1602">
        <v>115199.3461538462</v>
      </c>
      <c r="G1602">
        <v>12542209005.180004</v>
      </c>
      <c r="H1602">
        <v>149480548.77375725</v>
      </c>
      <c r="I1602">
        <v>15.021739655915681</v>
      </c>
      <c r="J1602">
        <v>2.11</v>
      </c>
    </row>
    <row r="1603" spans="1:10" x14ac:dyDescent="0.25">
      <c r="A1603">
        <v>40</v>
      </c>
      <c r="B1603">
        <v>2</v>
      </c>
      <c r="C1603" t="s">
        <v>39</v>
      </c>
      <c r="D1603" t="s">
        <v>1</v>
      </c>
      <c r="E1603">
        <v>28898.225274725242</v>
      </c>
      <c r="F1603">
        <v>105587.73076923081</v>
      </c>
      <c r="G1603">
        <v>11201844592.400005</v>
      </c>
      <c r="H1603">
        <v>25949080.21232868</v>
      </c>
      <c r="I1603">
        <v>69.716889399164785</v>
      </c>
      <c r="J1603">
        <v>0</v>
      </c>
    </row>
    <row r="1604" spans="1:10" x14ac:dyDescent="0.25">
      <c r="A1604">
        <v>40</v>
      </c>
      <c r="B1604">
        <v>3</v>
      </c>
      <c r="C1604" t="s">
        <v>39</v>
      </c>
      <c r="D1604" t="s">
        <v>2</v>
      </c>
      <c r="E1604">
        <v>24162.868131868148</v>
      </c>
      <c r="F1604">
        <v>108621.9615384615</v>
      </c>
      <c r="G1604">
        <v>11432470141.679996</v>
      </c>
      <c r="H1604">
        <v>68702282.151169956</v>
      </c>
      <c r="I1604">
        <v>70.094667176942565</v>
      </c>
      <c r="J1604">
        <v>0</v>
      </c>
    </row>
    <row r="1605" spans="1:10" x14ac:dyDescent="0.25">
      <c r="A1605">
        <v>40</v>
      </c>
      <c r="B1605">
        <v>4</v>
      </c>
      <c r="C1605" t="s">
        <v>39</v>
      </c>
      <c r="D1605" t="s">
        <v>3</v>
      </c>
      <c r="E1605">
        <v>38819.225274725242</v>
      </c>
      <c r="F1605">
        <v>97728.884615384595</v>
      </c>
      <c r="G1605">
        <v>12898527923.259996</v>
      </c>
      <c r="H1605">
        <v>118440377.29239491</v>
      </c>
      <c r="I1605">
        <v>64.050452561936936</v>
      </c>
      <c r="J1605">
        <v>0</v>
      </c>
    </row>
    <row r="1606" spans="1:10" x14ac:dyDescent="0.25">
      <c r="A1606">
        <v>40</v>
      </c>
      <c r="B1606">
        <v>5</v>
      </c>
      <c r="C1606" t="s">
        <v>39</v>
      </c>
      <c r="D1606" t="s">
        <v>4</v>
      </c>
      <c r="E1606">
        <v>72555.796703296743</v>
      </c>
      <c r="F1606">
        <v>129528.9615384615</v>
      </c>
      <c r="G1606">
        <v>17973158920.519993</v>
      </c>
      <c r="H1606">
        <v>30194454.714626148</v>
      </c>
      <c r="I1606">
        <v>78.219398842201571</v>
      </c>
      <c r="J1606">
        <v>0</v>
      </c>
    </row>
    <row r="1607" spans="1:10" x14ac:dyDescent="0.25">
      <c r="A1607">
        <v>40</v>
      </c>
      <c r="B1607">
        <v>6</v>
      </c>
      <c r="C1607" t="s">
        <v>39</v>
      </c>
      <c r="D1607" t="s">
        <v>5</v>
      </c>
      <c r="E1607">
        <v>20883.939560439547</v>
      </c>
      <c r="F1607">
        <v>195318.27289377298</v>
      </c>
      <c r="G1607">
        <v>29420275805.748585</v>
      </c>
      <c r="H1607">
        <v>149651228.47748324</v>
      </c>
      <c r="I1607">
        <v>75.088484040681308</v>
      </c>
      <c r="J1607">
        <v>0</v>
      </c>
    </row>
    <row r="1608" spans="1:10" x14ac:dyDescent="0.25">
      <c r="A1608">
        <v>40</v>
      </c>
      <c r="B1608">
        <v>7</v>
      </c>
      <c r="C1608" t="s">
        <v>39</v>
      </c>
      <c r="D1608" t="s">
        <v>6</v>
      </c>
      <c r="E1608">
        <v>12633.939560439556</v>
      </c>
      <c r="F1608">
        <v>128864.57692307691</v>
      </c>
      <c r="G1608">
        <v>17732075059.599998</v>
      </c>
      <c r="H1608">
        <v>10962230.943197578</v>
      </c>
      <c r="I1608">
        <v>77.632928485125746</v>
      </c>
      <c r="J1608">
        <v>0</v>
      </c>
    </row>
    <row r="1609" spans="1:10" x14ac:dyDescent="0.25">
      <c r="A1609">
        <v>40</v>
      </c>
      <c r="B1609">
        <v>8</v>
      </c>
      <c r="C1609" t="s">
        <v>39</v>
      </c>
      <c r="D1609" t="s">
        <v>7</v>
      </c>
      <c r="E1609">
        <v>42281.010989010945</v>
      </c>
      <c r="F1609">
        <v>186462.34615384601</v>
      </c>
      <c r="G1609">
        <v>24472713047.579983</v>
      </c>
      <c r="H1609">
        <v>35504189.835823476</v>
      </c>
      <c r="I1609">
        <v>75.527372929570191</v>
      </c>
      <c r="J1609">
        <v>0</v>
      </c>
    </row>
    <row r="1610" spans="1:10" x14ac:dyDescent="0.25">
      <c r="A1610">
        <v>40</v>
      </c>
      <c r="B1610">
        <v>9</v>
      </c>
      <c r="C1610" t="s">
        <v>39</v>
      </c>
      <c r="D1610" t="s">
        <v>8</v>
      </c>
      <c r="E1610">
        <v>8276.6083916083899</v>
      </c>
      <c r="F1610">
        <v>636795.12179487199</v>
      </c>
      <c r="G1610">
        <v>77122970411.113358</v>
      </c>
      <c r="H1610">
        <v>16819922.512328677</v>
      </c>
      <c r="I1610">
        <v>78.372732175534907</v>
      </c>
      <c r="J1610">
        <v>0</v>
      </c>
    </row>
    <row r="1611" spans="1:10" x14ac:dyDescent="0.25">
      <c r="A1611">
        <v>40</v>
      </c>
      <c r="B1611">
        <v>10</v>
      </c>
      <c r="C1611" t="s">
        <v>39</v>
      </c>
      <c r="D1611" t="s">
        <v>9</v>
      </c>
      <c r="E1611">
        <v>28759.368131868148</v>
      </c>
      <c r="F1611">
        <v>161171.42307692312</v>
      </c>
      <c r="G1611">
        <v>22871681924.280003</v>
      </c>
      <c r="H1611">
        <v>77530231.774626151</v>
      </c>
      <c r="I1611">
        <v>72.178000510275893</v>
      </c>
      <c r="J1611">
        <v>0</v>
      </c>
    </row>
    <row r="1612" spans="1:10" x14ac:dyDescent="0.25">
      <c r="A1612">
        <v>40</v>
      </c>
      <c r="B1612">
        <v>11</v>
      </c>
      <c r="C1612" t="s">
        <v>39</v>
      </c>
      <c r="D1612" t="s">
        <v>10</v>
      </c>
      <c r="E1612">
        <v>28926.538461538446</v>
      </c>
      <c r="F1612">
        <v>163935.5</v>
      </c>
      <c r="G1612">
        <v>4675171605.7799997</v>
      </c>
      <c r="H1612">
        <v>74394857.477691799</v>
      </c>
      <c r="I1612">
        <v>76.076261818459074</v>
      </c>
      <c r="J1612">
        <v>0</v>
      </c>
    </row>
    <row r="1613" spans="1:10" x14ac:dyDescent="0.25">
      <c r="A1613">
        <v>40</v>
      </c>
      <c r="B1613">
        <v>12</v>
      </c>
      <c r="C1613" t="s">
        <v>39</v>
      </c>
      <c r="D1613" t="s">
        <v>11</v>
      </c>
      <c r="E1613">
        <v>25895.153846153844</v>
      </c>
      <c r="F1613">
        <v>108661.57692307691</v>
      </c>
      <c r="G1613">
        <v>4525576473.8599997</v>
      </c>
      <c r="H1613">
        <v>85304617.797770664</v>
      </c>
      <c r="I1613">
        <v>19.845161799983579</v>
      </c>
      <c r="J1613">
        <v>0</v>
      </c>
    </row>
    <row r="1614" spans="1:10" x14ac:dyDescent="0.25">
      <c r="A1614">
        <v>40</v>
      </c>
      <c r="B1614">
        <v>13</v>
      </c>
      <c r="C1614" t="s">
        <v>39</v>
      </c>
      <c r="D1614" t="s">
        <v>12</v>
      </c>
      <c r="E1614">
        <v>10973.538461538465</v>
      </c>
      <c r="F1614">
        <v>90350.038461538497</v>
      </c>
      <c r="G1614">
        <v>3748695375.8000016</v>
      </c>
      <c r="H1614">
        <v>16299064.964632288</v>
      </c>
      <c r="I1614">
        <v>25.843188476562499</v>
      </c>
      <c r="J1614">
        <v>0</v>
      </c>
    </row>
    <row r="1615" spans="1:10" x14ac:dyDescent="0.25">
      <c r="A1615">
        <v>40</v>
      </c>
      <c r="B1615">
        <v>14</v>
      </c>
      <c r="C1615" t="s">
        <v>39</v>
      </c>
      <c r="D1615" t="s">
        <v>13</v>
      </c>
      <c r="E1615">
        <v>31598.538461538446</v>
      </c>
      <c r="F1615">
        <v>236814.26923076899</v>
      </c>
      <c r="G1615">
        <v>10410175296.539988</v>
      </c>
      <c r="H1615">
        <v>56421940.356632292</v>
      </c>
      <c r="I1615">
        <v>36.798977761941629</v>
      </c>
      <c r="J1615">
        <v>0</v>
      </c>
    </row>
    <row r="1616" spans="1:10" x14ac:dyDescent="0.25">
      <c r="A1616">
        <v>40</v>
      </c>
      <c r="B1616">
        <v>15</v>
      </c>
      <c r="C1616" t="s">
        <v>39</v>
      </c>
      <c r="D1616" t="s">
        <v>14</v>
      </c>
      <c r="E1616">
        <v>55397.923076923042</v>
      </c>
      <c r="F1616">
        <v>358989.96153846203</v>
      </c>
      <c r="G1616">
        <v>22210191974.840031</v>
      </c>
      <c r="H1616">
        <v>122311560.40166818</v>
      </c>
      <c r="I1616">
        <v>36.301199984163851</v>
      </c>
      <c r="J1616">
        <v>0</v>
      </c>
    </row>
    <row r="1617" spans="1:10" x14ac:dyDescent="0.25">
      <c r="A1617">
        <v>40</v>
      </c>
      <c r="B1617">
        <v>16</v>
      </c>
      <c r="C1617" t="s">
        <v>39</v>
      </c>
      <c r="D1617" t="s">
        <v>15</v>
      </c>
      <c r="E1617">
        <v>45090.384615384646</v>
      </c>
      <c r="F1617">
        <v>597203.19230769202</v>
      </c>
      <c r="G1617">
        <v>27632663372.459984</v>
      </c>
      <c r="H1617">
        <v>92894782.435133711</v>
      </c>
      <c r="I1617">
        <v>44.155990404466962</v>
      </c>
      <c r="J1617">
        <v>0</v>
      </c>
    </row>
    <row r="1618" spans="1:10" x14ac:dyDescent="0.25">
      <c r="A1618">
        <v>40</v>
      </c>
      <c r="B1618">
        <v>17</v>
      </c>
      <c r="C1618" t="s">
        <v>39</v>
      </c>
      <c r="D1618" t="s">
        <v>16</v>
      </c>
      <c r="E1618">
        <v>72149.461538461546</v>
      </c>
      <c r="F1618">
        <v>242087.038461538</v>
      </c>
      <c r="G1618">
        <v>7247214418.1999865</v>
      </c>
      <c r="H1618">
        <v>368123672.29806018</v>
      </c>
      <c r="I1618">
        <v>40.319780126806492</v>
      </c>
      <c r="J1618">
        <v>0</v>
      </c>
    </row>
    <row r="1619" spans="1:10" x14ac:dyDescent="0.25">
      <c r="A1619">
        <v>40</v>
      </c>
      <c r="B1619">
        <v>18</v>
      </c>
      <c r="C1619" t="s">
        <v>39</v>
      </c>
      <c r="D1619" t="s">
        <v>17</v>
      </c>
      <c r="E1619">
        <v>31415.923076923049</v>
      </c>
      <c r="F1619">
        <v>119257.8846153846</v>
      </c>
      <c r="G1619">
        <v>5580710873.0999994</v>
      </c>
      <c r="H1619">
        <v>86307775.343133733</v>
      </c>
      <c r="I1619">
        <v>20.050011107298705</v>
      </c>
      <c r="J1619">
        <v>0</v>
      </c>
    </row>
    <row r="1620" spans="1:10" x14ac:dyDescent="0.25">
      <c r="A1620">
        <v>40</v>
      </c>
      <c r="B1620">
        <v>19</v>
      </c>
      <c r="C1620" t="s">
        <v>39</v>
      </c>
      <c r="D1620" t="s">
        <v>18</v>
      </c>
      <c r="E1620">
        <v>8967.0769230769256</v>
      </c>
      <c r="F1620">
        <v>157976.8846153846</v>
      </c>
      <c r="G1620">
        <v>14453279897.16</v>
      </c>
      <c r="H1620">
        <v>8379010.8262384823</v>
      </c>
      <c r="I1620">
        <v>42.360891237917606</v>
      </c>
      <c r="J1620">
        <v>0</v>
      </c>
    </row>
    <row r="1621" spans="1:10" x14ac:dyDescent="0.25">
      <c r="A1621">
        <v>40</v>
      </c>
      <c r="B1621">
        <v>20</v>
      </c>
      <c r="C1621" t="s">
        <v>39</v>
      </c>
      <c r="D1621" t="s">
        <v>19</v>
      </c>
      <c r="E1621">
        <v>66138.846153846142</v>
      </c>
      <c r="F1621">
        <v>129792.1666666667</v>
      </c>
      <c r="G1621">
        <v>12338199113.933334</v>
      </c>
      <c r="H1621">
        <v>132545216.23486498</v>
      </c>
      <c r="I1621">
        <v>54.641939561631943</v>
      </c>
      <c r="J1621">
        <v>0</v>
      </c>
    </row>
    <row r="1622" spans="1:10" x14ac:dyDescent="0.25">
      <c r="A1622">
        <v>40</v>
      </c>
      <c r="B1622">
        <v>21</v>
      </c>
      <c r="C1622" t="s">
        <v>39</v>
      </c>
      <c r="D1622" t="s">
        <v>20</v>
      </c>
      <c r="E1622">
        <v>44983.461538461546</v>
      </c>
      <c r="F1622">
        <v>173943.83333333299</v>
      </c>
      <c r="G1622">
        <v>17741199505.986629</v>
      </c>
      <c r="H1622">
        <v>130355762.75217924</v>
      </c>
      <c r="I1622">
        <v>57.645562476539041</v>
      </c>
      <c r="J1622">
        <v>0</v>
      </c>
    </row>
    <row r="1623" spans="1:10" x14ac:dyDescent="0.25">
      <c r="A1623">
        <v>40</v>
      </c>
      <c r="B1623">
        <v>22</v>
      </c>
      <c r="C1623" t="s">
        <v>39</v>
      </c>
      <c r="D1623" t="s">
        <v>21</v>
      </c>
      <c r="E1623">
        <v>29423.307692307644</v>
      </c>
      <c r="F1623">
        <v>193070.83333333299</v>
      </c>
      <c r="G1623">
        <v>15524462735.166637</v>
      </c>
      <c r="H1623">
        <v>94373157.555959269</v>
      </c>
      <c r="I1623">
        <v>62.744329778997745</v>
      </c>
      <c r="J1623">
        <v>0</v>
      </c>
    </row>
    <row r="1624" spans="1:10" x14ac:dyDescent="0.25">
      <c r="A1624">
        <v>40</v>
      </c>
      <c r="B1624">
        <v>23</v>
      </c>
      <c r="C1624" t="s">
        <v>39</v>
      </c>
      <c r="D1624" t="s">
        <v>22</v>
      </c>
      <c r="E1624">
        <v>14101.846153846156</v>
      </c>
      <c r="F1624">
        <v>176807.16666666701</v>
      </c>
      <c r="G1624">
        <v>13947440414.786695</v>
      </c>
      <c r="H1624">
        <v>16246850.326944694</v>
      </c>
      <c r="I1624">
        <v>38.68888888888889</v>
      </c>
      <c r="J1624">
        <v>0</v>
      </c>
    </row>
    <row r="1625" spans="1:10" x14ac:dyDescent="0.25">
      <c r="A1625">
        <v>40</v>
      </c>
      <c r="B1625">
        <v>24</v>
      </c>
      <c r="C1625" t="s">
        <v>39</v>
      </c>
      <c r="D1625" t="s">
        <v>23</v>
      </c>
      <c r="E1625">
        <v>15264.230769230766</v>
      </c>
      <c r="F1625">
        <v>134279.16666666669</v>
      </c>
      <c r="G1625">
        <v>8159559501.1666679</v>
      </c>
      <c r="H1625">
        <v>45666942.366944693</v>
      </c>
      <c r="I1625">
        <v>48.228947599943695</v>
      </c>
      <c r="J1625">
        <v>0</v>
      </c>
    </row>
    <row r="1626" spans="1:10" x14ac:dyDescent="0.25">
      <c r="A1626">
        <v>40</v>
      </c>
      <c r="B1626">
        <v>25</v>
      </c>
      <c r="C1626" t="s">
        <v>39</v>
      </c>
      <c r="D1626" t="s">
        <v>24</v>
      </c>
      <c r="E1626">
        <v>12868.846153846156</v>
      </c>
      <c r="F1626">
        <v>127226.8333333333</v>
      </c>
      <c r="G1626">
        <v>8806814431.826664</v>
      </c>
      <c r="H1626">
        <v>21148976.226944696</v>
      </c>
      <c r="I1626">
        <v>47.517836488832579</v>
      </c>
      <c r="J1626">
        <v>0</v>
      </c>
    </row>
    <row r="1627" spans="1:10" x14ac:dyDescent="0.25">
      <c r="A1627">
        <v>40</v>
      </c>
      <c r="B1627">
        <v>26</v>
      </c>
      <c r="C1627" t="s">
        <v>39</v>
      </c>
      <c r="D1627" t="s">
        <v>25</v>
      </c>
      <c r="E1627">
        <v>11947.923076923074</v>
      </c>
      <c r="F1627">
        <v>113300.5</v>
      </c>
      <c r="G1627">
        <v>8777049833.5</v>
      </c>
      <c r="H1627">
        <v>25117103.041668184</v>
      </c>
      <c r="I1627">
        <v>46.17894759994369</v>
      </c>
      <c r="J1627">
        <v>0</v>
      </c>
    </row>
    <row r="1628" spans="1:10" x14ac:dyDescent="0.25">
      <c r="A1628">
        <v>40</v>
      </c>
      <c r="B1628">
        <v>27</v>
      </c>
      <c r="C1628" t="s">
        <v>39</v>
      </c>
      <c r="D1628" t="s">
        <v>26</v>
      </c>
      <c r="E1628">
        <v>67163.153846153844</v>
      </c>
      <c r="F1628">
        <v>483233.6</v>
      </c>
      <c r="G1628">
        <v>44084067603.264</v>
      </c>
      <c r="H1628">
        <v>24043886.846865002</v>
      </c>
      <c r="I1628">
        <v>46.85487929335585</v>
      </c>
      <c r="J1628">
        <v>0</v>
      </c>
    </row>
    <row r="1629" spans="1:10" x14ac:dyDescent="0.25">
      <c r="A1629">
        <v>40</v>
      </c>
      <c r="B1629">
        <v>28</v>
      </c>
      <c r="C1629" t="s">
        <v>39</v>
      </c>
      <c r="D1629" t="s">
        <v>27</v>
      </c>
      <c r="E1629">
        <v>44227.453846153847</v>
      </c>
      <c r="F1629">
        <v>183232.9</v>
      </c>
      <c r="G1629" t="s">
        <v>122</v>
      </c>
      <c r="H1629" t="s">
        <v>122</v>
      </c>
      <c r="I1629">
        <v>59.092229143205707</v>
      </c>
      <c r="J1629">
        <v>0</v>
      </c>
    </row>
    <row r="1630" spans="1:10" x14ac:dyDescent="0.25">
      <c r="A1630">
        <v>40</v>
      </c>
      <c r="B1630">
        <v>29</v>
      </c>
      <c r="C1630" t="s">
        <v>39</v>
      </c>
      <c r="D1630" t="s">
        <v>28</v>
      </c>
      <c r="E1630">
        <v>40274.653846153844</v>
      </c>
      <c r="F1630">
        <v>428011.9</v>
      </c>
      <c r="G1630">
        <v>36056612720.751999</v>
      </c>
      <c r="H1630">
        <v>15902965.763959303</v>
      </c>
      <c r="I1630">
        <v>59.414451365427929</v>
      </c>
      <c r="J1630">
        <v>0</v>
      </c>
    </row>
    <row r="1631" spans="1:10" x14ac:dyDescent="0.25">
      <c r="A1631">
        <v>40</v>
      </c>
      <c r="B1631">
        <v>30</v>
      </c>
      <c r="C1631" t="s">
        <v>39</v>
      </c>
      <c r="D1631" t="s">
        <v>29</v>
      </c>
      <c r="E1631">
        <v>15434.453846153847</v>
      </c>
      <c r="F1631">
        <v>296161.59999999998</v>
      </c>
      <c r="G1631">
        <v>18727506307.327999</v>
      </c>
      <c r="H1631">
        <v>18681014.966944698</v>
      </c>
      <c r="I1631">
        <v>38.044444444444444</v>
      </c>
      <c r="J1631">
        <v>0</v>
      </c>
    </row>
    <row r="1632" spans="1:10" x14ac:dyDescent="0.25">
      <c r="A1632">
        <v>40</v>
      </c>
      <c r="B1632">
        <v>31</v>
      </c>
      <c r="C1632" t="s">
        <v>39</v>
      </c>
      <c r="D1632" t="s">
        <v>30</v>
      </c>
      <c r="E1632">
        <v>10323.615384615387</v>
      </c>
      <c r="F1632">
        <v>90913.192307692298</v>
      </c>
      <c r="G1632">
        <v>11373480368.519999</v>
      </c>
      <c r="H1632">
        <v>300144320.52096623</v>
      </c>
      <c r="I1632">
        <v>79.474954397757131</v>
      </c>
      <c r="J1632">
        <v>0</v>
      </c>
    </row>
    <row r="1633" spans="1:10" x14ac:dyDescent="0.25">
      <c r="A1633">
        <v>40</v>
      </c>
      <c r="B1633">
        <v>32</v>
      </c>
      <c r="C1633" t="s">
        <v>39</v>
      </c>
      <c r="D1633" t="s">
        <v>31</v>
      </c>
      <c r="E1633">
        <v>8168.538461538461</v>
      </c>
      <c r="F1633">
        <v>116460</v>
      </c>
      <c r="G1633">
        <v>14367609640.800001</v>
      </c>
      <c r="H1633">
        <v>933721283.70745635</v>
      </c>
      <c r="I1633">
        <v>78.663338582723341</v>
      </c>
      <c r="J1633">
        <v>0</v>
      </c>
    </row>
    <row r="1634" spans="1:10" x14ac:dyDescent="0.25">
      <c r="A1634">
        <v>40</v>
      </c>
      <c r="B1634">
        <v>33</v>
      </c>
      <c r="C1634" t="s">
        <v>39</v>
      </c>
      <c r="D1634" t="s">
        <v>32</v>
      </c>
      <c r="E1634">
        <v>71845.923076923049</v>
      </c>
      <c r="F1634">
        <v>166170.22307692311</v>
      </c>
      <c r="G1634">
        <v>19714880602.044003</v>
      </c>
      <c r="H1634">
        <v>5960886.8034564601</v>
      </c>
      <c r="I1634">
        <v>77.355560804945569</v>
      </c>
      <c r="J1634">
        <v>0</v>
      </c>
    </row>
    <row r="1635" spans="1:10" x14ac:dyDescent="0.25">
      <c r="A1635">
        <v>40</v>
      </c>
      <c r="B1635">
        <v>34</v>
      </c>
      <c r="C1635" t="s">
        <v>39</v>
      </c>
      <c r="D1635" t="s">
        <v>33</v>
      </c>
      <c r="E1635">
        <v>304456.46153846185</v>
      </c>
      <c r="F1635">
        <v>333731.88888888899</v>
      </c>
      <c r="G1635">
        <v>38315330986.515564</v>
      </c>
      <c r="H1635">
        <v>9103681.3222549018</v>
      </c>
      <c r="I1635">
        <v>70.19041382202515</v>
      </c>
      <c r="J1635">
        <v>0</v>
      </c>
    </row>
    <row r="1636" spans="1:10" x14ac:dyDescent="0.25">
      <c r="A1636">
        <v>40</v>
      </c>
      <c r="B1636">
        <v>35</v>
      </c>
      <c r="C1636" t="s">
        <v>39</v>
      </c>
      <c r="D1636" t="s">
        <v>34</v>
      </c>
      <c r="E1636">
        <v>30774.769230769249</v>
      </c>
      <c r="F1636">
        <v>82142.038461538497</v>
      </c>
      <c r="G1636">
        <v>9482391492.2800026</v>
      </c>
      <c r="H1636">
        <v>201587233.46625489</v>
      </c>
      <c r="I1636">
        <v>71.114858266469597</v>
      </c>
      <c r="J1636">
        <v>0</v>
      </c>
    </row>
    <row r="1637" spans="1:10" x14ac:dyDescent="0.25">
      <c r="A1637">
        <v>40</v>
      </c>
      <c r="B1637">
        <v>36</v>
      </c>
      <c r="C1637" t="s">
        <v>39</v>
      </c>
      <c r="D1637" t="s">
        <v>35</v>
      </c>
      <c r="E1637">
        <v>11398.999999999996</v>
      </c>
      <c r="F1637">
        <v>157988.42307692312</v>
      </c>
      <c r="G1637">
        <v>17906117172.840004</v>
      </c>
      <c r="H1637">
        <v>3751250.1163286781</v>
      </c>
      <c r="I1637">
        <v>70.336889399164789</v>
      </c>
      <c r="J1637">
        <v>0</v>
      </c>
    </row>
    <row r="1638" spans="1:10" x14ac:dyDescent="0.25">
      <c r="A1638">
        <v>40</v>
      </c>
      <c r="B1638">
        <v>37</v>
      </c>
      <c r="C1638" t="s">
        <v>39</v>
      </c>
      <c r="D1638" t="s">
        <v>36</v>
      </c>
      <c r="E1638">
        <v>17818.000000000044</v>
      </c>
      <c r="F1638">
        <v>152803.92673992668</v>
      </c>
      <c r="G1638">
        <v>3266281728.5790467</v>
      </c>
      <c r="H1638">
        <v>57287286.054019339</v>
      </c>
      <c r="I1638">
        <v>12.988888888888889</v>
      </c>
      <c r="J1638">
        <v>0</v>
      </c>
    </row>
    <row r="1639" spans="1:10" x14ac:dyDescent="0.25">
      <c r="A1639">
        <v>40</v>
      </c>
      <c r="B1639">
        <v>38</v>
      </c>
      <c r="C1639" t="s">
        <v>39</v>
      </c>
      <c r="D1639" t="s">
        <v>37</v>
      </c>
      <c r="E1639">
        <v>7786.1538461538457</v>
      </c>
      <c r="F1639">
        <v>73780.884615384624</v>
      </c>
      <c r="G1639">
        <v>2076985024.1600001</v>
      </c>
      <c r="H1639">
        <v>121367671.15489705</v>
      </c>
      <c r="I1639">
        <v>0</v>
      </c>
      <c r="J1639">
        <v>0</v>
      </c>
    </row>
    <row r="1640" spans="1:10" x14ac:dyDescent="0.25">
      <c r="A1640">
        <v>40</v>
      </c>
      <c r="B1640">
        <v>39</v>
      </c>
      <c r="C1640" t="s">
        <v>39</v>
      </c>
      <c r="D1640" t="s">
        <v>38</v>
      </c>
      <c r="E1640">
        <v>10856.538461538465</v>
      </c>
      <c r="F1640">
        <v>157951.34249084251</v>
      </c>
      <c r="G1640">
        <v>2463794538.7628574</v>
      </c>
      <c r="H1640">
        <v>2899755.6540193469</v>
      </c>
      <c r="I1640">
        <v>12.711111111111112</v>
      </c>
      <c r="J1640">
        <v>0</v>
      </c>
    </row>
    <row r="1641" spans="1:10" x14ac:dyDescent="0.25">
      <c r="A1641">
        <v>40</v>
      </c>
      <c r="B1641">
        <v>40</v>
      </c>
      <c r="C1641" t="s">
        <v>39</v>
      </c>
      <c r="D1641" t="s">
        <v>39</v>
      </c>
      <c r="E1641">
        <v>0</v>
      </c>
      <c r="F1641">
        <v>0</v>
      </c>
      <c r="G1641">
        <v>0</v>
      </c>
      <c r="H1641">
        <v>0</v>
      </c>
      <c r="I1641">
        <v>15.021739655915681</v>
      </c>
      <c r="J1641">
        <v>0</v>
      </c>
    </row>
    <row r="1642" spans="1:10" x14ac:dyDescent="0.25">
      <c r="A1642">
        <v>40</v>
      </c>
      <c r="B1642">
        <v>41</v>
      </c>
      <c r="C1642" t="s">
        <v>39</v>
      </c>
      <c r="D1642" t="s">
        <v>40</v>
      </c>
      <c r="E1642">
        <v>29761.846153846149</v>
      </c>
      <c r="F1642">
        <v>87448.992673992703</v>
      </c>
      <c r="G1642">
        <v>868043187.00000024</v>
      </c>
      <c r="H1642">
        <v>157054822.08289707</v>
      </c>
      <c r="I1642">
        <v>0</v>
      </c>
      <c r="J1642">
        <v>0</v>
      </c>
    </row>
    <row r="1643" spans="1:10" x14ac:dyDescent="0.25">
      <c r="A1643">
        <v>41</v>
      </c>
      <c r="B1643">
        <v>1</v>
      </c>
      <c r="C1643" t="s">
        <v>40</v>
      </c>
      <c r="D1643" t="s">
        <v>0</v>
      </c>
      <c r="E1643">
        <v>104243.30219780217</v>
      </c>
      <c r="F1643">
        <v>71233.190476190532</v>
      </c>
      <c r="G1643">
        <v>7691839688.7923861</v>
      </c>
      <c r="H1643">
        <v>303593245.29889882</v>
      </c>
      <c r="I1643">
        <v>69.716889399164785</v>
      </c>
      <c r="J1643">
        <v>21.8</v>
      </c>
    </row>
    <row r="1644" spans="1:10" x14ac:dyDescent="0.25">
      <c r="A1644">
        <v>41</v>
      </c>
      <c r="B1644">
        <v>2</v>
      </c>
      <c r="C1644" t="s">
        <v>40</v>
      </c>
      <c r="D1644" t="s">
        <v>1</v>
      </c>
      <c r="E1644">
        <v>32982.302197802172</v>
      </c>
      <c r="F1644">
        <v>61621.575091575127</v>
      </c>
      <c r="G1644">
        <v>6479202977.8666687</v>
      </c>
      <c r="H1644">
        <v>180061776.73747021</v>
      </c>
      <c r="I1644">
        <v>70.094667176942565</v>
      </c>
      <c r="J1644">
        <v>20.16</v>
      </c>
    </row>
    <row r="1645" spans="1:10" x14ac:dyDescent="0.25">
      <c r="A1645">
        <v>41</v>
      </c>
      <c r="B1645">
        <v>3</v>
      </c>
      <c r="C1645" t="s">
        <v>40</v>
      </c>
      <c r="D1645" t="s">
        <v>2</v>
      </c>
      <c r="E1645">
        <v>28246.94505494507</v>
      </c>
      <c r="F1645">
        <v>64655.805860805827</v>
      </c>
      <c r="G1645">
        <v>6747301449.60952</v>
      </c>
      <c r="H1645">
        <v>222785856.81328213</v>
      </c>
      <c r="I1645">
        <v>64.050452561936936</v>
      </c>
      <c r="J1645">
        <v>0</v>
      </c>
    </row>
    <row r="1646" spans="1:10" x14ac:dyDescent="0.25">
      <c r="A1646">
        <v>41</v>
      </c>
      <c r="B1646">
        <v>4</v>
      </c>
      <c r="C1646" t="s">
        <v>40</v>
      </c>
      <c r="D1646" t="s">
        <v>3</v>
      </c>
      <c r="E1646">
        <v>42903.302197802172</v>
      </c>
      <c r="F1646">
        <v>53762.728937728927</v>
      </c>
      <c r="G1646">
        <v>7047751835.4285698</v>
      </c>
      <c r="H1646">
        <v>272934679.13503695</v>
      </c>
      <c r="I1646">
        <v>78.219398842201571</v>
      </c>
      <c r="J1646">
        <v>19.98</v>
      </c>
    </row>
    <row r="1647" spans="1:10" x14ac:dyDescent="0.25">
      <c r="A1647">
        <v>41</v>
      </c>
      <c r="B1647">
        <v>5</v>
      </c>
      <c r="C1647" t="s">
        <v>40</v>
      </c>
      <c r="D1647" t="s">
        <v>4</v>
      </c>
      <c r="E1647">
        <v>76639.873626373665</v>
      </c>
      <c r="F1647">
        <v>85562.80586080582</v>
      </c>
      <c r="G1647">
        <v>11791622471.436186</v>
      </c>
      <c r="H1647">
        <v>184300180.81314096</v>
      </c>
      <c r="I1647">
        <v>75.088484040681308</v>
      </c>
      <c r="J1647">
        <v>25</v>
      </c>
    </row>
    <row r="1648" spans="1:10" x14ac:dyDescent="0.25">
      <c r="A1648">
        <v>41</v>
      </c>
      <c r="B1648">
        <v>6</v>
      </c>
      <c r="C1648" t="s">
        <v>40</v>
      </c>
      <c r="D1648" t="s">
        <v>5</v>
      </c>
      <c r="E1648">
        <v>24968.016483516469</v>
      </c>
      <c r="F1648">
        <v>151352.11721611733</v>
      </c>
      <c r="G1648">
        <v>22654687609.142872</v>
      </c>
      <c r="H1648">
        <v>303756954.57599807</v>
      </c>
      <c r="I1648">
        <v>77.632928485125746</v>
      </c>
      <c r="J1648">
        <v>26</v>
      </c>
    </row>
    <row r="1649" spans="1:10" x14ac:dyDescent="0.25">
      <c r="A1649">
        <v>41</v>
      </c>
      <c r="B1649">
        <v>7</v>
      </c>
      <c r="C1649" t="s">
        <v>40</v>
      </c>
      <c r="D1649" t="s">
        <v>6</v>
      </c>
      <c r="E1649">
        <v>16718.01648351648</v>
      </c>
      <c r="F1649">
        <v>84898.421245421225</v>
      </c>
      <c r="G1649">
        <v>11606425813.156189</v>
      </c>
      <c r="H1649">
        <v>165067957.0417124</v>
      </c>
      <c r="I1649">
        <v>75.527372929570191</v>
      </c>
      <c r="J1649">
        <v>26</v>
      </c>
    </row>
    <row r="1650" spans="1:10" x14ac:dyDescent="0.25">
      <c r="A1650">
        <v>41</v>
      </c>
      <c r="B1650">
        <v>8</v>
      </c>
      <c r="C1650" t="s">
        <v>40</v>
      </c>
      <c r="D1650" t="s">
        <v>7</v>
      </c>
      <c r="E1650">
        <v>46365.087912087867</v>
      </c>
      <c r="F1650">
        <v>142496.19047619033</v>
      </c>
      <c r="G1650">
        <v>18649878610.133312</v>
      </c>
      <c r="H1650">
        <v>189998491.67846549</v>
      </c>
      <c r="I1650">
        <v>78.372732175534907</v>
      </c>
      <c r="J1650">
        <v>26</v>
      </c>
    </row>
    <row r="1651" spans="1:10" x14ac:dyDescent="0.25">
      <c r="A1651">
        <v>41</v>
      </c>
      <c r="B1651">
        <v>9</v>
      </c>
      <c r="C1651" t="s">
        <v>40</v>
      </c>
      <c r="D1651" t="s">
        <v>8</v>
      </c>
      <c r="E1651">
        <v>12360.685314685314</v>
      </c>
      <c r="F1651">
        <v>592828.96611721627</v>
      </c>
      <c r="G1651">
        <v>71268878640.790009</v>
      </c>
      <c r="H1651">
        <v>170932619.03747022</v>
      </c>
      <c r="I1651">
        <v>72.178000510275893</v>
      </c>
      <c r="J1651">
        <v>22.61</v>
      </c>
    </row>
    <row r="1652" spans="1:10" x14ac:dyDescent="0.25">
      <c r="A1652">
        <v>41</v>
      </c>
      <c r="B1652">
        <v>10</v>
      </c>
      <c r="C1652" t="s">
        <v>40</v>
      </c>
      <c r="D1652" t="s">
        <v>9</v>
      </c>
      <c r="E1652">
        <v>32843.44505494507</v>
      </c>
      <c r="F1652">
        <v>117205.26739926744</v>
      </c>
      <c r="G1652">
        <v>16521685807.984764</v>
      </c>
      <c r="H1652">
        <v>231635957.87314096</v>
      </c>
      <c r="I1652">
        <v>76.076261818459074</v>
      </c>
      <c r="J1652">
        <v>27</v>
      </c>
    </row>
    <row r="1653" spans="1:10" x14ac:dyDescent="0.25">
      <c r="A1653">
        <v>41</v>
      </c>
      <c r="B1653">
        <v>11</v>
      </c>
      <c r="C1653" t="s">
        <v>40</v>
      </c>
      <c r="D1653" t="s">
        <v>10</v>
      </c>
      <c r="E1653">
        <v>33010.615384615368</v>
      </c>
      <c r="F1653">
        <v>119969.34432234432</v>
      </c>
      <c r="G1653">
        <v>4379049024.8476181</v>
      </c>
      <c r="H1653">
        <v>228538763.80123913</v>
      </c>
      <c r="I1653">
        <v>19.845161799983579</v>
      </c>
      <c r="J1653">
        <v>6.71</v>
      </c>
    </row>
    <row r="1654" spans="1:10" x14ac:dyDescent="0.25">
      <c r="A1654">
        <v>41</v>
      </c>
      <c r="B1654">
        <v>12</v>
      </c>
      <c r="C1654" t="s">
        <v>40</v>
      </c>
      <c r="D1654" t="s">
        <v>11</v>
      </c>
      <c r="E1654">
        <v>29979.23076923077</v>
      </c>
      <c r="F1654">
        <v>64695.421245421225</v>
      </c>
      <c r="G1654">
        <v>2585728481.6190467</v>
      </c>
      <c r="H1654">
        <v>239457518.01452202</v>
      </c>
      <c r="I1654">
        <v>25.843188476562499</v>
      </c>
      <c r="J1654">
        <v>7.63</v>
      </c>
    </row>
    <row r="1655" spans="1:10" x14ac:dyDescent="0.25">
      <c r="A1655">
        <v>41</v>
      </c>
      <c r="B1655">
        <v>13</v>
      </c>
      <c r="C1655" t="s">
        <v>40</v>
      </c>
      <c r="D1655" t="s">
        <v>12</v>
      </c>
      <c r="E1655">
        <v>15057.61538461539</v>
      </c>
      <c r="F1655">
        <v>46383.882783882829</v>
      </c>
      <c r="G1655">
        <v>1880654936.380954</v>
      </c>
      <c r="H1655">
        <v>170426340.23474503</v>
      </c>
      <c r="I1655">
        <v>36.798977761941629</v>
      </c>
      <c r="J1655">
        <v>7.85</v>
      </c>
    </row>
    <row r="1656" spans="1:10" x14ac:dyDescent="0.25">
      <c r="A1656">
        <v>41</v>
      </c>
      <c r="B1656">
        <v>14</v>
      </c>
      <c r="C1656" t="s">
        <v>40</v>
      </c>
      <c r="D1656" t="s">
        <v>13</v>
      </c>
      <c r="E1656">
        <v>35682.615384615368</v>
      </c>
      <c r="F1656">
        <v>192848.1135531133</v>
      </c>
      <c r="G1656">
        <v>8295145614.5999889</v>
      </c>
      <c r="H1656">
        <v>210549215.62674502</v>
      </c>
      <c r="I1656">
        <v>36.301199984163851</v>
      </c>
      <c r="J1656">
        <v>8.3000000000000007</v>
      </c>
    </row>
    <row r="1657" spans="1:10" x14ac:dyDescent="0.25">
      <c r="A1657">
        <v>41</v>
      </c>
      <c r="B1657">
        <v>15</v>
      </c>
      <c r="C1657" t="s">
        <v>40</v>
      </c>
      <c r="D1657" t="s">
        <v>14</v>
      </c>
      <c r="E1657">
        <v>59481.999999999971</v>
      </c>
      <c r="F1657">
        <v>315023.80586080637</v>
      </c>
      <c r="G1657">
        <v>18365005815.028599</v>
      </c>
      <c r="H1657">
        <v>276422771.41268545</v>
      </c>
      <c r="I1657">
        <v>44.155990404466962</v>
      </c>
      <c r="J1657">
        <v>10.96</v>
      </c>
    </row>
    <row r="1658" spans="1:10" x14ac:dyDescent="0.25">
      <c r="A1658">
        <v>41</v>
      </c>
      <c r="B1658">
        <v>16</v>
      </c>
      <c r="C1658" t="s">
        <v>40</v>
      </c>
      <c r="D1658" t="s">
        <v>15</v>
      </c>
      <c r="E1658">
        <v>49174.461538461575</v>
      </c>
      <c r="F1658">
        <v>553237.03663003631</v>
      </c>
      <c r="G1658">
        <v>23622535450.177132</v>
      </c>
      <c r="H1658">
        <v>247001524.45849714</v>
      </c>
      <c r="I1658">
        <v>40.319780126806492</v>
      </c>
      <c r="J1658">
        <v>8.6300000000000008</v>
      </c>
    </row>
    <row r="1659" spans="1:10" x14ac:dyDescent="0.25">
      <c r="A1659">
        <v>41</v>
      </c>
      <c r="B1659">
        <v>17</v>
      </c>
      <c r="C1659" t="s">
        <v>40</v>
      </c>
      <c r="D1659" t="s">
        <v>16</v>
      </c>
      <c r="E1659">
        <v>76233.538461538468</v>
      </c>
      <c r="F1659">
        <v>198120.88278388232</v>
      </c>
      <c r="G1659">
        <v>3756316463.7352295</v>
      </c>
      <c r="H1659">
        <v>522230331.85764313</v>
      </c>
      <c r="I1659">
        <v>20.050011107298705</v>
      </c>
      <c r="J1659">
        <v>4.38</v>
      </c>
    </row>
    <row r="1660" spans="1:10" x14ac:dyDescent="0.25">
      <c r="A1660">
        <v>41</v>
      </c>
      <c r="B1660">
        <v>18</v>
      </c>
      <c r="C1660" t="s">
        <v>40</v>
      </c>
      <c r="D1660" t="s">
        <v>17</v>
      </c>
      <c r="E1660">
        <v>35499.999999999971</v>
      </c>
      <c r="F1660">
        <v>75291.728937728927</v>
      </c>
      <c r="G1660">
        <v>3009238740.4990468</v>
      </c>
      <c r="H1660">
        <v>240414517.36649716</v>
      </c>
      <c r="I1660">
        <v>42.360891237917606</v>
      </c>
      <c r="J1660">
        <v>8.16</v>
      </c>
    </row>
    <row r="1661" spans="1:10" x14ac:dyDescent="0.25">
      <c r="A1661">
        <v>41</v>
      </c>
      <c r="B1661">
        <v>19</v>
      </c>
      <c r="C1661" t="s">
        <v>40</v>
      </c>
      <c r="D1661" t="s">
        <v>18</v>
      </c>
      <c r="E1661">
        <v>13051.153846153849</v>
      </c>
      <c r="F1661">
        <v>114010.72893772891</v>
      </c>
      <c r="G1661">
        <v>10329030009.571424</v>
      </c>
      <c r="H1661">
        <v>162542581.44364923</v>
      </c>
      <c r="I1661">
        <v>54.641939561631943</v>
      </c>
      <c r="J1661">
        <v>17.86</v>
      </c>
    </row>
    <row r="1662" spans="1:10" x14ac:dyDescent="0.25">
      <c r="A1662">
        <v>41</v>
      </c>
      <c r="B1662">
        <v>20</v>
      </c>
      <c r="C1662" t="s">
        <v>40</v>
      </c>
      <c r="D1662" t="s">
        <v>19</v>
      </c>
      <c r="E1662">
        <v>70222.923076923063</v>
      </c>
      <c r="F1662">
        <v>85826.010989011033</v>
      </c>
      <c r="G1662">
        <v>8082094700.177146</v>
      </c>
      <c r="H1662">
        <v>286624242.32876629</v>
      </c>
      <c r="I1662">
        <v>57.645562476539041</v>
      </c>
      <c r="J1662">
        <v>18.11</v>
      </c>
    </row>
    <row r="1663" spans="1:10" x14ac:dyDescent="0.25">
      <c r="A1663">
        <v>41</v>
      </c>
      <c r="B1663">
        <v>21</v>
      </c>
      <c r="C1663" t="s">
        <v>40</v>
      </c>
      <c r="D1663" t="s">
        <v>20</v>
      </c>
      <c r="E1663">
        <v>49067.538461538468</v>
      </c>
      <c r="F1663">
        <v>129977.67765567731</v>
      </c>
      <c r="G1663">
        <v>13140873188.666632</v>
      </c>
      <c r="H1663">
        <v>284546268.71059674</v>
      </c>
      <c r="I1663">
        <v>62.744329778997745</v>
      </c>
      <c r="J1663">
        <v>19.88</v>
      </c>
    </row>
    <row r="1664" spans="1:10" x14ac:dyDescent="0.25">
      <c r="A1664">
        <v>41</v>
      </c>
      <c r="B1664">
        <v>22</v>
      </c>
      <c r="C1664" t="s">
        <v>40</v>
      </c>
      <c r="D1664" t="s">
        <v>21</v>
      </c>
      <c r="E1664">
        <v>33507.384615384566</v>
      </c>
      <c r="F1664">
        <v>149104.67765567731</v>
      </c>
      <c r="G1664">
        <v>11856100193.100924</v>
      </c>
      <c r="H1664">
        <v>247477225.15169185</v>
      </c>
      <c r="I1664">
        <v>38.68888888888889</v>
      </c>
      <c r="J1664">
        <v>15.95</v>
      </c>
    </row>
    <row r="1665" spans="1:10" x14ac:dyDescent="0.25">
      <c r="A1665">
        <v>41</v>
      </c>
      <c r="B1665">
        <v>23</v>
      </c>
      <c r="C1665" t="s">
        <v>40</v>
      </c>
      <c r="D1665" t="s">
        <v>22</v>
      </c>
      <c r="E1665">
        <v>18185.923076923078</v>
      </c>
      <c r="F1665">
        <v>132841.01098901132</v>
      </c>
      <c r="G1665">
        <v>10360562697.257168</v>
      </c>
      <c r="H1665">
        <v>170378645.86600778</v>
      </c>
      <c r="I1665">
        <v>48.228947599943695</v>
      </c>
      <c r="J1665">
        <v>15.08</v>
      </c>
    </row>
    <row r="1666" spans="1:10" x14ac:dyDescent="0.25">
      <c r="A1666">
        <v>41</v>
      </c>
      <c r="B1666">
        <v>24</v>
      </c>
      <c r="C1666" t="s">
        <v>40</v>
      </c>
      <c r="D1666" t="s">
        <v>23</v>
      </c>
      <c r="E1666">
        <v>19348.307692307688</v>
      </c>
      <c r="F1666">
        <v>90313.010989011033</v>
      </c>
      <c r="G1666">
        <v>5407292844.3428593</v>
      </c>
      <c r="H1666">
        <v>199798737.90600777</v>
      </c>
      <c r="I1666">
        <v>47.517836488832579</v>
      </c>
      <c r="J1666">
        <v>11.68</v>
      </c>
    </row>
    <row r="1667" spans="1:10" x14ac:dyDescent="0.25">
      <c r="A1667">
        <v>41</v>
      </c>
      <c r="B1667">
        <v>25</v>
      </c>
      <c r="C1667" t="s">
        <v>40</v>
      </c>
      <c r="D1667" t="s">
        <v>24</v>
      </c>
      <c r="E1667">
        <v>16952.923076923078</v>
      </c>
      <c r="F1667">
        <v>83260.677655677631</v>
      </c>
      <c r="G1667">
        <v>5689078878.4095221</v>
      </c>
      <c r="H1667">
        <v>175280771.76600778</v>
      </c>
      <c r="I1667">
        <v>46.17894759994369</v>
      </c>
      <c r="J1667">
        <v>13</v>
      </c>
    </row>
    <row r="1668" spans="1:10" x14ac:dyDescent="0.25">
      <c r="A1668">
        <v>41</v>
      </c>
      <c r="B1668">
        <v>26</v>
      </c>
      <c r="C1668" t="s">
        <v>40</v>
      </c>
      <c r="D1668" t="s">
        <v>25</v>
      </c>
      <c r="E1668">
        <v>16032</v>
      </c>
      <c r="F1668">
        <v>69334.344322344317</v>
      </c>
      <c r="G1668">
        <v>5309219175.634285</v>
      </c>
      <c r="H1668">
        <v>179228314.05268547</v>
      </c>
      <c r="I1668">
        <v>46.85487929335585</v>
      </c>
      <c r="J1668">
        <v>14.31</v>
      </c>
    </row>
    <row r="1669" spans="1:10" x14ac:dyDescent="0.25">
      <c r="A1669">
        <v>41</v>
      </c>
      <c r="B1669">
        <v>27</v>
      </c>
      <c r="C1669" t="s">
        <v>40</v>
      </c>
      <c r="D1669" t="s">
        <v>26</v>
      </c>
      <c r="E1669">
        <v>71247.230769230766</v>
      </c>
      <c r="F1669">
        <v>439267.44432234432</v>
      </c>
      <c r="G1669">
        <v>39680961022.39238</v>
      </c>
      <c r="H1669">
        <v>178122912.94076633</v>
      </c>
      <c r="I1669">
        <v>59.092229143205707</v>
      </c>
      <c r="J1669">
        <v>17.2</v>
      </c>
    </row>
    <row r="1670" spans="1:10" x14ac:dyDescent="0.25">
      <c r="A1670">
        <v>41</v>
      </c>
      <c r="B1670">
        <v>28</v>
      </c>
      <c r="C1670" t="s">
        <v>40</v>
      </c>
      <c r="D1670" t="s">
        <v>27</v>
      </c>
      <c r="E1670">
        <v>48311.530769230769</v>
      </c>
      <c r="F1670">
        <v>139266.74432234431</v>
      </c>
      <c r="G1670" t="s">
        <v>122</v>
      </c>
      <c r="H1670" t="s">
        <v>122</v>
      </c>
      <c r="I1670" t="s">
        <v>122</v>
      </c>
      <c r="J1670" t="s">
        <v>122</v>
      </c>
    </row>
    <row r="1671" spans="1:10" x14ac:dyDescent="0.25">
      <c r="A1671">
        <v>41</v>
      </c>
      <c r="B1671">
        <v>29</v>
      </c>
      <c r="C1671" t="s">
        <v>40</v>
      </c>
      <c r="D1671" t="s">
        <v>28</v>
      </c>
      <c r="E1671">
        <v>44358.730769230766</v>
      </c>
      <c r="F1671">
        <v>384045.74432234437</v>
      </c>
      <c r="G1671">
        <v>31989750832.009911</v>
      </c>
      <c r="H1671">
        <v>169007033.35969189</v>
      </c>
      <c r="I1671">
        <v>59.414451365427929</v>
      </c>
      <c r="J1671">
        <v>15.5</v>
      </c>
    </row>
    <row r="1672" spans="1:10" x14ac:dyDescent="0.25">
      <c r="A1672">
        <v>41</v>
      </c>
      <c r="B1672">
        <v>30</v>
      </c>
      <c r="C1672" t="s">
        <v>40</v>
      </c>
      <c r="D1672" t="s">
        <v>29</v>
      </c>
      <c r="E1672">
        <v>19518.530769230769</v>
      </c>
      <c r="F1672">
        <v>252195.44432234432</v>
      </c>
      <c r="G1672">
        <v>15722176721.405905</v>
      </c>
      <c r="H1672">
        <v>172812810.50600779</v>
      </c>
      <c r="I1672">
        <v>38.044444444444444</v>
      </c>
      <c r="J1672">
        <v>12</v>
      </c>
    </row>
    <row r="1673" spans="1:10" x14ac:dyDescent="0.25">
      <c r="A1673">
        <v>41</v>
      </c>
      <c r="B1673">
        <v>31</v>
      </c>
      <c r="C1673" t="s">
        <v>40</v>
      </c>
      <c r="D1673" t="s">
        <v>30</v>
      </c>
      <c r="E1673">
        <v>14407.692307692309</v>
      </c>
      <c r="F1673">
        <v>46947.03663003663</v>
      </c>
      <c r="G1673">
        <v>5831282030.409524</v>
      </c>
      <c r="H1673">
        <v>454638622.36360824</v>
      </c>
      <c r="I1673">
        <v>79.474954397757131</v>
      </c>
      <c r="J1673">
        <v>25</v>
      </c>
    </row>
    <row r="1674" spans="1:10" x14ac:dyDescent="0.25">
      <c r="A1674">
        <v>41</v>
      </c>
      <c r="B1674">
        <v>32</v>
      </c>
      <c r="C1674" t="s">
        <v>40</v>
      </c>
      <c r="D1674" t="s">
        <v>31</v>
      </c>
      <c r="E1674">
        <v>12252.615384615385</v>
      </c>
      <c r="F1674">
        <v>72493.844322344317</v>
      </c>
      <c r="G1674">
        <v>8874995096.5799999</v>
      </c>
      <c r="H1674">
        <v>1087917075.5541546</v>
      </c>
      <c r="I1674">
        <v>78.663338582723341</v>
      </c>
      <c r="J1674">
        <v>22.88</v>
      </c>
    </row>
    <row r="1675" spans="1:10" x14ac:dyDescent="0.25">
      <c r="A1675">
        <v>41</v>
      </c>
      <c r="B1675">
        <v>33</v>
      </c>
      <c r="C1675" t="s">
        <v>40</v>
      </c>
      <c r="D1675" t="s">
        <v>32</v>
      </c>
      <c r="E1675">
        <v>75929.999999999971</v>
      </c>
      <c r="F1675">
        <v>122204.06739926743</v>
      </c>
      <c r="G1675">
        <v>14389509383.612953</v>
      </c>
      <c r="H1675">
        <v>160156678.65015471</v>
      </c>
      <c r="I1675">
        <v>77.355560804945569</v>
      </c>
      <c r="J1675">
        <v>23.23</v>
      </c>
    </row>
    <row r="1676" spans="1:10" x14ac:dyDescent="0.25">
      <c r="A1676">
        <v>41</v>
      </c>
      <c r="B1676">
        <v>34</v>
      </c>
      <c r="C1676" t="s">
        <v>40</v>
      </c>
      <c r="D1676" t="s">
        <v>33</v>
      </c>
      <c r="E1676">
        <v>308540.53846153873</v>
      </c>
      <c r="F1676">
        <v>289765.73321123334</v>
      </c>
      <c r="G1676">
        <v>33008918492.602871</v>
      </c>
      <c r="H1676">
        <v>163284545.52410132</v>
      </c>
      <c r="I1676">
        <v>70.19041382202515</v>
      </c>
      <c r="J1676">
        <v>22.35</v>
      </c>
    </row>
    <row r="1677" spans="1:10" x14ac:dyDescent="0.25">
      <c r="A1677">
        <v>41</v>
      </c>
      <c r="B1677">
        <v>35</v>
      </c>
      <c r="C1677" t="s">
        <v>40</v>
      </c>
      <c r="D1677" t="s">
        <v>34</v>
      </c>
      <c r="E1677">
        <v>34858.846153846171</v>
      </c>
      <c r="F1677">
        <v>38175.882783882822</v>
      </c>
      <c r="G1677">
        <v>4372899250.4685755</v>
      </c>
      <c r="H1677">
        <v>355768097.66810131</v>
      </c>
      <c r="I1677">
        <v>71.114858266469597</v>
      </c>
      <c r="J1677">
        <v>22.5</v>
      </c>
    </row>
    <row r="1678" spans="1:10" x14ac:dyDescent="0.25">
      <c r="A1678">
        <v>41</v>
      </c>
      <c r="B1678">
        <v>36</v>
      </c>
      <c r="C1678" t="s">
        <v>40</v>
      </c>
      <c r="D1678" t="s">
        <v>35</v>
      </c>
      <c r="E1678">
        <v>15483.07692307692</v>
      </c>
      <c r="F1678">
        <v>114022.26739926744</v>
      </c>
      <c r="G1678">
        <v>12821270344.836193</v>
      </c>
      <c r="H1678">
        <v>157863946.64147022</v>
      </c>
      <c r="I1678">
        <v>70.336889399164789</v>
      </c>
      <c r="J1678">
        <v>21.92</v>
      </c>
    </row>
    <row r="1679" spans="1:10" x14ac:dyDescent="0.25">
      <c r="A1679">
        <v>41</v>
      </c>
      <c r="B1679">
        <v>37</v>
      </c>
      <c r="C1679" t="s">
        <v>40</v>
      </c>
      <c r="D1679" t="s">
        <v>36</v>
      </c>
      <c r="E1679">
        <v>21902.076923076969</v>
      </c>
      <c r="F1679">
        <v>108837.77106227103</v>
      </c>
      <c r="G1679">
        <v>2829499069.4142842</v>
      </c>
      <c r="H1679">
        <v>211424415.83732367</v>
      </c>
      <c r="I1679">
        <v>12.988888888888889</v>
      </c>
      <c r="J1679">
        <v>5.45</v>
      </c>
    </row>
    <row r="1680" spans="1:10" x14ac:dyDescent="0.25">
      <c r="A1680">
        <v>41</v>
      </c>
      <c r="B1680">
        <v>38</v>
      </c>
      <c r="C1680" t="s">
        <v>40</v>
      </c>
      <c r="D1680" t="s">
        <v>37</v>
      </c>
      <c r="E1680">
        <v>11870.23076923077</v>
      </c>
      <c r="F1680">
        <v>29814.728937728945</v>
      </c>
      <c r="G1680">
        <v>264631956.2838096</v>
      </c>
      <c r="H1680">
        <v>0</v>
      </c>
      <c r="I1680">
        <v>0</v>
      </c>
      <c r="J1680">
        <v>1.85</v>
      </c>
    </row>
    <row r="1681" spans="1:10" x14ac:dyDescent="0.25">
      <c r="A1681">
        <v>41</v>
      </c>
      <c r="B1681">
        <v>39</v>
      </c>
      <c r="C1681" t="s">
        <v>40</v>
      </c>
      <c r="D1681" t="s">
        <v>38</v>
      </c>
      <c r="E1681">
        <v>14940.61538461539</v>
      </c>
      <c r="F1681">
        <v>113985.18681318683</v>
      </c>
      <c r="G1681">
        <v>2687939403.1314287</v>
      </c>
      <c r="H1681">
        <v>157036885.43732369</v>
      </c>
      <c r="I1681">
        <v>12.711111111111112</v>
      </c>
      <c r="J1681">
        <v>4.26</v>
      </c>
    </row>
    <row r="1682" spans="1:10" x14ac:dyDescent="0.25">
      <c r="A1682">
        <v>41</v>
      </c>
      <c r="B1682">
        <v>40</v>
      </c>
      <c r="C1682" t="s">
        <v>40</v>
      </c>
      <c r="D1682" t="s">
        <v>39</v>
      </c>
      <c r="E1682">
        <v>21487</v>
      </c>
      <c r="F1682">
        <v>95304.487179487216</v>
      </c>
      <c r="G1682">
        <v>946019025.00000024</v>
      </c>
      <c r="H1682">
        <v>157054822.08289707</v>
      </c>
      <c r="I1682">
        <v>15.021739655915681</v>
      </c>
      <c r="J1682">
        <v>2.11</v>
      </c>
    </row>
    <row r="1683" spans="1:10" x14ac:dyDescent="0.25">
      <c r="A1683">
        <v>41</v>
      </c>
      <c r="B1683">
        <v>41</v>
      </c>
      <c r="C1683" t="s">
        <v>40</v>
      </c>
      <c r="D1683" t="s">
        <v>40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</row>
  </sheetData>
  <autoFilter ref="A2:J1683" xr:uid="{6C3679CF-34E0-416C-A41E-4D9013CAB2BA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5DCC40-4C26-40E0-AE86-C982A66B8D9B}">
  <sheetPr filterMode="1"/>
  <dimension ref="A2:AP1644"/>
  <sheetViews>
    <sheetView topLeftCell="A89" zoomScale="80" zoomScaleNormal="80" workbookViewId="0">
      <selection activeCell="I90" sqref="I90"/>
    </sheetView>
  </sheetViews>
  <sheetFormatPr baseColWidth="10" defaultRowHeight="15" x14ac:dyDescent="0.25"/>
  <cols>
    <col min="8" max="8" width="14.7109375" customWidth="1"/>
  </cols>
  <sheetData>
    <row r="2" spans="1:42" x14ac:dyDescent="0.25">
      <c r="C2" t="s">
        <v>0</v>
      </c>
      <c r="D2" t="s">
        <v>1</v>
      </c>
      <c r="E2" t="s">
        <v>2</v>
      </c>
      <c r="F2" t="s">
        <v>3</v>
      </c>
      <c r="G2" t="s">
        <v>4</v>
      </c>
      <c r="H2" t="s">
        <v>5</v>
      </c>
      <c r="I2" t="s">
        <v>6</v>
      </c>
      <c r="J2" t="s">
        <v>7</v>
      </c>
      <c r="K2" t="s">
        <v>152</v>
      </c>
      <c r="L2" t="s">
        <v>9</v>
      </c>
      <c r="M2" t="s">
        <v>10</v>
      </c>
      <c r="N2" t="s">
        <v>11</v>
      </c>
      <c r="O2" t="s">
        <v>12</v>
      </c>
      <c r="P2" t="s">
        <v>13</v>
      </c>
      <c r="Q2" t="s">
        <v>14</v>
      </c>
      <c r="R2" t="s">
        <v>15</v>
      </c>
      <c r="S2" t="s">
        <v>16</v>
      </c>
      <c r="T2" t="s">
        <v>17</v>
      </c>
      <c r="U2" t="s">
        <v>145</v>
      </c>
      <c r="V2" t="s">
        <v>146</v>
      </c>
      <c r="W2" t="s">
        <v>18</v>
      </c>
      <c r="X2" t="s">
        <v>19</v>
      </c>
      <c r="Y2" t="s">
        <v>20</v>
      </c>
      <c r="Z2" t="s">
        <v>21</v>
      </c>
      <c r="AA2" t="s">
        <v>22</v>
      </c>
      <c r="AB2" t="s">
        <v>23</v>
      </c>
      <c r="AC2" t="s">
        <v>24</v>
      </c>
      <c r="AD2" t="s">
        <v>25</v>
      </c>
      <c r="AE2" t="s">
        <v>147</v>
      </c>
      <c r="AF2" t="s">
        <v>30</v>
      </c>
      <c r="AG2" t="s">
        <v>31</v>
      </c>
      <c r="AH2" t="s">
        <v>32</v>
      </c>
      <c r="AI2" t="s">
        <v>33</v>
      </c>
      <c r="AJ2" t="s">
        <v>34</v>
      </c>
      <c r="AK2" t="s">
        <v>35</v>
      </c>
      <c r="AL2" t="s">
        <v>36</v>
      </c>
      <c r="AM2" t="s">
        <v>37</v>
      </c>
      <c r="AN2" t="s">
        <v>38</v>
      </c>
      <c r="AO2" t="s">
        <v>39</v>
      </c>
      <c r="AP2" t="s">
        <v>40</v>
      </c>
    </row>
    <row r="3" spans="1:42" x14ac:dyDescent="0.25">
      <c r="A3">
        <v>1</v>
      </c>
      <c r="B3" t="s">
        <v>0</v>
      </c>
      <c r="C3">
        <v>0</v>
      </c>
      <c r="D3">
        <v>320399050.80114281</v>
      </c>
      <c r="E3">
        <v>600598972.48000014</v>
      </c>
      <c r="F3">
        <v>2704319031.9599996</v>
      </c>
      <c r="G3">
        <v>4363056263.7257147</v>
      </c>
      <c r="H3">
        <v>4027658441.7828565</v>
      </c>
      <c r="I3">
        <v>2682943204.3885713</v>
      </c>
      <c r="J3">
        <v>1685852868.8485708</v>
      </c>
      <c r="K3">
        <v>1150148693.8955846</v>
      </c>
      <c r="L3">
        <v>3530456373.6000009</v>
      </c>
      <c r="M3">
        <v>10456420588.431427</v>
      </c>
      <c r="N3">
        <v>8387437585.0571432</v>
      </c>
      <c r="O3">
        <v>6514353187.8428583</v>
      </c>
      <c r="P3">
        <v>7225783362.6742849</v>
      </c>
      <c r="Q3">
        <v>10042238776.988569</v>
      </c>
      <c r="R3">
        <v>11275498965.04286</v>
      </c>
      <c r="S3">
        <v>16104451531.448574</v>
      </c>
      <c r="T3">
        <v>11199671479.285711</v>
      </c>
      <c r="U3">
        <v>2510424329.2857146</v>
      </c>
      <c r="V3">
        <v>2988992330.6142855</v>
      </c>
      <c r="W3">
        <v>1039414131.0200003</v>
      </c>
      <c r="X3">
        <v>3355067621.2999988</v>
      </c>
      <c r="Y3">
        <v>2847276625.3914289</v>
      </c>
      <c r="Z3">
        <v>4630797134.2914286</v>
      </c>
      <c r="AA3">
        <v>3844079005.8914294</v>
      </c>
      <c r="AB3">
        <v>5008940588.0257139</v>
      </c>
      <c r="AC3">
        <v>2591094382.6857142</v>
      </c>
      <c r="AD3">
        <v>460689109.88137144</v>
      </c>
      <c r="AE3">
        <v>757459180.99428582</v>
      </c>
      <c r="AF3">
        <v>1530071246.3177145</v>
      </c>
      <c r="AG3">
        <v>1297982916.0000002</v>
      </c>
      <c r="AH3">
        <v>850224102.70857143</v>
      </c>
      <c r="AI3">
        <v>912549365.08571422</v>
      </c>
      <c r="AJ3">
        <v>2510438793.9285736</v>
      </c>
      <c r="AK3">
        <v>487612468.22000009</v>
      </c>
      <c r="AL3">
        <v>8328535136.7857151</v>
      </c>
      <c r="AM3">
        <v>11381211649.282864</v>
      </c>
      <c r="AN3">
        <v>8392447115.2228565</v>
      </c>
      <c r="AO3">
        <v>9667730677.4314289</v>
      </c>
      <c r="AP3">
        <v>10295334699.497143</v>
      </c>
    </row>
    <row r="4" spans="1:42" x14ac:dyDescent="0.25">
      <c r="A4">
        <v>2</v>
      </c>
      <c r="B4" t="s">
        <v>1</v>
      </c>
      <c r="C4">
        <v>296590633.00657147</v>
      </c>
      <c r="D4">
        <v>0</v>
      </c>
      <c r="E4">
        <v>70249539.538285762</v>
      </c>
      <c r="F4">
        <v>984354820.76285636</v>
      </c>
      <c r="G4">
        <v>2280400306.8600011</v>
      </c>
      <c r="H4">
        <v>858567890.17999935</v>
      </c>
      <c r="I4">
        <v>367403303.61428559</v>
      </c>
      <c r="J4">
        <v>1055689289.1999991</v>
      </c>
      <c r="K4">
        <v>114621137.65818182</v>
      </c>
      <c r="L4">
        <v>992241831.69428623</v>
      </c>
      <c r="M4">
        <v>2628641691.3599982</v>
      </c>
      <c r="N4">
        <v>1920121956.48</v>
      </c>
      <c r="O4">
        <v>684687702.16000032</v>
      </c>
      <c r="P4">
        <v>1915296224.9599986</v>
      </c>
      <c r="Q4">
        <v>3628137772.159997</v>
      </c>
      <c r="R4">
        <v>3823648974.6400032</v>
      </c>
      <c r="S4">
        <v>7409086330.4000006</v>
      </c>
      <c r="T4">
        <v>3002948353.9199972</v>
      </c>
      <c r="U4">
        <v>200790779.52000004</v>
      </c>
      <c r="V4">
        <v>1161951171.04</v>
      </c>
      <c r="W4">
        <v>248011269.12000006</v>
      </c>
      <c r="X4">
        <v>800237115.75999856</v>
      </c>
      <c r="Y4">
        <v>361531035.19999999</v>
      </c>
      <c r="Z4">
        <v>656843149.51999986</v>
      </c>
      <c r="AA4">
        <v>459135003.12000006</v>
      </c>
      <c r="AB4">
        <v>565303779.12</v>
      </c>
      <c r="AC4">
        <v>989925530.87999988</v>
      </c>
      <c r="AD4">
        <v>1117064082.4199998</v>
      </c>
      <c r="AE4">
        <v>1086019851.8</v>
      </c>
      <c r="AF4">
        <v>273226639.45199996</v>
      </c>
      <c r="AG4">
        <v>159481949.20000002</v>
      </c>
      <c r="AH4">
        <v>88542934.720000014</v>
      </c>
      <c r="AI4">
        <v>633934127.51999962</v>
      </c>
      <c r="AJ4">
        <v>2898153913.2000022</v>
      </c>
      <c r="AK4">
        <v>229423697.76000014</v>
      </c>
      <c r="AL4">
        <v>916509463.11999953</v>
      </c>
      <c r="AM4">
        <v>1921102355.4000053</v>
      </c>
      <c r="AN4">
        <v>620464452.39999998</v>
      </c>
      <c r="AO4">
        <v>1018190372.8000005</v>
      </c>
      <c r="AP4">
        <v>1697437261.52</v>
      </c>
    </row>
    <row r="5" spans="1:42" x14ac:dyDescent="0.25">
      <c r="A5">
        <v>3</v>
      </c>
      <c r="B5" t="s">
        <v>2</v>
      </c>
      <c r="C5">
        <v>632091645.12</v>
      </c>
      <c r="D5">
        <v>111021184.67885713</v>
      </c>
      <c r="E5">
        <v>0</v>
      </c>
      <c r="F5">
        <v>1336998428.777142</v>
      </c>
      <c r="G5">
        <v>2776390487.2971444</v>
      </c>
      <c r="H5">
        <v>1311401733.8685708</v>
      </c>
      <c r="I5">
        <v>700340908.68857121</v>
      </c>
      <c r="J5">
        <v>1416527904.1828558</v>
      </c>
      <c r="K5">
        <v>298570132.91688311</v>
      </c>
      <c r="L5">
        <v>1403272385.1342864</v>
      </c>
      <c r="M5">
        <v>3411244701.7314267</v>
      </c>
      <c r="N5">
        <v>2560946439.6285715</v>
      </c>
      <c r="O5">
        <v>1272486792.274286</v>
      </c>
      <c r="P5">
        <v>2422841603.8742843</v>
      </c>
      <c r="Q5">
        <v>4148942882.3999972</v>
      </c>
      <c r="R5">
        <v>4526151521.4000025</v>
      </c>
      <c r="S5">
        <v>8236717554.9600029</v>
      </c>
      <c r="T5">
        <v>3824594359.45714</v>
      </c>
      <c r="U5">
        <v>410900874.05714297</v>
      </c>
      <c r="V5">
        <v>1257357579.8057141</v>
      </c>
      <c r="W5">
        <v>252343090.38228574</v>
      </c>
      <c r="X5">
        <v>1014456756.0114272</v>
      </c>
      <c r="Y5">
        <v>584449762.74285722</v>
      </c>
      <c r="Z5">
        <v>1039236485.582857</v>
      </c>
      <c r="AA5">
        <v>780619117.58285725</v>
      </c>
      <c r="AB5">
        <v>1002731268.9371426</v>
      </c>
      <c r="AC5">
        <v>1055894867.4857143</v>
      </c>
      <c r="AD5">
        <v>1296240469.5982859</v>
      </c>
      <c r="AE5">
        <v>1286746921.3857141</v>
      </c>
      <c r="AF5">
        <v>502644701.52742863</v>
      </c>
      <c r="AG5">
        <v>360023067.68571436</v>
      </c>
      <c r="AH5">
        <v>241260385.83428571</v>
      </c>
      <c r="AI5">
        <v>931092012.79999948</v>
      </c>
      <c r="AJ5">
        <v>3864114435.3371468</v>
      </c>
      <c r="AK5">
        <v>401920358.05714303</v>
      </c>
      <c r="AL5">
        <v>1674290173.2857141</v>
      </c>
      <c r="AM5">
        <v>2892817553.3828621</v>
      </c>
      <c r="AN5">
        <v>1421281594.422857</v>
      </c>
      <c r="AO5">
        <v>1910810576.0228574</v>
      </c>
      <c r="AP5">
        <v>2577763735.5085716</v>
      </c>
    </row>
    <row r="6" spans="1:42" x14ac:dyDescent="0.25">
      <c r="A6">
        <v>4</v>
      </c>
      <c r="B6" t="s">
        <v>3</v>
      </c>
      <c r="C6">
        <v>2827932651.1799994</v>
      </c>
      <c r="D6">
        <v>1332289069.1685708</v>
      </c>
      <c r="E6">
        <v>1336511793.4628575</v>
      </c>
      <c r="F6">
        <v>0</v>
      </c>
      <c r="G6">
        <v>635240144.09142888</v>
      </c>
      <c r="H6">
        <v>791650706.37714267</v>
      </c>
      <c r="I6">
        <v>254200476.39999998</v>
      </c>
      <c r="J6">
        <v>46881668.131999962</v>
      </c>
      <c r="K6">
        <v>374501474.71792203</v>
      </c>
      <c r="L6">
        <v>551163415.80857158</v>
      </c>
      <c r="M6">
        <v>6152245675.5199986</v>
      </c>
      <c r="N6">
        <v>4969124999.1314287</v>
      </c>
      <c r="O6">
        <v>3171822130.9428577</v>
      </c>
      <c r="P6">
        <v>4768708365.1657133</v>
      </c>
      <c r="Q6">
        <v>7120128726.308568</v>
      </c>
      <c r="R6">
        <v>7156831261.7485743</v>
      </c>
      <c r="S6">
        <v>12269677217.794289</v>
      </c>
      <c r="T6">
        <v>6358072593.2228537</v>
      </c>
      <c r="U6">
        <v>1606902722.2285717</v>
      </c>
      <c r="V6">
        <v>3862539144.6857138</v>
      </c>
      <c r="W6">
        <v>2112343464.2971427</v>
      </c>
      <c r="X6">
        <v>2791907638.45714</v>
      </c>
      <c r="Y6">
        <v>1947703695.0000002</v>
      </c>
      <c r="Z6">
        <v>2708050767.8399997</v>
      </c>
      <c r="AA6">
        <v>2277756508.6399999</v>
      </c>
      <c r="AB6">
        <v>2527157106.0571427</v>
      </c>
      <c r="AC6">
        <v>3645402185.8057141</v>
      </c>
      <c r="AD6">
        <v>3436783959.2097149</v>
      </c>
      <c r="AE6">
        <v>2558380466.237143</v>
      </c>
      <c r="AF6">
        <v>361155328.58971429</v>
      </c>
      <c r="AG6">
        <v>416817347.8628571</v>
      </c>
      <c r="AH6">
        <v>591366863.7485714</v>
      </c>
      <c r="AI6">
        <v>1901254990.2628565</v>
      </c>
      <c r="AJ6">
        <v>5914071607.285718</v>
      </c>
      <c r="AK6">
        <v>1054788617.9485718</v>
      </c>
      <c r="AL6">
        <v>3878151938.2285714</v>
      </c>
      <c r="AM6">
        <v>5643822219.3428631</v>
      </c>
      <c r="AN6">
        <v>3596802008.5028572</v>
      </c>
      <c r="AO6">
        <v>4328312248.7200003</v>
      </c>
      <c r="AP6">
        <v>5157197018.3314285</v>
      </c>
    </row>
    <row r="7" spans="1:42" x14ac:dyDescent="0.25">
      <c r="A7">
        <v>5</v>
      </c>
      <c r="B7" t="s">
        <v>4</v>
      </c>
      <c r="C7">
        <v>4030425495.4971423</v>
      </c>
      <c r="D7">
        <v>2167350455.3999987</v>
      </c>
      <c r="E7">
        <v>2191330412.1428576</v>
      </c>
      <c r="F7">
        <v>522229588.84571397</v>
      </c>
      <c r="G7">
        <v>0</v>
      </c>
      <c r="H7">
        <v>731144087.51428545</v>
      </c>
      <c r="I7">
        <v>148486243.39714283</v>
      </c>
      <c r="J7">
        <v>562548577.61142826</v>
      </c>
      <c r="K7">
        <v>873964609.72701287</v>
      </c>
      <c r="L7">
        <v>321772691.89371431</v>
      </c>
      <c r="M7">
        <v>8587575660.4457102</v>
      </c>
      <c r="N7">
        <v>7101593748.8228559</v>
      </c>
      <c r="O7">
        <v>5090965907.3285704</v>
      </c>
      <c r="P7">
        <v>6679742185.5285683</v>
      </c>
      <c r="Q7">
        <v>9282434758.9285679</v>
      </c>
      <c r="R7">
        <v>9506407575.2800026</v>
      </c>
      <c r="S7">
        <v>15211572749.757147</v>
      </c>
      <c r="T7">
        <v>8825413480.3457088</v>
      </c>
      <c r="U7">
        <v>2803485555.8742857</v>
      </c>
      <c r="V7">
        <v>5299670090.5228567</v>
      </c>
      <c r="W7">
        <v>4240728770.425715</v>
      </c>
      <c r="X7">
        <v>4171035618.0714254</v>
      </c>
      <c r="Y7">
        <v>3221280293.4342852</v>
      </c>
      <c r="Z7">
        <v>4306857682.4142857</v>
      </c>
      <c r="AA7">
        <v>3735881533.2142859</v>
      </c>
      <c r="AB7">
        <v>4117708235.614285</v>
      </c>
      <c r="AC7">
        <v>5056235946.6171417</v>
      </c>
      <c r="AD7">
        <v>4874542010.2377138</v>
      </c>
      <c r="AE7">
        <v>5997624264.1714277</v>
      </c>
      <c r="AF7">
        <v>844118138.35885715</v>
      </c>
      <c r="AG7">
        <v>940331840.24000001</v>
      </c>
      <c r="AH7">
        <v>1195549982.2514284</v>
      </c>
      <c r="AI7">
        <v>2878168011.5571413</v>
      </c>
      <c r="AJ7">
        <v>8204189771.7000074</v>
      </c>
      <c r="AK7">
        <v>1795795101.2314286</v>
      </c>
      <c r="AL7">
        <v>6134914794.6399984</v>
      </c>
      <c r="AM7">
        <v>8427701035.6542931</v>
      </c>
      <c r="AN7">
        <v>5958550179.4742851</v>
      </c>
      <c r="AO7">
        <v>6899103084.4742851</v>
      </c>
      <c r="AP7">
        <v>7754272853.0285711</v>
      </c>
    </row>
    <row r="8" spans="1:42" x14ac:dyDescent="0.25">
      <c r="A8">
        <v>6</v>
      </c>
      <c r="B8" t="s">
        <v>5</v>
      </c>
      <c r="C8">
        <v>4238096658.1942849</v>
      </c>
      <c r="D8">
        <v>1431791259.0799985</v>
      </c>
      <c r="E8">
        <v>1302540574.4742863</v>
      </c>
      <c r="F8">
        <v>788440563.93142796</v>
      </c>
      <c r="G8">
        <v>934733718.43428624</v>
      </c>
      <c r="H8">
        <v>0</v>
      </c>
      <c r="I8">
        <v>205783548.87999994</v>
      </c>
      <c r="J8">
        <v>866968940.61142766</v>
      </c>
      <c r="K8">
        <v>368122251.94051945</v>
      </c>
      <c r="L8">
        <v>451847686.90285736</v>
      </c>
      <c r="M8">
        <v>4742933417.6657114</v>
      </c>
      <c r="N8">
        <v>3640521892.3542857</v>
      </c>
      <c r="O8">
        <v>1702577162.4857149</v>
      </c>
      <c r="P8">
        <v>3814347863.2857127</v>
      </c>
      <c r="Q8">
        <v>6404727817.8542814</v>
      </c>
      <c r="R8">
        <v>6009474005.7742891</v>
      </c>
      <c r="S8">
        <v>11320742031.048573</v>
      </c>
      <c r="T8">
        <v>4766496325.7857103</v>
      </c>
      <c r="U8">
        <v>903239412.48000014</v>
      </c>
      <c r="V8">
        <v>4369235486.1457138</v>
      </c>
      <c r="W8">
        <v>2402124734.0657148</v>
      </c>
      <c r="X8">
        <v>2425769565.882854</v>
      </c>
      <c r="Y8">
        <v>1303356000.5714288</v>
      </c>
      <c r="Z8">
        <v>1745839378.111428</v>
      </c>
      <c r="AA8">
        <v>1404035460.9114287</v>
      </c>
      <c r="AB8">
        <v>1430175982.817143</v>
      </c>
      <c r="AC8">
        <v>4228131580.9200001</v>
      </c>
      <c r="AD8">
        <v>3389635478.9737144</v>
      </c>
      <c r="AE8">
        <v>3865949886.9828572</v>
      </c>
      <c r="AF8">
        <v>528117720.08914286</v>
      </c>
      <c r="AG8">
        <v>437802836.69428569</v>
      </c>
      <c r="AH8">
        <v>447380864.94285709</v>
      </c>
      <c r="AI8">
        <v>2865578546.8199987</v>
      </c>
      <c r="AJ8">
        <v>11026176973.328579</v>
      </c>
      <c r="AK8">
        <v>1303070877.2828577</v>
      </c>
      <c r="AL8">
        <v>2054628999.3799996</v>
      </c>
      <c r="AM8">
        <v>3475514348.8714356</v>
      </c>
      <c r="AN8">
        <v>1621462542.2914283</v>
      </c>
      <c r="AO8">
        <v>2212052992.4914293</v>
      </c>
      <c r="AP8">
        <v>3178045756.7142854</v>
      </c>
    </row>
    <row r="9" spans="1:42" x14ac:dyDescent="0.25">
      <c r="A9">
        <v>7</v>
      </c>
      <c r="B9" t="s">
        <v>6</v>
      </c>
      <c r="C9">
        <v>2822410769.6571417</v>
      </c>
      <c r="D9">
        <v>775912716.98571336</v>
      </c>
      <c r="E9">
        <v>677660698.14857197</v>
      </c>
      <c r="F9">
        <v>249577665.99999976</v>
      </c>
      <c r="G9">
        <v>195144374.77971441</v>
      </c>
      <c r="H9">
        <v>200095265.2399998</v>
      </c>
      <c r="I9">
        <v>0</v>
      </c>
      <c r="J9">
        <v>286818547.59999961</v>
      </c>
      <c r="K9">
        <v>59294992.694025964</v>
      </c>
      <c r="L9">
        <v>183135671.90285724</v>
      </c>
      <c r="M9">
        <v>3044152223.8857126</v>
      </c>
      <c r="N9">
        <v>2301684423.257143</v>
      </c>
      <c r="O9">
        <v>621910241.42857194</v>
      </c>
      <c r="P9">
        <v>2529047791.4285698</v>
      </c>
      <c r="Q9">
        <v>4919423665.5771389</v>
      </c>
      <c r="R9">
        <v>4507133698.6971464</v>
      </c>
      <c r="S9">
        <v>9150992203.2000027</v>
      </c>
      <c r="T9">
        <v>3303486553.3714252</v>
      </c>
      <c r="U9">
        <v>235704472.79428589</v>
      </c>
      <c r="V9">
        <v>3030907704.891428</v>
      </c>
      <c r="W9">
        <v>1516639178.057143</v>
      </c>
      <c r="X9">
        <v>1472293834.1028543</v>
      </c>
      <c r="Y9">
        <v>550438420.20571446</v>
      </c>
      <c r="Z9">
        <v>814564829.16571403</v>
      </c>
      <c r="AA9">
        <v>567967349.96571445</v>
      </c>
      <c r="AB9">
        <v>564924987.56571424</v>
      </c>
      <c r="AC9">
        <v>2898390178.1714287</v>
      </c>
      <c r="AD9">
        <v>2265144605.6274285</v>
      </c>
      <c r="AE9">
        <v>2643692419.9028573</v>
      </c>
      <c r="AF9">
        <v>171904119.8457143</v>
      </c>
      <c r="AG9">
        <v>108148893.12000005</v>
      </c>
      <c r="AH9">
        <v>86115924.342857137</v>
      </c>
      <c r="AI9">
        <v>1793802489.2571423</v>
      </c>
      <c r="AJ9">
        <v>7410697638.8057203</v>
      </c>
      <c r="AK9">
        <v>680101391.42857194</v>
      </c>
      <c r="AL9">
        <v>795487902.99428535</v>
      </c>
      <c r="AM9">
        <v>1909994268.6285779</v>
      </c>
      <c r="AN9">
        <v>368346093.88571429</v>
      </c>
      <c r="AO9">
        <v>822934933.48571503</v>
      </c>
      <c r="AP9">
        <v>1712548639.6971428</v>
      </c>
    </row>
    <row r="10" spans="1:42" x14ac:dyDescent="0.25">
      <c r="A10">
        <v>8</v>
      </c>
      <c r="B10" t="s">
        <v>7</v>
      </c>
      <c r="C10">
        <v>1394427203.074285</v>
      </c>
      <c r="D10">
        <v>725173576.39999926</v>
      </c>
      <c r="E10">
        <v>669797343.72571468</v>
      </c>
      <c r="F10">
        <v>27813858.220571402</v>
      </c>
      <c r="G10">
        <v>498015107.79428607</v>
      </c>
      <c r="H10">
        <v>379134812.30857116</v>
      </c>
      <c r="I10">
        <v>91358885.131428525</v>
      </c>
      <c r="J10">
        <v>0</v>
      </c>
      <c r="K10">
        <v>88111523.739740252</v>
      </c>
      <c r="L10">
        <v>304839232.50857162</v>
      </c>
      <c r="M10">
        <v>3391000326.6599984</v>
      </c>
      <c r="N10">
        <v>2596849434.2514281</v>
      </c>
      <c r="O10">
        <v>987146611.39714313</v>
      </c>
      <c r="P10">
        <v>2745650723.1971416</v>
      </c>
      <c r="Q10">
        <v>4993904042.768568</v>
      </c>
      <c r="R10">
        <v>4704993373.0885744</v>
      </c>
      <c r="S10">
        <v>9262455976.054287</v>
      </c>
      <c r="T10">
        <v>3635455894.2428541</v>
      </c>
      <c r="U10">
        <v>422766270.94857162</v>
      </c>
      <c r="V10">
        <v>2820811079.4257135</v>
      </c>
      <c r="W10">
        <v>1620345649.9514287</v>
      </c>
      <c r="X10">
        <v>1539181394.3171401</v>
      </c>
      <c r="Y10">
        <v>713382846.50000012</v>
      </c>
      <c r="Z10">
        <v>1048819161.5628569</v>
      </c>
      <c r="AA10">
        <v>786118358.08000028</v>
      </c>
      <c r="AB10">
        <v>829140981.2171427</v>
      </c>
      <c r="AC10">
        <v>2673049014.1085715</v>
      </c>
      <c r="AD10">
        <v>2227911229.8857141</v>
      </c>
      <c r="AE10">
        <v>2702744369.817143</v>
      </c>
      <c r="AF10">
        <v>133699382.20228572</v>
      </c>
      <c r="AG10">
        <v>121057815.08571433</v>
      </c>
      <c r="AH10">
        <v>140840252.22857141</v>
      </c>
      <c r="AI10">
        <v>1389628008.5828564</v>
      </c>
      <c r="AJ10">
        <v>5280199596.7857189</v>
      </c>
      <c r="AK10">
        <v>579310293.76857185</v>
      </c>
      <c r="AL10">
        <v>1234511765.0485709</v>
      </c>
      <c r="AM10">
        <v>2414755996.6428633</v>
      </c>
      <c r="AN10">
        <v>849910789.74285722</v>
      </c>
      <c r="AO10">
        <v>1330459310.4600005</v>
      </c>
      <c r="AP10">
        <v>2183522304.7199998</v>
      </c>
    </row>
    <row r="11" spans="1:42" x14ac:dyDescent="0.25">
      <c r="A11">
        <v>9</v>
      </c>
      <c r="B11" t="s">
        <v>152</v>
      </c>
      <c r="C11">
        <v>1245931074.6628568</v>
      </c>
      <c r="D11">
        <v>361572559.47428519</v>
      </c>
      <c r="E11">
        <v>333577797.61428601</v>
      </c>
      <c r="F11">
        <v>397344621.73714244</v>
      </c>
      <c r="G11">
        <v>1219794459.1485722</v>
      </c>
      <c r="H11">
        <v>429445716.06857091</v>
      </c>
      <c r="I11">
        <v>102392931.97714278</v>
      </c>
      <c r="J11">
        <v>414135813.44571388</v>
      </c>
      <c r="K11">
        <v>0</v>
      </c>
      <c r="L11">
        <v>491010980.57142889</v>
      </c>
      <c r="M11">
        <v>2438788955.2999978</v>
      </c>
      <c r="N11">
        <v>1779662704.8199999</v>
      </c>
      <c r="O11">
        <v>360126917.04000038</v>
      </c>
      <c r="P11">
        <v>1940996571.8399985</v>
      </c>
      <c r="Q11">
        <v>3918414103.2399969</v>
      </c>
      <c r="R11">
        <v>3653640266.1000028</v>
      </c>
      <c r="S11">
        <v>7816165594.1600008</v>
      </c>
      <c r="T11">
        <v>2654426550.9999971</v>
      </c>
      <c r="U11">
        <v>90693966.060000122</v>
      </c>
      <c r="V11">
        <v>1958411807.9199996</v>
      </c>
      <c r="W11">
        <v>827052648.08000028</v>
      </c>
      <c r="X11">
        <v>985477369.67999804</v>
      </c>
      <c r="Y11">
        <v>316886671.80000013</v>
      </c>
      <c r="Z11">
        <v>526488745.85999984</v>
      </c>
      <c r="AA11">
        <v>333258979.86000013</v>
      </c>
      <c r="AB11">
        <v>327404197.71999985</v>
      </c>
      <c r="AC11">
        <v>1814548038.1599998</v>
      </c>
      <c r="AD11">
        <v>1536776680.296</v>
      </c>
      <c r="AE11">
        <v>1950193858.0799999</v>
      </c>
      <c r="AF11">
        <v>121617286.75199999</v>
      </c>
      <c r="AG11">
        <v>56122266.000000015</v>
      </c>
      <c r="AH11">
        <v>20541303.239999995</v>
      </c>
      <c r="AI11">
        <v>919502745.57999945</v>
      </c>
      <c r="AJ11">
        <v>2736112977.5000019</v>
      </c>
      <c r="AK11">
        <v>242144413.44000018</v>
      </c>
      <c r="AL11">
        <v>488811713.93999958</v>
      </c>
      <c r="AM11">
        <v>1449375532.8000062</v>
      </c>
      <c r="AN11">
        <v>112778927.03999999</v>
      </c>
      <c r="AO11">
        <v>495936062.0400005</v>
      </c>
      <c r="AP11">
        <v>1279275083.9399998</v>
      </c>
    </row>
    <row r="12" spans="1:42" x14ac:dyDescent="0.25">
      <c r="A12">
        <v>10</v>
      </c>
      <c r="B12" t="s">
        <v>9</v>
      </c>
      <c r="C12">
        <v>3524876386.1999993</v>
      </c>
      <c r="D12">
        <v>1272608529.8828561</v>
      </c>
      <c r="E12">
        <v>1188351485.4342864</v>
      </c>
      <c r="F12">
        <v>491307272.15142828</v>
      </c>
      <c r="G12">
        <v>375565069.17428589</v>
      </c>
      <c r="H12">
        <v>377917023.56571412</v>
      </c>
      <c r="I12">
        <v>145739226.06285709</v>
      </c>
      <c r="J12">
        <v>528942560.19428521</v>
      </c>
      <c r="K12">
        <v>326980908.76623374</v>
      </c>
      <c r="L12">
        <v>0</v>
      </c>
      <c r="M12">
        <v>4618067818.0285692</v>
      </c>
      <c r="N12">
        <v>3670704716.1942863</v>
      </c>
      <c r="O12">
        <v>1843883453.5314288</v>
      </c>
      <c r="P12">
        <v>3757138007.931427</v>
      </c>
      <c r="Q12">
        <v>6374810342.6571388</v>
      </c>
      <c r="R12">
        <v>6002977370.9428606</v>
      </c>
      <c r="S12">
        <v>11015121443.205717</v>
      </c>
      <c r="T12">
        <v>4923900899.1942825</v>
      </c>
      <c r="U12">
        <v>949032436.18285739</v>
      </c>
      <c r="V12">
        <v>3895882277.5714278</v>
      </c>
      <c r="W12">
        <v>2130796509.4285719</v>
      </c>
      <c r="X12">
        <v>2299229594.0171399</v>
      </c>
      <c r="Y12">
        <v>1309725547.6800003</v>
      </c>
      <c r="Z12">
        <v>1789761914.9999995</v>
      </c>
      <c r="AA12">
        <v>1450140931.0000002</v>
      </c>
      <c r="AB12">
        <v>1547192340.6171427</v>
      </c>
      <c r="AC12">
        <v>3738501388.6628571</v>
      </c>
      <c r="AD12">
        <v>3127883676.2234282</v>
      </c>
      <c r="AE12">
        <v>3682205999.7171426</v>
      </c>
      <c r="AF12">
        <v>435212817.22285718</v>
      </c>
      <c r="AG12">
        <v>387579037.93142861</v>
      </c>
      <c r="AH12">
        <v>429194348.42285711</v>
      </c>
      <c r="AI12">
        <v>2358007642.3199987</v>
      </c>
      <c r="AJ12">
        <v>8586809416.7314358</v>
      </c>
      <c r="AK12">
        <v>1127660805.3257148</v>
      </c>
      <c r="AL12">
        <v>2242851707.9828568</v>
      </c>
      <c r="AM12">
        <v>3672959794.5600066</v>
      </c>
      <c r="AN12">
        <v>1853071563.1999998</v>
      </c>
      <c r="AO12">
        <v>2444944612.4000001</v>
      </c>
      <c r="AP12">
        <v>3351459512.5942855</v>
      </c>
    </row>
    <row r="13" spans="1:42" x14ac:dyDescent="0.25">
      <c r="A13">
        <v>11</v>
      </c>
      <c r="B13" t="s">
        <v>10</v>
      </c>
      <c r="C13">
        <v>10095019677.591425</v>
      </c>
      <c r="D13">
        <v>3031996866.0942831</v>
      </c>
      <c r="E13">
        <v>2559259051.6742868</v>
      </c>
      <c r="F13">
        <v>5059951956.2199965</v>
      </c>
      <c r="G13">
        <v>9573126799.3714314</v>
      </c>
      <c r="H13">
        <v>3460454355.4542832</v>
      </c>
      <c r="I13">
        <v>1980687674.7714281</v>
      </c>
      <c r="J13">
        <v>5445362294.1599951</v>
      </c>
      <c r="K13">
        <v>1242366577.363636</v>
      </c>
      <c r="L13">
        <v>4156905109.1857166</v>
      </c>
      <c r="M13">
        <v>0</v>
      </c>
      <c r="N13">
        <v>493460850.99999994</v>
      </c>
      <c r="O13">
        <v>399653864.96000016</v>
      </c>
      <c r="P13">
        <v>1137994657.8399994</v>
      </c>
      <c r="Q13">
        <v>3162929142.119998</v>
      </c>
      <c r="R13">
        <v>2268774190.8000011</v>
      </c>
      <c r="S13">
        <v>3868664973.6000013</v>
      </c>
      <c r="T13">
        <v>1708835826.5999985</v>
      </c>
      <c r="U13">
        <v>967830302.24000013</v>
      </c>
      <c r="V13">
        <v>5814735619.7999992</v>
      </c>
      <c r="W13">
        <v>4366127788.000001</v>
      </c>
      <c r="X13">
        <v>2252211709.8399963</v>
      </c>
      <c r="Y13">
        <v>1229772574.0800002</v>
      </c>
      <c r="Z13">
        <v>908164729.99999964</v>
      </c>
      <c r="AA13">
        <v>925127134.60000014</v>
      </c>
      <c r="AB13">
        <v>994078137.79999983</v>
      </c>
      <c r="AC13">
        <v>5635491016.7600002</v>
      </c>
      <c r="AD13">
        <v>3458727945.5440001</v>
      </c>
      <c r="AE13">
        <v>2259911105.4799995</v>
      </c>
      <c r="AF13">
        <v>2106486682.1839998</v>
      </c>
      <c r="AG13">
        <v>1499821627.0799999</v>
      </c>
      <c r="AH13">
        <v>1204045442</v>
      </c>
      <c r="AI13">
        <v>7788649125.8799953</v>
      </c>
      <c r="AJ13">
        <v>32119129729.440029</v>
      </c>
      <c r="AK13">
        <v>3467604509.9200015</v>
      </c>
      <c r="AL13">
        <v>172596702.23999995</v>
      </c>
      <c r="AM13">
        <v>857797104.64000177</v>
      </c>
      <c r="AN13">
        <v>172445945.59999996</v>
      </c>
      <c r="AO13">
        <v>395582559.00000018</v>
      </c>
      <c r="AP13">
        <v>745268738.39999986</v>
      </c>
    </row>
    <row r="14" spans="1:42" x14ac:dyDescent="0.25">
      <c r="A14">
        <v>12</v>
      </c>
      <c r="B14" t="s">
        <v>11</v>
      </c>
      <c r="C14">
        <v>7902814092.6571398</v>
      </c>
      <c r="D14">
        <v>2071282539.9199977</v>
      </c>
      <c r="E14">
        <v>1685004689.6057153</v>
      </c>
      <c r="F14">
        <v>3791418277.6857119</v>
      </c>
      <c r="G14">
        <v>7701877402.7657166</v>
      </c>
      <c r="H14">
        <v>2273309776.4457121</v>
      </c>
      <c r="I14">
        <v>1129116458.0142851</v>
      </c>
      <c r="J14">
        <v>4121663867.4285674</v>
      </c>
      <c r="K14">
        <v>553783965.55999982</v>
      </c>
      <c r="L14">
        <v>3007383077.5028586</v>
      </c>
      <c r="M14">
        <v>454099736.9999997</v>
      </c>
      <c r="N14">
        <v>0</v>
      </c>
      <c r="O14">
        <v>90867680.00000003</v>
      </c>
      <c r="P14">
        <v>545835006.99999964</v>
      </c>
      <c r="Q14">
        <v>2310843369.3199983</v>
      </c>
      <c r="R14">
        <v>1805908748.6400018</v>
      </c>
      <c r="S14">
        <v>3249225921.6800008</v>
      </c>
      <c r="T14">
        <v>1298776573.9999986</v>
      </c>
      <c r="U14">
        <v>422589397.44000018</v>
      </c>
      <c r="V14">
        <v>4269964338.6399994</v>
      </c>
      <c r="W14">
        <v>3150198621.3600006</v>
      </c>
      <c r="X14">
        <v>1416203678.5999978</v>
      </c>
      <c r="Y14">
        <v>644619879.0400002</v>
      </c>
      <c r="Z14">
        <v>420725361.63999993</v>
      </c>
      <c r="AA14">
        <v>433134128.72000009</v>
      </c>
      <c r="AB14">
        <v>474171269.0399999</v>
      </c>
      <c r="AC14">
        <v>4093311233.9999995</v>
      </c>
      <c r="AD14">
        <v>2350490750.4480004</v>
      </c>
      <c r="AE14">
        <v>1329486397.6600001</v>
      </c>
      <c r="AF14">
        <v>1271891623.572</v>
      </c>
      <c r="AG14">
        <v>762671058.60000002</v>
      </c>
      <c r="AH14">
        <v>528995115.39999992</v>
      </c>
      <c r="AI14">
        <v>6039342890.159997</v>
      </c>
      <c r="AJ14">
        <v>26372718246.240025</v>
      </c>
      <c r="AK14">
        <v>2431224538.0800014</v>
      </c>
      <c r="AL14">
        <v>190673455.99999991</v>
      </c>
      <c r="AM14">
        <v>787767615.36000228</v>
      </c>
      <c r="AN14">
        <v>151215777.91999999</v>
      </c>
      <c r="AO14">
        <v>355417493.08000016</v>
      </c>
      <c r="AP14">
        <v>602719366.48000002</v>
      </c>
    </row>
    <row r="15" spans="1:42" x14ac:dyDescent="0.25">
      <c r="A15">
        <v>13</v>
      </c>
      <c r="B15" t="s">
        <v>12</v>
      </c>
      <c r="C15">
        <v>6908115262.2428551</v>
      </c>
      <c r="D15">
        <v>1623050002.5771403</v>
      </c>
      <c r="E15">
        <v>1273921713.7028582</v>
      </c>
      <c r="F15">
        <v>3175425572.8714256</v>
      </c>
      <c r="G15">
        <v>6812016062.1571474</v>
      </c>
      <c r="H15">
        <v>1726849921.114284</v>
      </c>
      <c r="I15">
        <v>689848786.57714248</v>
      </c>
      <c r="J15">
        <v>3505227821.382853</v>
      </c>
      <c r="K15">
        <v>205744869.91999993</v>
      </c>
      <c r="L15">
        <v>2433118111.474287</v>
      </c>
      <c r="M15">
        <v>658736802.55999947</v>
      </c>
      <c r="N15">
        <v>210340983.99999997</v>
      </c>
      <c r="O15">
        <v>0</v>
      </c>
      <c r="P15">
        <v>289166789.5199998</v>
      </c>
      <c r="Q15">
        <v>1565916596.7199988</v>
      </c>
      <c r="R15">
        <v>1561357537.5200014</v>
      </c>
      <c r="S15">
        <v>2955353004.8399997</v>
      </c>
      <c r="T15">
        <v>1073324575.9999986</v>
      </c>
      <c r="U15">
        <v>174027282.40000018</v>
      </c>
      <c r="V15">
        <v>3586289024.1199989</v>
      </c>
      <c r="W15">
        <v>2598591892.6000004</v>
      </c>
      <c r="X15">
        <v>1056401040.2399977</v>
      </c>
      <c r="Y15">
        <v>389520680.40000015</v>
      </c>
      <c r="Z15">
        <v>235830305.51999989</v>
      </c>
      <c r="AA15">
        <v>235608036.84000009</v>
      </c>
      <c r="AB15">
        <v>254399498.91999993</v>
      </c>
      <c r="AC15">
        <v>3415465397.0799999</v>
      </c>
      <c r="AD15">
        <v>1867457551.9320002</v>
      </c>
      <c r="AE15">
        <v>950437952.76000011</v>
      </c>
      <c r="AF15">
        <v>856939078.93600011</v>
      </c>
      <c r="AG15">
        <v>391528043.28000003</v>
      </c>
      <c r="AH15">
        <v>190952272.55999991</v>
      </c>
      <c r="AI15">
        <v>5242604491.159997</v>
      </c>
      <c r="AJ15">
        <v>23851933840.800018</v>
      </c>
      <c r="AK15">
        <v>1943661727.5200012</v>
      </c>
      <c r="AL15">
        <v>142570157.71999991</v>
      </c>
      <c r="AM15">
        <v>614315451.20000231</v>
      </c>
      <c r="AN15">
        <v>58359739.199999996</v>
      </c>
      <c r="AO15">
        <v>206882703.60000014</v>
      </c>
      <c r="AP15">
        <v>467594965.12</v>
      </c>
    </row>
    <row r="16" spans="1:42" x14ac:dyDescent="0.25">
      <c r="A16">
        <v>14</v>
      </c>
      <c r="B16" t="s">
        <v>13</v>
      </c>
      <c r="C16">
        <v>6862625080.1142845</v>
      </c>
      <c r="D16">
        <v>2068937393.2171409</v>
      </c>
      <c r="E16">
        <v>1746438126.0228581</v>
      </c>
      <c r="F16">
        <v>3802935154.7428546</v>
      </c>
      <c r="G16">
        <v>7245525232.1571465</v>
      </c>
      <c r="H16">
        <v>2665687704.7142844</v>
      </c>
      <c r="I16">
        <v>1562415929.2171423</v>
      </c>
      <c r="J16">
        <v>4104017649.5428538</v>
      </c>
      <c r="K16">
        <v>978996395.80363619</v>
      </c>
      <c r="L16">
        <v>3229087403.5542874</v>
      </c>
      <c r="M16">
        <v>1078430707.7599995</v>
      </c>
      <c r="N16">
        <v>555051176.19999981</v>
      </c>
      <c r="O16">
        <v>166886016.80000001</v>
      </c>
      <c r="P16">
        <v>0</v>
      </c>
      <c r="Q16">
        <v>1603200088.1999991</v>
      </c>
      <c r="R16">
        <v>1504419906.6000009</v>
      </c>
      <c r="S16">
        <v>3230175750.1199999</v>
      </c>
      <c r="T16">
        <v>1404934231.9199989</v>
      </c>
      <c r="U16">
        <v>627923973.0400002</v>
      </c>
      <c r="V16">
        <v>3655060421.0399985</v>
      </c>
      <c r="W16">
        <v>2889363697.3600001</v>
      </c>
      <c r="X16">
        <v>1250408502.1999981</v>
      </c>
      <c r="Y16">
        <v>719434619.0400002</v>
      </c>
      <c r="Z16">
        <v>340758854.03999996</v>
      </c>
      <c r="AA16">
        <v>441450145.5200001</v>
      </c>
      <c r="AB16">
        <v>546808449.03999996</v>
      </c>
      <c r="AC16">
        <v>3439908055.5999999</v>
      </c>
      <c r="AD16">
        <v>1990753426.7680001</v>
      </c>
      <c r="AE16">
        <v>897350746.8599999</v>
      </c>
      <c r="AF16">
        <v>1589139321.8920002</v>
      </c>
      <c r="AG16">
        <v>1144660613.4000001</v>
      </c>
      <c r="AH16">
        <v>912730111.80000007</v>
      </c>
      <c r="AI16">
        <v>5464204046.1599979</v>
      </c>
      <c r="AJ16">
        <v>22379505890.240025</v>
      </c>
      <c r="AK16">
        <v>2451273078.480001</v>
      </c>
      <c r="AL16">
        <v>431576304.71999997</v>
      </c>
      <c r="AM16">
        <v>1168934440.3200023</v>
      </c>
      <c r="AN16">
        <v>383999729.51999998</v>
      </c>
      <c r="AO16">
        <v>647583853.32000005</v>
      </c>
      <c r="AP16">
        <v>915242721.12000012</v>
      </c>
    </row>
    <row r="17" spans="1:42" x14ac:dyDescent="0.25">
      <c r="A17">
        <v>15</v>
      </c>
      <c r="B17" t="s">
        <v>14</v>
      </c>
      <c r="C17">
        <v>8943035617.3885689</v>
      </c>
      <c r="D17">
        <v>3182087257.862855</v>
      </c>
      <c r="E17">
        <v>2828823271.2000008</v>
      </c>
      <c r="F17">
        <v>5285031544.1342821</v>
      </c>
      <c r="G17">
        <v>8975052080.3571472</v>
      </c>
      <c r="H17">
        <v>4268077433.2657132</v>
      </c>
      <c r="I17">
        <v>3039815629.594285</v>
      </c>
      <c r="J17">
        <v>5558996430.3314247</v>
      </c>
      <c r="K17">
        <v>2560513922.9999995</v>
      </c>
      <c r="L17">
        <v>4885984318.0714302</v>
      </c>
      <c r="M17">
        <v>2572639659.7999992</v>
      </c>
      <c r="N17">
        <v>1936608230.9199998</v>
      </c>
      <c r="O17">
        <v>934541332.48000002</v>
      </c>
      <c r="P17">
        <v>1357343908.5999994</v>
      </c>
      <c r="Q17">
        <v>0</v>
      </c>
      <c r="R17">
        <v>1083524364.0000005</v>
      </c>
      <c r="S17">
        <v>4198276627.3200011</v>
      </c>
      <c r="T17">
        <v>1470575836.799999</v>
      </c>
      <c r="U17">
        <v>1565670100.1600001</v>
      </c>
      <c r="V17">
        <v>4974737991.5999994</v>
      </c>
      <c r="W17">
        <v>3992960098.4000006</v>
      </c>
      <c r="X17">
        <v>2344879791.599998</v>
      </c>
      <c r="Y17">
        <v>1280652948.1599998</v>
      </c>
      <c r="Z17">
        <v>954647131.79999995</v>
      </c>
      <c r="AA17">
        <v>1186089904.3999999</v>
      </c>
      <c r="AB17">
        <v>614166896.36000001</v>
      </c>
      <c r="AC17">
        <v>4471948530.1199999</v>
      </c>
      <c r="AD17">
        <v>3097657593.5640001</v>
      </c>
      <c r="AE17">
        <v>1864047158.46</v>
      </c>
      <c r="AF17">
        <v>3108825837.8399997</v>
      </c>
      <c r="AG17">
        <v>2620517243.2799997</v>
      </c>
      <c r="AH17">
        <v>2295893595.7599998</v>
      </c>
      <c r="AI17">
        <v>7413831944.6799955</v>
      </c>
      <c r="AJ17">
        <v>26059956264.960026</v>
      </c>
      <c r="AK17">
        <v>3924825288.3200006</v>
      </c>
      <c r="AL17">
        <v>1883388418.0799997</v>
      </c>
      <c r="AM17">
        <v>2238794336.5600028</v>
      </c>
      <c r="AN17">
        <v>1418232627.2</v>
      </c>
      <c r="AO17">
        <v>1821481793.2</v>
      </c>
      <c r="AP17">
        <v>2097972727.1999998</v>
      </c>
    </row>
    <row r="18" spans="1:42" x14ac:dyDescent="0.25">
      <c r="A18">
        <v>16</v>
      </c>
      <c r="B18" t="s">
        <v>15</v>
      </c>
      <c r="C18">
        <v>11712403270.242855</v>
      </c>
      <c r="D18">
        <v>4932092395.402854</v>
      </c>
      <c r="E18">
        <v>4475469701.2000008</v>
      </c>
      <c r="F18">
        <v>7095987573.8542814</v>
      </c>
      <c r="G18">
        <v>11345404279.440004</v>
      </c>
      <c r="H18">
        <v>5960803372.0257139</v>
      </c>
      <c r="I18">
        <v>4513732118.1542854</v>
      </c>
      <c r="J18">
        <v>7414202361.8914223</v>
      </c>
      <c r="K18">
        <v>4293227705.3672729</v>
      </c>
      <c r="L18">
        <v>6578731826.9685717</v>
      </c>
      <c r="M18">
        <v>2667812739.5199995</v>
      </c>
      <c r="N18">
        <v>2260550455.6799998</v>
      </c>
      <c r="O18">
        <v>1537183583.4400001</v>
      </c>
      <c r="P18">
        <v>1820035432.8</v>
      </c>
      <c r="Q18">
        <v>1413001376.6399994</v>
      </c>
      <c r="R18">
        <v>0</v>
      </c>
      <c r="S18">
        <v>2971593792.7200007</v>
      </c>
      <c r="T18">
        <v>704058823.43999958</v>
      </c>
      <c r="U18">
        <v>2691594248</v>
      </c>
      <c r="V18">
        <v>7205609500.3199987</v>
      </c>
      <c r="W18">
        <v>6037796030.7200012</v>
      </c>
      <c r="X18">
        <v>3545366486.4799972</v>
      </c>
      <c r="Y18">
        <v>2558350381.8000002</v>
      </c>
      <c r="Z18">
        <v>1667437441.6000001</v>
      </c>
      <c r="AA18">
        <v>2065791081.0400002</v>
      </c>
      <c r="AB18">
        <v>1380536583.04</v>
      </c>
      <c r="AC18">
        <v>6871054886.3999996</v>
      </c>
      <c r="AD18">
        <v>4740699548.8960009</v>
      </c>
      <c r="AE18">
        <v>3053216118.5599995</v>
      </c>
      <c r="AF18">
        <v>4578761526.9440002</v>
      </c>
      <c r="AG18">
        <v>3971674938.2400007</v>
      </c>
      <c r="AH18">
        <v>3573193352.0000005</v>
      </c>
      <c r="AI18">
        <v>9551234776.9599953</v>
      </c>
      <c r="AJ18">
        <v>31691514026.600029</v>
      </c>
      <c r="AK18">
        <v>5534504805.2800016</v>
      </c>
      <c r="AL18">
        <v>1636132952.1599996</v>
      </c>
      <c r="AM18">
        <v>2046017054.6000021</v>
      </c>
      <c r="AN18">
        <v>1540531458.72</v>
      </c>
      <c r="AO18">
        <v>1781207421.0400002</v>
      </c>
      <c r="AP18">
        <v>1923247401.48</v>
      </c>
    </row>
    <row r="19" spans="1:42" x14ac:dyDescent="0.25">
      <c r="A19">
        <v>17</v>
      </c>
      <c r="B19" t="s">
        <v>16</v>
      </c>
      <c r="C19">
        <v>15739909480.208569</v>
      </c>
      <c r="D19">
        <v>7883751779.7428532</v>
      </c>
      <c r="E19">
        <v>7329429141.3600025</v>
      </c>
      <c r="F19">
        <v>11130631579.637138</v>
      </c>
      <c r="G19">
        <v>16318199123.094292</v>
      </c>
      <c r="H19">
        <v>10045175910.951424</v>
      </c>
      <c r="I19">
        <v>8048383626.6000004</v>
      </c>
      <c r="J19">
        <v>11516769548.12571</v>
      </c>
      <c r="K19">
        <v>5901205835.09091</v>
      </c>
      <c r="L19">
        <v>10562179788.077145</v>
      </c>
      <c r="M19">
        <v>3883907893.599999</v>
      </c>
      <c r="N19">
        <v>3370311218.0000005</v>
      </c>
      <c r="O19">
        <v>2564217516.2399998</v>
      </c>
      <c r="P19">
        <v>3319735350.8399987</v>
      </c>
      <c r="Q19">
        <v>4716388075.6399984</v>
      </c>
      <c r="R19">
        <v>2728458726.8400016</v>
      </c>
      <c r="S19">
        <v>0</v>
      </c>
      <c r="T19">
        <v>1793134244.3999994</v>
      </c>
      <c r="U19">
        <v>5010713787.6000004</v>
      </c>
      <c r="V19">
        <v>10545094985.039999</v>
      </c>
      <c r="W19">
        <v>9199604480.8799992</v>
      </c>
      <c r="X19">
        <v>5995860244.9199963</v>
      </c>
      <c r="Y19">
        <v>4936096644.000001</v>
      </c>
      <c r="Z19">
        <v>3657821538.8399997</v>
      </c>
      <c r="AA19">
        <v>4024569502.8000007</v>
      </c>
      <c r="AB19">
        <v>3753317325.6799998</v>
      </c>
      <c r="AC19">
        <v>10211022795.6</v>
      </c>
      <c r="AD19">
        <v>7507671248.7000008</v>
      </c>
      <c r="AE19">
        <v>5357029849.5</v>
      </c>
      <c r="AF19">
        <v>7664505369.7800007</v>
      </c>
      <c r="AG19">
        <v>6936816693.4000006</v>
      </c>
      <c r="AH19">
        <v>6409576347.96</v>
      </c>
      <c r="AI19">
        <v>13441796978.799995</v>
      </c>
      <c r="AJ19">
        <v>40001786249.600029</v>
      </c>
      <c r="AK19">
        <v>8668613254.0000019</v>
      </c>
      <c r="AL19">
        <v>2269798249.9999995</v>
      </c>
      <c r="AM19">
        <v>1108558288.6400008</v>
      </c>
      <c r="AN19">
        <v>1994161945.6800001</v>
      </c>
      <c r="AO19">
        <v>1718056904.4000001</v>
      </c>
      <c r="AP19">
        <v>1212220325.4400001</v>
      </c>
    </row>
    <row r="20" spans="1:42" x14ac:dyDescent="0.25">
      <c r="A20">
        <v>18</v>
      </c>
      <c r="B20" t="s">
        <v>17</v>
      </c>
      <c r="C20">
        <v>10160256037.285711</v>
      </c>
      <c r="D20">
        <v>2782872943.7485676</v>
      </c>
      <c r="E20">
        <v>2293050043.4914298</v>
      </c>
      <c r="F20">
        <v>4512611958.0314236</v>
      </c>
      <c r="G20">
        <v>8991727642.071434</v>
      </c>
      <c r="H20">
        <v>2695637992.2142839</v>
      </c>
      <c r="I20">
        <v>1454136502.5428565</v>
      </c>
      <c r="J20">
        <v>4894756888.0571375</v>
      </c>
      <c r="K20">
        <v>301230022.74545455</v>
      </c>
      <c r="L20">
        <v>3623419158.6428595</v>
      </c>
      <c r="M20">
        <v>1388438414.999999</v>
      </c>
      <c r="N20">
        <v>1113532878</v>
      </c>
      <c r="O20">
        <v>421084352.00000012</v>
      </c>
      <c r="P20">
        <v>1220061973.5199993</v>
      </c>
      <c r="Q20">
        <v>1601333507.1999989</v>
      </c>
      <c r="R20">
        <v>526225089.40000027</v>
      </c>
      <c r="S20">
        <v>1637819934.96</v>
      </c>
      <c r="T20">
        <v>0</v>
      </c>
      <c r="U20">
        <v>688295890.80000031</v>
      </c>
      <c r="V20">
        <v>5813336305.1999979</v>
      </c>
      <c r="W20">
        <v>4204227898.8000011</v>
      </c>
      <c r="X20">
        <v>2121883657.0799966</v>
      </c>
      <c r="Y20">
        <v>897159753.84000027</v>
      </c>
      <c r="Z20">
        <v>732910034.99999976</v>
      </c>
      <c r="AA20">
        <v>754831782.00000012</v>
      </c>
      <c r="AB20">
        <v>519199577.87999994</v>
      </c>
      <c r="AC20">
        <v>5612578540.5599995</v>
      </c>
      <c r="AD20">
        <v>3391093805.3919997</v>
      </c>
      <c r="AE20">
        <v>2253187771.8199997</v>
      </c>
      <c r="AF20">
        <v>1718291895.4440002</v>
      </c>
      <c r="AG20">
        <v>1096177235.9600003</v>
      </c>
      <c r="AH20">
        <v>809243653.39999998</v>
      </c>
      <c r="AI20">
        <v>7677595290.9599962</v>
      </c>
      <c r="AJ20">
        <v>32709041205.120029</v>
      </c>
      <c r="AK20">
        <v>3174922694.1600018</v>
      </c>
      <c r="AL20">
        <v>463103373.9199999</v>
      </c>
      <c r="AM20">
        <v>646653388.80000162</v>
      </c>
      <c r="AN20">
        <v>313725795.99999994</v>
      </c>
      <c r="AO20">
        <v>463507644.6000002</v>
      </c>
      <c r="AP20">
        <v>657524333.92000008</v>
      </c>
    </row>
    <row r="21" spans="1:42" x14ac:dyDescent="0.25">
      <c r="A21">
        <v>19</v>
      </c>
      <c r="B21" t="s">
        <v>145</v>
      </c>
      <c r="C21">
        <v>2723603009.2857137</v>
      </c>
      <c r="D21">
        <v>599851364.7085706</v>
      </c>
      <c r="E21">
        <v>462085538.05142897</v>
      </c>
      <c r="F21">
        <v>1713124384.7142842</v>
      </c>
      <c r="G21">
        <v>3908537117.5885739</v>
      </c>
      <c r="H21">
        <v>1059700273.919999</v>
      </c>
      <c r="I21">
        <v>389629679.88857114</v>
      </c>
      <c r="J21">
        <v>1866347857.3714263</v>
      </c>
      <c r="K21">
        <v>79335511.752727255</v>
      </c>
      <c r="L21">
        <v>1416056099.7085724</v>
      </c>
      <c r="M21">
        <v>1862310000.8799987</v>
      </c>
      <c r="N21">
        <v>1273555948.8400002</v>
      </c>
      <c r="O21">
        <v>286731324.00000024</v>
      </c>
      <c r="P21">
        <v>1257965524.1999993</v>
      </c>
      <c r="Q21">
        <v>2814435514.1599979</v>
      </c>
      <c r="R21">
        <v>2883705944.0000019</v>
      </c>
      <c r="S21">
        <v>5983723276.920002</v>
      </c>
      <c r="T21">
        <v>2193527837.3999977</v>
      </c>
      <c r="U21">
        <v>0</v>
      </c>
      <c r="V21">
        <v>512771335.9199999</v>
      </c>
      <c r="W21">
        <v>860699056.84000015</v>
      </c>
      <c r="X21">
        <v>242443195.67999956</v>
      </c>
      <c r="Y21">
        <v>152591987.76000005</v>
      </c>
      <c r="Z21">
        <v>303885341.75999987</v>
      </c>
      <c r="AA21">
        <v>174569511.00000006</v>
      </c>
      <c r="AB21">
        <v>281169282.27999997</v>
      </c>
      <c r="AC21">
        <v>914210711.19999993</v>
      </c>
      <c r="AD21">
        <v>300155856.56400001</v>
      </c>
      <c r="AE21">
        <v>982936072.32000005</v>
      </c>
      <c r="AF21">
        <v>432446269.83600003</v>
      </c>
      <c r="AG21">
        <v>193618890.72000006</v>
      </c>
      <c r="AH21">
        <v>88922440.199999988</v>
      </c>
      <c r="AI21">
        <v>2314613881.1199985</v>
      </c>
      <c r="AJ21">
        <v>10600826712.320009</v>
      </c>
      <c r="AK21">
        <v>838385591.44000053</v>
      </c>
      <c r="AL21">
        <v>419219827.35999978</v>
      </c>
      <c r="AM21">
        <v>1212222426.2400045</v>
      </c>
      <c r="AN21">
        <v>154176508.08000001</v>
      </c>
      <c r="AO21">
        <v>456105003.12000042</v>
      </c>
      <c r="AP21">
        <v>1044736727.9999998</v>
      </c>
    </row>
    <row r="22" spans="1:42" x14ac:dyDescent="0.25">
      <c r="A22">
        <v>20</v>
      </c>
      <c r="B22" t="s">
        <v>146</v>
      </c>
      <c r="C22">
        <v>2581782469.8142853</v>
      </c>
      <c r="D22">
        <v>952593877.1171422</v>
      </c>
      <c r="E22">
        <v>829614408.61714303</v>
      </c>
      <c r="F22">
        <v>2767675428.4428554</v>
      </c>
      <c r="G22">
        <v>4888055465.6257153</v>
      </c>
      <c r="H22">
        <v>2821045353.2542849</v>
      </c>
      <c r="I22">
        <v>1826848997.262857</v>
      </c>
      <c r="J22">
        <v>2870539750.7942839</v>
      </c>
      <c r="K22">
        <v>704719042.4436363</v>
      </c>
      <c r="L22">
        <v>2850321120.3342862</v>
      </c>
      <c r="M22">
        <v>4474822921.4399986</v>
      </c>
      <c r="N22">
        <v>3358020818.8800001</v>
      </c>
      <c r="O22">
        <v>2098458622.04</v>
      </c>
      <c r="P22">
        <v>2917738774.7199993</v>
      </c>
      <c r="Q22">
        <v>4679159318.0799971</v>
      </c>
      <c r="R22">
        <v>5331088082.3200026</v>
      </c>
      <c r="S22">
        <v>9025982111.5200024</v>
      </c>
      <c r="T22">
        <v>4967940344.159997</v>
      </c>
      <c r="U22">
        <v>282972936.24000001</v>
      </c>
      <c r="V22">
        <v>0</v>
      </c>
      <c r="W22">
        <v>960518338.56000042</v>
      </c>
      <c r="X22">
        <v>741951340.8799994</v>
      </c>
      <c r="Y22">
        <v>762208498.79999995</v>
      </c>
      <c r="Z22">
        <v>1418914086.3199999</v>
      </c>
      <c r="AA22">
        <v>1059755419.9199998</v>
      </c>
      <c r="AB22">
        <v>1615902175.4399998</v>
      </c>
      <c r="AC22">
        <v>782922330.24000001</v>
      </c>
      <c r="AD22">
        <v>780900868.972</v>
      </c>
      <c r="AE22">
        <v>2071913501.0599999</v>
      </c>
      <c r="AF22">
        <v>1470921274.98</v>
      </c>
      <c r="AG22">
        <v>1223508562.1600001</v>
      </c>
      <c r="AH22">
        <v>990493029.67999983</v>
      </c>
      <c r="AI22">
        <v>2585161482.2399988</v>
      </c>
      <c r="AJ22">
        <v>8978241480.0000076</v>
      </c>
      <c r="AK22">
        <v>1402661962.2000005</v>
      </c>
      <c r="AL22">
        <v>2832325862.3199997</v>
      </c>
      <c r="AM22">
        <v>4420982403.0000048</v>
      </c>
      <c r="AN22">
        <v>2695559103.9999995</v>
      </c>
      <c r="AO22">
        <v>3341225682.4000001</v>
      </c>
      <c r="AP22">
        <v>3926306307.8799996</v>
      </c>
    </row>
    <row r="23" spans="1:42" x14ac:dyDescent="0.25">
      <c r="A23">
        <v>21</v>
      </c>
      <c r="B23" t="s">
        <v>18</v>
      </c>
      <c r="C23">
        <v>978069833.73999977</v>
      </c>
      <c r="D23">
        <v>251892740.67428553</v>
      </c>
      <c r="E23">
        <v>191486445.63085717</v>
      </c>
      <c r="F23">
        <v>1714888057.9685702</v>
      </c>
      <c r="G23">
        <v>4454102116.6714306</v>
      </c>
      <c r="H23">
        <v>1791009821.6542852</v>
      </c>
      <c r="I23">
        <v>1064260732.1142856</v>
      </c>
      <c r="J23">
        <v>2115537255.7085698</v>
      </c>
      <c r="K23">
        <v>1034414498.6181818</v>
      </c>
      <c r="L23">
        <v>1836787457.2857144</v>
      </c>
      <c r="M23">
        <v>4042188710.3999987</v>
      </c>
      <c r="N23">
        <v>3057514145.2800002</v>
      </c>
      <c r="O23">
        <v>1759533584.6000001</v>
      </c>
      <c r="P23">
        <v>2785904880.6399989</v>
      </c>
      <c r="Q23">
        <v>4454028766.7199984</v>
      </c>
      <c r="R23">
        <v>5038297049.2000017</v>
      </c>
      <c r="S23">
        <v>8811855259.6800003</v>
      </c>
      <c r="T23">
        <v>4480587678.2399969</v>
      </c>
      <c r="U23">
        <v>538648081.32000005</v>
      </c>
      <c r="V23">
        <v>1132089446.3999999</v>
      </c>
      <c r="W23">
        <v>0</v>
      </c>
      <c r="X23">
        <v>1095001729.2799988</v>
      </c>
      <c r="Y23">
        <v>712297336.88</v>
      </c>
      <c r="Z23">
        <v>1317270482</v>
      </c>
      <c r="AA23">
        <v>1006072110.0000001</v>
      </c>
      <c r="AB23">
        <v>1339720487.2800002</v>
      </c>
      <c r="AC23">
        <v>903138961.91999996</v>
      </c>
      <c r="AD23">
        <v>1308308842.092</v>
      </c>
      <c r="AE23">
        <v>2176863853.46</v>
      </c>
      <c r="AF23">
        <v>765479993.43599999</v>
      </c>
      <c r="AG23">
        <v>595635937.51999998</v>
      </c>
      <c r="AH23">
        <v>432778729.91999996</v>
      </c>
      <c r="AI23">
        <v>1275451011.8399997</v>
      </c>
      <c r="AJ23">
        <v>4822937064.1200037</v>
      </c>
      <c r="AK23">
        <v>612585862.56000006</v>
      </c>
      <c r="AL23">
        <v>2322020485.8399992</v>
      </c>
      <c r="AM23">
        <v>3730116805.5600047</v>
      </c>
      <c r="AN23">
        <v>2119161234.3999999</v>
      </c>
      <c r="AO23">
        <v>2689263733.6000004</v>
      </c>
      <c r="AP23">
        <v>3327568320.9999995</v>
      </c>
    </row>
    <row r="24" spans="1:42" x14ac:dyDescent="0.25">
      <c r="A24">
        <v>22</v>
      </c>
      <c r="B24" t="s">
        <v>19</v>
      </c>
      <c r="C24">
        <v>3160708372.2999992</v>
      </c>
      <c r="D24">
        <v>849092570.5628562</v>
      </c>
      <c r="E24">
        <v>694733559.23428607</v>
      </c>
      <c r="F24">
        <v>2163706945.3285694</v>
      </c>
      <c r="G24">
        <v>4491951246.2428608</v>
      </c>
      <c r="H24">
        <v>1595373322.0371416</v>
      </c>
      <c r="I24">
        <v>816857646.32571387</v>
      </c>
      <c r="J24">
        <v>2320070470.1828547</v>
      </c>
      <c r="K24">
        <v>399853575.38181812</v>
      </c>
      <c r="L24">
        <v>1910563768.6714296</v>
      </c>
      <c r="M24">
        <v>2076827892.3999989</v>
      </c>
      <c r="N24">
        <v>1404707050.5999999</v>
      </c>
      <c r="O24">
        <v>536382574.56000012</v>
      </c>
      <c r="P24">
        <v>1223584962.5999994</v>
      </c>
      <c r="Q24">
        <v>2753963727.599998</v>
      </c>
      <c r="R24">
        <v>2862740990.2000017</v>
      </c>
      <c r="S24">
        <v>5773086306.3600006</v>
      </c>
      <c r="T24">
        <v>2414735968.9199977</v>
      </c>
      <c r="U24">
        <v>102449842.88000004</v>
      </c>
      <c r="V24">
        <v>927170889.79999959</v>
      </c>
      <c r="W24">
        <v>1120227683.2000003</v>
      </c>
      <c r="X24">
        <v>0</v>
      </c>
      <c r="Y24">
        <v>180662950.08000001</v>
      </c>
      <c r="Z24">
        <v>345639068.99999994</v>
      </c>
      <c r="AA24">
        <v>192092788.80000004</v>
      </c>
      <c r="AB24">
        <v>514197791.23999995</v>
      </c>
      <c r="AC24">
        <v>930581922.39999998</v>
      </c>
      <c r="AD24">
        <v>128464684.7316</v>
      </c>
      <c r="AE24">
        <v>721603414.25999999</v>
      </c>
      <c r="AF24">
        <v>779582404.06399989</v>
      </c>
      <c r="AG24">
        <v>517923248.95999998</v>
      </c>
      <c r="AH24">
        <v>375476715.23999995</v>
      </c>
      <c r="AI24">
        <v>2719646299.079999</v>
      </c>
      <c r="AJ24">
        <v>11550100147.20001</v>
      </c>
      <c r="AK24">
        <v>1142609646.8000004</v>
      </c>
      <c r="AL24">
        <v>801977576.03999972</v>
      </c>
      <c r="AM24">
        <v>1699580020.9600039</v>
      </c>
      <c r="AN24">
        <v>609020546.39999986</v>
      </c>
      <c r="AO24">
        <v>952186771.80000031</v>
      </c>
      <c r="AP24">
        <v>1462151434.8799996</v>
      </c>
    </row>
    <row r="25" spans="1:42" x14ac:dyDescent="0.25">
      <c r="A25">
        <v>23</v>
      </c>
      <c r="B25" t="s">
        <v>20</v>
      </c>
      <c r="C25">
        <v>2885754110.5914278</v>
      </c>
      <c r="D25">
        <v>620036776.84571338</v>
      </c>
      <c r="E25">
        <v>472203718.62857181</v>
      </c>
      <c r="F25">
        <v>1726493194.0199983</v>
      </c>
      <c r="G25">
        <v>3994730230.7485738</v>
      </c>
      <c r="H25">
        <v>1018450648.0685704</v>
      </c>
      <c r="I25">
        <v>343736271.1314283</v>
      </c>
      <c r="J25">
        <v>1887543671.1999977</v>
      </c>
      <c r="K25">
        <v>86936763.305454507</v>
      </c>
      <c r="L25">
        <v>1400081565.7200007</v>
      </c>
      <c r="M25">
        <v>1584516150.7199988</v>
      </c>
      <c r="N25">
        <v>1041024396.2399999</v>
      </c>
      <c r="O25">
        <v>194057812.4800002</v>
      </c>
      <c r="P25">
        <v>989537375.75999928</v>
      </c>
      <c r="Q25">
        <v>1901217673.3599985</v>
      </c>
      <c r="R25">
        <v>2342399179.0800018</v>
      </c>
      <c r="S25">
        <v>5313926938</v>
      </c>
      <c r="T25">
        <v>1674429861.4799979</v>
      </c>
      <c r="U25">
        <v>38830395.360000059</v>
      </c>
      <c r="V25">
        <v>1176586402.3199997</v>
      </c>
      <c r="W25">
        <v>916724391.12000024</v>
      </c>
      <c r="X25">
        <v>270034618.07999939</v>
      </c>
      <c r="Y25">
        <v>0</v>
      </c>
      <c r="Z25">
        <v>189072157.55999988</v>
      </c>
      <c r="AA25">
        <v>83454340.600000039</v>
      </c>
      <c r="AB25">
        <v>138342128.03999996</v>
      </c>
      <c r="AC25">
        <v>807447065.39999998</v>
      </c>
      <c r="AD25">
        <v>417879612.708</v>
      </c>
      <c r="AE25">
        <v>585927870.03999996</v>
      </c>
      <c r="AF25">
        <v>404700980.40000004</v>
      </c>
      <c r="AG25">
        <v>157321979.36000007</v>
      </c>
      <c r="AH25">
        <v>52816018.879999988</v>
      </c>
      <c r="AI25">
        <v>2398915878.3599987</v>
      </c>
      <c r="AJ25">
        <v>11315471006.400009</v>
      </c>
      <c r="AK25">
        <v>853631961.6000005</v>
      </c>
      <c r="AL25">
        <v>285984041.15999973</v>
      </c>
      <c r="AM25">
        <v>972074055.60000396</v>
      </c>
      <c r="AN25">
        <v>61988919.68</v>
      </c>
      <c r="AO25">
        <v>314271931.28000033</v>
      </c>
      <c r="AP25">
        <v>821281863.5999999</v>
      </c>
    </row>
    <row r="26" spans="1:42" x14ac:dyDescent="0.25">
      <c r="A26">
        <v>24</v>
      </c>
      <c r="B26" t="s">
        <v>21</v>
      </c>
      <c r="C26">
        <v>4780513894.4514265</v>
      </c>
      <c r="D26">
        <v>1170517280.8657131</v>
      </c>
      <c r="E26">
        <v>931434227.34857213</v>
      </c>
      <c r="F26">
        <v>2538903284.2799978</v>
      </c>
      <c r="G26">
        <v>5459552903.5285749</v>
      </c>
      <c r="H26">
        <v>1549245120.8885701</v>
      </c>
      <c r="I26">
        <v>681658033.15142822</v>
      </c>
      <c r="J26">
        <v>2764718846.4971399</v>
      </c>
      <c r="K26">
        <v>236603482.92363629</v>
      </c>
      <c r="L26">
        <v>2052976045.5000012</v>
      </c>
      <c r="M26">
        <v>1241394781.4399991</v>
      </c>
      <c r="N26">
        <v>713736910.08000004</v>
      </c>
      <c r="O26">
        <v>176556508.24000007</v>
      </c>
      <c r="P26">
        <v>492428037.11999971</v>
      </c>
      <c r="Q26">
        <v>1451260629.1199992</v>
      </c>
      <c r="R26">
        <v>1599274561.6000013</v>
      </c>
      <c r="S26">
        <v>4037279779.1200004</v>
      </c>
      <c r="T26">
        <v>1406924141.9999983</v>
      </c>
      <c r="U26">
        <v>162615203.5200001</v>
      </c>
      <c r="V26">
        <v>2231119928.3199997</v>
      </c>
      <c r="W26">
        <v>1756786485.6000004</v>
      </c>
      <c r="X26">
        <v>542030518.799999</v>
      </c>
      <c r="Y26">
        <v>228941770.20000005</v>
      </c>
      <c r="Z26">
        <v>0</v>
      </c>
      <c r="AA26">
        <v>90030074.88000004</v>
      </c>
      <c r="AB26">
        <v>187140193.19999999</v>
      </c>
      <c r="AC26">
        <v>2032111532.1599998</v>
      </c>
      <c r="AD26">
        <v>1011381422.248</v>
      </c>
      <c r="AE26">
        <v>147508471.71799996</v>
      </c>
      <c r="AF26">
        <v>758791011.49199998</v>
      </c>
      <c r="AG26">
        <v>410658122.00000006</v>
      </c>
      <c r="AH26">
        <v>251578661.83999994</v>
      </c>
      <c r="AI26">
        <v>3794631214.079998</v>
      </c>
      <c r="AJ26">
        <v>16919470550.400015</v>
      </c>
      <c r="AK26">
        <v>1455833468.7600007</v>
      </c>
      <c r="AL26">
        <v>336087454.55999976</v>
      </c>
      <c r="AM26">
        <v>981742361.40000308</v>
      </c>
      <c r="AN26">
        <v>191259567.08000001</v>
      </c>
      <c r="AO26">
        <v>420245817.68000019</v>
      </c>
      <c r="AP26">
        <v>806021450.39999998</v>
      </c>
    </row>
    <row r="27" spans="1:42" x14ac:dyDescent="0.25">
      <c r="A27">
        <v>25</v>
      </c>
      <c r="B27" t="s">
        <v>22</v>
      </c>
      <c r="C27">
        <v>4071423170.2114277</v>
      </c>
      <c r="D27">
        <v>985500640.94571304</v>
      </c>
      <c r="E27">
        <v>781267782.86857176</v>
      </c>
      <c r="F27">
        <v>2279951622.4399977</v>
      </c>
      <c r="G27">
        <v>4952284483.9285746</v>
      </c>
      <c r="H27">
        <v>1421456664.6485698</v>
      </c>
      <c r="I27">
        <v>615027129.23142815</v>
      </c>
      <c r="J27">
        <v>2478327786.8799973</v>
      </c>
      <c r="K27">
        <v>271313604.21818173</v>
      </c>
      <c r="L27">
        <v>1867613775.5000007</v>
      </c>
      <c r="M27">
        <v>1453070355.1999989</v>
      </c>
      <c r="N27">
        <v>900116783.35999978</v>
      </c>
      <c r="O27">
        <v>235478554.84000012</v>
      </c>
      <c r="P27">
        <v>728194292.47999942</v>
      </c>
      <c r="Q27">
        <v>1938980482.5599985</v>
      </c>
      <c r="R27">
        <v>2096561838.0000014</v>
      </c>
      <c r="S27">
        <v>4618613728.8000002</v>
      </c>
      <c r="T27">
        <v>1737840307.6799982</v>
      </c>
      <c r="U27">
        <v>124441393.00000006</v>
      </c>
      <c r="V27">
        <v>1772701257.5999994</v>
      </c>
      <c r="W27">
        <v>1453654620.0000005</v>
      </c>
      <c r="X27">
        <v>352794583.67999935</v>
      </c>
      <c r="Y27">
        <v>140889889.40000007</v>
      </c>
      <c r="Z27">
        <v>113800012.79999998</v>
      </c>
      <c r="AA27">
        <v>0</v>
      </c>
      <c r="AB27">
        <v>261166414.07999995</v>
      </c>
      <c r="AC27">
        <v>1562985164.6400001</v>
      </c>
      <c r="AD27">
        <v>710255910.33600008</v>
      </c>
      <c r="AE27">
        <v>228750698.40000001</v>
      </c>
      <c r="AF27">
        <v>670838095.33999991</v>
      </c>
      <c r="AG27">
        <v>360885144.24000007</v>
      </c>
      <c r="AH27">
        <v>218282298.88</v>
      </c>
      <c r="AI27">
        <v>3289921706.2399988</v>
      </c>
      <c r="AJ27">
        <v>14692189539.160015</v>
      </c>
      <c r="AK27">
        <v>1260960404.4800005</v>
      </c>
      <c r="AL27">
        <v>397500609.59999979</v>
      </c>
      <c r="AM27">
        <v>1096063198.8800035</v>
      </c>
      <c r="AN27">
        <v>221755418.19999999</v>
      </c>
      <c r="AO27">
        <v>476083215.20000029</v>
      </c>
      <c r="AP27">
        <v>917247308.51999986</v>
      </c>
    </row>
    <row r="28" spans="1:42" x14ac:dyDescent="0.25">
      <c r="A28">
        <v>26</v>
      </c>
      <c r="B28" t="s">
        <v>23</v>
      </c>
      <c r="C28">
        <v>5218491780.3057127</v>
      </c>
      <c r="D28">
        <v>1184068535.1285698</v>
      </c>
      <c r="E28">
        <v>919719620.57142901</v>
      </c>
      <c r="F28">
        <v>2409581799.8285689</v>
      </c>
      <c r="G28">
        <v>5352255517.1685743</v>
      </c>
      <c r="H28">
        <v>1303004667.7428555</v>
      </c>
      <c r="I28">
        <v>489210463.67142826</v>
      </c>
      <c r="J28">
        <v>2641454417.4628539</v>
      </c>
      <c r="K28">
        <v>53076081.759999983</v>
      </c>
      <c r="L28">
        <v>1879020190.0114295</v>
      </c>
      <c r="M28">
        <v>1489315720.1999986</v>
      </c>
      <c r="N28">
        <v>954993145.67999995</v>
      </c>
      <c r="O28">
        <v>186843196.64000016</v>
      </c>
      <c r="P28">
        <v>867019042.95999932</v>
      </c>
      <c r="Q28">
        <v>983391489.39999926</v>
      </c>
      <c r="R28">
        <v>1345429920.3200011</v>
      </c>
      <c r="S28">
        <v>4212713757.1999998</v>
      </c>
      <c r="T28">
        <v>1175952376.8399985</v>
      </c>
      <c r="U28">
        <v>113696362.56000014</v>
      </c>
      <c r="V28">
        <v>2658826102.9199991</v>
      </c>
      <c r="W28">
        <v>1877169246.1200008</v>
      </c>
      <c r="X28">
        <v>910985154.99999809</v>
      </c>
      <c r="Y28">
        <v>206941824.96000007</v>
      </c>
      <c r="Z28">
        <v>204602224.59999996</v>
      </c>
      <c r="AA28">
        <v>208400200.32000011</v>
      </c>
      <c r="AB28">
        <v>0</v>
      </c>
      <c r="AC28">
        <v>2312681508.7200003</v>
      </c>
      <c r="AD28">
        <v>1469849136.9520001</v>
      </c>
      <c r="AE28">
        <v>904397127</v>
      </c>
      <c r="AF28">
        <v>642146942.51999998</v>
      </c>
      <c r="AG28">
        <v>268000276.0800001</v>
      </c>
      <c r="AH28">
        <v>108631806.43999998</v>
      </c>
      <c r="AI28">
        <v>4028523192.2399979</v>
      </c>
      <c r="AJ28">
        <v>18558713300.640015</v>
      </c>
      <c r="AK28">
        <v>1466827217.7600007</v>
      </c>
      <c r="AL28">
        <v>301971351.35999978</v>
      </c>
      <c r="AM28">
        <v>896795402.40000343</v>
      </c>
      <c r="AN28">
        <v>84795075.200000018</v>
      </c>
      <c r="AO28">
        <v>336725213.0000003</v>
      </c>
      <c r="AP28">
        <v>834128215.19999981</v>
      </c>
    </row>
    <row r="29" spans="1:42" x14ac:dyDescent="0.25">
      <c r="A29">
        <v>27</v>
      </c>
      <c r="B29" t="s">
        <v>24</v>
      </c>
      <c r="C29">
        <v>2245404591.485714</v>
      </c>
      <c r="D29">
        <v>818389981.3885709</v>
      </c>
      <c r="E29">
        <v>705456668.05714309</v>
      </c>
      <c r="F29">
        <v>2635009839.762856</v>
      </c>
      <c r="G29">
        <v>4680194367.2342873</v>
      </c>
      <c r="H29">
        <v>2767632627.2399988</v>
      </c>
      <c r="I29">
        <v>1778470587.1028569</v>
      </c>
      <c r="J29">
        <v>2730305380.2514267</v>
      </c>
      <c r="K29">
        <v>1388974224.04</v>
      </c>
      <c r="L29">
        <v>2762875913.3485723</v>
      </c>
      <c r="M29">
        <v>4377512382.7599983</v>
      </c>
      <c r="N29">
        <v>3249946108.2399998</v>
      </c>
      <c r="O29">
        <v>2037224911.6800001</v>
      </c>
      <c r="P29">
        <v>2769064617.3599987</v>
      </c>
      <c r="Q29">
        <v>4223494687.079998</v>
      </c>
      <c r="R29">
        <v>5122443583.2000027</v>
      </c>
      <c r="S29">
        <v>8777529795.6000004</v>
      </c>
      <c r="T29">
        <v>4831884932.8799973</v>
      </c>
      <c r="U29">
        <v>515380343.68000007</v>
      </c>
      <c r="V29">
        <v>785233076.91999984</v>
      </c>
      <c r="W29">
        <v>770910408.32000005</v>
      </c>
      <c r="X29">
        <v>751160997.59999943</v>
      </c>
      <c r="Y29">
        <v>531521388.00000006</v>
      </c>
      <c r="Z29">
        <v>1313012976.4799998</v>
      </c>
      <c r="AA29">
        <v>951250647.24000013</v>
      </c>
      <c r="AB29">
        <v>1431144604.5599997</v>
      </c>
      <c r="AC29">
        <v>0</v>
      </c>
      <c r="AD29">
        <v>780984631.90799999</v>
      </c>
      <c r="AE29">
        <v>1864397474.9400001</v>
      </c>
      <c r="AF29">
        <v>1400351001.3999999</v>
      </c>
      <c r="AG29">
        <v>1163640355.6399999</v>
      </c>
      <c r="AH29">
        <v>932482427.27999997</v>
      </c>
      <c r="AI29">
        <v>2338522249.6399989</v>
      </c>
      <c r="AJ29">
        <v>8060227230.0000057</v>
      </c>
      <c r="AK29">
        <v>1272825593.6000006</v>
      </c>
      <c r="AL29">
        <v>2795177088.6799998</v>
      </c>
      <c r="AM29">
        <v>4392731390.0000038</v>
      </c>
      <c r="AN29">
        <v>2678121688.3199997</v>
      </c>
      <c r="AO29">
        <v>3324538167.4800005</v>
      </c>
      <c r="AP29">
        <v>3883364675.2000003</v>
      </c>
    </row>
    <row r="30" spans="1:42" x14ac:dyDescent="0.25">
      <c r="A30">
        <v>28</v>
      </c>
      <c r="B30" t="s">
        <v>25</v>
      </c>
      <c r="C30">
        <v>436515524.65337133</v>
      </c>
      <c r="D30">
        <v>1156802965.277142</v>
      </c>
      <c r="E30">
        <v>1000283595.8068575</v>
      </c>
      <c r="F30">
        <v>2826588314.7468557</v>
      </c>
      <c r="G30">
        <v>5171566285.5034304</v>
      </c>
      <c r="H30">
        <v>2573275834.502285</v>
      </c>
      <c r="I30">
        <v>1625121840.278857</v>
      </c>
      <c r="J30">
        <v>2963843603.3142834</v>
      </c>
      <c r="K30">
        <v>1389352632.549818</v>
      </c>
      <c r="L30">
        <v>2742036785.4062862</v>
      </c>
      <c r="M30">
        <v>3259816998.2239985</v>
      </c>
      <c r="N30">
        <v>2327443673.5679998</v>
      </c>
      <c r="O30">
        <v>1293694443.072</v>
      </c>
      <c r="P30">
        <v>1953291355.1679995</v>
      </c>
      <c r="Q30">
        <v>3501286687.2239976</v>
      </c>
      <c r="R30">
        <v>4003359197.3760018</v>
      </c>
      <c r="S30">
        <v>7258435720.2000008</v>
      </c>
      <c r="T30">
        <v>3684054122.5919976</v>
      </c>
      <c r="U30">
        <v>192238574.62400004</v>
      </c>
      <c r="V30">
        <v>931549121.8319999</v>
      </c>
      <c r="W30">
        <v>1326799047.4320002</v>
      </c>
      <c r="X30">
        <v>127922318.16559987</v>
      </c>
      <c r="Y30">
        <v>332252279.32799995</v>
      </c>
      <c r="Z30">
        <v>774798945.4879998</v>
      </c>
      <c r="AA30">
        <v>502357865.85600001</v>
      </c>
      <c r="AB30">
        <v>1073485395.4719998</v>
      </c>
      <c r="AC30">
        <v>925836393.76799989</v>
      </c>
      <c r="AD30">
        <v>0</v>
      </c>
      <c r="AE30">
        <v>1188458614.98</v>
      </c>
      <c r="AF30">
        <v>1400048375.908</v>
      </c>
      <c r="AG30">
        <v>1124547107.3760002</v>
      </c>
      <c r="AH30">
        <v>917465613.9599998</v>
      </c>
      <c r="AI30">
        <v>3058664124.8159986</v>
      </c>
      <c r="AJ30">
        <v>11329464328.544008</v>
      </c>
      <c r="AK30">
        <v>1556304804.8640003</v>
      </c>
      <c r="AL30">
        <v>1850380870.6799996</v>
      </c>
      <c r="AM30">
        <v>3146790765.0080042</v>
      </c>
      <c r="AN30">
        <v>1712068556.224</v>
      </c>
      <c r="AO30">
        <v>2228639778.7840004</v>
      </c>
      <c r="AP30">
        <v>2748922471.7759995</v>
      </c>
    </row>
    <row r="31" spans="1:42" x14ac:dyDescent="0.25">
      <c r="A31">
        <v>29</v>
      </c>
      <c r="B31" t="s">
        <v>147</v>
      </c>
      <c r="C31">
        <v>675886062.3542856</v>
      </c>
      <c r="D31">
        <v>952633644.85714197</v>
      </c>
      <c r="E31">
        <v>797591322.35714316</v>
      </c>
      <c r="F31">
        <v>1815364273.98857</v>
      </c>
      <c r="G31">
        <v>5902328329.7828598</v>
      </c>
      <c r="H31">
        <v>2297398003.4571414</v>
      </c>
      <c r="I31">
        <v>1341261237.0857141</v>
      </c>
      <c r="J31">
        <v>3252871926.1628547</v>
      </c>
      <c r="K31">
        <v>190738032.27818179</v>
      </c>
      <c r="L31">
        <v>2690564179.0114303</v>
      </c>
      <c r="M31">
        <v>1788115526.1199987</v>
      </c>
      <c r="N31">
        <v>1093680340.22</v>
      </c>
      <c r="O31">
        <v>450265162.92000014</v>
      </c>
      <c r="P31">
        <v>750486816.5399996</v>
      </c>
      <c r="Q31">
        <v>1923079218.2999985</v>
      </c>
      <c r="R31">
        <v>2266546058.0800014</v>
      </c>
      <c r="S31">
        <v>4781047857.5</v>
      </c>
      <c r="T31">
        <v>2105249742.8599982</v>
      </c>
      <c r="U31">
        <v>408347104.6400001</v>
      </c>
      <c r="V31">
        <v>2293265921.1799998</v>
      </c>
      <c r="W31">
        <v>1963168404.9400005</v>
      </c>
      <c r="X31">
        <v>607724766.89999926</v>
      </c>
      <c r="Y31">
        <v>340785590.76000005</v>
      </c>
      <c r="Z31">
        <v>83589482.033999979</v>
      </c>
      <c r="AA31">
        <v>114667077.60000002</v>
      </c>
      <c r="AB31">
        <v>462667971</v>
      </c>
      <c r="AC31">
        <v>2052024754.78</v>
      </c>
      <c r="AD31">
        <v>1054017787.6799999</v>
      </c>
      <c r="AE31">
        <v>0</v>
      </c>
      <c r="AF31">
        <v>1292011064.76</v>
      </c>
      <c r="AG31">
        <v>947631629.38000011</v>
      </c>
      <c r="AH31">
        <v>751929448.01999998</v>
      </c>
      <c r="AI31">
        <v>4020610779.5199976</v>
      </c>
      <c r="AJ31">
        <v>16269740540.000013</v>
      </c>
      <c r="AK31">
        <v>1829618827.9000008</v>
      </c>
      <c r="AL31">
        <v>795796569.95999968</v>
      </c>
      <c r="AM31">
        <v>1694391024.7600033</v>
      </c>
      <c r="AN31">
        <v>685172900.10000002</v>
      </c>
      <c r="AO31">
        <v>1023246586.3200003</v>
      </c>
      <c r="AP31">
        <v>1416908486.9000001</v>
      </c>
    </row>
    <row r="32" spans="1:42" x14ac:dyDescent="0.25">
      <c r="A32">
        <v>30</v>
      </c>
      <c r="B32" t="s">
        <v>30</v>
      </c>
      <c r="C32">
        <v>1581247112.461714</v>
      </c>
      <c r="D32">
        <v>444369468.85428512</v>
      </c>
      <c r="E32">
        <v>405050429.434286</v>
      </c>
      <c r="F32">
        <v>318663511.7028569</v>
      </c>
      <c r="G32">
        <v>1037098646.2857147</v>
      </c>
      <c r="H32">
        <v>412330778.38285667</v>
      </c>
      <c r="I32">
        <v>110550868.7714285</v>
      </c>
      <c r="J32">
        <v>331066622.20571393</v>
      </c>
      <c r="K32">
        <v>38330601.818181813</v>
      </c>
      <c r="L32">
        <v>457338821.42857164</v>
      </c>
      <c r="M32">
        <v>2635546721.9999976</v>
      </c>
      <c r="N32">
        <v>1945065873.9599998</v>
      </c>
      <c r="O32">
        <v>459615916.64000034</v>
      </c>
      <c r="P32">
        <v>2119581301.4799984</v>
      </c>
      <c r="Q32">
        <v>4528489408.7999964</v>
      </c>
      <c r="R32">
        <v>4171925876.8000026</v>
      </c>
      <c r="S32">
        <v>8200983516.5999994</v>
      </c>
      <c r="T32">
        <v>3033939739.3199964</v>
      </c>
      <c r="U32">
        <v>141231620.88000014</v>
      </c>
      <c r="V32">
        <v>2232518846.9999995</v>
      </c>
      <c r="W32">
        <v>968193534.60000038</v>
      </c>
      <c r="X32">
        <v>1119507561.2799978</v>
      </c>
      <c r="Y32">
        <v>390339144.00000024</v>
      </c>
      <c r="Z32">
        <v>621911560.19999993</v>
      </c>
      <c r="AA32">
        <v>411382595.00000012</v>
      </c>
      <c r="AB32">
        <v>439202984.39999992</v>
      </c>
      <c r="AC32">
        <v>2093318526</v>
      </c>
      <c r="AD32">
        <v>1731664178.2839999</v>
      </c>
      <c r="AE32">
        <v>2142842633.7</v>
      </c>
      <c r="AF32">
        <v>0</v>
      </c>
      <c r="AG32">
        <v>14728370.248000003</v>
      </c>
      <c r="AH32">
        <v>24418567.999999993</v>
      </c>
      <c r="AI32">
        <v>835409408.27999961</v>
      </c>
      <c r="AJ32">
        <v>3387557064.9600034</v>
      </c>
      <c r="AK32">
        <v>354839833.68000019</v>
      </c>
      <c r="AL32">
        <v>607729164.43999958</v>
      </c>
      <c r="AM32">
        <v>1616857061.760006</v>
      </c>
      <c r="AN32">
        <v>221565720</v>
      </c>
      <c r="AO32">
        <v>627101041.20000041</v>
      </c>
      <c r="AP32">
        <v>1435750632.7999997</v>
      </c>
    </row>
    <row r="33" spans="1:42" x14ac:dyDescent="0.25">
      <c r="A33">
        <v>31</v>
      </c>
      <c r="B33" t="s">
        <v>31</v>
      </c>
      <c r="C33">
        <v>1386964239.1999996</v>
      </c>
      <c r="D33">
        <v>405623357.12857085</v>
      </c>
      <c r="E33">
        <v>374262748.33714306</v>
      </c>
      <c r="F33">
        <v>426039260.21142823</v>
      </c>
      <c r="G33">
        <v>1275351038.0000007</v>
      </c>
      <c r="H33">
        <v>465254460.66571373</v>
      </c>
      <c r="I33">
        <v>134800736.7599999</v>
      </c>
      <c r="J33">
        <v>459283175.31428522</v>
      </c>
      <c r="K33">
        <v>35519691.018181816</v>
      </c>
      <c r="L33">
        <v>531957260.71428597</v>
      </c>
      <c r="M33">
        <v>2595540722.9999976</v>
      </c>
      <c r="N33">
        <v>1911366844.1999998</v>
      </c>
      <c r="O33">
        <v>450994750.5600003</v>
      </c>
      <c r="P33">
        <v>2076296935.3999984</v>
      </c>
      <c r="Q33">
        <v>4492053287.119997</v>
      </c>
      <c r="R33">
        <v>4105966574.4000034</v>
      </c>
      <c r="S33">
        <v>8089547647.1599998</v>
      </c>
      <c r="T33">
        <v>2990962283.9599962</v>
      </c>
      <c r="U33">
        <v>135818562.24000013</v>
      </c>
      <c r="V33">
        <v>2131184658.1999996</v>
      </c>
      <c r="W33">
        <v>902413931.40000021</v>
      </c>
      <c r="X33">
        <v>1079878975.0399978</v>
      </c>
      <c r="Y33">
        <v>376460418.88000017</v>
      </c>
      <c r="Z33">
        <v>606079284.99999988</v>
      </c>
      <c r="AA33">
        <v>399576099.00000018</v>
      </c>
      <c r="AB33">
        <v>428944228.55999988</v>
      </c>
      <c r="AC33">
        <v>1987042354.6800001</v>
      </c>
      <c r="AD33">
        <v>1665139244.776</v>
      </c>
      <c r="AE33">
        <v>2084976841.0599999</v>
      </c>
      <c r="AF33">
        <v>31531539.621599998</v>
      </c>
      <c r="AG33">
        <v>0</v>
      </c>
      <c r="AH33">
        <v>17092997.599999998</v>
      </c>
      <c r="AI33">
        <v>717550819.55999959</v>
      </c>
      <c r="AJ33">
        <v>3120943777.4400029</v>
      </c>
      <c r="AK33">
        <v>311630555.04000014</v>
      </c>
      <c r="AL33">
        <v>598101193.99999964</v>
      </c>
      <c r="AM33">
        <v>1596103937.2800057</v>
      </c>
      <c r="AN33">
        <v>218199390.00000003</v>
      </c>
      <c r="AO33">
        <v>618413243.40000045</v>
      </c>
      <c r="AP33">
        <v>1415109820.3199999</v>
      </c>
    </row>
    <row r="34" spans="1:42" x14ac:dyDescent="0.25">
      <c r="A34">
        <v>32</v>
      </c>
      <c r="B34" t="s">
        <v>32</v>
      </c>
      <c r="C34">
        <v>914183281.90857124</v>
      </c>
      <c r="D34">
        <v>273292031.98857105</v>
      </c>
      <c r="E34">
        <v>258790461.22285736</v>
      </c>
      <c r="F34">
        <v>613771486.55428505</v>
      </c>
      <c r="G34">
        <v>1651865362.0228581</v>
      </c>
      <c r="H34">
        <v>496388708.25714231</v>
      </c>
      <c r="I34">
        <v>132392814.80571418</v>
      </c>
      <c r="J34">
        <v>656248758.17142785</v>
      </c>
      <c r="K34">
        <v>9953536.0436363574</v>
      </c>
      <c r="L34">
        <v>625369172.26857185</v>
      </c>
      <c r="M34">
        <v>2299149455.9999981</v>
      </c>
      <c r="N34">
        <v>1658091143.9999995</v>
      </c>
      <c r="O34">
        <v>282616010.32000029</v>
      </c>
      <c r="P34">
        <v>1820878063.6799984</v>
      </c>
      <c r="Q34">
        <v>4104303160.9599972</v>
      </c>
      <c r="R34">
        <v>3743876888.0000029</v>
      </c>
      <c r="S34">
        <v>7566669059.4400005</v>
      </c>
      <c r="T34">
        <v>2673615237.9999967</v>
      </c>
      <c r="U34">
        <v>53996599.800000124</v>
      </c>
      <c r="V34">
        <v>1787113424.3199995</v>
      </c>
      <c r="W34">
        <v>683766380.16000009</v>
      </c>
      <c r="X34">
        <v>896296405.83999801</v>
      </c>
      <c r="Y34">
        <v>266124140.48000005</v>
      </c>
      <c r="Z34">
        <v>457722845.35999984</v>
      </c>
      <c r="AA34">
        <v>275960829.44000006</v>
      </c>
      <c r="AB34">
        <v>286584841.67999989</v>
      </c>
      <c r="AC34">
        <v>1646234487.3599999</v>
      </c>
      <c r="AD34">
        <v>1414978191.0599999</v>
      </c>
      <c r="AE34">
        <v>1822309239.7399995</v>
      </c>
      <c r="AF34">
        <v>82586407.199999988</v>
      </c>
      <c r="AG34">
        <v>20231512.000000007</v>
      </c>
      <c r="AH34">
        <v>0</v>
      </c>
      <c r="AI34">
        <v>290982098.87999988</v>
      </c>
      <c r="AJ34">
        <v>2198523871.0800023</v>
      </c>
      <c r="AK34">
        <v>180353599.20000011</v>
      </c>
      <c r="AL34">
        <v>394141389.99999952</v>
      </c>
      <c r="AM34">
        <v>1317845790.1200058</v>
      </c>
      <c r="AN34">
        <v>23037562.679999996</v>
      </c>
      <c r="AO34">
        <v>389677319.28000051</v>
      </c>
      <c r="AP34">
        <v>1157580561.6800001</v>
      </c>
    </row>
    <row r="35" spans="1:42" x14ac:dyDescent="0.25">
      <c r="A35">
        <v>33</v>
      </c>
      <c r="B35" t="s">
        <v>33</v>
      </c>
      <c r="C35">
        <v>747141939.80571413</v>
      </c>
      <c r="D35">
        <v>461400933.21428537</v>
      </c>
      <c r="E35">
        <v>548699225.60000014</v>
      </c>
      <c r="F35">
        <v>1242650568.6914279</v>
      </c>
      <c r="G35">
        <v>2470617627.8142862</v>
      </c>
      <c r="H35">
        <v>1641962706.4999995</v>
      </c>
      <c r="I35">
        <v>940465900.71428549</v>
      </c>
      <c r="J35">
        <v>1265214771.4971418</v>
      </c>
      <c r="K35">
        <v>434489809.48363632</v>
      </c>
      <c r="L35">
        <v>1544610060.9200003</v>
      </c>
      <c r="M35">
        <v>5348181136.4799976</v>
      </c>
      <c r="N35">
        <v>4202036223.0399995</v>
      </c>
      <c r="O35">
        <v>2658108784.7599998</v>
      </c>
      <c r="P35">
        <v>3902258268.4799991</v>
      </c>
      <c r="Q35">
        <v>6384513727.199996</v>
      </c>
      <c r="R35">
        <v>6486956475.8400021</v>
      </c>
      <c r="S35">
        <v>10744720572</v>
      </c>
      <c r="T35">
        <v>5836450914.7199955</v>
      </c>
      <c r="U35">
        <v>1103180062.8799999</v>
      </c>
      <c r="V35">
        <v>2382913781.7599993</v>
      </c>
      <c r="W35">
        <v>984967255.0400002</v>
      </c>
      <c r="X35">
        <v>1938063992.3999982</v>
      </c>
      <c r="Y35">
        <v>1350565103.72</v>
      </c>
      <c r="Z35">
        <v>2109054075.5199997</v>
      </c>
      <c r="AA35">
        <v>1713446197.8399999</v>
      </c>
      <c r="AB35">
        <v>2122616888.7999995</v>
      </c>
      <c r="AC35">
        <v>2151521779.8399997</v>
      </c>
      <c r="AD35">
        <v>2333225875.8959999</v>
      </c>
      <c r="AE35">
        <v>3269375171.1999998</v>
      </c>
      <c r="AF35">
        <v>479863244.83599997</v>
      </c>
      <c r="AG35">
        <v>356601499.91999996</v>
      </c>
      <c r="AH35">
        <v>138741306.70399997</v>
      </c>
      <c r="AI35">
        <v>0</v>
      </c>
      <c r="AJ35">
        <v>2094809496.0800021</v>
      </c>
      <c r="AK35">
        <v>299258366.12000006</v>
      </c>
      <c r="AL35">
        <v>3357334851.1199985</v>
      </c>
      <c r="AM35">
        <v>5026254395.0000048</v>
      </c>
      <c r="AN35">
        <v>3140743478.0799994</v>
      </c>
      <c r="AO35">
        <v>3827033872.48</v>
      </c>
      <c r="AP35">
        <v>4543009108.1999989</v>
      </c>
    </row>
    <row r="36" spans="1:42" x14ac:dyDescent="0.25">
      <c r="A36">
        <v>34</v>
      </c>
      <c r="B36" t="s">
        <v>34</v>
      </c>
      <c r="C36">
        <v>1425608398.9285715</v>
      </c>
      <c r="D36">
        <v>1394527583.8</v>
      </c>
      <c r="E36">
        <v>1749595089.371429</v>
      </c>
      <c r="F36">
        <v>2823235185.0428567</v>
      </c>
      <c r="G36">
        <v>4529586480.9000006</v>
      </c>
      <c r="H36">
        <v>4931345175.4714279</v>
      </c>
      <c r="I36">
        <v>3206586456.4714289</v>
      </c>
      <c r="J36">
        <v>2768849217.8342857</v>
      </c>
      <c r="K36">
        <v>1151358626.7272727</v>
      </c>
      <c r="L36">
        <v>4026501961.1942859</v>
      </c>
      <c r="M36">
        <v>15243151968.719999</v>
      </c>
      <c r="N36">
        <v>12472509181.920002</v>
      </c>
      <c r="O36">
        <v>10222389913.32</v>
      </c>
      <c r="P36">
        <v>10785210809.440001</v>
      </c>
      <c r="Q36">
        <v>13906949529.599997</v>
      </c>
      <c r="R36">
        <v>15467488102.560001</v>
      </c>
      <c r="S36">
        <v>21556333848</v>
      </c>
      <c r="T36">
        <v>15994250305.919996</v>
      </c>
      <c r="U36">
        <v>4472047958.5600004</v>
      </c>
      <c r="V36">
        <v>5001420777.5999994</v>
      </c>
      <c r="W36">
        <v>2441519354.9599996</v>
      </c>
      <c r="X36">
        <v>5536668095.999999</v>
      </c>
      <c r="Y36">
        <v>4984836755.3599997</v>
      </c>
      <c r="Z36">
        <v>7446307189.7599993</v>
      </c>
      <c r="AA36">
        <v>6349770502.8800011</v>
      </c>
      <c r="AB36">
        <v>8031603385.6000004</v>
      </c>
      <c r="AC36">
        <v>4497439786.8000002</v>
      </c>
      <c r="AD36">
        <v>5706980794.7440004</v>
      </c>
      <c r="AE36">
        <v>8259729500.000001</v>
      </c>
      <c r="AF36">
        <v>1502306394.336</v>
      </c>
      <c r="AG36">
        <v>1330653491.04</v>
      </c>
      <c r="AH36">
        <v>926865801.11999989</v>
      </c>
      <c r="AI36">
        <v>1209978012.3199999</v>
      </c>
      <c r="AJ36">
        <v>0</v>
      </c>
      <c r="AK36">
        <v>398904891.78400004</v>
      </c>
      <c r="AL36">
        <v>12812042304</v>
      </c>
      <c r="AM36">
        <v>16907770823.520004</v>
      </c>
      <c r="AN36">
        <v>13034779191.719999</v>
      </c>
      <c r="AO36">
        <v>14758888795.839998</v>
      </c>
      <c r="AP36">
        <v>15394602022.200001</v>
      </c>
    </row>
    <row r="37" spans="1:42" x14ac:dyDescent="0.25">
      <c r="A37">
        <v>35</v>
      </c>
      <c r="B37" t="s">
        <v>35</v>
      </c>
      <c r="C37">
        <v>54828883.027999863</v>
      </c>
      <c r="D37">
        <v>240677107.37142831</v>
      </c>
      <c r="E37">
        <v>276876638.57142872</v>
      </c>
      <c r="F37">
        <v>818101332.33428514</v>
      </c>
      <c r="G37">
        <v>1924274330.5228581</v>
      </c>
      <c r="H37">
        <v>864190338.55714214</v>
      </c>
      <c r="I37">
        <v>385998192.85714269</v>
      </c>
      <c r="J37">
        <v>854765231.81142759</v>
      </c>
      <c r="K37">
        <v>104284675.72363633</v>
      </c>
      <c r="L37">
        <v>935726450.89714313</v>
      </c>
      <c r="M37">
        <v>3180493910.7199979</v>
      </c>
      <c r="N37">
        <v>2389209410.7199998</v>
      </c>
      <c r="O37">
        <v>1017601090.3200003</v>
      </c>
      <c r="P37">
        <v>2381519060.6399984</v>
      </c>
      <c r="Q37">
        <v>4569192651.1999969</v>
      </c>
      <c r="R37">
        <v>4467802419.5200033</v>
      </c>
      <c r="S37">
        <v>8321699666.000001</v>
      </c>
      <c r="T37">
        <v>3564329826.3199973</v>
      </c>
      <c r="U37">
        <v>371403579.16000003</v>
      </c>
      <c r="V37">
        <v>1737305928.7999995</v>
      </c>
      <c r="W37">
        <v>622690306.56000006</v>
      </c>
      <c r="X37">
        <v>1132835189.9999983</v>
      </c>
      <c r="Y37">
        <v>577381771.20000005</v>
      </c>
      <c r="Z37">
        <v>940173876.23999965</v>
      </c>
      <c r="AA37">
        <v>702762977.28000009</v>
      </c>
      <c r="AB37">
        <v>847097786.79999983</v>
      </c>
      <c r="AC37">
        <v>1563424409.5999997</v>
      </c>
      <c r="AD37">
        <v>1553592876.0839999</v>
      </c>
      <c r="AE37">
        <v>2145857665.4999995</v>
      </c>
      <c r="AF37">
        <v>249070516.31599995</v>
      </c>
      <c r="AG37">
        <v>154856642.07999998</v>
      </c>
      <c r="AH37">
        <v>79546080.959999979</v>
      </c>
      <c r="AI37">
        <v>415353644.31999981</v>
      </c>
      <c r="AJ37">
        <v>827463683.33600068</v>
      </c>
      <c r="AK37">
        <v>0</v>
      </c>
      <c r="AL37">
        <v>1315275489.5999994</v>
      </c>
      <c r="AM37">
        <v>2451930087.5200057</v>
      </c>
      <c r="AN37">
        <v>1007877044.6399999</v>
      </c>
      <c r="AO37">
        <v>1464520830.2400002</v>
      </c>
      <c r="AP37">
        <v>2189094139.3999996</v>
      </c>
    </row>
    <row r="38" spans="1:42" x14ac:dyDescent="0.25">
      <c r="A38">
        <v>36</v>
      </c>
      <c r="B38" t="s">
        <v>36</v>
      </c>
      <c r="C38">
        <v>8817805295.7857113</v>
      </c>
      <c r="D38">
        <v>2108482997.5685685</v>
      </c>
      <c r="E38">
        <v>1664845467.0571442</v>
      </c>
      <c r="F38">
        <v>3867834841.6142821</v>
      </c>
      <c r="G38">
        <v>8175937888.0800037</v>
      </c>
      <c r="H38">
        <v>2066091598.4599981</v>
      </c>
      <c r="I38">
        <v>861345030.908571</v>
      </c>
      <c r="J38">
        <v>4243558411.5314231</v>
      </c>
      <c r="K38">
        <v>285199903.60363626</v>
      </c>
      <c r="L38">
        <v>2926510693.6885729</v>
      </c>
      <c r="M38">
        <v>279673217.75999981</v>
      </c>
      <c r="N38">
        <v>426971439.99999994</v>
      </c>
      <c r="O38">
        <v>139318971.76000011</v>
      </c>
      <c r="P38">
        <v>735430053.67999959</v>
      </c>
      <c r="Q38">
        <v>3129829191.8399978</v>
      </c>
      <c r="R38">
        <v>1656298571.7600009</v>
      </c>
      <c r="S38">
        <v>2608541810.6400003</v>
      </c>
      <c r="T38">
        <v>1145628213.5999987</v>
      </c>
      <c r="U38">
        <v>257560504.00000021</v>
      </c>
      <c r="V38">
        <v>4806532280.5199986</v>
      </c>
      <c r="W38">
        <v>3400922132.3600011</v>
      </c>
      <c r="X38">
        <v>1544612686.919997</v>
      </c>
      <c r="Y38">
        <v>538997028.24000013</v>
      </c>
      <c r="Z38">
        <v>436801382.15999985</v>
      </c>
      <c r="AA38">
        <v>390952658.40000015</v>
      </c>
      <c r="AB38">
        <v>393865967.03999984</v>
      </c>
      <c r="AC38">
        <v>4654911678.4399996</v>
      </c>
      <c r="AD38">
        <v>2649464499.7799997</v>
      </c>
      <c r="AE38">
        <v>1651311785.6399999</v>
      </c>
      <c r="AF38">
        <v>1079061980.7879999</v>
      </c>
      <c r="AG38">
        <v>511703370.00000018</v>
      </c>
      <c r="AH38">
        <v>267532876.3599999</v>
      </c>
      <c r="AI38">
        <v>6568199780.9999962</v>
      </c>
      <c r="AJ38">
        <v>29825190112.000023</v>
      </c>
      <c r="AK38">
        <v>2462093160.0000014</v>
      </c>
      <c r="AL38">
        <v>0</v>
      </c>
      <c r="AM38">
        <v>416804279.04000151</v>
      </c>
      <c r="AN38">
        <v>16404492.719999997</v>
      </c>
      <c r="AO38">
        <v>112983411.64000008</v>
      </c>
      <c r="AP38">
        <v>307601236.79999995</v>
      </c>
    </row>
    <row r="39" spans="1:42" x14ac:dyDescent="0.25">
      <c r="A39">
        <v>37</v>
      </c>
      <c r="B39" t="s">
        <v>37</v>
      </c>
      <c r="C39">
        <v>11656748917.042854</v>
      </c>
      <c r="D39">
        <v>3111129426.5057101</v>
      </c>
      <c r="E39">
        <v>2543194017.068574</v>
      </c>
      <c r="F39">
        <v>5215273810.0714235</v>
      </c>
      <c r="G39">
        <v>10478334445.888577</v>
      </c>
      <c r="H39">
        <v>3018719835.4885688</v>
      </c>
      <c r="I39">
        <v>1557267902.6571419</v>
      </c>
      <c r="J39">
        <v>5677156781.657136</v>
      </c>
      <c r="K39">
        <v>812050718.48727262</v>
      </c>
      <c r="L39">
        <v>4050566727.0600028</v>
      </c>
      <c r="M39">
        <v>1105342125.4399993</v>
      </c>
      <c r="N39">
        <v>1210645501.1199999</v>
      </c>
      <c r="O39">
        <v>457176944.4000001</v>
      </c>
      <c r="P39">
        <v>1590514023.599999</v>
      </c>
      <c r="Q39">
        <v>3278978319.8799977</v>
      </c>
      <c r="R39">
        <v>1935791908.5200014</v>
      </c>
      <c r="S39">
        <v>1207021330.2400002</v>
      </c>
      <c r="T39">
        <v>1124650877.1999991</v>
      </c>
      <c r="U39">
        <v>698619391.68000031</v>
      </c>
      <c r="V39">
        <v>6725166854.4399996</v>
      </c>
      <c r="W39">
        <v>4801536723.5600004</v>
      </c>
      <c r="X39">
        <v>2471296591.0799952</v>
      </c>
      <c r="Y39">
        <v>1067498403.1200001</v>
      </c>
      <c r="Z39">
        <v>932569533.71999967</v>
      </c>
      <c r="AA39">
        <v>854319941.28000009</v>
      </c>
      <c r="AB39">
        <v>782419002.79999971</v>
      </c>
      <c r="AC39">
        <v>6586605859.3999987</v>
      </c>
      <c r="AD39">
        <v>3968768270.1480002</v>
      </c>
      <c r="AE39">
        <v>2796194182.9199991</v>
      </c>
      <c r="AF39">
        <v>1802967422.1960001</v>
      </c>
      <c r="AG39">
        <v>1098572386.3200002</v>
      </c>
      <c r="AH39">
        <v>782859584.99999988</v>
      </c>
      <c r="AI39">
        <v>8702002944.9999962</v>
      </c>
      <c r="AJ39">
        <v>37923127647.360039</v>
      </c>
      <c r="AK39">
        <v>3538305075.5200024</v>
      </c>
      <c r="AL39">
        <v>317085088.31999981</v>
      </c>
      <c r="AM39">
        <v>0</v>
      </c>
      <c r="AN39">
        <v>50629385.039999999</v>
      </c>
      <c r="AO39">
        <v>247009575.36000004</v>
      </c>
      <c r="AP39">
        <v>135986674.71999997</v>
      </c>
    </row>
    <row r="40" spans="1:42" x14ac:dyDescent="0.25">
      <c r="A40">
        <v>38</v>
      </c>
      <c r="B40" t="s">
        <v>38</v>
      </c>
      <c r="C40">
        <v>9055701187.2228546</v>
      </c>
      <c r="D40">
        <v>2019201739.2857113</v>
      </c>
      <c r="E40">
        <v>1555182925.0285728</v>
      </c>
      <c r="F40">
        <v>3770800108.2514248</v>
      </c>
      <c r="G40">
        <v>8289415389.9885769</v>
      </c>
      <c r="H40">
        <v>1846434948.4285691</v>
      </c>
      <c r="I40">
        <v>629927693.57142806</v>
      </c>
      <c r="J40">
        <v>4164238997.6571383</v>
      </c>
      <c r="K40">
        <v>68190745.716363579</v>
      </c>
      <c r="L40">
        <v>2761854429.3600016</v>
      </c>
      <c r="M40">
        <v>339588696.31999969</v>
      </c>
      <c r="N40">
        <v>504792093.52000004</v>
      </c>
      <c r="O40">
        <v>101022381.60000013</v>
      </c>
      <c r="P40">
        <v>788390753.03999937</v>
      </c>
      <c r="Q40">
        <v>2567521484.7999978</v>
      </c>
      <c r="R40">
        <v>1627842435.8400016</v>
      </c>
      <c r="S40">
        <v>2367608064</v>
      </c>
      <c r="T40">
        <v>1090586429.4399986</v>
      </c>
      <c r="U40">
        <v>105466046.28000025</v>
      </c>
      <c r="V40">
        <v>4914333567.999999</v>
      </c>
      <c r="W40">
        <v>3395374141.7600012</v>
      </c>
      <c r="X40">
        <v>1511255404.7999966</v>
      </c>
      <c r="Y40">
        <v>437310010.08000022</v>
      </c>
      <c r="Z40">
        <v>378348924.95999992</v>
      </c>
      <c r="AA40">
        <v>303553350.72000015</v>
      </c>
      <c r="AB40">
        <v>285069267.99999988</v>
      </c>
      <c r="AC40">
        <v>4775389823.3599997</v>
      </c>
      <c r="AD40">
        <v>2677416985.4639997</v>
      </c>
      <c r="AE40">
        <v>1704505744.5</v>
      </c>
      <c r="AF40">
        <v>887183364.91199994</v>
      </c>
      <c r="AG40">
        <v>299551035.84000015</v>
      </c>
      <c r="AH40">
        <v>55031878.079999968</v>
      </c>
      <c r="AI40">
        <v>6661479660.1599951</v>
      </c>
      <c r="AJ40">
        <v>31004332383.960022</v>
      </c>
      <c r="AK40">
        <v>2365139187.6800013</v>
      </c>
      <c r="AL40">
        <v>27709568.15999997</v>
      </c>
      <c r="AM40">
        <v>90186451.160000414</v>
      </c>
      <c r="AN40">
        <v>0</v>
      </c>
      <c r="AO40">
        <v>49905408.96000006</v>
      </c>
      <c r="AP40">
        <v>229819662.19999996</v>
      </c>
    </row>
    <row r="41" spans="1:42" x14ac:dyDescent="0.25">
      <c r="A41">
        <v>39</v>
      </c>
      <c r="B41" t="s">
        <v>39</v>
      </c>
      <c r="C41">
        <v>10362949536.471426</v>
      </c>
      <c r="D41">
        <v>2537893965.8857107</v>
      </c>
      <c r="E41">
        <v>2019395117.3485732</v>
      </c>
      <c r="F41">
        <v>4466691821.4999962</v>
      </c>
      <c r="G41">
        <v>9377194597.1485786</v>
      </c>
      <c r="H41">
        <v>2396136178.8685689</v>
      </c>
      <c r="I41">
        <v>1053719108.171428</v>
      </c>
      <c r="J41">
        <v>4896158395.7999945</v>
      </c>
      <c r="K41">
        <v>399712430.26909083</v>
      </c>
      <c r="L41">
        <v>3375042191.3200021</v>
      </c>
      <c r="M41">
        <v>683023496.87999952</v>
      </c>
      <c r="N41">
        <v>871238839.12000024</v>
      </c>
      <c r="O41">
        <v>248833094.00000018</v>
      </c>
      <c r="P41">
        <v>1170296413.1999993</v>
      </c>
      <c r="Q41">
        <v>3119517495.8399978</v>
      </c>
      <c r="R41">
        <v>1856086712.1600015</v>
      </c>
      <c r="S41">
        <v>2010924705.6000004</v>
      </c>
      <c r="T41">
        <v>1237253862.2399986</v>
      </c>
      <c r="U41">
        <v>365121876.08000028</v>
      </c>
      <c r="V41">
        <v>5814191613.5999985</v>
      </c>
      <c r="W41">
        <v>4080491093.920001</v>
      </c>
      <c r="X41">
        <v>1965743494.8799963</v>
      </c>
      <c r="Y41">
        <v>719874534.6400001</v>
      </c>
      <c r="Z41">
        <v>625156904.31999969</v>
      </c>
      <c r="AA41">
        <v>546337570.88000011</v>
      </c>
      <c r="AB41">
        <v>540076087.99999988</v>
      </c>
      <c r="AC41">
        <v>5673141356.3999996</v>
      </c>
      <c r="AD41">
        <v>3306604674.5440006</v>
      </c>
      <c r="AE41">
        <v>2232063308.7200003</v>
      </c>
      <c r="AF41">
        <v>1308351316.632</v>
      </c>
      <c r="AG41">
        <v>659704059.36000025</v>
      </c>
      <c r="AH41">
        <v>378743940.00000006</v>
      </c>
      <c r="AI41">
        <v>7677223780.6399946</v>
      </c>
      <c r="AJ41">
        <v>34571686380.560028</v>
      </c>
      <c r="AK41">
        <v>2923958879.920002</v>
      </c>
      <c r="AL41">
        <v>137290802.87999994</v>
      </c>
      <c r="AM41">
        <v>361505049.92000127</v>
      </c>
      <c r="AN41">
        <v>43830416.519999996</v>
      </c>
      <c r="AO41">
        <v>0</v>
      </c>
      <c r="AP41">
        <v>123350827.31999999</v>
      </c>
    </row>
    <row r="42" spans="1:42" x14ac:dyDescent="0.25">
      <c r="A42">
        <v>40</v>
      </c>
      <c r="B42" t="s">
        <v>40</v>
      </c>
      <c r="C42">
        <v>10815305323.497139</v>
      </c>
      <c r="D42">
        <v>3038505052.4399962</v>
      </c>
      <c r="E42">
        <v>2521570228.7257161</v>
      </c>
      <c r="F42">
        <v>5088809135.7257099</v>
      </c>
      <c r="G42">
        <v>9999094282.057148</v>
      </c>
      <c r="H42">
        <v>3125949841.2857118</v>
      </c>
      <c r="I42">
        <v>1727180318.374285</v>
      </c>
      <c r="J42">
        <v>5533731953.279994</v>
      </c>
      <c r="K42">
        <v>994999625.07272696</v>
      </c>
      <c r="L42">
        <v>4054026366.3428593</v>
      </c>
      <c r="M42">
        <v>1055859150.9999994</v>
      </c>
      <c r="N42">
        <v>1034970258.2799999</v>
      </c>
      <c r="O42">
        <v>444926945.28000009</v>
      </c>
      <c r="P42">
        <v>1359175741.5599992</v>
      </c>
      <c r="Q42">
        <v>3229543801.1999974</v>
      </c>
      <c r="R42">
        <v>1925303511.0000014</v>
      </c>
      <c r="S42">
        <v>1367933588.9200001</v>
      </c>
      <c r="T42">
        <v>1255622817.079999</v>
      </c>
      <c r="U42">
        <v>812390268.00000024</v>
      </c>
      <c r="V42">
        <v>6228186674.5999994</v>
      </c>
      <c r="W42">
        <v>4547872945.000001</v>
      </c>
      <c r="X42">
        <v>2339602549.6799955</v>
      </c>
      <c r="Y42">
        <v>1099834005.6000001</v>
      </c>
      <c r="Z42">
        <v>913912235.99999976</v>
      </c>
      <c r="AA42">
        <v>879309211.80000019</v>
      </c>
      <c r="AB42">
        <v>914902173.35999966</v>
      </c>
      <c r="AC42">
        <v>6067143204.7999992</v>
      </c>
      <c r="AD42">
        <v>3684001839.3360004</v>
      </c>
      <c r="AE42">
        <v>2510771861.3399992</v>
      </c>
      <c r="AF42">
        <v>1917110425.3399999</v>
      </c>
      <c r="AG42">
        <v>1263859528.6800001</v>
      </c>
      <c r="AH42">
        <v>961844096.88</v>
      </c>
      <c r="AI42">
        <v>8184391551.7199955</v>
      </c>
      <c r="AJ42">
        <v>34874306378.160034</v>
      </c>
      <c r="AK42">
        <v>3460478774.0800018</v>
      </c>
      <c r="AL42">
        <v>296344362.59999985</v>
      </c>
      <c r="AM42">
        <v>158150429.84000039</v>
      </c>
      <c r="AN42">
        <v>183609031.19999996</v>
      </c>
      <c r="AO42">
        <v>107765040.60000001</v>
      </c>
      <c r="AP42">
        <v>0</v>
      </c>
    </row>
    <row r="44" spans="1:42" x14ac:dyDescent="0.25">
      <c r="A44" t="s">
        <v>117</v>
      </c>
      <c r="B44" t="s">
        <v>118</v>
      </c>
      <c r="C44" t="s">
        <v>119</v>
      </c>
      <c r="D44" t="s">
        <v>120</v>
      </c>
      <c r="E44" t="s">
        <v>123</v>
      </c>
    </row>
    <row r="45" spans="1:42" hidden="1" x14ac:dyDescent="0.25">
      <c r="A45">
        <v>1</v>
      </c>
      <c r="B45">
        <v>1</v>
      </c>
      <c r="C45" t="s">
        <v>0</v>
      </c>
      <c r="D45" t="s">
        <v>0</v>
      </c>
      <c r="E45" s="4">
        <f ca="1">OFFSET($B$2,A45,B45)</f>
        <v>0</v>
      </c>
      <c r="G45" t="s">
        <v>0</v>
      </c>
      <c r="H45" t="b">
        <f>G45=D45</f>
        <v>1</v>
      </c>
    </row>
    <row r="46" spans="1:42" hidden="1" x14ac:dyDescent="0.25">
      <c r="A46">
        <v>1</v>
      </c>
      <c r="B46">
        <v>2</v>
      </c>
      <c r="C46" t="s">
        <v>0</v>
      </c>
      <c r="D46" t="s">
        <v>1</v>
      </c>
      <c r="E46" s="4">
        <f t="shared" ref="E46:E108" ca="1" si="0">OFFSET($B$2,A46,B46)</f>
        <v>320399050.80114281</v>
      </c>
      <c r="G46" t="s">
        <v>1</v>
      </c>
      <c r="H46" t="b">
        <f t="shared" ref="H46:H83" si="1">G46=D46</f>
        <v>1</v>
      </c>
    </row>
    <row r="47" spans="1:42" hidden="1" x14ac:dyDescent="0.25">
      <c r="A47">
        <v>1</v>
      </c>
      <c r="B47">
        <v>3</v>
      </c>
      <c r="C47" t="s">
        <v>0</v>
      </c>
      <c r="D47" t="s">
        <v>2</v>
      </c>
      <c r="E47" s="4">
        <f t="shared" ca="1" si="0"/>
        <v>600598972.48000014</v>
      </c>
      <c r="G47" t="s">
        <v>2</v>
      </c>
      <c r="H47" t="b">
        <f t="shared" si="1"/>
        <v>1</v>
      </c>
    </row>
    <row r="48" spans="1:42" hidden="1" x14ac:dyDescent="0.25">
      <c r="A48">
        <v>1</v>
      </c>
      <c r="B48">
        <v>4</v>
      </c>
      <c r="C48" t="s">
        <v>0</v>
      </c>
      <c r="D48" t="s">
        <v>3</v>
      </c>
      <c r="E48" s="4">
        <f t="shared" ca="1" si="0"/>
        <v>2704319031.9599996</v>
      </c>
      <c r="G48" t="s">
        <v>3</v>
      </c>
      <c r="H48" t="b">
        <f t="shared" si="1"/>
        <v>1</v>
      </c>
    </row>
    <row r="49" spans="1:8" hidden="1" x14ac:dyDescent="0.25">
      <c r="A49">
        <v>1</v>
      </c>
      <c r="B49">
        <v>5</v>
      </c>
      <c r="C49" t="s">
        <v>0</v>
      </c>
      <c r="D49" t="s">
        <v>4</v>
      </c>
      <c r="E49" s="4">
        <f t="shared" ca="1" si="0"/>
        <v>4363056263.7257147</v>
      </c>
      <c r="G49" t="s">
        <v>4</v>
      </c>
      <c r="H49" t="b">
        <f t="shared" si="1"/>
        <v>1</v>
      </c>
    </row>
    <row r="50" spans="1:8" hidden="1" x14ac:dyDescent="0.25">
      <c r="A50">
        <v>1</v>
      </c>
      <c r="B50">
        <v>6</v>
      </c>
      <c r="C50" t="s">
        <v>0</v>
      </c>
      <c r="D50" t="s">
        <v>5</v>
      </c>
      <c r="E50" s="4">
        <f t="shared" ca="1" si="0"/>
        <v>4027658441.7828565</v>
      </c>
      <c r="G50" t="s">
        <v>5</v>
      </c>
      <c r="H50" t="b">
        <f t="shared" si="1"/>
        <v>1</v>
      </c>
    </row>
    <row r="51" spans="1:8" hidden="1" x14ac:dyDescent="0.25">
      <c r="A51">
        <v>1</v>
      </c>
      <c r="B51">
        <v>7</v>
      </c>
      <c r="C51" t="s">
        <v>0</v>
      </c>
      <c r="D51" t="s">
        <v>6</v>
      </c>
      <c r="E51" s="4">
        <f t="shared" ca="1" si="0"/>
        <v>2682943204.3885713</v>
      </c>
      <c r="G51" t="s">
        <v>6</v>
      </c>
      <c r="H51" t="b">
        <f t="shared" si="1"/>
        <v>1</v>
      </c>
    </row>
    <row r="52" spans="1:8" hidden="1" x14ac:dyDescent="0.25">
      <c r="A52">
        <v>1</v>
      </c>
      <c r="B52">
        <v>8</v>
      </c>
      <c r="C52" t="s">
        <v>0</v>
      </c>
      <c r="D52" t="s">
        <v>7</v>
      </c>
      <c r="E52" s="4">
        <f t="shared" ca="1" si="0"/>
        <v>1685852868.8485708</v>
      </c>
      <c r="G52" t="s">
        <v>7</v>
      </c>
      <c r="H52" t="b">
        <f t="shared" si="1"/>
        <v>1</v>
      </c>
    </row>
    <row r="53" spans="1:8" hidden="1" x14ac:dyDescent="0.25">
      <c r="A53">
        <v>1</v>
      </c>
      <c r="B53">
        <v>9</v>
      </c>
      <c r="C53" t="s">
        <v>0</v>
      </c>
      <c r="D53" t="s">
        <v>148</v>
      </c>
      <c r="E53" s="4">
        <f t="shared" ca="1" si="0"/>
        <v>1150148693.8955846</v>
      </c>
      <c r="G53" t="s">
        <v>148</v>
      </c>
      <c r="H53" t="b">
        <f t="shared" si="1"/>
        <v>1</v>
      </c>
    </row>
    <row r="54" spans="1:8" hidden="1" x14ac:dyDescent="0.25">
      <c r="A54">
        <v>1</v>
      </c>
      <c r="B54">
        <v>10</v>
      </c>
      <c r="C54" t="s">
        <v>0</v>
      </c>
      <c r="D54" t="s">
        <v>9</v>
      </c>
      <c r="E54" s="4">
        <f t="shared" ca="1" si="0"/>
        <v>3530456373.6000009</v>
      </c>
      <c r="G54" t="s">
        <v>9</v>
      </c>
      <c r="H54" t="b">
        <f t="shared" si="1"/>
        <v>1</v>
      </c>
    </row>
    <row r="55" spans="1:8" hidden="1" x14ac:dyDescent="0.25">
      <c r="A55">
        <v>1</v>
      </c>
      <c r="B55">
        <v>11</v>
      </c>
      <c r="C55" t="s">
        <v>0</v>
      </c>
      <c r="D55" t="s">
        <v>10</v>
      </c>
      <c r="E55" s="4">
        <f t="shared" ca="1" si="0"/>
        <v>10456420588.431427</v>
      </c>
      <c r="G55" t="s">
        <v>10</v>
      </c>
      <c r="H55" t="b">
        <f t="shared" si="1"/>
        <v>1</v>
      </c>
    </row>
    <row r="56" spans="1:8" hidden="1" x14ac:dyDescent="0.25">
      <c r="A56">
        <v>1</v>
      </c>
      <c r="B56">
        <v>12</v>
      </c>
      <c r="C56" t="s">
        <v>0</v>
      </c>
      <c r="D56" t="s">
        <v>11</v>
      </c>
      <c r="E56" s="4">
        <f t="shared" ca="1" si="0"/>
        <v>8387437585.0571432</v>
      </c>
      <c r="G56" t="s">
        <v>11</v>
      </c>
      <c r="H56" t="b">
        <f t="shared" si="1"/>
        <v>1</v>
      </c>
    </row>
    <row r="57" spans="1:8" hidden="1" x14ac:dyDescent="0.25">
      <c r="A57">
        <v>1</v>
      </c>
      <c r="B57">
        <v>13</v>
      </c>
      <c r="C57" t="s">
        <v>0</v>
      </c>
      <c r="D57" t="s">
        <v>12</v>
      </c>
      <c r="E57" s="4">
        <f t="shared" ca="1" si="0"/>
        <v>6514353187.8428583</v>
      </c>
      <c r="G57" t="s">
        <v>12</v>
      </c>
      <c r="H57" t="b">
        <f t="shared" si="1"/>
        <v>1</v>
      </c>
    </row>
    <row r="58" spans="1:8" hidden="1" x14ac:dyDescent="0.25">
      <c r="A58">
        <v>1</v>
      </c>
      <c r="B58">
        <v>14</v>
      </c>
      <c r="C58" t="s">
        <v>0</v>
      </c>
      <c r="D58" t="s">
        <v>13</v>
      </c>
      <c r="E58" s="4">
        <f t="shared" ca="1" si="0"/>
        <v>7225783362.6742849</v>
      </c>
      <c r="G58" t="s">
        <v>13</v>
      </c>
      <c r="H58" t="b">
        <f t="shared" si="1"/>
        <v>1</v>
      </c>
    </row>
    <row r="59" spans="1:8" hidden="1" x14ac:dyDescent="0.25">
      <c r="A59">
        <v>1</v>
      </c>
      <c r="B59">
        <v>15</v>
      </c>
      <c r="C59" t="s">
        <v>0</v>
      </c>
      <c r="D59" t="s">
        <v>14</v>
      </c>
      <c r="E59" s="4">
        <f t="shared" ca="1" si="0"/>
        <v>10042238776.988569</v>
      </c>
      <c r="G59" t="s">
        <v>14</v>
      </c>
      <c r="H59" t="b">
        <f t="shared" si="1"/>
        <v>1</v>
      </c>
    </row>
    <row r="60" spans="1:8" hidden="1" x14ac:dyDescent="0.25">
      <c r="A60">
        <v>1</v>
      </c>
      <c r="B60">
        <v>16</v>
      </c>
      <c r="C60" t="s">
        <v>0</v>
      </c>
      <c r="D60" t="s">
        <v>15</v>
      </c>
      <c r="E60" s="4">
        <f t="shared" ca="1" si="0"/>
        <v>11275498965.04286</v>
      </c>
      <c r="G60" t="s">
        <v>15</v>
      </c>
      <c r="H60" t="b">
        <f t="shared" si="1"/>
        <v>1</v>
      </c>
    </row>
    <row r="61" spans="1:8" hidden="1" x14ac:dyDescent="0.25">
      <c r="A61">
        <v>1</v>
      </c>
      <c r="B61">
        <v>17</v>
      </c>
      <c r="C61" t="s">
        <v>0</v>
      </c>
      <c r="D61" t="s">
        <v>16</v>
      </c>
      <c r="E61" s="4">
        <f t="shared" ca="1" si="0"/>
        <v>16104451531.448574</v>
      </c>
      <c r="G61" t="s">
        <v>16</v>
      </c>
      <c r="H61" t="b">
        <f t="shared" si="1"/>
        <v>1</v>
      </c>
    </row>
    <row r="62" spans="1:8" hidden="1" x14ac:dyDescent="0.25">
      <c r="A62">
        <v>1</v>
      </c>
      <c r="B62">
        <v>18</v>
      </c>
      <c r="C62" t="s">
        <v>0</v>
      </c>
      <c r="D62" t="s">
        <v>17</v>
      </c>
      <c r="E62" s="4">
        <f t="shared" ca="1" si="0"/>
        <v>11199671479.285711</v>
      </c>
      <c r="G62" t="s">
        <v>17</v>
      </c>
      <c r="H62" t="b">
        <f t="shared" si="1"/>
        <v>1</v>
      </c>
    </row>
    <row r="63" spans="1:8" hidden="1" x14ac:dyDescent="0.25">
      <c r="A63">
        <v>1</v>
      </c>
      <c r="B63">
        <v>19</v>
      </c>
      <c r="C63" t="s">
        <v>0</v>
      </c>
      <c r="D63" t="s">
        <v>18</v>
      </c>
      <c r="E63" s="4">
        <f t="shared" ca="1" si="0"/>
        <v>2510424329.2857146</v>
      </c>
      <c r="G63" t="s">
        <v>18</v>
      </c>
      <c r="H63" t="b">
        <f t="shared" si="1"/>
        <v>1</v>
      </c>
    </row>
    <row r="64" spans="1:8" hidden="1" x14ac:dyDescent="0.25">
      <c r="A64">
        <v>1</v>
      </c>
      <c r="B64">
        <v>20</v>
      </c>
      <c r="C64" t="s">
        <v>0</v>
      </c>
      <c r="D64" t="s">
        <v>19</v>
      </c>
      <c r="E64" s="4">
        <f t="shared" ca="1" si="0"/>
        <v>2988992330.6142855</v>
      </c>
      <c r="G64" t="s">
        <v>19</v>
      </c>
      <c r="H64" t="b">
        <f t="shared" si="1"/>
        <v>1</v>
      </c>
    </row>
    <row r="65" spans="1:8" hidden="1" x14ac:dyDescent="0.25">
      <c r="A65">
        <v>1</v>
      </c>
      <c r="B65">
        <v>21</v>
      </c>
      <c r="C65" t="s">
        <v>0</v>
      </c>
      <c r="D65" t="s">
        <v>20</v>
      </c>
      <c r="E65" s="4">
        <f t="shared" ca="1" si="0"/>
        <v>1039414131.0200003</v>
      </c>
      <c r="G65" t="s">
        <v>20</v>
      </c>
      <c r="H65" t="b">
        <f t="shared" si="1"/>
        <v>1</v>
      </c>
    </row>
    <row r="66" spans="1:8" hidden="1" x14ac:dyDescent="0.25">
      <c r="A66">
        <v>1</v>
      </c>
      <c r="B66">
        <v>22</v>
      </c>
      <c r="C66" t="s">
        <v>0</v>
      </c>
      <c r="D66" t="s">
        <v>21</v>
      </c>
      <c r="E66" s="4">
        <f t="shared" ca="1" si="0"/>
        <v>3355067621.2999988</v>
      </c>
      <c r="G66" t="s">
        <v>21</v>
      </c>
      <c r="H66" t="b">
        <f t="shared" si="1"/>
        <v>1</v>
      </c>
    </row>
    <row r="67" spans="1:8" hidden="1" x14ac:dyDescent="0.25">
      <c r="A67">
        <v>1</v>
      </c>
      <c r="B67">
        <v>23</v>
      </c>
      <c r="C67" t="s">
        <v>0</v>
      </c>
      <c r="D67" t="s">
        <v>22</v>
      </c>
      <c r="E67" s="4">
        <f t="shared" ca="1" si="0"/>
        <v>2847276625.3914289</v>
      </c>
      <c r="G67" t="s">
        <v>22</v>
      </c>
      <c r="H67" t="b">
        <f t="shared" si="1"/>
        <v>1</v>
      </c>
    </row>
    <row r="68" spans="1:8" hidden="1" x14ac:dyDescent="0.25">
      <c r="A68">
        <v>1</v>
      </c>
      <c r="B68">
        <v>24</v>
      </c>
      <c r="C68" t="s">
        <v>0</v>
      </c>
      <c r="D68" t="s">
        <v>23</v>
      </c>
      <c r="E68" s="4">
        <f t="shared" ca="1" si="0"/>
        <v>4630797134.2914286</v>
      </c>
      <c r="G68" t="s">
        <v>23</v>
      </c>
      <c r="H68" t="b">
        <f t="shared" si="1"/>
        <v>1</v>
      </c>
    </row>
    <row r="69" spans="1:8" hidden="1" x14ac:dyDescent="0.25">
      <c r="A69">
        <v>1</v>
      </c>
      <c r="B69">
        <v>25</v>
      </c>
      <c r="C69" t="s">
        <v>0</v>
      </c>
      <c r="D69" t="s">
        <v>24</v>
      </c>
      <c r="E69" s="4">
        <f t="shared" ca="1" si="0"/>
        <v>3844079005.8914294</v>
      </c>
      <c r="G69" t="s">
        <v>24</v>
      </c>
      <c r="H69" t="b">
        <f t="shared" si="1"/>
        <v>1</v>
      </c>
    </row>
    <row r="70" spans="1:8" hidden="1" x14ac:dyDescent="0.25">
      <c r="A70">
        <v>1</v>
      </c>
      <c r="B70">
        <v>26</v>
      </c>
      <c r="C70" t="s">
        <v>0</v>
      </c>
      <c r="D70" t="s">
        <v>25</v>
      </c>
      <c r="E70" s="4">
        <f t="shared" ca="1" si="0"/>
        <v>5008940588.0257139</v>
      </c>
      <c r="G70" t="s">
        <v>25</v>
      </c>
      <c r="H70" t="b">
        <f t="shared" si="1"/>
        <v>1</v>
      </c>
    </row>
    <row r="71" spans="1:8" hidden="1" x14ac:dyDescent="0.25">
      <c r="A71">
        <v>1</v>
      </c>
      <c r="B71">
        <v>27</v>
      </c>
      <c r="C71" t="s">
        <v>0</v>
      </c>
      <c r="D71" t="s">
        <v>145</v>
      </c>
      <c r="E71" s="4">
        <f t="shared" ca="1" si="0"/>
        <v>2591094382.6857142</v>
      </c>
      <c r="G71" t="s">
        <v>145</v>
      </c>
      <c r="H71" t="b">
        <f t="shared" si="1"/>
        <v>1</v>
      </c>
    </row>
    <row r="72" spans="1:8" hidden="1" x14ac:dyDescent="0.25">
      <c r="A72">
        <v>1</v>
      </c>
      <c r="B72">
        <v>28</v>
      </c>
      <c r="C72" t="s">
        <v>0</v>
      </c>
      <c r="D72" t="s">
        <v>147</v>
      </c>
      <c r="E72" s="4">
        <f t="shared" ca="1" si="0"/>
        <v>460689109.88137144</v>
      </c>
      <c r="G72" t="s">
        <v>146</v>
      </c>
      <c r="H72" t="b">
        <f t="shared" si="1"/>
        <v>0</v>
      </c>
    </row>
    <row r="73" spans="1:8" hidden="1" x14ac:dyDescent="0.25">
      <c r="A73">
        <v>1</v>
      </c>
      <c r="B73">
        <v>29</v>
      </c>
      <c r="C73" t="s">
        <v>0</v>
      </c>
      <c r="D73" t="s">
        <v>146</v>
      </c>
      <c r="E73" s="4">
        <f t="shared" ca="1" si="0"/>
        <v>757459180.99428582</v>
      </c>
      <c r="G73" t="s">
        <v>30</v>
      </c>
      <c r="H73" t="b">
        <f t="shared" si="1"/>
        <v>0</v>
      </c>
    </row>
    <row r="74" spans="1:8" hidden="1" x14ac:dyDescent="0.25">
      <c r="A74">
        <v>1</v>
      </c>
      <c r="B74">
        <v>30</v>
      </c>
      <c r="C74" t="s">
        <v>0</v>
      </c>
      <c r="D74" t="s">
        <v>30</v>
      </c>
      <c r="E74" s="4">
        <f t="shared" ca="1" si="0"/>
        <v>1530071246.3177145</v>
      </c>
      <c r="G74" t="s">
        <v>31</v>
      </c>
      <c r="H74" t="b">
        <f t="shared" si="1"/>
        <v>0</v>
      </c>
    </row>
    <row r="75" spans="1:8" hidden="1" x14ac:dyDescent="0.25">
      <c r="A75">
        <v>1</v>
      </c>
      <c r="B75">
        <v>31</v>
      </c>
      <c r="C75" t="s">
        <v>0</v>
      </c>
      <c r="D75" t="s">
        <v>31</v>
      </c>
      <c r="E75" s="4">
        <f t="shared" ca="1" si="0"/>
        <v>1297982916.0000002</v>
      </c>
      <c r="G75" t="s">
        <v>32</v>
      </c>
      <c r="H75" t="b">
        <f t="shared" si="1"/>
        <v>0</v>
      </c>
    </row>
    <row r="76" spans="1:8" hidden="1" x14ac:dyDescent="0.25">
      <c r="A76">
        <v>1</v>
      </c>
      <c r="B76">
        <v>32</v>
      </c>
      <c r="C76" t="s">
        <v>0</v>
      </c>
      <c r="D76" t="s">
        <v>32</v>
      </c>
      <c r="E76" s="4">
        <f t="shared" ca="1" si="0"/>
        <v>850224102.70857143</v>
      </c>
      <c r="G76" t="s">
        <v>33</v>
      </c>
      <c r="H76" t="b">
        <f t="shared" si="1"/>
        <v>0</v>
      </c>
    </row>
    <row r="77" spans="1:8" hidden="1" x14ac:dyDescent="0.25">
      <c r="A77">
        <v>1</v>
      </c>
      <c r="B77">
        <v>33</v>
      </c>
      <c r="C77" t="s">
        <v>0</v>
      </c>
      <c r="D77" t="s">
        <v>33</v>
      </c>
      <c r="E77" s="4">
        <f t="shared" ca="1" si="0"/>
        <v>912549365.08571422</v>
      </c>
      <c r="G77" t="s">
        <v>34</v>
      </c>
      <c r="H77" t="b">
        <f t="shared" si="1"/>
        <v>0</v>
      </c>
    </row>
    <row r="78" spans="1:8" hidden="1" x14ac:dyDescent="0.25">
      <c r="A78">
        <v>1</v>
      </c>
      <c r="B78">
        <v>34</v>
      </c>
      <c r="C78" t="s">
        <v>0</v>
      </c>
      <c r="D78" t="s">
        <v>34</v>
      </c>
      <c r="E78" s="4">
        <f t="shared" ca="1" si="0"/>
        <v>2510438793.9285736</v>
      </c>
      <c r="G78" t="s">
        <v>35</v>
      </c>
      <c r="H78" t="b">
        <f t="shared" si="1"/>
        <v>0</v>
      </c>
    </row>
    <row r="79" spans="1:8" hidden="1" x14ac:dyDescent="0.25">
      <c r="A79">
        <v>1</v>
      </c>
      <c r="B79">
        <v>35</v>
      </c>
      <c r="C79" t="s">
        <v>0</v>
      </c>
      <c r="D79" t="s">
        <v>35</v>
      </c>
      <c r="E79" s="4">
        <f t="shared" ca="1" si="0"/>
        <v>487612468.22000009</v>
      </c>
      <c r="G79" t="s">
        <v>36</v>
      </c>
      <c r="H79" t="b">
        <f t="shared" si="1"/>
        <v>0</v>
      </c>
    </row>
    <row r="80" spans="1:8" hidden="1" x14ac:dyDescent="0.25">
      <c r="A80">
        <v>1</v>
      </c>
      <c r="B80">
        <v>36</v>
      </c>
      <c r="C80" t="s">
        <v>0</v>
      </c>
      <c r="D80" t="s">
        <v>36</v>
      </c>
      <c r="E80" s="4">
        <f t="shared" ca="1" si="0"/>
        <v>8328535136.7857151</v>
      </c>
      <c r="G80" t="s">
        <v>37</v>
      </c>
      <c r="H80" t="b">
        <f t="shared" si="1"/>
        <v>0</v>
      </c>
    </row>
    <row r="81" spans="1:9" hidden="1" x14ac:dyDescent="0.25">
      <c r="A81">
        <v>1</v>
      </c>
      <c r="B81">
        <v>37</v>
      </c>
      <c r="C81" t="s">
        <v>0</v>
      </c>
      <c r="D81" t="s">
        <v>37</v>
      </c>
      <c r="E81" s="4">
        <f t="shared" ca="1" si="0"/>
        <v>11381211649.282864</v>
      </c>
      <c r="G81" t="s">
        <v>38</v>
      </c>
      <c r="H81" t="b">
        <f t="shared" si="1"/>
        <v>0</v>
      </c>
    </row>
    <row r="82" spans="1:9" hidden="1" x14ac:dyDescent="0.25">
      <c r="A82">
        <v>1</v>
      </c>
      <c r="B82">
        <v>38</v>
      </c>
      <c r="C82" t="s">
        <v>0</v>
      </c>
      <c r="D82" t="s">
        <v>38</v>
      </c>
      <c r="E82" s="4">
        <f t="shared" ca="1" si="0"/>
        <v>8392447115.2228565</v>
      </c>
      <c r="G82" t="s">
        <v>39</v>
      </c>
      <c r="H82" t="b">
        <f t="shared" si="1"/>
        <v>0</v>
      </c>
    </row>
    <row r="83" spans="1:9" hidden="1" x14ac:dyDescent="0.25">
      <c r="A83">
        <v>1</v>
      </c>
      <c r="B83">
        <v>39</v>
      </c>
      <c r="C83" t="s">
        <v>0</v>
      </c>
      <c r="D83" t="s">
        <v>39</v>
      </c>
      <c r="E83" s="4">
        <f t="shared" ca="1" si="0"/>
        <v>9667730677.4314289</v>
      </c>
      <c r="G83" t="s">
        <v>40</v>
      </c>
      <c r="H83" t="b">
        <f t="shared" si="1"/>
        <v>0</v>
      </c>
    </row>
    <row r="84" spans="1:9" hidden="1" x14ac:dyDescent="0.25">
      <c r="A84">
        <v>1</v>
      </c>
      <c r="B84">
        <v>40</v>
      </c>
      <c r="C84" t="s">
        <v>0</v>
      </c>
      <c r="D84" t="s">
        <v>40</v>
      </c>
      <c r="E84" s="4">
        <f t="shared" ca="1" si="0"/>
        <v>10295334699.497143</v>
      </c>
    </row>
    <row r="85" spans="1:9" x14ac:dyDescent="0.25">
      <c r="A85">
        <v>2</v>
      </c>
      <c r="B85">
        <v>1</v>
      </c>
      <c r="C85" t="s">
        <v>1</v>
      </c>
      <c r="D85" t="s">
        <v>0</v>
      </c>
      <c r="E85" s="4">
        <f t="shared" ca="1" si="0"/>
        <v>296590633.00657147</v>
      </c>
    </row>
    <row r="86" spans="1:9" x14ac:dyDescent="0.25">
      <c r="A86">
        <v>2</v>
      </c>
      <c r="B86">
        <v>2</v>
      </c>
      <c r="C86" t="s">
        <v>1</v>
      </c>
      <c r="D86" t="s">
        <v>1</v>
      </c>
      <c r="E86" s="4">
        <f t="shared" ca="1" si="0"/>
        <v>0</v>
      </c>
    </row>
    <row r="87" spans="1:9" x14ac:dyDescent="0.25">
      <c r="A87">
        <v>2</v>
      </c>
      <c r="B87">
        <v>3</v>
      </c>
      <c r="C87" t="s">
        <v>1</v>
      </c>
      <c r="D87" t="s">
        <v>2</v>
      </c>
      <c r="E87" s="4">
        <f t="shared" ca="1" si="0"/>
        <v>70249539.538285762</v>
      </c>
    </row>
    <row r="88" spans="1:9" x14ac:dyDescent="0.25">
      <c r="A88">
        <v>2</v>
      </c>
      <c r="B88">
        <v>4</v>
      </c>
      <c r="C88" t="s">
        <v>1</v>
      </c>
      <c r="D88" t="s">
        <v>3</v>
      </c>
      <c r="E88" s="4">
        <f t="shared" ca="1" si="0"/>
        <v>984354820.76285636</v>
      </c>
    </row>
    <row r="89" spans="1:9" x14ac:dyDescent="0.25">
      <c r="A89">
        <v>2</v>
      </c>
      <c r="B89">
        <v>5</v>
      </c>
      <c r="C89" t="s">
        <v>1</v>
      </c>
      <c r="D89" t="s">
        <v>4</v>
      </c>
      <c r="E89" s="4">
        <f t="shared" ca="1" si="0"/>
        <v>2280400306.8600011</v>
      </c>
      <c r="I89">
        <v>23</v>
      </c>
    </row>
    <row r="90" spans="1:9" x14ac:dyDescent="0.25">
      <c r="A90">
        <v>2</v>
      </c>
      <c r="B90">
        <v>6</v>
      </c>
      <c r="C90" t="s">
        <v>1</v>
      </c>
      <c r="D90" t="s">
        <v>5</v>
      </c>
      <c r="E90" s="4">
        <f t="shared" ca="1" si="0"/>
        <v>858567890.17999935</v>
      </c>
      <c r="I90">
        <v>25</v>
      </c>
    </row>
    <row r="91" spans="1:9" x14ac:dyDescent="0.25">
      <c r="A91">
        <v>2</v>
      </c>
      <c r="B91">
        <v>7</v>
      </c>
      <c r="C91" t="s">
        <v>1</v>
      </c>
      <c r="D91" t="s">
        <v>6</v>
      </c>
      <c r="E91" s="4">
        <f t="shared" ca="1" si="0"/>
        <v>367403303.61428559</v>
      </c>
      <c r="I91">
        <v>28</v>
      </c>
    </row>
    <row r="92" spans="1:9" x14ac:dyDescent="0.25">
      <c r="A92">
        <v>2</v>
      </c>
      <c r="B92">
        <v>8</v>
      </c>
      <c r="C92" t="s">
        <v>1</v>
      </c>
      <c r="D92" t="s">
        <v>7</v>
      </c>
      <c r="E92" s="4">
        <f t="shared" ca="1" si="0"/>
        <v>1055689289.1999991</v>
      </c>
    </row>
    <row r="93" spans="1:9" x14ac:dyDescent="0.25">
      <c r="A93">
        <v>2</v>
      </c>
      <c r="B93">
        <v>9</v>
      </c>
      <c r="C93" t="s">
        <v>1</v>
      </c>
      <c r="D93" t="s">
        <v>148</v>
      </c>
      <c r="E93" s="4">
        <f t="shared" ca="1" si="0"/>
        <v>114621137.65818182</v>
      </c>
    </row>
    <row r="94" spans="1:9" x14ac:dyDescent="0.25">
      <c r="A94">
        <v>2</v>
      </c>
      <c r="B94">
        <v>10</v>
      </c>
      <c r="C94" t="s">
        <v>1</v>
      </c>
      <c r="D94" t="s">
        <v>9</v>
      </c>
      <c r="E94" s="4">
        <f t="shared" ca="1" si="0"/>
        <v>992241831.69428623</v>
      </c>
    </row>
    <row r="95" spans="1:9" x14ac:dyDescent="0.25">
      <c r="A95">
        <v>2</v>
      </c>
      <c r="B95">
        <v>11</v>
      </c>
      <c r="C95" t="s">
        <v>1</v>
      </c>
      <c r="D95" t="s">
        <v>10</v>
      </c>
      <c r="E95" s="4">
        <f t="shared" ca="1" si="0"/>
        <v>2628641691.3599982</v>
      </c>
    </row>
    <row r="96" spans="1:9" x14ac:dyDescent="0.25">
      <c r="A96">
        <v>2</v>
      </c>
      <c r="B96">
        <v>12</v>
      </c>
      <c r="C96" t="s">
        <v>1</v>
      </c>
      <c r="D96" t="s">
        <v>11</v>
      </c>
      <c r="E96" s="4">
        <f t="shared" ca="1" si="0"/>
        <v>1920121956.48</v>
      </c>
    </row>
    <row r="97" spans="1:5" x14ac:dyDescent="0.25">
      <c r="A97">
        <v>2</v>
      </c>
      <c r="B97">
        <v>13</v>
      </c>
      <c r="C97" t="s">
        <v>1</v>
      </c>
      <c r="D97" t="s">
        <v>12</v>
      </c>
      <c r="E97" s="4">
        <f t="shared" ca="1" si="0"/>
        <v>684687702.16000032</v>
      </c>
    </row>
    <row r="98" spans="1:5" x14ac:dyDescent="0.25">
      <c r="A98">
        <v>2</v>
      </c>
      <c r="B98">
        <v>14</v>
      </c>
      <c r="C98" t="s">
        <v>1</v>
      </c>
      <c r="D98" t="s">
        <v>13</v>
      </c>
      <c r="E98" s="4">
        <f t="shared" ca="1" si="0"/>
        <v>1915296224.9599986</v>
      </c>
    </row>
    <row r="99" spans="1:5" x14ac:dyDescent="0.25">
      <c r="A99">
        <v>2</v>
      </c>
      <c r="B99">
        <v>15</v>
      </c>
      <c r="C99" t="s">
        <v>1</v>
      </c>
      <c r="D99" t="s">
        <v>14</v>
      </c>
      <c r="E99" s="4">
        <f t="shared" ca="1" si="0"/>
        <v>3628137772.159997</v>
      </c>
    </row>
    <row r="100" spans="1:5" x14ac:dyDescent="0.25">
      <c r="A100">
        <v>2</v>
      </c>
      <c r="B100">
        <v>16</v>
      </c>
      <c r="C100" t="s">
        <v>1</v>
      </c>
      <c r="D100" t="s">
        <v>15</v>
      </c>
      <c r="E100" s="4">
        <f t="shared" ca="1" si="0"/>
        <v>3823648974.6400032</v>
      </c>
    </row>
    <row r="101" spans="1:5" x14ac:dyDescent="0.25">
      <c r="A101">
        <v>2</v>
      </c>
      <c r="B101">
        <v>17</v>
      </c>
      <c r="C101" t="s">
        <v>1</v>
      </c>
      <c r="D101" t="s">
        <v>16</v>
      </c>
      <c r="E101" s="4">
        <f t="shared" ca="1" si="0"/>
        <v>7409086330.4000006</v>
      </c>
    </row>
    <row r="102" spans="1:5" x14ac:dyDescent="0.25">
      <c r="A102">
        <v>2</v>
      </c>
      <c r="B102">
        <v>18</v>
      </c>
      <c r="C102" t="s">
        <v>1</v>
      </c>
      <c r="D102" t="s">
        <v>17</v>
      </c>
      <c r="E102" s="4">
        <f t="shared" ca="1" si="0"/>
        <v>3002948353.9199972</v>
      </c>
    </row>
    <row r="103" spans="1:5" x14ac:dyDescent="0.25">
      <c r="A103">
        <v>2</v>
      </c>
      <c r="B103">
        <v>19</v>
      </c>
      <c r="C103" t="s">
        <v>1</v>
      </c>
      <c r="D103" t="s">
        <v>18</v>
      </c>
      <c r="E103" s="4">
        <f t="shared" ca="1" si="0"/>
        <v>200790779.52000004</v>
      </c>
    </row>
    <row r="104" spans="1:5" x14ac:dyDescent="0.25">
      <c r="A104">
        <v>2</v>
      </c>
      <c r="B104">
        <v>20</v>
      </c>
      <c r="C104" t="s">
        <v>1</v>
      </c>
      <c r="D104" t="s">
        <v>19</v>
      </c>
      <c r="E104" s="4">
        <f t="shared" ca="1" si="0"/>
        <v>1161951171.04</v>
      </c>
    </row>
    <row r="105" spans="1:5" x14ac:dyDescent="0.25">
      <c r="A105">
        <v>2</v>
      </c>
      <c r="B105">
        <v>21</v>
      </c>
      <c r="C105" t="s">
        <v>1</v>
      </c>
      <c r="D105" t="s">
        <v>20</v>
      </c>
      <c r="E105" s="4">
        <f t="shared" ca="1" si="0"/>
        <v>248011269.12000006</v>
      </c>
    </row>
    <row r="106" spans="1:5" x14ac:dyDescent="0.25">
      <c r="A106">
        <v>2</v>
      </c>
      <c r="B106">
        <v>22</v>
      </c>
      <c r="C106" t="s">
        <v>1</v>
      </c>
      <c r="D106" t="s">
        <v>21</v>
      </c>
      <c r="E106" s="4">
        <f t="shared" ca="1" si="0"/>
        <v>800237115.75999856</v>
      </c>
    </row>
    <row r="107" spans="1:5" x14ac:dyDescent="0.25">
      <c r="A107">
        <v>2</v>
      </c>
      <c r="B107">
        <v>23</v>
      </c>
      <c r="C107" t="s">
        <v>1</v>
      </c>
      <c r="D107" t="s">
        <v>22</v>
      </c>
      <c r="E107" s="4">
        <f t="shared" ca="1" si="0"/>
        <v>361531035.19999999</v>
      </c>
    </row>
    <row r="108" spans="1:5" x14ac:dyDescent="0.25">
      <c r="A108">
        <v>2</v>
      </c>
      <c r="B108">
        <v>24</v>
      </c>
      <c r="C108" t="s">
        <v>1</v>
      </c>
      <c r="D108" t="s">
        <v>23</v>
      </c>
      <c r="E108" s="4">
        <f t="shared" ca="1" si="0"/>
        <v>656843149.51999986</v>
      </c>
    </row>
    <row r="109" spans="1:5" x14ac:dyDescent="0.25">
      <c r="A109">
        <v>2</v>
      </c>
      <c r="B109">
        <v>25</v>
      </c>
      <c r="C109" t="s">
        <v>1</v>
      </c>
      <c r="D109" t="s">
        <v>24</v>
      </c>
      <c r="E109" s="4">
        <f t="shared" ref="E109:E170" ca="1" si="2">OFFSET($B$2,A109,B109)</f>
        <v>459135003.12000006</v>
      </c>
    </row>
    <row r="110" spans="1:5" x14ac:dyDescent="0.25">
      <c r="A110">
        <v>2</v>
      </c>
      <c r="B110">
        <v>26</v>
      </c>
      <c r="C110" t="s">
        <v>1</v>
      </c>
      <c r="D110" t="s">
        <v>25</v>
      </c>
      <c r="E110" s="4">
        <f t="shared" ca="1" si="2"/>
        <v>565303779.12</v>
      </c>
    </row>
    <row r="111" spans="1:5" x14ac:dyDescent="0.25">
      <c r="A111">
        <v>2</v>
      </c>
      <c r="B111">
        <v>27</v>
      </c>
      <c r="C111" t="s">
        <v>1</v>
      </c>
      <c r="D111" t="s">
        <v>145</v>
      </c>
      <c r="E111" s="4">
        <f t="shared" ca="1" si="2"/>
        <v>989925530.87999988</v>
      </c>
    </row>
    <row r="112" spans="1:5" x14ac:dyDescent="0.25">
      <c r="A112">
        <v>2</v>
      </c>
      <c r="B112">
        <v>28</v>
      </c>
      <c r="C112" t="s">
        <v>1</v>
      </c>
      <c r="D112" t="s">
        <v>147</v>
      </c>
      <c r="E112" s="4">
        <f t="shared" ca="1" si="2"/>
        <v>1117064082.4199998</v>
      </c>
    </row>
    <row r="113" spans="1:5" x14ac:dyDescent="0.25">
      <c r="A113">
        <v>2</v>
      </c>
      <c r="B113">
        <v>29</v>
      </c>
      <c r="C113" t="s">
        <v>1</v>
      </c>
      <c r="D113" t="s">
        <v>146</v>
      </c>
      <c r="E113" s="4">
        <f t="shared" ca="1" si="2"/>
        <v>1086019851.8</v>
      </c>
    </row>
    <row r="114" spans="1:5" x14ac:dyDescent="0.25">
      <c r="A114">
        <v>2</v>
      </c>
      <c r="B114">
        <v>30</v>
      </c>
      <c r="C114" t="s">
        <v>1</v>
      </c>
      <c r="D114" t="s">
        <v>30</v>
      </c>
      <c r="E114" s="4">
        <f t="shared" ca="1" si="2"/>
        <v>273226639.45199996</v>
      </c>
    </row>
    <row r="115" spans="1:5" x14ac:dyDescent="0.25">
      <c r="A115">
        <v>2</v>
      </c>
      <c r="B115">
        <v>31</v>
      </c>
      <c r="C115" t="s">
        <v>1</v>
      </c>
      <c r="D115" t="s">
        <v>31</v>
      </c>
      <c r="E115" s="4">
        <f t="shared" ca="1" si="2"/>
        <v>159481949.20000002</v>
      </c>
    </row>
    <row r="116" spans="1:5" x14ac:dyDescent="0.25">
      <c r="A116">
        <v>2</v>
      </c>
      <c r="B116">
        <v>32</v>
      </c>
      <c r="C116" t="s">
        <v>1</v>
      </c>
      <c r="D116" t="s">
        <v>32</v>
      </c>
      <c r="E116" s="4">
        <f t="shared" ca="1" si="2"/>
        <v>88542934.720000014</v>
      </c>
    </row>
    <row r="117" spans="1:5" x14ac:dyDescent="0.25">
      <c r="A117">
        <v>2</v>
      </c>
      <c r="B117">
        <v>33</v>
      </c>
      <c r="C117" t="s">
        <v>1</v>
      </c>
      <c r="D117" t="s">
        <v>33</v>
      </c>
      <c r="E117" s="4">
        <f t="shared" ca="1" si="2"/>
        <v>633934127.51999962</v>
      </c>
    </row>
    <row r="118" spans="1:5" x14ac:dyDescent="0.25">
      <c r="A118">
        <v>2</v>
      </c>
      <c r="B118">
        <v>34</v>
      </c>
      <c r="C118" t="s">
        <v>1</v>
      </c>
      <c r="D118" t="s">
        <v>34</v>
      </c>
      <c r="E118" s="4">
        <f t="shared" ca="1" si="2"/>
        <v>2898153913.2000022</v>
      </c>
    </row>
    <row r="119" spans="1:5" x14ac:dyDescent="0.25">
      <c r="A119">
        <v>2</v>
      </c>
      <c r="B119">
        <v>35</v>
      </c>
      <c r="C119" t="s">
        <v>1</v>
      </c>
      <c r="D119" t="s">
        <v>35</v>
      </c>
      <c r="E119" s="4">
        <f t="shared" ca="1" si="2"/>
        <v>229423697.76000014</v>
      </c>
    </row>
    <row r="120" spans="1:5" x14ac:dyDescent="0.25">
      <c r="A120">
        <v>2</v>
      </c>
      <c r="B120">
        <v>36</v>
      </c>
      <c r="C120" t="s">
        <v>1</v>
      </c>
      <c r="D120" t="s">
        <v>36</v>
      </c>
      <c r="E120" s="4">
        <f t="shared" ca="1" si="2"/>
        <v>916509463.11999953</v>
      </c>
    </row>
    <row r="121" spans="1:5" x14ac:dyDescent="0.25">
      <c r="A121">
        <v>2</v>
      </c>
      <c r="B121">
        <v>37</v>
      </c>
      <c r="C121" t="s">
        <v>1</v>
      </c>
      <c r="D121" t="s">
        <v>37</v>
      </c>
      <c r="E121" s="4">
        <f t="shared" ca="1" si="2"/>
        <v>1921102355.4000053</v>
      </c>
    </row>
    <row r="122" spans="1:5" x14ac:dyDescent="0.25">
      <c r="A122">
        <v>2</v>
      </c>
      <c r="B122">
        <v>38</v>
      </c>
      <c r="C122" t="s">
        <v>1</v>
      </c>
      <c r="D122" t="s">
        <v>38</v>
      </c>
      <c r="E122" s="4">
        <f t="shared" ca="1" si="2"/>
        <v>620464452.39999998</v>
      </c>
    </row>
    <row r="123" spans="1:5" x14ac:dyDescent="0.25">
      <c r="A123">
        <v>2</v>
      </c>
      <c r="B123">
        <v>39</v>
      </c>
      <c r="C123" t="s">
        <v>1</v>
      </c>
      <c r="D123" t="s">
        <v>39</v>
      </c>
      <c r="E123" s="4">
        <f t="shared" ca="1" si="2"/>
        <v>1018190372.8000005</v>
      </c>
    </row>
    <row r="124" spans="1:5" x14ac:dyDescent="0.25">
      <c r="A124">
        <v>2</v>
      </c>
      <c r="B124">
        <v>40</v>
      </c>
      <c r="C124" t="s">
        <v>1</v>
      </c>
      <c r="D124" t="s">
        <v>40</v>
      </c>
      <c r="E124" s="4">
        <f t="shared" ca="1" si="2"/>
        <v>1697437261.52</v>
      </c>
    </row>
    <row r="125" spans="1:5" hidden="1" x14ac:dyDescent="0.25">
      <c r="A125">
        <v>3</v>
      </c>
      <c r="B125">
        <v>1</v>
      </c>
      <c r="C125" t="s">
        <v>2</v>
      </c>
      <c r="D125" t="s">
        <v>0</v>
      </c>
      <c r="E125" s="4">
        <f t="shared" ca="1" si="2"/>
        <v>632091645.12</v>
      </c>
    </row>
    <row r="126" spans="1:5" hidden="1" x14ac:dyDescent="0.25">
      <c r="A126">
        <v>3</v>
      </c>
      <c r="B126">
        <v>2</v>
      </c>
      <c r="C126" t="s">
        <v>2</v>
      </c>
      <c r="D126" t="s">
        <v>1</v>
      </c>
      <c r="E126" s="4">
        <f t="shared" ca="1" si="2"/>
        <v>111021184.67885713</v>
      </c>
    </row>
    <row r="127" spans="1:5" hidden="1" x14ac:dyDescent="0.25">
      <c r="A127">
        <v>3</v>
      </c>
      <c r="B127">
        <v>3</v>
      </c>
      <c r="C127" t="s">
        <v>2</v>
      </c>
      <c r="D127" t="s">
        <v>2</v>
      </c>
      <c r="E127" s="4">
        <f t="shared" ca="1" si="2"/>
        <v>0</v>
      </c>
    </row>
    <row r="128" spans="1:5" hidden="1" x14ac:dyDescent="0.25">
      <c r="A128">
        <v>3</v>
      </c>
      <c r="B128">
        <v>4</v>
      </c>
      <c r="C128" t="s">
        <v>2</v>
      </c>
      <c r="D128" t="s">
        <v>3</v>
      </c>
      <c r="E128" s="4">
        <f t="shared" ca="1" si="2"/>
        <v>1336998428.777142</v>
      </c>
    </row>
    <row r="129" spans="1:5" hidden="1" x14ac:dyDescent="0.25">
      <c r="A129">
        <v>3</v>
      </c>
      <c r="B129">
        <v>5</v>
      </c>
      <c r="C129" t="s">
        <v>2</v>
      </c>
      <c r="D129" t="s">
        <v>4</v>
      </c>
      <c r="E129" s="4">
        <f t="shared" ca="1" si="2"/>
        <v>2776390487.2971444</v>
      </c>
    </row>
    <row r="130" spans="1:5" hidden="1" x14ac:dyDescent="0.25">
      <c r="A130">
        <v>3</v>
      </c>
      <c r="B130">
        <v>6</v>
      </c>
      <c r="C130" t="s">
        <v>2</v>
      </c>
      <c r="D130" t="s">
        <v>5</v>
      </c>
      <c r="E130" s="4">
        <f t="shared" ca="1" si="2"/>
        <v>1311401733.8685708</v>
      </c>
    </row>
    <row r="131" spans="1:5" hidden="1" x14ac:dyDescent="0.25">
      <c r="A131">
        <v>3</v>
      </c>
      <c r="B131">
        <v>7</v>
      </c>
      <c r="C131" t="s">
        <v>2</v>
      </c>
      <c r="D131" t="s">
        <v>6</v>
      </c>
      <c r="E131" s="4">
        <f t="shared" ca="1" si="2"/>
        <v>700340908.68857121</v>
      </c>
    </row>
    <row r="132" spans="1:5" hidden="1" x14ac:dyDescent="0.25">
      <c r="A132">
        <v>3</v>
      </c>
      <c r="B132">
        <v>8</v>
      </c>
      <c r="C132" t="s">
        <v>2</v>
      </c>
      <c r="D132" t="s">
        <v>7</v>
      </c>
      <c r="E132" s="4">
        <f t="shared" ca="1" si="2"/>
        <v>1416527904.1828558</v>
      </c>
    </row>
    <row r="133" spans="1:5" hidden="1" x14ac:dyDescent="0.25">
      <c r="A133">
        <v>3</v>
      </c>
      <c r="B133">
        <v>9</v>
      </c>
      <c r="C133" t="s">
        <v>2</v>
      </c>
      <c r="D133" t="s">
        <v>148</v>
      </c>
      <c r="E133" s="4">
        <f t="shared" ca="1" si="2"/>
        <v>298570132.91688311</v>
      </c>
    </row>
    <row r="134" spans="1:5" hidden="1" x14ac:dyDescent="0.25">
      <c r="A134">
        <v>3</v>
      </c>
      <c r="B134">
        <v>10</v>
      </c>
      <c r="C134" t="s">
        <v>2</v>
      </c>
      <c r="D134" t="s">
        <v>9</v>
      </c>
      <c r="E134" s="4">
        <f t="shared" ca="1" si="2"/>
        <v>1403272385.1342864</v>
      </c>
    </row>
    <row r="135" spans="1:5" hidden="1" x14ac:dyDescent="0.25">
      <c r="A135">
        <v>3</v>
      </c>
      <c r="B135">
        <v>11</v>
      </c>
      <c r="C135" t="s">
        <v>2</v>
      </c>
      <c r="D135" t="s">
        <v>10</v>
      </c>
      <c r="E135" s="4">
        <f t="shared" ca="1" si="2"/>
        <v>3411244701.7314267</v>
      </c>
    </row>
    <row r="136" spans="1:5" hidden="1" x14ac:dyDescent="0.25">
      <c r="A136">
        <v>3</v>
      </c>
      <c r="B136">
        <v>12</v>
      </c>
      <c r="C136" t="s">
        <v>2</v>
      </c>
      <c r="D136" t="s">
        <v>11</v>
      </c>
      <c r="E136" s="4">
        <f t="shared" ca="1" si="2"/>
        <v>2560946439.6285715</v>
      </c>
    </row>
    <row r="137" spans="1:5" hidden="1" x14ac:dyDescent="0.25">
      <c r="A137">
        <v>3</v>
      </c>
      <c r="B137">
        <v>13</v>
      </c>
      <c r="C137" t="s">
        <v>2</v>
      </c>
      <c r="D137" t="s">
        <v>12</v>
      </c>
      <c r="E137" s="4">
        <f t="shared" ca="1" si="2"/>
        <v>1272486792.274286</v>
      </c>
    </row>
    <row r="138" spans="1:5" hidden="1" x14ac:dyDescent="0.25">
      <c r="A138">
        <v>3</v>
      </c>
      <c r="B138">
        <v>14</v>
      </c>
      <c r="C138" t="s">
        <v>2</v>
      </c>
      <c r="D138" t="s">
        <v>13</v>
      </c>
      <c r="E138" s="4">
        <f t="shared" ca="1" si="2"/>
        <v>2422841603.8742843</v>
      </c>
    </row>
    <row r="139" spans="1:5" hidden="1" x14ac:dyDescent="0.25">
      <c r="A139">
        <v>3</v>
      </c>
      <c r="B139">
        <v>15</v>
      </c>
      <c r="C139" t="s">
        <v>2</v>
      </c>
      <c r="D139" t="s">
        <v>14</v>
      </c>
      <c r="E139" s="4">
        <f t="shared" ca="1" si="2"/>
        <v>4148942882.3999972</v>
      </c>
    </row>
    <row r="140" spans="1:5" hidden="1" x14ac:dyDescent="0.25">
      <c r="A140">
        <v>3</v>
      </c>
      <c r="B140">
        <v>16</v>
      </c>
      <c r="C140" t="s">
        <v>2</v>
      </c>
      <c r="D140" t="s">
        <v>15</v>
      </c>
      <c r="E140" s="4">
        <f t="shared" ca="1" si="2"/>
        <v>4526151521.4000025</v>
      </c>
    </row>
    <row r="141" spans="1:5" hidden="1" x14ac:dyDescent="0.25">
      <c r="A141">
        <v>3</v>
      </c>
      <c r="B141">
        <v>17</v>
      </c>
      <c r="C141" t="s">
        <v>2</v>
      </c>
      <c r="D141" t="s">
        <v>16</v>
      </c>
      <c r="E141" s="4">
        <f t="shared" ca="1" si="2"/>
        <v>8236717554.9600029</v>
      </c>
    </row>
    <row r="142" spans="1:5" hidden="1" x14ac:dyDescent="0.25">
      <c r="A142">
        <v>3</v>
      </c>
      <c r="B142">
        <v>18</v>
      </c>
      <c r="C142" t="s">
        <v>2</v>
      </c>
      <c r="D142" t="s">
        <v>17</v>
      </c>
      <c r="E142" s="4">
        <f t="shared" ca="1" si="2"/>
        <v>3824594359.45714</v>
      </c>
    </row>
    <row r="143" spans="1:5" hidden="1" x14ac:dyDescent="0.25">
      <c r="A143">
        <v>3</v>
      </c>
      <c r="B143">
        <v>19</v>
      </c>
      <c r="C143" t="s">
        <v>2</v>
      </c>
      <c r="D143" t="s">
        <v>18</v>
      </c>
      <c r="E143" s="4">
        <f t="shared" ca="1" si="2"/>
        <v>410900874.05714297</v>
      </c>
    </row>
    <row r="144" spans="1:5" hidden="1" x14ac:dyDescent="0.25">
      <c r="A144">
        <v>3</v>
      </c>
      <c r="B144">
        <v>20</v>
      </c>
      <c r="C144" t="s">
        <v>2</v>
      </c>
      <c r="D144" t="s">
        <v>19</v>
      </c>
      <c r="E144" s="4">
        <f t="shared" ca="1" si="2"/>
        <v>1257357579.8057141</v>
      </c>
    </row>
    <row r="145" spans="1:5" hidden="1" x14ac:dyDescent="0.25">
      <c r="A145">
        <v>3</v>
      </c>
      <c r="B145">
        <v>21</v>
      </c>
      <c r="C145" t="s">
        <v>2</v>
      </c>
      <c r="D145" t="s">
        <v>20</v>
      </c>
      <c r="E145" s="4">
        <f t="shared" ca="1" si="2"/>
        <v>252343090.38228574</v>
      </c>
    </row>
    <row r="146" spans="1:5" hidden="1" x14ac:dyDescent="0.25">
      <c r="A146">
        <v>3</v>
      </c>
      <c r="B146">
        <v>22</v>
      </c>
      <c r="C146" t="s">
        <v>2</v>
      </c>
      <c r="D146" t="s">
        <v>21</v>
      </c>
      <c r="E146" s="4">
        <f t="shared" ca="1" si="2"/>
        <v>1014456756.0114272</v>
      </c>
    </row>
    <row r="147" spans="1:5" hidden="1" x14ac:dyDescent="0.25">
      <c r="A147">
        <v>3</v>
      </c>
      <c r="B147">
        <v>23</v>
      </c>
      <c r="C147" t="s">
        <v>2</v>
      </c>
      <c r="D147" t="s">
        <v>22</v>
      </c>
      <c r="E147" s="4">
        <f t="shared" ca="1" si="2"/>
        <v>584449762.74285722</v>
      </c>
    </row>
    <row r="148" spans="1:5" hidden="1" x14ac:dyDescent="0.25">
      <c r="A148">
        <v>3</v>
      </c>
      <c r="B148">
        <v>24</v>
      </c>
      <c r="C148" t="s">
        <v>2</v>
      </c>
      <c r="D148" t="s">
        <v>23</v>
      </c>
      <c r="E148" s="4">
        <f t="shared" ca="1" si="2"/>
        <v>1039236485.582857</v>
      </c>
    </row>
    <row r="149" spans="1:5" hidden="1" x14ac:dyDescent="0.25">
      <c r="A149">
        <v>3</v>
      </c>
      <c r="B149">
        <v>25</v>
      </c>
      <c r="C149" t="s">
        <v>2</v>
      </c>
      <c r="D149" t="s">
        <v>24</v>
      </c>
      <c r="E149" s="4">
        <f t="shared" ca="1" si="2"/>
        <v>780619117.58285725</v>
      </c>
    </row>
    <row r="150" spans="1:5" hidden="1" x14ac:dyDescent="0.25">
      <c r="A150">
        <v>3</v>
      </c>
      <c r="B150">
        <v>26</v>
      </c>
      <c r="C150" t="s">
        <v>2</v>
      </c>
      <c r="D150" t="s">
        <v>25</v>
      </c>
      <c r="E150" s="4">
        <f t="shared" ca="1" si="2"/>
        <v>1002731268.9371426</v>
      </c>
    </row>
    <row r="151" spans="1:5" hidden="1" x14ac:dyDescent="0.25">
      <c r="A151">
        <v>3</v>
      </c>
      <c r="B151">
        <v>27</v>
      </c>
      <c r="C151" t="s">
        <v>2</v>
      </c>
      <c r="D151" t="s">
        <v>145</v>
      </c>
      <c r="E151" s="4">
        <f t="shared" ca="1" si="2"/>
        <v>1055894867.4857143</v>
      </c>
    </row>
    <row r="152" spans="1:5" hidden="1" x14ac:dyDescent="0.25">
      <c r="A152">
        <v>3</v>
      </c>
      <c r="B152">
        <v>28</v>
      </c>
      <c r="C152" t="s">
        <v>2</v>
      </c>
      <c r="D152" t="s">
        <v>147</v>
      </c>
      <c r="E152" s="4">
        <f t="shared" ca="1" si="2"/>
        <v>1296240469.5982859</v>
      </c>
    </row>
    <row r="153" spans="1:5" hidden="1" x14ac:dyDescent="0.25">
      <c r="A153">
        <v>3</v>
      </c>
      <c r="B153">
        <v>29</v>
      </c>
      <c r="C153" t="s">
        <v>2</v>
      </c>
      <c r="D153" t="s">
        <v>146</v>
      </c>
      <c r="E153" s="4">
        <f t="shared" ca="1" si="2"/>
        <v>1286746921.3857141</v>
      </c>
    </row>
    <row r="154" spans="1:5" hidden="1" x14ac:dyDescent="0.25">
      <c r="A154">
        <v>3</v>
      </c>
      <c r="B154">
        <v>30</v>
      </c>
      <c r="C154" t="s">
        <v>2</v>
      </c>
      <c r="D154" t="s">
        <v>30</v>
      </c>
      <c r="E154" s="4">
        <f t="shared" ca="1" si="2"/>
        <v>502644701.52742863</v>
      </c>
    </row>
    <row r="155" spans="1:5" hidden="1" x14ac:dyDescent="0.25">
      <c r="A155">
        <v>3</v>
      </c>
      <c r="B155">
        <v>31</v>
      </c>
      <c r="C155" t="s">
        <v>2</v>
      </c>
      <c r="D155" t="s">
        <v>31</v>
      </c>
      <c r="E155" s="4">
        <f t="shared" ca="1" si="2"/>
        <v>360023067.68571436</v>
      </c>
    </row>
    <row r="156" spans="1:5" hidden="1" x14ac:dyDescent="0.25">
      <c r="A156">
        <v>3</v>
      </c>
      <c r="B156">
        <v>32</v>
      </c>
      <c r="C156" t="s">
        <v>2</v>
      </c>
      <c r="D156" t="s">
        <v>32</v>
      </c>
      <c r="E156" s="4">
        <f t="shared" ca="1" si="2"/>
        <v>241260385.83428571</v>
      </c>
    </row>
    <row r="157" spans="1:5" hidden="1" x14ac:dyDescent="0.25">
      <c r="A157">
        <v>3</v>
      </c>
      <c r="B157">
        <v>33</v>
      </c>
      <c r="C157" t="s">
        <v>2</v>
      </c>
      <c r="D157" t="s">
        <v>33</v>
      </c>
      <c r="E157" s="4">
        <f t="shared" ca="1" si="2"/>
        <v>931092012.79999948</v>
      </c>
    </row>
    <row r="158" spans="1:5" hidden="1" x14ac:dyDescent="0.25">
      <c r="A158">
        <v>3</v>
      </c>
      <c r="B158">
        <v>34</v>
      </c>
      <c r="C158" t="s">
        <v>2</v>
      </c>
      <c r="D158" t="s">
        <v>34</v>
      </c>
      <c r="E158" s="4">
        <f t="shared" ca="1" si="2"/>
        <v>3864114435.3371468</v>
      </c>
    </row>
    <row r="159" spans="1:5" hidden="1" x14ac:dyDescent="0.25">
      <c r="A159">
        <v>3</v>
      </c>
      <c r="B159">
        <v>35</v>
      </c>
      <c r="C159" t="s">
        <v>2</v>
      </c>
      <c r="D159" t="s">
        <v>35</v>
      </c>
      <c r="E159" s="4">
        <f t="shared" ca="1" si="2"/>
        <v>401920358.05714303</v>
      </c>
    </row>
    <row r="160" spans="1:5" hidden="1" x14ac:dyDescent="0.25">
      <c r="A160">
        <v>3</v>
      </c>
      <c r="B160">
        <v>36</v>
      </c>
      <c r="C160" t="s">
        <v>2</v>
      </c>
      <c r="D160" t="s">
        <v>36</v>
      </c>
      <c r="E160" s="4">
        <f t="shared" ca="1" si="2"/>
        <v>1674290173.2857141</v>
      </c>
    </row>
    <row r="161" spans="1:5" hidden="1" x14ac:dyDescent="0.25">
      <c r="A161">
        <v>3</v>
      </c>
      <c r="B161">
        <v>37</v>
      </c>
      <c r="C161" t="s">
        <v>2</v>
      </c>
      <c r="D161" t="s">
        <v>37</v>
      </c>
      <c r="E161" s="4">
        <f t="shared" ca="1" si="2"/>
        <v>2892817553.3828621</v>
      </c>
    </row>
    <row r="162" spans="1:5" hidden="1" x14ac:dyDescent="0.25">
      <c r="A162">
        <v>3</v>
      </c>
      <c r="B162">
        <v>38</v>
      </c>
      <c r="C162" t="s">
        <v>2</v>
      </c>
      <c r="D162" t="s">
        <v>38</v>
      </c>
      <c r="E162" s="4">
        <f t="shared" ca="1" si="2"/>
        <v>1421281594.422857</v>
      </c>
    </row>
    <row r="163" spans="1:5" hidden="1" x14ac:dyDescent="0.25">
      <c r="A163">
        <v>3</v>
      </c>
      <c r="B163">
        <v>39</v>
      </c>
      <c r="C163" t="s">
        <v>2</v>
      </c>
      <c r="D163" t="s">
        <v>39</v>
      </c>
      <c r="E163" s="4">
        <f t="shared" ca="1" si="2"/>
        <v>1910810576.0228574</v>
      </c>
    </row>
    <row r="164" spans="1:5" hidden="1" x14ac:dyDescent="0.25">
      <c r="A164">
        <v>3</v>
      </c>
      <c r="B164">
        <v>40</v>
      </c>
      <c r="C164" t="s">
        <v>2</v>
      </c>
      <c r="D164" t="s">
        <v>40</v>
      </c>
      <c r="E164" s="4">
        <f t="shared" ca="1" si="2"/>
        <v>2577763735.5085716</v>
      </c>
    </row>
    <row r="165" spans="1:5" hidden="1" x14ac:dyDescent="0.25">
      <c r="A165">
        <v>4</v>
      </c>
      <c r="B165">
        <v>1</v>
      </c>
      <c r="C165" t="s">
        <v>3</v>
      </c>
      <c r="D165" t="s">
        <v>0</v>
      </c>
      <c r="E165" s="4">
        <f t="shared" ca="1" si="2"/>
        <v>2827932651.1799994</v>
      </c>
    </row>
    <row r="166" spans="1:5" hidden="1" x14ac:dyDescent="0.25">
      <c r="A166">
        <v>4</v>
      </c>
      <c r="B166">
        <v>2</v>
      </c>
      <c r="C166" t="s">
        <v>3</v>
      </c>
      <c r="D166" t="s">
        <v>1</v>
      </c>
      <c r="E166" s="4">
        <f t="shared" ca="1" si="2"/>
        <v>1332289069.1685708</v>
      </c>
    </row>
    <row r="167" spans="1:5" hidden="1" x14ac:dyDescent="0.25">
      <c r="A167">
        <v>4</v>
      </c>
      <c r="B167">
        <v>3</v>
      </c>
      <c r="C167" t="s">
        <v>3</v>
      </c>
      <c r="D167" t="s">
        <v>2</v>
      </c>
      <c r="E167" s="4">
        <f t="shared" ca="1" si="2"/>
        <v>1336511793.4628575</v>
      </c>
    </row>
    <row r="168" spans="1:5" hidden="1" x14ac:dyDescent="0.25">
      <c r="A168">
        <v>4</v>
      </c>
      <c r="B168">
        <v>4</v>
      </c>
      <c r="C168" t="s">
        <v>3</v>
      </c>
      <c r="D168" t="s">
        <v>3</v>
      </c>
      <c r="E168" s="4">
        <f t="shared" ca="1" si="2"/>
        <v>0</v>
      </c>
    </row>
    <row r="169" spans="1:5" hidden="1" x14ac:dyDescent="0.25">
      <c r="A169">
        <v>4</v>
      </c>
      <c r="B169">
        <v>5</v>
      </c>
      <c r="C169" t="s">
        <v>3</v>
      </c>
      <c r="D169" t="s">
        <v>4</v>
      </c>
      <c r="E169" s="4">
        <f t="shared" ca="1" si="2"/>
        <v>635240144.09142888</v>
      </c>
    </row>
    <row r="170" spans="1:5" hidden="1" x14ac:dyDescent="0.25">
      <c r="A170">
        <v>4</v>
      </c>
      <c r="B170">
        <v>6</v>
      </c>
      <c r="C170" t="s">
        <v>3</v>
      </c>
      <c r="D170" t="s">
        <v>5</v>
      </c>
      <c r="E170" s="4">
        <f t="shared" ca="1" si="2"/>
        <v>791650706.37714267</v>
      </c>
    </row>
    <row r="171" spans="1:5" hidden="1" x14ac:dyDescent="0.25">
      <c r="A171">
        <v>4</v>
      </c>
      <c r="B171">
        <v>7</v>
      </c>
      <c r="C171" t="s">
        <v>3</v>
      </c>
      <c r="D171" t="s">
        <v>6</v>
      </c>
      <c r="E171" s="4">
        <f t="shared" ref="E171:E232" ca="1" si="3">OFFSET($B$2,A171,B171)</f>
        <v>254200476.39999998</v>
      </c>
    </row>
    <row r="172" spans="1:5" hidden="1" x14ac:dyDescent="0.25">
      <c r="A172">
        <v>4</v>
      </c>
      <c r="B172">
        <v>8</v>
      </c>
      <c r="C172" t="s">
        <v>3</v>
      </c>
      <c r="D172" t="s">
        <v>7</v>
      </c>
      <c r="E172" s="4">
        <f t="shared" ca="1" si="3"/>
        <v>46881668.131999962</v>
      </c>
    </row>
    <row r="173" spans="1:5" hidden="1" x14ac:dyDescent="0.25">
      <c r="A173">
        <v>4</v>
      </c>
      <c r="B173">
        <v>9</v>
      </c>
      <c r="C173" t="s">
        <v>3</v>
      </c>
      <c r="D173" t="s">
        <v>148</v>
      </c>
      <c r="E173" s="4">
        <f t="shared" ca="1" si="3"/>
        <v>374501474.71792203</v>
      </c>
    </row>
    <row r="174" spans="1:5" hidden="1" x14ac:dyDescent="0.25">
      <c r="A174">
        <v>4</v>
      </c>
      <c r="B174">
        <v>10</v>
      </c>
      <c r="C174" t="s">
        <v>3</v>
      </c>
      <c r="D174" t="s">
        <v>9</v>
      </c>
      <c r="E174" s="4">
        <f t="shared" ca="1" si="3"/>
        <v>551163415.80857158</v>
      </c>
    </row>
    <row r="175" spans="1:5" hidden="1" x14ac:dyDescent="0.25">
      <c r="A175">
        <v>4</v>
      </c>
      <c r="B175">
        <v>11</v>
      </c>
      <c r="C175" t="s">
        <v>3</v>
      </c>
      <c r="D175" t="s">
        <v>10</v>
      </c>
      <c r="E175" s="4">
        <f t="shared" ca="1" si="3"/>
        <v>6152245675.5199986</v>
      </c>
    </row>
    <row r="176" spans="1:5" hidden="1" x14ac:dyDescent="0.25">
      <c r="A176">
        <v>4</v>
      </c>
      <c r="B176">
        <v>12</v>
      </c>
      <c r="C176" t="s">
        <v>3</v>
      </c>
      <c r="D176" t="s">
        <v>11</v>
      </c>
      <c r="E176" s="4">
        <f t="shared" ca="1" si="3"/>
        <v>4969124999.1314287</v>
      </c>
    </row>
    <row r="177" spans="1:5" hidden="1" x14ac:dyDescent="0.25">
      <c r="A177">
        <v>4</v>
      </c>
      <c r="B177">
        <v>13</v>
      </c>
      <c r="C177" t="s">
        <v>3</v>
      </c>
      <c r="D177" t="s">
        <v>12</v>
      </c>
      <c r="E177" s="4">
        <f t="shared" ca="1" si="3"/>
        <v>3171822130.9428577</v>
      </c>
    </row>
    <row r="178" spans="1:5" hidden="1" x14ac:dyDescent="0.25">
      <c r="A178">
        <v>4</v>
      </c>
      <c r="B178">
        <v>14</v>
      </c>
      <c r="C178" t="s">
        <v>3</v>
      </c>
      <c r="D178" t="s">
        <v>13</v>
      </c>
      <c r="E178" s="4">
        <f t="shared" ca="1" si="3"/>
        <v>4768708365.1657133</v>
      </c>
    </row>
    <row r="179" spans="1:5" hidden="1" x14ac:dyDescent="0.25">
      <c r="A179">
        <v>4</v>
      </c>
      <c r="B179">
        <v>15</v>
      </c>
      <c r="C179" t="s">
        <v>3</v>
      </c>
      <c r="D179" t="s">
        <v>14</v>
      </c>
      <c r="E179" s="4">
        <f t="shared" ca="1" si="3"/>
        <v>7120128726.308568</v>
      </c>
    </row>
    <row r="180" spans="1:5" hidden="1" x14ac:dyDescent="0.25">
      <c r="A180">
        <v>4</v>
      </c>
      <c r="B180">
        <v>16</v>
      </c>
      <c r="C180" t="s">
        <v>3</v>
      </c>
      <c r="D180" t="s">
        <v>15</v>
      </c>
      <c r="E180" s="4">
        <f t="shared" ca="1" si="3"/>
        <v>7156831261.7485743</v>
      </c>
    </row>
    <row r="181" spans="1:5" hidden="1" x14ac:dyDescent="0.25">
      <c r="A181">
        <v>4</v>
      </c>
      <c r="B181">
        <v>17</v>
      </c>
      <c r="C181" t="s">
        <v>3</v>
      </c>
      <c r="D181" t="s">
        <v>16</v>
      </c>
      <c r="E181" s="4">
        <f t="shared" ca="1" si="3"/>
        <v>12269677217.794289</v>
      </c>
    </row>
    <row r="182" spans="1:5" hidden="1" x14ac:dyDescent="0.25">
      <c r="A182">
        <v>4</v>
      </c>
      <c r="B182">
        <v>18</v>
      </c>
      <c r="C182" t="s">
        <v>3</v>
      </c>
      <c r="D182" t="s">
        <v>17</v>
      </c>
      <c r="E182" s="4">
        <f t="shared" ca="1" si="3"/>
        <v>6358072593.2228537</v>
      </c>
    </row>
    <row r="183" spans="1:5" hidden="1" x14ac:dyDescent="0.25">
      <c r="A183">
        <v>4</v>
      </c>
      <c r="B183">
        <v>19</v>
      </c>
      <c r="C183" t="s">
        <v>3</v>
      </c>
      <c r="D183" t="s">
        <v>18</v>
      </c>
      <c r="E183" s="4">
        <f t="shared" ca="1" si="3"/>
        <v>1606902722.2285717</v>
      </c>
    </row>
    <row r="184" spans="1:5" hidden="1" x14ac:dyDescent="0.25">
      <c r="A184">
        <v>4</v>
      </c>
      <c r="B184">
        <v>20</v>
      </c>
      <c r="C184" t="s">
        <v>3</v>
      </c>
      <c r="D184" t="s">
        <v>19</v>
      </c>
      <c r="E184" s="4">
        <f t="shared" ca="1" si="3"/>
        <v>3862539144.6857138</v>
      </c>
    </row>
    <row r="185" spans="1:5" hidden="1" x14ac:dyDescent="0.25">
      <c r="A185">
        <v>4</v>
      </c>
      <c r="B185">
        <v>21</v>
      </c>
      <c r="C185" t="s">
        <v>3</v>
      </c>
      <c r="D185" t="s">
        <v>20</v>
      </c>
      <c r="E185" s="4">
        <f t="shared" ca="1" si="3"/>
        <v>2112343464.2971427</v>
      </c>
    </row>
    <row r="186" spans="1:5" hidden="1" x14ac:dyDescent="0.25">
      <c r="A186">
        <v>4</v>
      </c>
      <c r="B186">
        <v>22</v>
      </c>
      <c r="C186" t="s">
        <v>3</v>
      </c>
      <c r="D186" t="s">
        <v>21</v>
      </c>
      <c r="E186" s="4">
        <f t="shared" ca="1" si="3"/>
        <v>2791907638.45714</v>
      </c>
    </row>
    <row r="187" spans="1:5" hidden="1" x14ac:dyDescent="0.25">
      <c r="A187">
        <v>4</v>
      </c>
      <c r="B187">
        <v>23</v>
      </c>
      <c r="C187" t="s">
        <v>3</v>
      </c>
      <c r="D187" t="s">
        <v>22</v>
      </c>
      <c r="E187" s="4">
        <f t="shared" ca="1" si="3"/>
        <v>1947703695.0000002</v>
      </c>
    </row>
    <row r="188" spans="1:5" hidden="1" x14ac:dyDescent="0.25">
      <c r="A188">
        <v>4</v>
      </c>
      <c r="B188">
        <v>24</v>
      </c>
      <c r="C188" t="s">
        <v>3</v>
      </c>
      <c r="D188" t="s">
        <v>23</v>
      </c>
      <c r="E188" s="4">
        <f t="shared" ca="1" si="3"/>
        <v>2708050767.8399997</v>
      </c>
    </row>
    <row r="189" spans="1:5" hidden="1" x14ac:dyDescent="0.25">
      <c r="A189">
        <v>4</v>
      </c>
      <c r="B189">
        <v>25</v>
      </c>
      <c r="C189" t="s">
        <v>3</v>
      </c>
      <c r="D189" t="s">
        <v>24</v>
      </c>
      <c r="E189" s="4">
        <f t="shared" ca="1" si="3"/>
        <v>2277756508.6399999</v>
      </c>
    </row>
    <row r="190" spans="1:5" hidden="1" x14ac:dyDescent="0.25">
      <c r="A190">
        <v>4</v>
      </c>
      <c r="B190">
        <v>26</v>
      </c>
      <c r="C190" t="s">
        <v>3</v>
      </c>
      <c r="D190" t="s">
        <v>25</v>
      </c>
      <c r="E190" s="4">
        <f t="shared" ca="1" si="3"/>
        <v>2527157106.0571427</v>
      </c>
    </row>
    <row r="191" spans="1:5" hidden="1" x14ac:dyDescent="0.25">
      <c r="A191">
        <v>4</v>
      </c>
      <c r="B191">
        <v>27</v>
      </c>
      <c r="C191" t="s">
        <v>3</v>
      </c>
      <c r="D191" t="s">
        <v>145</v>
      </c>
      <c r="E191" s="4">
        <f t="shared" ca="1" si="3"/>
        <v>3645402185.8057141</v>
      </c>
    </row>
    <row r="192" spans="1:5" hidden="1" x14ac:dyDescent="0.25">
      <c r="A192">
        <v>4</v>
      </c>
      <c r="B192">
        <v>28</v>
      </c>
      <c r="C192" t="s">
        <v>3</v>
      </c>
      <c r="D192" t="s">
        <v>147</v>
      </c>
      <c r="E192" s="4">
        <f t="shared" ca="1" si="3"/>
        <v>3436783959.2097149</v>
      </c>
    </row>
    <row r="193" spans="1:5" hidden="1" x14ac:dyDescent="0.25">
      <c r="A193">
        <v>4</v>
      </c>
      <c r="B193">
        <v>29</v>
      </c>
      <c r="C193" t="s">
        <v>3</v>
      </c>
      <c r="D193" t="s">
        <v>146</v>
      </c>
      <c r="E193" s="4">
        <f t="shared" ca="1" si="3"/>
        <v>2558380466.237143</v>
      </c>
    </row>
    <row r="194" spans="1:5" hidden="1" x14ac:dyDescent="0.25">
      <c r="A194">
        <v>4</v>
      </c>
      <c r="B194">
        <v>30</v>
      </c>
      <c r="C194" t="s">
        <v>3</v>
      </c>
      <c r="D194" t="s">
        <v>30</v>
      </c>
      <c r="E194" s="4">
        <f t="shared" ca="1" si="3"/>
        <v>361155328.58971429</v>
      </c>
    </row>
    <row r="195" spans="1:5" hidden="1" x14ac:dyDescent="0.25">
      <c r="A195">
        <v>4</v>
      </c>
      <c r="B195">
        <v>31</v>
      </c>
      <c r="C195" t="s">
        <v>3</v>
      </c>
      <c r="D195" t="s">
        <v>31</v>
      </c>
      <c r="E195" s="4">
        <f t="shared" ca="1" si="3"/>
        <v>416817347.8628571</v>
      </c>
    </row>
    <row r="196" spans="1:5" hidden="1" x14ac:dyDescent="0.25">
      <c r="A196">
        <v>4</v>
      </c>
      <c r="B196">
        <v>32</v>
      </c>
      <c r="C196" t="s">
        <v>3</v>
      </c>
      <c r="D196" t="s">
        <v>32</v>
      </c>
      <c r="E196" s="4">
        <f t="shared" ca="1" si="3"/>
        <v>591366863.7485714</v>
      </c>
    </row>
    <row r="197" spans="1:5" hidden="1" x14ac:dyDescent="0.25">
      <c r="A197">
        <v>4</v>
      </c>
      <c r="B197">
        <v>33</v>
      </c>
      <c r="C197" t="s">
        <v>3</v>
      </c>
      <c r="D197" t="s">
        <v>33</v>
      </c>
      <c r="E197" s="4">
        <f t="shared" ca="1" si="3"/>
        <v>1901254990.2628565</v>
      </c>
    </row>
    <row r="198" spans="1:5" hidden="1" x14ac:dyDescent="0.25">
      <c r="A198">
        <v>4</v>
      </c>
      <c r="B198">
        <v>34</v>
      </c>
      <c r="C198" t="s">
        <v>3</v>
      </c>
      <c r="D198" t="s">
        <v>34</v>
      </c>
      <c r="E198" s="4">
        <f t="shared" ca="1" si="3"/>
        <v>5914071607.285718</v>
      </c>
    </row>
    <row r="199" spans="1:5" hidden="1" x14ac:dyDescent="0.25">
      <c r="A199">
        <v>4</v>
      </c>
      <c r="B199">
        <v>35</v>
      </c>
      <c r="C199" t="s">
        <v>3</v>
      </c>
      <c r="D199" t="s">
        <v>35</v>
      </c>
      <c r="E199" s="4">
        <f t="shared" ca="1" si="3"/>
        <v>1054788617.9485718</v>
      </c>
    </row>
    <row r="200" spans="1:5" hidden="1" x14ac:dyDescent="0.25">
      <c r="A200">
        <v>4</v>
      </c>
      <c r="B200">
        <v>36</v>
      </c>
      <c r="C200" t="s">
        <v>3</v>
      </c>
      <c r="D200" t="s">
        <v>36</v>
      </c>
      <c r="E200" s="4">
        <f t="shared" ca="1" si="3"/>
        <v>3878151938.2285714</v>
      </c>
    </row>
    <row r="201" spans="1:5" hidden="1" x14ac:dyDescent="0.25">
      <c r="A201">
        <v>4</v>
      </c>
      <c r="B201">
        <v>37</v>
      </c>
      <c r="C201" t="s">
        <v>3</v>
      </c>
      <c r="D201" t="s">
        <v>37</v>
      </c>
      <c r="E201" s="4">
        <f t="shared" ca="1" si="3"/>
        <v>5643822219.3428631</v>
      </c>
    </row>
    <row r="202" spans="1:5" hidden="1" x14ac:dyDescent="0.25">
      <c r="A202">
        <v>4</v>
      </c>
      <c r="B202">
        <v>38</v>
      </c>
      <c r="C202" t="s">
        <v>3</v>
      </c>
      <c r="D202" t="s">
        <v>38</v>
      </c>
      <c r="E202" s="4">
        <f t="shared" ca="1" si="3"/>
        <v>3596802008.5028572</v>
      </c>
    </row>
    <row r="203" spans="1:5" hidden="1" x14ac:dyDescent="0.25">
      <c r="A203">
        <v>4</v>
      </c>
      <c r="B203">
        <v>39</v>
      </c>
      <c r="C203" t="s">
        <v>3</v>
      </c>
      <c r="D203" t="s">
        <v>39</v>
      </c>
      <c r="E203" s="4">
        <f t="shared" ca="1" si="3"/>
        <v>4328312248.7200003</v>
      </c>
    </row>
    <row r="204" spans="1:5" hidden="1" x14ac:dyDescent="0.25">
      <c r="A204">
        <v>4</v>
      </c>
      <c r="B204">
        <v>40</v>
      </c>
      <c r="C204" t="s">
        <v>3</v>
      </c>
      <c r="D204" t="s">
        <v>40</v>
      </c>
      <c r="E204" s="4">
        <f t="shared" ca="1" si="3"/>
        <v>5157197018.3314285</v>
      </c>
    </row>
    <row r="205" spans="1:5" hidden="1" x14ac:dyDescent="0.25">
      <c r="A205">
        <v>5</v>
      </c>
      <c r="B205">
        <v>1</v>
      </c>
      <c r="C205" t="s">
        <v>4</v>
      </c>
      <c r="D205" t="s">
        <v>0</v>
      </c>
      <c r="E205" s="4">
        <f t="shared" ca="1" si="3"/>
        <v>4030425495.4971423</v>
      </c>
    </row>
    <row r="206" spans="1:5" hidden="1" x14ac:dyDescent="0.25">
      <c r="A206">
        <v>5</v>
      </c>
      <c r="B206">
        <v>2</v>
      </c>
      <c r="C206" t="s">
        <v>4</v>
      </c>
      <c r="D206" t="s">
        <v>1</v>
      </c>
      <c r="E206" s="4">
        <f t="shared" ca="1" si="3"/>
        <v>2167350455.3999987</v>
      </c>
    </row>
    <row r="207" spans="1:5" hidden="1" x14ac:dyDescent="0.25">
      <c r="A207">
        <v>5</v>
      </c>
      <c r="B207">
        <v>3</v>
      </c>
      <c r="C207" t="s">
        <v>4</v>
      </c>
      <c r="D207" t="s">
        <v>2</v>
      </c>
      <c r="E207" s="4">
        <f t="shared" ca="1" si="3"/>
        <v>2191330412.1428576</v>
      </c>
    </row>
    <row r="208" spans="1:5" hidden="1" x14ac:dyDescent="0.25">
      <c r="A208">
        <v>5</v>
      </c>
      <c r="B208">
        <v>4</v>
      </c>
      <c r="C208" t="s">
        <v>4</v>
      </c>
      <c r="D208" t="s">
        <v>3</v>
      </c>
      <c r="E208" s="4">
        <f t="shared" ca="1" si="3"/>
        <v>522229588.84571397</v>
      </c>
    </row>
    <row r="209" spans="1:5" hidden="1" x14ac:dyDescent="0.25">
      <c r="A209">
        <v>5</v>
      </c>
      <c r="B209">
        <v>5</v>
      </c>
      <c r="C209" t="s">
        <v>4</v>
      </c>
      <c r="D209" t="s">
        <v>4</v>
      </c>
      <c r="E209" s="4">
        <f t="shared" ca="1" si="3"/>
        <v>0</v>
      </c>
    </row>
    <row r="210" spans="1:5" hidden="1" x14ac:dyDescent="0.25">
      <c r="A210">
        <v>5</v>
      </c>
      <c r="B210">
        <v>6</v>
      </c>
      <c r="C210" t="s">
        <v>4</v>
      </c>
      <c r="D210" t="s">
        <v>5</v>
      </c>
      <c r="E210" s="4">
        <f t="shared" ca="1" si="3"/>
        <v>731144087.51428545</v>
      </c>
    </row>
    <row r="211" spans="1:5" hidden="1" x14ac:dyDescent="0.25">
      <c r="A211">
        <v>5</v>
      </c>
      <c r="B211">
        <v>7</v>
      </c>
      <c r="C211" t="s">
        <v>4</v>
      </c>
      <c r="D211" t="s">
        <v>6</v>
      </c>
      <c r="E211" s="4">
        <f t="shared" ca="1" si="3"/>
        <v>148486243.39714283</v>
      </c>
    </row>
    <row r="212" spans="1:5" hidden="1" x14ac:dyDescent="0.25">
      <c r="A212">
        <v>5</v>
      </c>
      <c r="B212">
        <v>8</v>
      </c>
      <c r="C212" t="s">
        <v>4</v>
      </c>
      <c r="D212" t="s">
        <v>7</v>
      </c>
      <c r="E212" s="4">
        <f t="shared" ca="1" si="3"/>
        <v>562548577.61142826</v>
      </c>
    </row>
    <row r="213" spans="1:5" hidden="1" x14ac:dyDescent="0.25">
      <c r="A213">
        <v>5</v>
      </c>
      <c r="B213">
        <v>9</v>
      </c>
      <c r="C213" t="s">
        <v>4</v>
      </c>
      <c r="D213" t="s">
        <v>148</v>
      </c>
      <c r="E213" s="4">
        <f t="shared" ca="1" si="3"/>
        <v>873964609.72701287</v>
      </c>
    </row>
    <row r="214" spans="1:5" hidden="1" x14ac:dyDescent="0.25">
      <c r="A214">
        <v>5</v>
      </c>
      <c r="B214">
        <v>10</v>
      </c>
      <c r="C214" t="s">
        <v>4</v>
      </c>
      <c r="D214" t="s">
        <v>9</v>
      </c>
      <c r="E214" s="4">
        <f t="shared" ca="1" si="3"/>
        <v>321772691.89371431</v>
      </c>
    </row>
    <row r="215" spans="1:5" hidden="1" x14ac:dyDescent="0.25">
      <c r="A215">
        <v>5</v>
      </c>
      <c r="B215">
        <v>11</v>
      </c>
      <c r="C215" t="s">
        <v>4</v>
      </c>
      <c r="D215" t="s">
        <v>10</v>
      </c>
      <c r="E215" s="4">
        <f t="shared" ca="1" si="3"/>
        <v>8587575660.4457102</v>
      </c>
    </row>
    <row r="216" spans="1:5" hidden="1" x14ac:dyDescent="0.25">
      <c r="A216">
        <v>5</v>
      </c>
      <c r="B216">
        <v>12</v>
      </c>
      <c r="C216" t="s">
        <v>4</v>
      </c>
      <c r="D216" t="s">
        <v>11</v>
      </c>
      <c r="E216" s="4">
        <f t="shared" ca="1" si="3"/>
        <v>7101593748.8228559</v>
      </c>
    </row>
    <row r="217" spans="1:5" hidden="1" x14ac:dyDescent="0.25">
      <c r="A217">
        <v>5</v>
      </c>
      <c r="B217">
        <v>13</v>
      </c>
      <c r="C217" t="s">
        <v>4</v>
      </c>
      <c r="D217" t="s">
        <v>12</v>
      </c>
      <c r="E217" s="4">
        <f t="shared" ca="1" si="3"/>
        <v>5090965907.3285704</v>
      </c>
    </row>
    <row r="218" spans="1:5" hidden="1" x14ac:dyDescent="0.25">
      <c r="A218">
        <v>5</v>
      </c>
      <c r="B218">
        <v>14</v>
      </c>
      <c r="C218" t="s">
        <v>4</v>
      </c>
      <c r="D218" t="s">
        <v>13</v>
      </c>
      <c r="E218" s="4">
        <f t="shared" ca="1" si="3"/>
        <v>6679742185.5285683</v>
      </c>
    </row>
    <row r="219" spans="1:5" hidden="1" x14ac:dyDescent="0.25">
      <c r="A219">
        <v>5</v>
      </c>
      <c r="B219">
        <v>15</v>
      </c>
      <c r="C219" t="s">
        <v>4</v>
      </c>
      <c r="D219" t="s">
        <v>14</v>
      </c>
      <c r="E219" s="4">
        <f t="shared" ca="1" si="3"/>
        <v>9282434758.9285679</v>
      </c>
    </row>
    <row r="220" spans="1:5" hidden="1" x14ac:dyDescent="0.25">
      <c r="A220">
        <v>5</v>
      </c>
      <c r="B220">
        <v>16</v>
      </c>
      <c r="C220" t="s">
        <v>4</v>
      </c>
      <c r="D220" t="s">
        <v>15</v>
      </c>
      <c r="E220" s="4">
        <f t="shared" ca="1" si="3"/>
        <v>9506407575.2800026</v>
      </c>
    </row>
    <row r="221" spans="1:5" hidden="1" x14ac:dyDescent="0.25">
      <c r="A221">
        <v>5</v>
      </c>
      <c r="B221">
        <v>17</v>
      </c>
      <c r="C221" t="s">
        <v>4</v>
      </c>
      <c r="D221" t="s">
        <v>16</v>
      </c>
      <c r="E221" s="4">
        <f t="shared" ca="1" si="3"/>
        <v>15211572749.757147</v>
      </c>
    </row>
    <row r="222" spans="1:5" hidden="1" x14ac:dyDescent="0.25">
      <c r="A222">
        <v>5</v>
      </c>
      <c r="B222">
        <v>18</v>
      </c>
      <c r="C222" t="s">
        <v>4</v>
      </c>
      <c r="D222" t="s">
        <v>17</v>
      </c>
      <c r="E222" s="4">
        <f t="shared" ca="1" si="3"/>
        <v>8825413480.3457088</v>
      </c>
    </row>
    <row r="223" spans="1:5" hidden="1" x14ac:dyDescent="0.25">
      <c r="A223">
        <v>5</v>
      </c>
      <c r="B223">
        <v>19</v>
      </c>
      <c r="C223" t="s">
        <v>4</v>
      </c>
      <c r="D223" t="s">
        <v>18</v>
      </c>
      <c r="E223" s="4">
        <f t="shared" ca="1" si="3"/>
        <v>2803485555.8742857</v>
      </c>
    </row>
    <row r="224" spans="1:5" hidden="1" x14ac:dyDescent="0.25">
      <c r="A224">
        <v>5</v>
      </c>
      <c r="B224">
        <v>20</v>
      </c>
      <c r="C224" t="s">
        <v>4</v>
      </c>
      <c r="D224" t="s">
        <v>19</v>
      </c>
      <c r="E224" s="4">
        <f t="shared" ca="1" si="3"/>
        <v>5299670090.5228567</v>
      </c>
    </row>
    <row r="225" spans="1:5" hidden="1" x14ac:dyDescent="0.25">
      <c r="A225">
        <v>5</v>
      </c>
      <c r="B225">
        <v>21</v>
      </c>
      <c r="C225" t="s">
        <v>4</v>
      </c>
      <c r="D225" t="s">
        <v>20</v>
      </c>
      <c r="E225" s="4">
        <f t="shared" ca="1" si="3"/>
        <v>4240728770.425715</v>
      </c>
    </row>
    <row r="226" spans="1:5" hidden="1" x14ac:dyDescent="0.25">
      <c r="A226">
        <v>5</v>
      </c>
      <c r="B226">
        <v>22</v>
      </c>
      <c r="C226" t="s">
        <v>4</v>
      </c>
      <c r="D226" t="s">
        <v>21</v>
      </c>
      <c r="E226" s="4">
        <f t="shared" ca="1" si="3"/>
        <v>4171035618.0714254</v>
      </c>
    </row>
    <row r="227" spans="1:5" hidden="1" x14ac:dyDescent="0.25">
      <c r="A227">
        <v>5</v>
      </c>
      <c r="B227">
        <v>23</v>
      </c>
      <c r="C227" t="s">
        <v>4</v>
      </c>
      <c r="D227" t="s">
        <v>22</v>
      </c>
      <c r="E227" s="4">
        <f t="shared" ca="1" si="3"/>
        <v>3221280293.4342852</v>
      </c>
    </row>
    <row r="228" spans="1:5" hidden="1" x14ac:dyDescent="0.25">
      <c r="A228">
        <v>5</v>
      </c>
      <c r="B228">
        <v>24</v>
      </c>
      <c r="C228" t="s">
        <v>4</v>
      </c>
      <c r="D228" t="s">
        <v>23</v>
      </c>
      <c r="E228" s="4">
        <f t="shared" ca="1" si="3"/>
        <v>4306857682.4142857</v>
      </c>
    </row>
    <row r="229" spans="1:5" hidden="1" x14ac:dyDescent="0.25">
      <c r="A229">
        <v>5</v>
      </c>
      <c r="B229">
        <v>25</v>
      </c>
      <c r="C229" t="s">
        <v>4</v>
      </c>
      <c r="D229" t="s">
        <v>24</v>
      </c>
      <c r="E229" s="4">
        <f t="shared" ca="1" si="3"/>
        <v>3735881533.2142859</v>
      </c>
    </row>
    <row r="230" spans="1:5" hidden="1" x14ac:dyDescent="0.25">
      <c r="A230">
        <v>5</v>
      </c>
      <c r="B230">
        <v>26</v>
      </c>
      <c r="C230" t="s">
        <v>4</v>
      </c>
      <c r="D230" t="s">
        <v>25</v>
      </c>
      <c r="E230" s="4">
        <f t="shared" ca="1" si="3"/>
        <v>4117708235.614285</v>
      </c>
    </row>
    <row r="231" spans="1:5" hidden="1" x14ac:dyDescent="0.25">
      <c r="A231">
        <v>5</v>
      </c>
      <c r="B231">
        <v>27</v>
      </c>
      <c r="C231" t="s">
        <v>4</v>
      </c>
      <c r="D231" t="s">
        <v>145</v>
      </c>
      <c r="E231" s="4">
        <f t="shared" ca="1" si="3"/>
        <v>5056235946.6171417</v>
      </c>
    </row>
    <row r="232" spans="1:5" hidden="1" x14ac:dyDescent="0.25">
      <c r="A232">
        <v>5</v>
      </c>
      <c r="B232">
        <v>28</v>
      </c>
      <c r="C232" t="s">
        <v>4</v>
      </c>
      <c r="D232" t="s">
        <v>147</v>
      </c>
      <c r="E232" s="4">
        <f t="shared" ca="1" si="3"/>
        <v>4874542010.2377138</v>
      </c>
    </row>
    <row r="233" spans="1:5" hidden="1" x14ac:dyDescent="0.25">
      <c r="A233">
        <v>5</v>
      </c>
      <c r="B233">
        <v>29</v>
      </c>
      <c r="C233" t="s">
        <v>4</v>
      </c>
      <c r="D233" t="s">
        <v>146</v>
      </c>
      <c r="E233" s="4">
        <f t="shared" ref="E233:E295" ca="1" si="4">OFFSET($B$2,A233,B233)</f>
        <v>5997624264.1714277</v>
      </c>
    </row>
    <row r="234" spans="1:5" hidden="1" x14ac:dyDescent="0.25">
      <c r="A234">
        <v>5</v>
      </c>
      <c r="B234">
        <v>30</v>
      </c>
      <c r="C234" t="s">
        <v>4</v>
      </c>
      <c r="D234" t="s">
        <v>30</v>
      </c>
      <c r="E234" s="4">
        <f t="shared" ca="1" si="4"/>
        <v>844118138.35885715</v>
      </c>
    </row>
    <row r="235" spans="1:5" hidden="1" x14ac:dyDescent="0.25">
      <c r="A235">
        <v>5</v>
      </c>
      <c r="B235">
        <v>31</v>
      </c>
      <c r="C235" t="s">
        <v>4</v>
      </c>
      <c r="D235" t="s">
        <v>31</v>
      </c>
      <c r="E235" s="4">
        <f t="shared" ca="1" si="4"/>
        <v>940331840.24000001</v>
      </c>
    </row>
    <row r="236" spans="1:5" hidden="1" x14ac:dyDescent="0.25">
      <c r="A236">
        <v>5</v>
      </c>
      <c r="B236">
        <v>32</v>
      </c>
      <c r="C236" t="s">
        <v>4</v>
      </c>
      <c r="D236" t="s">
        <v>32</v>
      </c>
      <c r="E236" s="4">
        <f t="shared" ca="1" si="4"/>
        <v>1195549982.2514284</v>
      </c>
    </row>
    <row r="237" spans="1:5" hidden="1" x14ac:dyDescent="0.25">
      <c r="A237">
        <v>5</v>
      </c>
      <c r="B237">
        <v>33</v>
      </c>
      <c r="C237" t="s">
        <v>4</v>
      </c>
      <c r="D237" t="s">
        <v>33</v>
      </c>
      <c r="E237" s="4">
        <f t="shared" ca="1" si="4"/>
        <v>2878168011.5571413</v>
      </c>
    </row>
    <row r="238" spans="1:5" hidden="1" x14ac:dyDescent="0.25">
      <c r="A238">
        <v>5</v>
      </c>
      <c r="B238">
        <v>34</v>
      </c>
      <c r="C238" t="s">
        <v>4</v>
      </c>
      <c r="D238" t="s">
        <v>34</v>
      </c>
      <c r="E238" s="4">
        <f t="shared" ca="1" si="4"/>
        <v>8204189771.7000074</v>
      </c>
    </row>
    <row r="239" spans="1:5" hidden="1" x14ac:dyDescent="0.25">
      <c r="A239">
        <v>5</v>
      </c>
      <c r="B239">
        <v>35</v>
      </c>
      <c r="C239" t="s">
        <v>4</v>
      </c>
      <c r="D239" t="s">
        <v>35</v>
      </c>
      <c r="E239" s="4">
        <f t="shared" ca="1" si="4"/>
        <v>1795795101.2314286</v>
      </c>
    </row>
    <row r="240" spans="1:5" hidden="1" x14ac:dyDescent="0.25">
      <c r="A240">
        <v>5</v>
      </c>
      <c r="B240">
        <v>36</v>
      </c>
      <c r="C240" t="s">
        <v>4</v>
      </c>
      <c r="D240" t="s">
        <v>36</v>
      </c>
      <c r="E240" s="4">
        <f t="shared" ca="1" si="4"/>
        <v>6134914794.6399984</v>
      </c>
    </row>
    <row r="241" spans="1:5" hidden="1" x14ac:dyDescent="0.25">
      <c r="A241">
        <v>5</v>
      </c>
      <c r="B241">
        <v>37</v>
      </c>
      <c r="C241" t="s">
        <v>4</v>
      </c>
      <c r="D241" t="s">
        <v>37</v>
      </c>
      <c r="E241" s="4">
        <f t="shared" ca="1" si="4"/>
        <v>8427701035.6542931</v>
      </c>
    </row>
    <row r="242" spans="1:5" hidden="1" x14ac:dyDescent="0.25">
      <c r="A242">
        <v>5</v>
      </c>
      <c r="B242">
        <v>38</v>
      </c>
      <c r="C242" t="s">
        <v>4</v>
      </c>
      <c r="D242" t="s">
        <v>38</v>
      </c>
      <c r="E242" s="4">
        <f t="shared" ca="1" si="4"/>
        <v>5958550179.4742851</v>
      </c>
    </row>
    <row r="243" spans="1:5" hidden="1" x14ac:dyDescent="0.25">
      <c r="A243">
        <v>5</v>
      </c>
      <c r="B243">
        <v>39</v>
      </c>
      <c r="C243" t="s">
        <v>4</v>
      </c>
      <c r="D243" t="s">
        <v>39</v>
      </c>
      <c r="E243" s="4">
        <f t="shared" ca="1" si="4"/>
        <v>6899103084.4742851</v>
      </c>
    </row>
    <row r="244" spans="1:5" hidden="1" x14ac:dyDescent="0.25">
      <c r="A244">
        <v>5</v>
      </c>
      <c r="B244">
        <v>40</v>
      </c>
      <c r="C244" t="s">
        <v>4</v>
      </c>
      <c r="D244" t="s">
        <v>40</v>
      </c>
      <c r="E244" s="4">
        <f t="shared" ca="1" si="4"/>
        <v>7754272853.0285711</v>
      </c>
    </row>
    <row r="245" spans="1:5" hidden="1" x14ac:dyDescent="0.25">
      <c r="A245">
        <v>6</v>
      </c>
      <c r="B245">
        <v>1</v>
      </c>
      <c r="C245" t="s">
        <v>5</v>
      </c>
      <c r="D245" t="s">
        <v>0</v>
      </c>
      <c r="E245" s="4">
        <f t="shared" ca="1" si="4"/>
        <v>4238096658.1942849</v>
      </c>
    </row>
    <row r="246" spans="1:5" hidden="1" x14ac:dyDescent="0.25">
      <c r="A246">
        <v>6</v>
      </c>
      <c r="B246">
        <v>2</v>
      </c>
      <c r="C246" t="s">
        <v>5</v>
      </c>
      <c r="D246" t="s">
        <v>1</v>
      </c>
      <c r="E246" s="4">
        <f t="shared" ca="1" si="4"/>
        <v>1431791259.0799985</v>
      </c>
    </row>
    <row r="247" spans="1:5" hidden="1" x14ac:dyDescent="0.25">
      <c r="A247">
        <v>6</v>
      </c>
      <c r="B247">
        <v>3</v>
      </c>
      <c r="C247" t="s">
        <v>5</v>
      </c>
      <c r="D247" t="s">
        <v>2</v>
      </c>
      <c r="E247" s="4">
        <f t="shared" ca="1" si="4"/>
        <v>1302540574.4742863</v>
      </c>
    </row>
    <row r="248" spans="1:5" hidden="1" x14ac:dyDescent="0.25">
      <c r="A248">
        <v>6</v>
      </c>
      <c r="B248">
        <v>4</v>
      </c>
      <c r="C248" t="s">
        <v>5</v>
      </c>
      <c r="D248" t="s">
        <v>3</v>
      </c>
      <c r="E248" s="4">
        <f t="shared" ca="1" si="4"/>
        <v>788440563.93142796</v>
      </c>
    </row>
    <row r="249" spans="1:5" hidden="1" x14ac:dyDescent="0.25">
      <c r="A249">
        <v>6</v>
      </c>
      <c r="B249">
        <v>5</v>
      </c>
      <c r="C249" t="s">
        <v>5</v>
      </c>
      <c r="D249" t="s">
        <v>4</v>
      </c>
      <c r="E249" s="4">
        <f t="shared" ca="1" si="4"/>
        <v>934733718.43428624</v>
      </c>
    </row>
    <row r="250" spans="1:5" hidden="1" x14ac:dyDescent="0.25">
      <c r="A250">
        <v>6</v>
      </c>
      <c r="B250">
        <v>6</v>
      </c>
      <c r="C250" t="s">
        <v>5</v>
      </c>
      <c r="D250" t="s">
        <v>5</v>
      </c>
      <c r="E250" s="4">
        <f t="shared" ca="1" si="4"/>
        <v>0</v>
      </c>
    </row>
    <row r="251" spans="1:5" hidden="1" x14ac:dyDescent="0.25">
      <c r="A251">
        <v>6</v>
      </c>
      <c r="B251">
        <v>7</v>
      </c>
      <c r="C251" t="s">
        <v>5</v>
      </c>
      <c r="D251" t="s">
        <v>6</v>
      </c>
      <c r="E251" s="4">
        <f t="shared" ca="1" si="4"/>
        <v>205783548.87999994</v>
      </c>
    </row>
    <row r="252" spans="1:5" hidden="1" x14ac:dyDescent="0.25">
      <c r="A252">
        <v>6</v>
      </c>
      <c r="B252">
        <v>8</v>
      </c>
      <c r="C252" t="s">
        <v>5</v>
      </c>
      <c r="D252" t="s">
        <v>7</v>
      </c>
      <c r="E252" s="4">
        <f t="shared" ca="1" si="4"/>
        <v>866968940.61142766</v>
      </c>
    </row>
    <row r="253" spans="1:5" hidden="1" x14ac:dyDescent="0.25">
      <c r="A253">
        <v>6</v>
      </c>
      <c r="B253">
        <v>9</v>
      </c>
      <c r="C253" t="s">
        <v>5</v>
      </c>
      <c r="D253" t="s">
        <v>148</v>
      </c>
      <c r="E253" s="4">
        <f t="shared" ca="1" si="4"/>
        <v>368122251.94051945</v>
      </c>
    </row>
    <row r="254" spans="1:5" hidden="1" x14ac:dyDescent="0.25">
      <c r="A254">
        <v>6</v>
      </c>
      <c r="B254">
        <v>10</v>
      </c>
      <c r="C254" t="s">
        <v>5</v>
      </c>
      <c r="D254" t="s">
        <v>9</v>
      </c>
      <c r="E254" s="4">
        <f t="shared" ca="1" si="4"/>
        <v>451847686.90285736</v>
      </c>
    </row>
    <row r="255" spans="1:5" hidden="1" x14ac:dyDescent="0.25">
      <c r="A255">
        <v>6</v>
      </c>
      <c r="B255">
        <v>11</v>
      </c>
      <c r="C255" t="s">
        <v>5</v>
      </c>
      <c r="D255" t="s">
        <v>10</v>
      </c>
      <c r="E255" s="4">
        <f t="shared" ca="1" si="4"/>
        <v>4742933417.6657114</v>
      </c>
    </row>
    <row r="256" spans="1:5" hidden="1" x14ac:dyDescent="0.25">
      <c r="A256">
        <v>6</v>
      </c>
      <c r="B256">
        <v>12</v>
      </c>
      <c r="C256" t="s">
        <v>5</v>
      </c>
      <c r="D256" t="s">
        <v>11</v>
      </c>
      <c r="E256" s="4">
        <f t="shared" ca="1" si="4"/>
        <v>3640521892.3542857</v>
      </c>
    </row>
    <row r="257" spans="1:5" hidden="1" x14ac:dyDescent="0.25">
      <c r="A257">
        <v>6</v>
      </c>
      <c r="B257">
        <v>13</v>
      </c>
      <c r="C257" t="s">
        <v>5</v>
      </c>
      <c r="D257" t="s">
        <v>12</v>
      </c>
      <c r="E257" s="4">
        <f t="shared" ca="1" si="4"/>
        <v>1702577162.4857149</v>
      </c>
    </row>
    <row r="258" spans="1:5" hidden="1" x14ac:dyDescent="0.25">
      <c r="A258">
        <v>6</v>
      </c>
      <c r="B258">
        <v>14</v>
      </c>
      <c r="C258" t="s">
        <v>5</v>
      </c>
      <c r="D258" t="s">
        <v>13</v>
      </c>
      <c r="E258" s="4">
        <f t="shared" ca="1" si="4"/>
        <v>3814347863.2857127</v>
      </c>
    </row>
    <row r="259" spans="1:5" hidden="1" x14ac:dyDescent="0.25">
      <c r="A259">
        <v>6</v>
      </c>
      <c r="B259">
        <v>15</v>
      </c>
      <c r="C259" t="s">
        <v>5</v>
      </c>
      <c r="D259" t="s">
        <v>14</v>
      </c>
      <c r="E259" s="4">
        <f t="shared" ca="1" si="4"/>
        <v>6404727817.8542814</v>
      </c>
    </row>
    <row r="260" spans="1:5" hidden="1" x14ac:dyDescent="0.25">
      <c r="A260">
        <v>6</v>
      </c>
      <c r="B260">
        <v>16</v>
      </c>
      <c r="C260" t="s">
        <v>5</v>
      </c>
      <c r="D260" t="s">
        <v>15</v>
      </c>
      <c r="E260" s="4">
        <f t="shared" ca="1" si="4"/>
        <v>6009474005.7742891</v>
      </c>
    </row>
    <row r="261" spans="1:5" hidden="1" x14ac:dyDescent="0.25">
      <c r="A261">
        <v>6</v>
      </c>
      <c r="B261">
        <v>17</v>
      </c>
      <c r="C261" t="s">
        <v>5</v>
      </c>
      <c r="D261" t="s">
        <v>16</v>
      </c>
      <c r="E261" s="4">
        <f t="shared" ca="1" si="4"/>
        <v>11320742031.048573</v>
      </c>
    </row>
    <row r="262" spans="1:5" hidden="1" x14ac:dyDescent="0.25">
      <c r="A262">
        <v>6</v>
      </c>
      <c r="B262">
        <v>18</v>
      </c>
      <c r="C262" t="s">
        <v>5</v>
      </c>
      <c r="D262" t="s">
        <v>17</v>
      </c>
      <c r="E262" s="4">
        <f t="shared" ca="1" si="4"/>
        <v>4766496325.7857103</v>
      </c>
    </row>
    <row r="263" spans="1:5" hidden="1" x14ac:dyDescent="0.25">
      <c r="A263">
        <v>6</v>
      </c>
      <c r="B263">
        <v>19</v>
      </c>
      <c r="C263" t="s">
        <v>5</v>
      </c>
      <c r="D263" t="s">
        <v>18</v>
      </c>
      <c r="E263" s="4">
        <f t="shared" ca="1" si="4"/>
        <v>903239412.48000014</v>
      </c>
    </row>
    <row r="264" spans="1:5" hidden="1" x14ac:dyDescent="0.25">
      <c r="A264">
        <v>6</v>
      </c>
      <c r="B264">
        <v>20</v>
      </c>
      <c r="C264" t="s">
        <v>5</v>
      </c>
      <c r="D264" t="s">
        <v>19</v>
      </c>
      <c r="E264" s="4">
        <f t="shared" ca="1" si="4"/>
        <v>4369235486.1457138</v>
      </c>
    </row>
    <row r="265" spans="1:5" hidden="1" x14ac:dyDescent="0.25">
      <c r="A265">
        <v>6</v>
      </c>
      <c r="B265">
        <v>21</v>
      </c>
      <c r="C265" t="s">
        <v>5</v>
      </c>
      <c r="D265" t="s">
        <v>20</v>
      </c>
      <c r="E265" s="4">
        <f t="shared" ca="1" si="4"/>
        <v>2402124734.0657148</v>
      </c>
    </row>
    <row r="266" spans="1:5" hidden="1" x14ac:dyDescent="0.25">
      <c r="A266">
        <v>6</v>
      </c>
      <c r="B266">
        <v>22</v>
      </c>
      <c r="C266" t="s">
        <v>5</v>
      </c>
      <c r="D266" t="s">
        <v>21</v>
      </c>
      <c r="E266" s="4">
        <f t="shared" ca="1" si="4"/>
        <v>2425769565.882854</v>
      </c>
    </row>
    <row r="267" spans="1:5" hidden="1" x14ac:dyDescent="0.25">
      <c r="A267">
        <v>6</v>
      </c>
      <c r="B267">
        <v>23</v>
      </c>
      <c r="C267" t="s">
        <v>5</v>
      </c>
      <c r="D267" t="s">
        <v>22</v>
      </c>
      <c r="E267" s="4">
        <f t="shared" ca="1" si="4"/>
        <v>1303356000.5714288</v>
      </c>
    </row>
    <row r="268" spans="1:5" hidden="1" x14ac:dyDescent="0.25">
      <c r="A268">
        <v>6</v>
      </c>
      <c r="B268">
        <v>24</v>
      </c>
      <c r="C268" t="s">
        <v>5</v>
      </c>
      <c r="D268" t="s">
        <v>23</v>
      </c>
      <c r="E268" s="4">
        <f t="shared" ca="1" si="4"/>
        <v>1745839378.111428</v>
      </c>
    </row>
    <row r="269" spans="1:5" hidden="1" x14ac:dyDescent="0.25">
      <c r="A269">
        <v>6</v>
      </c>
      <c r="B269">
        <v>25</v>
      </c>
      <c r="C269" t="s">
        <v>5</v>
      </c>
      <c r="D269" t="s">
        <v>24</v>
      </c>
      <c r="E269" s="4">
        <f t="shared" ca="1" si="4"/>
        <v>1404035460.9114287</v>
      </c>
    </row>
    <row r="270" spans="1:5" hidden="1" x14ac:dyDescent="0.25">
      <c r="A270">
        <v>6</v>
      </c>
      <c r="B270">
        <v>26</v>
      </c>
      <c r="C270" t="s">
        <v>5</v>
      </c>
      <c r="D270" t="s">
        <v>25</v>
      </c>
      <c r="E270" s="4">
        <f t="shared" ca="1" si="4"/>
        <v>1430175982.817143</v>
      </c>
    </row>
    <row r="271" spans="1:5" hidden="1" x14ac:dyDescent="0.25">
      <c r="A271">
        <v>6</v>
      </c>
      <c r="B271">
        <v>27</v>
      </c>
      <c r="C271" t="s">
        <v>5</v>
      </c>
      <c r="D271" t="s">
        <v>145</v>
      </c>
      <c r="E271" s="4">
        <f t="shared" ca="1" si="4"/>
        <v>4228131580.9200001</v>
      </c>
    </row>
    <row r="272" spans="1:5" hidden="1" x14ac:dyDescent="0.25">
      <c r="A272">
        <v>6</v>
      </c>
      <c r="B272">
        <v>28</v>
      </c>
      <c r="C272" t="s">
        <v>5</v>
      </c>
      <c r="D272" t="s">
        <v>147</v>
      </c>
      <c r="E272" s="4">
        <f t="shared" ca="1" si="4"/>
        <v>3389635478.9737144</v>
      </c>
    </row>
    <row r="273" spans="1:5" hidden="1" x14ac:dyDescent="0.25">
      <c r="A273">
        <v>6</v>
      </c>
      <c r="B273">
        <v>29</v>
      </c>
      <c r="C273" t="s">
        <v>5</v>
      </c>
      <c r="D273" t="s">
        <v>146</v>
      </c>
      <c r="E273" s="4">
        <f t="shared" ca="1" si="4"/>
        <v>3865949886.9828572</v>
      </c>
    </row>
    <row r="274" spans="1:5" hidden="1" x14ac:dyDescent="0.25">
      <c r="A274">
        <v>6</v>
      </c>
      <c r="B274">
        <v>30</v>
      </c>
      <c r="C274" t="s">
        <v>5</v>
      </c>
      <c r="D274" t="s">
        <v>30</v>
      </c>
      <c r="E274" s="4">
        <f t="shared" ca="1" si="4"/>
        <v>528117720.08914286</v>
      </c>
    </row>
    <row r="275" spans="1:5" hidden="1" x14ac:dyDescent="0.25">
      <c r="A275">
        <v>6</v>
      </c>
      <c r="B275">
        <v>31</v>
      </c>
      <c r="C275" t="s">
        <v>5</v>
      </c>
      <c r="D275" t="s">
        <v>31</v>
      </c>
      <c r="E275" s="4">
        <f t="shared" ca="1" si="4"/>
        <v>437802836.69428569</v>
      </c>
    </row>
    <row r="276" spans="1:5" hidden="1" x14ac:dyDescent="0.25">
      <c r="A276">
        <v>6</v>
      </c>
      <c r="B276">
        <v>32</v>
      </c>
      <c r="C276" t="s">
        <v>5</v>
      </c>
      <c r="D276" t="s">
        <v>32</v>
      </c>
      <c r="E276" s="4">
        <f t="shared" ca="1" si="4"/>
        <v>447380864.94285709</v>
      </c>
    </row>
    <row r="277" spans="1:5" hidden="1" x14ac:dyDescent="0.25">
      <c r="A277">
        <v>6</v>
      </c>
      <c r="B277">
        <v>33</v>
      </c>
      <c r="C277" t="s">
        <v>5</v>
      </c>
      <c r="D277" t="s">
        <v>33</v>
      </c>
      <c r="E277" s="4">
        <f t="shared" ca="1" si="4"/>
        <v>2865578546.8199987</v>
      </c>
    </row>
    <row r="278" spans="1:5" hidden="1" x14ac:dyDescent="0.25">
      <c r="A278">
        <v>6</v>
      </c>
      <c r="B278">
        <v>34</v>
      </c>
      <c r="C278" t="s">
        <v>5</v>
      </c>
      <c r="D278" t="s">
        <v>34</v>
      </c>
      <c r="E278" s="4">
        <f t="shared" ca="1" si="4"/>
        <v>11026176973.328579</v>
      </c>
    </row>
    <row r="279" spans="1:5" hidden="1" x14ac:dyDescent="0.25">
      <c r="A279">
        <v>6</v>
      </c>
      <c r="B279">
        <v>35</v>
      </c>
      <c r="C279" t="s">
        <v>5</v>
      </c>
      <c r="D279" t="s">
        <v>35</v>
      </c>
      <c r="E279" s="4">
        <f t="shared" ca="1" si="4"/>
        <v>1303070877.2828577</v>
      </c>
    </row>
    <row r="280" spans="1:5" hidden="1" x14ac:dyDescent="0.25">
      <c r="A280">
        <v>6</v>
      </c>
      <c r="B280">
        <v>36</v>
      </c>
      <c r="C280" t="s">
        <v>5</v>
      </c>
      <c r="D280" t="s">
        <v>36</v>
      </c>
      <c r="E280" s="4">
        <f t="shared" ca="1" si="4"/>
        <v>2054628999.3799996</v>
      </c>
    </row>
    <row r="281" spans="1:5" hidden="1" x14ac:dyDescent="0.25">
      <c r="A281">
        <v>6</v>
      </c>
      <c r="B281">
        <v>37</v>
      </c>
      <c r="C281" t="s">
        <v>5</v>
      </c>
      <c r="D281" t="s">
        <v>37</v>
      </c>
      <c r="E281" s="4">
        <f t="shared" ca="1" si="4"/>
        <v>3475514348.8714356</v>
      </c>
    </row>
    <row r="282" spans="1:5" hidden="1" x14ac:dyDescent="0.25">
      <c r="A282">
        <v>6</v>
      </c>
      <c r="B282">
        <v>38</v>
      </c>
      <c r="C282" t="s">
        <v>5</v>
      </c>
      <c r="D282" t="s">
        <v>38</v>
      </c>
      <c r="E282" s="4">
        <f t="shared" ca="1" si="4"/>
        <v>1621462542.2914283</v>
      </c>
    </row>
    <row r="283" spans="1:5" hidden="1" x14ac:dyDescent="0.25">
      <c r="A283">
        <v>6</v>
      </c>
      <c r="B283">
        <v>39</v>
      </c>
      <c r="C283" t="s">
        <v>5</v>
      </c>
      <c r="D283" t="s">
        <v>39</v>
      </c>
      <c r="E283" s="4">
        <f t="shared" ca="1" si="4"/>
        <v>2212052992.4914293</v>
      </c>
    </row>
    <row r="284" spans="1:5" hidden="1" x14ac:dyDescent="0.25">
      <c r="A284">
        <v>6</v>
      </c>
      <c r="B284">
        <v>40</v>
      </c>
      <c r="C284" t="s">
        <v>5</v>
      </c>
      <c r="D284" t="s">
        <v>40</v>
      </c>
      <c r="E284" s="4">
        <f t="shared" ca="1" si="4"/>
        <v>3178045756.7142854</v>
      </c>
    </row>
    <row r="285" spans="1:5" hidden="1" x14ac:dyDescent="0.25">
      <c r="A285">
        <v>7</v>
      </c>
      <c r="B285">
        <v>1</v>
      </c>
      <c r="C285" t="s">
        <v>6</v>
      </c>
      <c r="D285" t="s">
        <v>0</v>
      </c>
      <c r="E285" s="4">
        <f t="shared" ca="1" si="4"/>
        <v>2822410769.6571417</v>
      </c>
    </row>
    <row r="286" spans="1:5" hidden="1" x14ac:dyDescent="0.25">
      <c r="A286">
        <v>7</v>
      </c>
      <c r="B286">
        <v>2</v>
      </c>
      <c r="C286" t="s">
        <v>6</v>
      </c>
      <c r="D286" t="s">
        <v>1</v>
      </c>
      <c r="E286" s="4">
        <f t="shared" ca="1" si="4"/>
        <v>775912716.98571336</v>
      </c>
    </row>
    <row r="287" spans="1:5" hidden="1" x14ac:dyDescent="0.25">
      <c r="A287">
        <v>7</v>
      </c>
      <c r="B287">
        <v>3</v>
      </c>
      <c r="C287" t="s">
        <v>6</v>
      </c>
      <c r="D287" t="s">
        <v>2</v>
      </c>
      <c r="E287" s="4">
        <f t="shared" ca="1" si="4"/>
        <v>677660698.14857197</v>
      </c>
    </row>
    <row r="288" spans="1:5" hidden="1" x14ac:dyDescent="0.25">
      <c r="A288">
        <v>7</v>
      </c>
      <c r="B288">
        <v>4</v>
      </c>
      <c r="C288" t="s">
        <v>6</v>
      </c>
      <c r="D288" t="s">
        <v>3</v>
      </c>
      <c r="E288" s="4">
        <f t="shared" ca="1" si="4"/>
        <v>249577665.99999976</v>
      </c>
    </row>
    <row r="289" spans="1:5" hidden="1" x14ac:dyDescent="0.25">
      <c r="A289">
        <v>7</v>
      </c>
      <c r="B289">
        <v>5</v>
      </c>
      <c r="C289" t="s">
        <v>6</v>
      </c>
      <c r="D289" t="s">
        <v>4</v>
      </c>
      <c r="E289" s="4">
        <f t="shared" ca="1" si="4"/>
        <v>195144374.77971441</v>
      </c>
    </row>
    <row r="290" spans="1:5" hidden="1" x14ac:dyDescent="0.25">
      <c r="A290">
        <v>7</v>
      </c>
      <c r="B290">
        <v>6</v>
      </c>
      <c r="C290" t="s">
        <v>6</v>
      </c>
      <c r="D290" t="s">
        <v>5</v>
      </c>
      <c r="E290" s="4">
        <f t="shared" ca="1" si="4"/>
        <v>200095265.2399998</v>
      </c>
    </row>
    <row r="291" spans="1:5" hidden="1" x14ac:dyDescent="0.25">
      <c r="A291">
        <v>7</v>
      </c>
      <c r="B291">
        <v>7</v>
      </c>
      <c r="C291" t="s">
        <v>6</v>
      </c>
      <c r="D291" t="s">
        <v>6</v>
      </c>
      <c r="E291" s="4">
        <f t="shared" ca="1" si="4"/>
        <v>0</v>
      </c>
    </row>
    <row r="292" spans="1:5" hidden="1" x14ac:dyDescent="0.25">
      <c r="A292">
        <v>7</v>
      </c>
      <c r="B292">
        <v>8</v>
      </c>
      <c r="C292" t="s">
        <v>6</v>
      </c>
      <c r="D292" t="s">
        <v>7</v>
      </c>
      <c r="E292" s="4">
        <f t="shared" ca="1" si="4"/>
        <v>286818547.59999961</v>
      </c>
    </row>
    <row r="293" spans="1:5" hidden="1" x14ac:dyDescent="0.25">
      <c r="A293">
        <v>7</v>
      </c>
      <c r="B293">
        <v>9</v>
      </c>
      <c r="C293" t="s">
        <v>6</v>
      </c>
      <c r="D293" t="s">
        <v>148</v>
      </c>
      <c r="E293" s="4">
        <f t="shared" ca="1" si="4"/>
        <v>59294992.694025964</v>
      </c>
    </row>
    <row r="294" spans="1:5" hidden="1" x14ac:dyDescent="0.25">
      <c r="A294">
        <v>7</v>
      </c>
      <c r="B294">
        <v>10</v>
      </c>
      <c r="C294" t="s">
        <v>6</v>
      </c>
      <c r="D294" t="s">
        <v>9</v>
      </c>
      <c r="E294" s="4">
        <f t="shared" ca="1" si="4"/>
        <v>183135671.90285724</v>
      </c>
    </row>
    <row r="295" spans="1:5" hidden="1" x14ac:dyDescent="0.25">
      <c r="A295">
        <v>7</v>
      </c>
      <c r="B295">
        <v>11</v>
      </c>
      <c r="C295" t="s">
        <v>6</v>
      </c>
      <c r="D295" t="s">
        <v>10</v>
      </c>
      <c r="E295" s="4">
        <f t="shared" ca="1" si="4"/>
        <v>3044152223.8857126</v>
      </c>
    </row>
    <row r="296" spans="1:5" hidden="1" x14ac:dyDescent="0.25">
      <c r="A296">
        <v>7</v>
      </c>
      <c r="B296">
        <v>12</v>
      </c>
      <c r="C296" t="s">
        <v>6</v>
      </c>
      <c r="D296" t="s">
        <v>11</v>
      </c>
      <c r="E296" s="4">
        <f t="shared" ref="E296:E357" ca="1" si="5">OFFSET($B$2,A296,B296)</f>
        <v>2301684423.257143</v>
      </c>
    </row>
    <row r="297" spans="1:5" hidden="1" x14ac:dyDescent="0.25">
      <c r="A297">
        <v>7</v>
      </c>
      <c r="B297">
        <v>13</v>
      </c>
      <c r="C297" t="s">
        <v>6</v>
      </c>
      <c r="D297" t="s">
        <v>12</v>
      </c>
      <c r="E297" s="4">
        <f t="shared" ca="1" si="5"/>
        <v>621910241.42857194</v>
      </c>
    </row>
    <row r="298" spans="1:5" hidden="1" x14ac:dyDescent="0.25">
      <c r="A298">
        <v>7</v>
      </c>
      <c r="B298">
        <v>14</v>
      </c>
      <c r="C298" t="s">
        <v>6</v>
      </c>
      <c r="D298" t="s">
        <v>13</v>
      </c>
      <c r="E298" s="4">
        <f t="shared" ca="1" si="5"/>
        <v>2529047791.4285698</v>
      </c>
    </row>
    <row r="299" spans="1:5" hidden="1" x14ac:dyDescent="0.25">
      <c r="A299">
        <v>7</v>
      </c>
      <c r="B299">
        <v>15</v>
      </c>
      <c r="C299" t="s">
        <v>6</v>
      </c>
      <c r="D299" t="s">
        <v>14</v>
      </c>
      <c r="E299" s="4">
        <f t="shared" ca="1" si="5"/>
        <v>4919423665.5771389</v>
      </c>
    </row>
    <row r="300" spans="1:5" hidden="1" x14ac:dyDescent="0.25">
      <c r="A300">
        <v>7</v>
      </c>
      <c r="B300">
        <v>16</v>
      </c>
      <c r="C300" t="s">
        <v>6</v>
      </c>
      <c r="D300" t="s">
        <v>15</v>
      </c>
      <c r="E300" s="4">
        <f t="shared" ca="1" si="5"/>
        <v>4507133698.6971464</v>
      </c>
    </row>
    <row r="301" spans="1:5" hidden="1" x14ac:dyDescent="0.25">
      <c r="A301">
        <v>7</v>
      </c>
      <c r="B301">
        <v>17</v>
      </c>
      <c r="C301" t="s">
        <v>6</v>
      </c>
      <c r="D301" t="s">
        <v>16</v>
      </c>
      <c r="E301" s="4">
        <f t="shared" ca="1" si="5"/>
        <v>9150992203.2000027</v>
      </c>
    </row>
    <row r="302" spans="1:5" hidden="1" x14ac:dyDescent="0.25">
      <c r="A302">
        <v>7</v>
      </c>
      <c r="B302">
        <v>18</v>
      </c>
      <c r="C302" t="s">
        <v>6</v>
      </c>
      <c r="D302" t="s">
        <v>17</v>
      </c>
      <c r="E302" s="4">
        <f t="shared" ca="1" si="5"/>
        <v>3303486553.3714252</v>
      </c>
    </row>
    <row r="303" spans="1:5" hidden="1" x14ac:dyDescent="0.25">
      <c r="A303">
        <v>7</v>
      </c>
      <c r="B303">
        <v>19</v>
      </c>
      <c r="C303" t="s">
        <v>6</v>
      </c>
      <c r="D303" t="s">
        <v>18</v>
      </c>
      <c r="E303" s="4">
        <f t="shared" ca="1" si="5"/>
        <v>235704472.79428589</v>
      </c>
    </row>
    <row r="304" spans="1:5" hidden="1" x14ac:dyDescent="0.25">
      <c r="A304">
        <v>7</v>
      </c>
      <c r="B304">
        <v>20</v>
      </c>
      <c r="C304" t="s">
        <v>6</v>
      </c>
      <c r="D304" t="s">
        <v>19</v>
      </c>
      <c r="E304" s="4">
        <f t="shared" ca="1" si="5"/>
        <v>3030907704.891428</v>
      </c>
    </row>
    <row r="305" spans="1:5" hidden="1" x14ac:dyDescent="0.25">
      <c r="A305">
        <v>7</v>
      </c>
      <c r="B305">
        <v>21</v>
      </c>
      <c r="C305" t="s">
        <v>6</v>
      </c>
      <c r="D305" t="s">
        <v>20</v>
      </c>
      <c r="E305" s="4">
        <f t="shared" ca="1" si="5"/>
        <v>1516639178.057143</v>
      </c>
    </row>
    <row r="306" spans="1:5" hidden="1" x14ac:dyDescent="0.25">
      <c r="A306">
        <v>7</v>
      </c>
      <c r="B306">
        <v>22</v>
      </c>
      <c r="C306" t="s">
        <v>6</v>
      </c>
      <c r="D306" t="s">
        <v>21</v>
      </c>
      <c r="E306" s="4">
        <f t="shared" ca="1" si="5"/>
        <v>1472293834.1028543</v>
      </c>
    </row>
    <row r="307" spans="1:5" hidden="1" x14ac:dyDescent="0.25">
      <c r="A307">
        <v>7</v>
      </c>
      <c r="B307">
        <v>23</v>
      </c>
      <c r="C307" t="s">
        <v>6</v>
      </c>
      <c r="D307" t="s">
        <v>22</v>
      </c>
      <c r="E307" s="4">
        <f t="shared" ca="1" si="5"/>
        <v>550438420.20571446</v>
      </c>
    </row>
    <row r="308" spans="1:5" hidden="1" x14ac:dyDescent="0.25">
      <c r="A308">
        <v>7</v>
      </c>
      <c r="B308">
        <v>24</v>
      </c>
      <c r="C308" t="s">
        <v>6</v>
      </c>
      <c r="D308" t="s">
        <v>23</v>
      </c>
      <c r="E308" s="4">
        <f t="shared" ca="1" si="5"/>
        <v>814564829.16571403</v>
      </c>
    </row>
    <row r="309" spans="1:5" hidden="1" x14ac:dyDescent="0.25">
      <c r="A309">
        <v>7</v>
      </c>
      <c r="B309">
        <v>25</v>
      </c>
      <c r="C309" t="s">
        <v>6</v>
      </c>
      <c r="D309" t="s">
        <v>24</v>
      </c>
      <c r="E309" s="4">
        <f t="shared" ca="1" si="5"/>
        <v>567967349.96571445</v>
      </c>
    </row>
    <row r="310" spans="1:5" hidden="1" x14ac:dyDescent="0.25">
      <c r="A310">
        <v>7</v>
      </c>
      <c r="B310">
        <v>26</v>
      </c>
      <c r="C310" t="s">
        <v>6</v>
      </c>
      <c r="D310" t="s">
        <v>25</v>
      </c>
      <c r="E310" s="4">
        <f t="shared" ca="1" si="5"/>
        <v>564924987.56571424</v>
      </c>
    </row>
    <row r="311" spans="1:5" hidden="1" x14ac:dyDescent="0.25">
      <c r="A311">
        <v>7</v>
      </c>
      <c r="B311">
        <v>27</v>
      </c>
      <c r="C311" t="s">
        <v>6</v>
      </c>
      <c r="D311" t="s">
        <v>145</v>
      </c>
      <c r="E311" s="4">
        <f t="shared" ca="1" si="5"/>
        <v>2898390178.1714287</v>
      </c>
    </row>
    <row r="312" spans="1:5" hidden="1" x14ac:dyDescent="0.25">
      <c r="A312">
        <v>7</v>
      </c>
      <c r="B312">
        <v>28</v>
      </c>
      <c r="C312" t="s">
        <v>6</v>
      </c>
      <c r="D312" t="s">
        <v>147</v>
      </c>
      <c r="E312" s="4">
        <f t="shared" ca="1" si="5"/>
        <v>2265144605.6274285</v>
      </c>
    </row>
    <row r="313" spans="1:5" hidden="1" x14ac:dyDescent="0.25">
      <c r="A313">
        <v>7</v>
      </c>
      <c r="B313">
        <v>29</v>
      </c>
      <c r="C313" t="s">
        <v>6</v>
      </c>
      <c r="D313" t="s">
        <v>146</v>
      </c>
      <c r="E313" s="4">
        <f t="shared" ca="1" si="5"/>
        <v>2643692419.9028573</v>
      </c>
    </row>
    <row r="314" spans="1:5" hidden="1" x14ac:dyDescent="0.25">
      <c r="A314">
        <v>7</v>
      </c>
      <c r="B314">
        <v>30</v>
      </c>
      <c r="C314" t="s">
        <v>6</v>
      </c>
      <c r="D314" t="s">
        <v>30</v>
      </c>
      <c r="E314" s="4">
        <f t="shared" ca="1" si="5"/>
        <v>171904119.8457143</v>
      </c>
    </row>
    <row r="315" spans="1:5" hidden="1" x14ac:dyDescent="0.25">
      <c r="A315">
        <v>7</v>
      </c>
      <c r="B315">
        <v>31</v>
      </c>
      <c r="C315" t="s">
        <v>6</v>
      </c>
      <c r="D315" t="s">
        <v>31</v>
      </c>
      <c r="E315" s="4">
        <f t="shared" ca="1" si="5"/>
        <v>108148893.12000005</v>
      </c>
    </row>
    <row r="316" spans="1:5" hidden="1" x14ac:dyDescent="0.25">
      <c r="A316">
        <v>7</v>
      </c>
      <c r="B316">
        <v>32</v>
      </c>
      <c r="C316" t="s">
        <v>6</v>
      </c>
      <c r="D316" t="s">
        <v>32</v>
      </c>
      <c r="E316" s="4">
        <f t="shared" ca="1" si="5"/>
        <v>86115924.342857137</v>
      </c>
    </row>
    <row r="317" spans="1:5" hidden="1" x14ac:dyDescent="0.25">
      <c r="A317">
        <v>7</v>
      </c>
      <c r="B317">
        <v>33</v>
      </c>
      <c r="C317" t="s">
        <v>6</v>
      </c>
      <c r="D317" t="s">
        <v>33</v>
      </c>
      <c r="E317" s="4">
        <f t="shared" ca="1" si="5"/>
        <v>1793802489.2571423</v>
      </c>
    </row>
    <row r="318" spans="1:5" hidden="1" x14ac:dyDescent="0.25">
      <c r="A318">
        <v>7</v>
      </c>
      <c r="B318">
        <v>34</v>
      </c>
      <c r="C318" t="s">
        <v>6</v>
      </c>
      <c r="D318" t="s">
        <v>34</v>
      </c>
      <c r="E318" s="4">
        <f t="shared" ca="1" si="5"/>
        <v>7410697638.8057203</v>
      </c>
    </row>
    <row r="319" spans="1:5" hidden="1" x14ac:dyDescent="0.25">
      <c r="A319">
        <v>7</v>
      </c>
      <c r="B319">
        <v>35</v>
      </c>
      <c r="C319" t="s">
        <v>6</v>
      </c>
      <c r="D319" t="s">
        <v>35</v>
      </c>
      <c r="E319" s="4">
        <f t="shared" ca="1" si="5"/>
        <v>680101391.42857194</v>
      </c>
    </row>
    <row r="320" spans="1:5" hidden="1" x14ac:dyDescent="0.25">
      <c r="A320">
        <v>7</v>
      </c>
      <c r="B320">
        <v>36</v>
      </c>
      <c r="C320" t="s">
        <v>6</v>
      </c>
      <c r="D320" t="s">
        <v>36</v>
      </c>
      <c r="E320" s="4">
        <f t="shared" ca="1" si="5"/>
        <v>795487902.99428535</v>
      </c>
    </row>
    <row r="321" spans="1:5" hidden="1" x14ac:dyDescent="0.25">
      <c r="A321">
        <v>7</v>
      </c>
      <c r="B321">
        <v>37</v>
      </c>
      <c r="C321" t="s">
        <v>6</v>
      </c>
      <c r="D321" t="s">
        <v>37</v>
      </c>
      <c r="E321" s="4">
        <f t="shared" ca="1" si="5"/>
        <v>1909994268.6285779</v>
      </c>
    </row>
    <row r="322" spans="1:5" hidden="1" x14ac:dyDescent="0.25">
      <c r="A322">
        <v>7</v>
      </c>
      <c r="B322">
        <v>38</v>
      </c>
      <c r="C322" t="s">
        <v>6</v>
      </c>
      <c r="D322" t="s">
        <v>38</v>
      </c>
      <c r="E322" s="4">
        <f t="shared" ca="1" si="5"/>
        <v>368346093.88571429</v>
      </c>
    </row>
    <row r="323" spans="1:5" hidden="1" x14ac:dyDescent="0.25">
      <c r="A323">
        <v>7</v>
      </c>
      <c r="B323">
        <v>39</v>
      </c>
      <c r="C323" t="s">
        <v>6</v>
      </c>
      <c r="D323" t="s">
        <v>39</v>
      </c>
      <c r="E323" s="4">
        <f t="shared" ca="1" si="5"/>
        <v>822934933.48571503</v>
      </c>
    </row>
    <row r="324" spans="1:5" hidden="1" x14ac:dyDescent="0.25">
      <c r="A324">
        <v>7</v>
      </c>
      <c r="B324">
        <v>40</v>
      </c>
      <c r="C324" t="s">
        <v>6</v>
      </c>
      <c r="D324" t="s">
        <v>40</v>
      </c>
      <c r="E324" s="4">
        <f t="shared" ca="1" si="5"/>
        <v>1712548639.6971428</v>
      </c>
    </row>
    <row r="325" spans="1:5" hidden="1" x14ac:dyDescent="0.25">
      <c r="A325">
        <v>8</v>
      </c>
      <c r="B325">
        <v>1</v>
      </c>
      <c r="C325" t="s">
        <v>7</v>
      </c>
      <c r="D325" t="s">
        <v>0</v>
      </c>
      <c r="E325" s="4">
        <f t="shared" ca="1" si="5"/>
        <v>1394427203.074285</v>
      </c>
    </row>
    <row r="326" spans="1:5" hidden="1" x14ac:dyDescent="0.25">
      <c r="A326">
        <v>8</v>
      </c>
      <c r="B326">
        <v>2</v>
      </c>
      <c r="C326" t="s">
        <v>7</v>
      </c>
      <c r="D326" t="s">
        <v>1</v>
      </c>
      <c r="E326" s="4">
        <f t="shared" ca="1" si="5"/>
        <v>725173576.39999926</v>
      </c>
    </row>
    <row r="327" spans="1:5" hidden="1" x14ac:dyDescent="0.25">
      <c r="A327">
        <v>8</v>
      </c>
      <c r="B327">
        <v>3</v>
      </c>
      <c r="C327" t="s">
        <v>7</v>
      </c>
      <c r="D327" t="s">
        <v>2</v>
      </c>
      <c r="E327" s="4">
        <f t="shared" ca="1" si="5"/>
        <v>669797343.72571468</v>
      </c>
    </row>
    <row r="328" spans="1:5" hidden="1" x14ac:dyDescent="0.25">
      <c r="A328">
        <v>8</v>
      </c>
      <c r="B328">
        <v>4</v>
      </c>
      <c r="C328" t="s">
        <v>7</v>
      </c>
      <c r="D328" t="s">
        <v>3</v>
      </c>
      <c r="E328" s="4">
        <f t="shared" ca="1" si="5"/>
        <v>27813858.220571402</v>
      </c>
    </row>
    <row r="329" spans="1:5" hidden="1" x14ac:dyDescent="0.25">
      <c r="A329">
        <v>8</v>
      </c>
      <c r="B329">
        <v>5</v>
      </c>
      <c r="C329" t="s">
        <v>7</v>
      </c>
      <c r="D329" t="s">
        <v>4</v>
      </c>
      <c r="E329" s="4">
        <f t="shared" ca="1" si="5"/>
        <v>498015107.79428607</v>
      </c>
    </row>
    <row r="330" spans="1:5" hidden="1" x14ac:dyDescent="0.25">
      <c r="A330">
        <v>8</v>
      </c>
      <c r="B330">
        <v>6</v>
      </c>
      <c r="C330" t="s">
        <v>7</v>
      </c>
      <c r="D330" t="s">
        <v>5</v>
      </c>
      <c r="E330" s="4">
        <f t="shared" ca="1" si="5"/>
        <v>379134812.30857116</v>
      </c>
    </row>
    <row r="331" spans="1:5" hidden="1" x14ac:dyDescent="0.25">
      <c r="A331">
        <v>8</v>
      </c>
      <c r="B331">
        <v>7</v>
      </c>
      <c r="C331" t="s">
        <v>7</v>
      </c>
      <c r="D331" t="s">
        <v>6</v>
      </c>
      <c r="E331" s="4">
        <f t="shared" ca="1" si="5"/>
        <v>91358885.131428525</v>
      </c>
    </row>
    <row r="332" spans="1:5" hidden="1" x14ac:dyDescent="0.25">
      <c r="A332">
        <v>8</v>
      </c>
      <c r="B332">
        <v>8</v>
      </c>
      <c r="C332" t="s">
        <v>7</v>
      </c>
      <c r="D332" t="s">
        <v>7</v>
      </c>
      <c r="E332" s="4">
        <f t="shared" ca="1" si="5"/>
        <v>0</v>
      </c>
    </row>
    <row r="333" spans="1:5" hidden="1" x14ac:dyDescent="0.25">
      <c r="A333">
        <v>8</v>
      </c>
      <c r="B333">
        <v>9</v>
      </c>
      <c r="C333" t="s">
        <v>7</v>
      </c>
      <c r="D333" t="s">
        <v>148</v>
      </c>
      <c r="E333" s="4">
        <f t="shared" ca="1" si="5"/>
        <v>88111523.739740252</v>
      </c>
    </row>
    <row r="334" spans="1:5" hidden="1" x14ac:dyDescent="0.25">
      <c r="A334">
        <v>8</v>
      </c>
      <c r="B334">
        <v>10</v>
      </c>
      <c r="C334" t="s">
        <v>7</v>
      </c>
      <c r="D334" t="s">
        <v>9</v>
      </c>
      <c r="E334" s="4">
        <f t="shared" ca="1" si="5"/>
        <v>304839232.50857162</v>
      </c>
    </row>
    <row r="335" spans="1:5" hidden="1" x14ac:dyDescent="0.25">
      <c r="A335">
        <v>8</v>
      </c>
      <c r="B335">
        <v>11</v>
      </c>
      <c r="C335" t="s">
        <v>7</v>
      </c>
      <c r="D335" t="s">
        <v>10</v>
      </c>
      <c r="E335" s="4">
        <f t="shared" ca="1" si="5"/>
        <v>3391000326.6599984</v>
      </c>
    </row>
    <row r="336" spans="1:5" hidden="1" x14ac:dyDescent="0.25">
      <c r="A336">
        <v>8</v>
      </c>
      <c r="B336">
        <v>12</v>
      </c>
      <c r="C336" t="s">
        <v>7</v>
      </c>
      <c r="D336" t="s">
        <v>11</v>
      </c>
      <c r="E336" s="4">
        <f t="shared" ca="1" si="5"/>
        <v>2596849434.2514281</v>
      </c>
    </row>
    <row r="337" spans="1:5" hidden="1" x14ac:dyDescent="0.25">
      <c r="A337">
        <v>8</v>
      </c>
      <c r="B337">
        <v>13</v>
      </c>
      <c r="C337" t="s">
        <v>7</v>
      </c>
      <c r="D337" t="s">
        <v>12</v>
      </c>
      <c r="E337" s="4">
        <f t="shared" ca="1" si="5"/>
        <v>987146611.39714313</v>
      </c>
    </row>
    <row r="338" spans="1:5" hidden="1" x14ac:dyDescent="0.25">
      <c r="A338">
        <v>8</v>
      </c>
      <c r="B338">
        <v>14</v>
      </c>
      <c r="C338" t="s">
        <v>7</v>
      </c>
      <c r="D338" t="s">
        <v>13</v>
      </c>
      <c r="E338" s="4">
        <f t="shared" ca="1" si="5"/>
        <v>2745650723.1971416</v>
      </c>
    </row>
    <row r="339" spans="1:5" hidden="1" x14ac:dyDescent="0.25">
      <c r="A339">
        <v>8</v>
      </c>
      <c r="B339">
        <v>15</v>
      </c>
      <c r="C339" t="s">
        <v>7</v>
      </c>
      <c r="D339" t="s">
        <v>14</v>
      </c>
      <c r="E339" s="4">
        <f t="shared" ca="1" si="5"/>
        <v>4993904042.768568</v>
      </c>
    </row>
    <row r="340" spans="1:5" hidden="1" x14ac:dyDescent="0.25">
      <c r="A340">
        <v>8</v>
      </c>
      <c r="B340">
        <v>16</v>
      </c>
      <c r="C340" t="s">
        <v>7</v>
      </c>
      <c r="D340" t="s">
        <v>15</v>
      </c>
      <c r="E340" s="4">
        <f t="shared" ca="1" si="5"/>
        <v>4704993373.0885744</v>
      </c>
    </row>
    <row r="341" spans="1:5" hidden="1" x14ac:dyDescent="0.25">
      <c r="A341">
        <v>8</v>
      </c>
      <c r="B341">
        <v>17</v>
      </c>
      <c r="C341" t="s">
        <v>7</v>
      </c>
      <c r="D341" t="s">
        <v>16</v>
      </c>
      <c r="E341" s="4">
        <f t="shared" ca="1" si="5"/>
        <v>9262455976.054287</v>
      </c>
    </row>
    <row r="342" spans="1:5" hidden="1" x14ac:dyDescent="0.25">
      <c r="A342">
        <v>8</v>
      </c>
      <c r="B342">
        <v>18</v>
      </c>
      <c r="C342" t="s">
        <v>7</v>
      </c>
      <c r="D342" t="s">
        <v>17</v>
      </c>
      <c r="E342" s="4">
        <f t="shared" ca="1" si="5"/>
        <v>3635455894.2428541</v>
      </c>
    </row>
    <row r="343" spans="1:5" hidden="1" x14ac:dyDescent="0.25">
      <c r="A343">
        <v>8</v>
      </c>
      <c r="B343">
        <v>19</v>
      </c>
      <c r="C343" t="s">
        <v>7</v>
      </c>
      <c r="D343" t="s">
        <v>18</v>
      </c>
      <c r="E343" s="4">
        <f t="shared" ca="1" si="5"/>
        <v>422766270.94857162</v>
      </c>
    </row>
    <row r="344" spans="1:5" hidden="1" x14ac:dyDescent="0.25">
      <c r="A344">
        <v>8</v>
      </c>
      <c r="B344">
        <v>20</v>
      </c>
      <c r="C344" t="s">
        <v>7</v>
      </c>
      <c r="D344" t="s">
        <v>19</v>
      </c>
      <c r="E344" s="4">
        <f t="shared" ca="1" si="5"/>
        <v>2820811079.4257135</v>
      </c>
    </row>
    <row r="345" spans="1:5" hidden="1" x14ac:dyDescent="0.25">
      <c r="A345">
        <v>8</v>
      </c>
      <c r="B345">
        <v>21</v>
      </c>
      <c r="C345" t="s">
        <v>7</v>
      </c>
      <c r="D345" t="s">
        <v>20</v>
      </c>
      <c r="E345" s="4">
        <f t="shared" ca="1" si="5"/>
        <v>1620345649.9514287</v>
      </c>
    </row>
    <row r="346" spans="1:5" hidden="1" x14ac:dyDescent="0.25">
      <c r="A346">
        <v>8</v>
      </c>
      <c r="B346">
        <v>22</v>
      </c>
      <c r="C346" t="s">
        <v>7</v>
      </c>
      <c r="D346" t="s">
        <v>21</v>
      </c>
      <c r="E346" s="4">
        <f t="shared" ca="1" si="5"/>
        <v>1539181394.3171401</v>
      </c>
    </row>
    <row r="347" spans="1:5" hidden="1" x14ac:dyDescent="0.25">
      <c r="A347">
        <v>8</v>
      </c>
      <c r="B347">
        <v>23</v>
      </c>
      <c r="C347" t="s">
        <v>7</v>
      </c>
      <c r="D347" t="s">
        <v>22</v>
      </c>
      <c r="E347" s="4">
        <f t="shared" ca="1" si="5"/>
        <v>713382846.50000012</v>
      </c>
    </row>
    <row r="348" spans="1:5" hidden="1" x14ac:dyDescent="0.25">
      <c r="A348">
        <v>8</v>
      </c>
      <c r="B348">
        <v>24</v>
      </c>
      <c r="C348" t="s">
        <v>7</v>
      </c>
      <c r="D348" t="s">
        <v>23</v>
      </c>
      <c r="E348" s="4">
        <f t="shared" ca="1" si="5"/>
        <v>1048819161.5628569</v>
      </c>
    </row>
    <row r="349" spans="1:5" hidden="1" x14ac:dyDescent="0.25">
      <c r="A349">
        <v>8</v>
      </c>
      <c r="B349">
        <v>25</v>
      </c>
      <c r="C349" t="s">
        <v>7</v>
      </c>
      <c r="D349" t="s">
        <v>24</v>
      </c>
      <c r="E349" s="4">
        <f t="shared" ca="1" si="5"/>
        <v>786118358.08000028</v>
      </c>
    </row>
    <row r="350" spans="1:5" hidden="1" x14ac:dyDescent="0.25">
      <c r="A350">
        <v>8</v>
      </c>
      <c r="B350">
        <v>26</v>
      </c>
      <c r="C350" t="s">
        <v>7</v>
      </c>
      <c r="D350" t="s">
        <v>25</v>
      </c>
      <c r="E350" s="4">
        <f t="shared" ca="1" si="5"/>
        <v>829140981.2171427</v>
      </c>
    </row>
    <row r="351" spans="1:5" hidden="1" x14ac:dyDescent="0.25">
      <c r="A351">
        <v>8</v>
      </c>
      <c r="B351">
        <v>27</v>
      </c>
      <c r="C351" t="s">
        <v>7</v>
      </c>
      <c r="D351" t="s">
        <v>145</v>
      </c>
      <c r="E351" s="4">
        <f t="shared" ca="1" si="5"/>
        <v>2673049014.1085715</v>
      </c>
    </row>
    <row r="352" spans="1:5" hidden="1" x14ac:dyDescent="0.25">
      <c r="A352">
        <v>8</v>
      </c>
      <c r="B352">
        <v>28</v>
      </c>
      <c r="C352" t="s">
        <v>7</v>
      </c>
      <c r="D352" t="s">
        <v>147</v>
      </c>
      <c r="E352" s="4">
        <f t="shared" ca="1" si="5"/>
        <v>2227911229.8857141</v>
      </c>
    </row>
    <row r="353" spans="1:5" hidden="1" x14ac:dyDescent="0.25">
      <c r="A353">
        <v>8</v>
      </c>
      <c r="B353">
        <v>29</v>
      </c>
      <c r="C353" t="s">
        <v>7</v>
      </c>
      <c r="D353" t="s">
        <v>146</v>
      </c>
      <c r="E353" s="4">
        <f t="shared" ca="1" si="5"/>
        <v>2702744369.817143</v>
      </c>
    </row>
    <row r="354" spans="1:5" hidden="1" x14ac:dyDescent="0.25">
      <c r="A354">
        <v>8</v>
      </c>
      <c r="B354">
        <v>30</v>
      </c>
      <c r="C354" t="s">
        <v>7</v>
      </c>
      <c r="D354" t="s">
        <v>30</v>
      </c>
      <c r="E354" s="4">
        <f t="shared" ca="1" si="5"/>
        <v>133699382.20228572</v>
      </c>
    </row>
    <row r="355" spans="1:5" hidden="1" x14ac:dyDescent="0.25">
      <c r="A355">
        <v>8</v>
      </c>
      <c r="B355">
        <v>31</v>
      </c>
      <c r="C355" t="s">
        <v>7</v>
      </c>
      <c r="D355" t="s">
        <v>31</v>
      </c>
      <c r="E355" s="4">
        <f t="shared" ca="1" si="5"/>
        <v>121057815.08571433</v>
      </c>
    </row>
    <row r="356" spans="1:5" hidden="1" x14ac:dyDescent="0.25">
      <c r="A356">
        <v>8</v>
      </c>
      <c r="B356">
        <v>32</v>
      </c>
      <c r="C356" t="s">
        <v>7</v>
      </c>
      <c r="D356" t="s">
        <v>32</v>
      </c>
      <c r="E356" s="4">
        <f t="shared" ca="1" si="5"/>
        <v>140840252.22857141</v>
      </c>
    </row>
    <row r="357" spans="1:5" hidden="1" x14ac:dyDescent="0.25">
      <c r="A357">
        <v>8</v>
      </c>
      <c r="B357">
        <v>33</v>
      </c>
      <c r="C357" t="s">
        <v>7</v>
      </c>
      <c r="D357" t="s">
        <v>33</v>
      </c>
      <c r="E357" s="4">
        <f t="shared" ca="1" si="5"/>
        <v>1389628008.5828564</v>
      </c>
    </row>
    <row r="358" spans="1:5" hidden="1" x14ac:dyDescent="0.25">
      <c r="A358">
        <v>8</v>
      </c>
      <c r="B358">
        <v>34</v>
      </c>
      <c r="C358" t="s">
        <v>7</v>
      </c>
      <c r="D358" t="s">
        <v>34</v>
      </c>
      <c r="E358" s="4">
        <f t="shared" ref="E358:E420" ca="1" si="6">OFFSET($B$2,A358,B358)</f>
        <v>5280199596.7857189</v>
      </c>
    </row>
    <row r="359" spans="1:5" hidden="1" x14ac:dyDescent="0.25">
      <c r="A359">
        <v>8</v>
      </c>
      <c r="B359">
        <v>35</v>
      </c>
      <c r="C359" t="s">
        <v>7</v>
      </c>
      <c r="D359" t="s">
        <v>35</v>
      </c>
      <c r="E359" s="4">
        <f t="shared" ca="1" si="6"/>
        <v>579310293.76857185</v>
      </c>
    </row>
    <row r="360" spans="1:5" hidden="1" x14ac:dyDescent="0.25">
      <c r="A360">
        <v>8</v>
      </c>
      <c r="B360">
        <v>36</v>
      </c>
      <c r="C360" t="s">
        <v>7</v>
      </c>
      <c r="D360" t="s">
        <v>36</v>
      </c>
      <c r="E360" s="4">
        <f t="shared" ca="1" si="6"/>
        <v>1234511765.0485709</v>
      </c>
    </row>
    <row r="361" spans="1:5" hidden="1" x14ac:dyDescent="0.25">
      <c r="A361">
        <v>8</v>
      </c>
      <c r="B361">
        <v>37</v>
      </c>
      <c r="C361" t="s">
        <v>7</v>
      </c>
      <c r="D361" t="s">
        <v>37</v>
      </c>
      <c r="E361" s="4">
        <f t="shared" ca="1" si="6"/>
        <v>2414755996.6428633</v>
      </c>
    </row>
    <row r="362" spans="1:5" hidden="1" x14ac:dyDescent="0.25">
      <c r="A362">
        <v>8</v>
      </c>
      <c r="B362">
        <v>38</v>
      </c>
      <c r="C362" t="s">
        <v>7</v>
      </c>
      <c r="D362" t="s">
        <v>38</v>
      </c>
      <c r="E362" s="4">
        <f t="shared" ca="1" si="6"/>
        <v>849910789.74285722</v>
      </c>
    </row>
    <row r="363" spans="1:5" hidden="1" x14ac:dyDescent="0.25">
      <c r="A363">
        <v>8</v>
      </c>
      <c r="B363">
        <v>39</v>
      </c>
      <c r="C363" t="s">
        <v>7</v>
      </c>
      <c r="D363" t="s">
        <v>39</v>
      </c>
      <c r="E363" s="4">
        <f t="shared" ca="1" si="6"/>
        <v>1330459310.4600005</v>
      </c>
    </row>
    <row r="364" spans="1:5" hidden="1" x14ac:dyDescent="0.25">
      <c r="A364">
        <v>8</v>
      </c>
      <c r="B364">
        <v>40</v>
      </c>
      <c r="C364" t="s">
        <v>7</v>
      </c>
      <c r="D364" t="s">
        <v>40</v>
      </c>
      <c r="E364" s="4">
        <f t="shared" ca="1" si="6"/>
        <v>2183522304.7199998</v>
      </c>
    </row>
    <row r="365" spans="1:5" hidden="1" x14ac:dyDescent="0.25">
      <c r="A365">
        <v>9</v>
      </c>
      <c r="B365">
        <v>1</v>
      </c>
      <c r="C365" t="s">
        <v>148</v>
      </c>
      <c r="D365" t="s">
        <v>0</v>
      </c>
      <c r="E365" s="4">
        <f t="shared" ca="1" si="6"/>
        <v>1245931074.6628568</v>
      </c>
    </row>
    <row r="366" spans="1:5" hidden="1" x14ac:dyDescent="0.25">
      <c r="A366">
        <v>9</v>
      </c>
      <c r="B366">
        <v>2</v>
      </c>
      <c r="C366" t="s">
        <v>148</v>
      </c>
      <c r="D366" t="s">
        <v>1</v>
      </c>
      <c r="E366" s="4">
        <f t="shared" ca="1" si="6"/>
        <v>361572559.47428519</v>
      </c>
    </row>
    <row r="367" spans="1:5" hidden="1" x14ac:dyDescent="0.25">
      <c r="A367">
        <v>9</v>
      </c>
      <c r="B367">
        <v>3</v>
      </c>
      <c r="C367" t="s">
        <v>148</v>
      </c>
      <c r="D367" t="s">
        <v>2</v>
      </c>
      <c r="E367" s="4">
        <f t="shared" ca="1" si="6"/>
        <v>333577797.61428601</v>
      </c>
    </row>
    <row r="368" spans="1:5" hidden="1" x14ac:dyDescent="0.25">
      <c r="A368">
        <v>9</v>
      </c>
      <c r="B368">
        <v>4</v>
      </c>
      <c r="C368" t="s">
        <v>148</v>
      </c>
      <c r="D368" t="s">
        <v>3</v>
      </c>
      <c r="E368" s="4">
        <f t="shared" ca="1" si="6"/>
        <v>397344621.73714244</v>
      </c>
    </row>
    <row r="369" spans="1:5" hidden="1" x14ac:dyDescent="0.25">
      <c r="A369">
        <v>9</v>
      </c>
      <c r="B369">
        <v>5</v>
      </c>
      <c r="C369" t="s">
        <v>148</v>
      </c>
      <c r="D369" t="s">
        <v>4</v>
      </c>
      <c r="E369" s="4">
        <f t="shared" ca="1" si="6"/>
        <v>1219794459.1485722</v>
      </c>
    </row>
    <row r="370" spans="1:5" hidden="1" x14ac:dyDescent="0.25">
      <c r="A370">
        <v>9</v>
      </c>
      <c r="B370">
        <v>6</v>
      </c>
      <c r="C370" t="s">
        <v>148</v>
      </c>
      <c r="D370" t="s">
        <v>5</v>
      </c>
      <c r="E370" s="4">
        <f t="shared" ca="1" si="6"/>
        <v>429445716.06857091</v>
      </c>
    </row>
    <row r="371" spans="1:5" hidden="1" x14ac:dyDescent="0.25">
      <c r="A371">
        <v>9</v>
      </c>
      <c r="B371">
        <v>7</v>
      </c>
      <c r="C371" t="s">
        <v>148</v>
      </c>
      <c r="D371" t="s">
        <v>6</v>
      </c>
      <c r="E371" s="4">
        <f t="shared" ca="1" si="6"/>
        <v>102392931.97714278</v>
      </c>
    </row>
    <row r="372" spans="1:5" hidden="1" x14ac:dyDescent="0.25">
      <c r="A372">
        <v>9</v>
      </c>
      <c r="B372">
        <v>8</v>
      </c>
      <c r="C372" t="s">
        <v>148</v>
      </c>
      <c r="D372" t="s">
        <v>7</v>
      </c>
      <c r="E372" s="4">
        <f t="shared" ca="1" si="6"/>
        <v>414135813.44571388</v>
      </c>
    </row>
    <row r="373" spans="1:5" hidden="1" x14ac:dyDescent="0.25">
      <c r="A373">
        <v>9</v>
      </c>
      <c r="B373">
        <v>9</v>
      </c>
      <c r="C373" t="s">
        <v>148</v>
      </c>
      <c r="D373" t="s">
        <v>148</v>
      </c>
      <c r="E373" s="4">
        <f t="shared" ca="1" si="6"/>
        <v>0</v>
      </c>
    </row>
    <row r="374" spans="1:5" hidden="1" x14ac:dyDescent="0.25">
      <c r="A374">
        <v>9</v>
      </c>
      <c r="B374">
        <v>10</v>
      </c>
      <c r="C374" t="s">
        <v>148</v>
      </c>
      <c r="D374" t="s">
        <v>9</v>
      </c>
      <c r="E374" s="4">
        <f t="shared" ca="1" si="6"/>
        <v>491010980.57142889</v>
      </c>
    </row>
    <row r="375" spans="1:5" hidden="1" x14ac:dyDescent="0.25">
      <c r="A375">
        <v>9</v>
      </c>
      <c r="B375">
        <v>11</v>
      </c>
      <c r="C375" t="s">
        <v>148</v>
      </c>
      <c r="D375" t="s">
        <v>10</v>
      </c>
      <c r="E375" s="4">
        <f t="shared" ca="1" si="6"/>
        <v>2438788955.2999978</v>
      </c>
    </row>
    <row r="376" spans="1:5" hidden="1" x14ac:dyDescent="0.25">
      <c r="A376">
        <v>9</v>
      </c>
      <c r="B376">
        <v>12</v>
      </c>
      <c r="C376" t="s">
        <v>148</v>
      </c>
      <c r="D376" t="s">
        <v>11</v>
      </c>
      <c r="E376" s="4">
        <f t="shared" ca="1" si="6"/>
        <v>1779662704.8199999</v>
      </c>
    </row>
    <row r="377" spans="1:5" hidden="1" x14ac:dyDescent="0.25">
      <c r="A377">
        <v>9</v>
      </c>
      <c r="B377">
        <v>13</v>
      </c>
      <c r="C377" t="s">
        <v>148</v>
      </c>
      <c r="D377" t="s">
        <v>12</v>
      </c>
      <c r="E377" s="4">
        <f t="shared" ca="1" si="6"/>
        <v>360126917.04000038</v>
      </c>
    </row>
    <row r="378" spans="1:5" hidden="1" x14ac:dyDescent="0.25">
      <c r="A378">
        <v>9</v>
      </c>
      <c r="B378">
        <v>14</v>
      </c>
      <c r="C378" t="s">
        <v>148</v>
      </c>
      <c r="D378" t="s">
        <v>13</v>
      </c>
      <c r="E378" s="4">
        <f t="shared" ca="1" si="6"/>
        <v>1940996571.8399985</v>
      </c>
    </row>
    <row r="379" spans="1:5" hidden="1" x14ac:dyDescent="0.25">
      <c r="A379">
        <v>9</v>
      </c>
      <c r="B379">
        <v>15</v>
      </c>
      <c r="C379" t="s">
        <v>148</v>
      </c>
      <c r="D379" t="s">
        <v>14</v>
      </c>
      <c r="E379" s="4">
        <f t="shared" ca="1" si="6"/>
        <v>3918414103.2399969</v>
      </c>
    </row>
    <row r="380" spans="1:5" hidden="1" x14ac:dyDescent="0.25">
      <c r="A380">
        <v>9</v>
      </c>
      <c r="B380">
        <v>16</v>
      </c>
      <c r="C380" t="s">
        <v>148</v>
      </c>
      <c r="D380" t="s">
        <v>15</v>
      </c>
      <c r="E380" s="4">
        <f t="shared" ca="1" si="6"/>
        <v>3653640266.1000028</v>
      </c>
    </row>
    <row r="381" spans="1:5" hidden="1" x14ac:dyDescent="0.25">
      <c r="A381">
        <v>9</v>
      </c>
      <c r="B381">
        <v>17</v>
      </c>
      <c r="C381" t="s">
        <v>148</v>
      </c>
      <c r="D381" t="s">
        <v>16</v>
      </c>
      <c r="E381" s="4">
        <f t="shared" ca="1" si="6"/>
        <v>7816165594.1600008</v>
      </c>
    </row>
    <row r="382" spans="1:5" hidden="1" x14ac:dyDescent="0.25">
      <c r="A382">
        <v>9</v>
      </c>
      <c r="B382">
        <v>18</v>
      </c>
      <c r="C382" t="s">
        <v>148</v>
      </c>
      <c r="D382" t="s">
        <v>17</v>
      </c>
      <c r="E382" s="4">
        <f t="shared" ca="1" si="6"/>
        <v>2654426550.9999971</v>
      </c>
    </row>
    <row r="383" spans="1:5" hidden="1" x14ac:dyDescent="0.25">
      <c r="A383">
        <v>9</v>
      </c>
      <c r="B383">
        <v>19</v>
      </c>
      <c r="C383" t="s">
        <v>148</v>
      </c>
      <c r="D383" t="s">
        <v>18</v>
      </c>
      <c r="E383" s="4">
        <f t="shared" ca="1" si="6"/>
        <v>90693966.060000122</v>
      </c>
    </row>
    <row r="384" spans="1:5" hidden="1" x14ac:dyDescent="0.25">
      <c r="A384">
        <v>9</v>
      </c>
      <c r="B384">
        <v>20</v>
      </c>
      <c r="C384" t="s">
        <v>148</v>
      </c>
      <c r="D384" t="s">
        <v>19</v>
      </c>
      <c r="E384" s="4">
        <f t="shared" ca="1" si="6"/>
        <v>1958411807.9199996</v>
      </c>
    </row>
    <row r="385" spans="1:5" hidden="1" x14ac:dyDescent="0.25">
      <c r="A385">
        <v>9</v>
      </c>
      <c r="B385">
        <v>21</v>
      </c>
      <c r="C385" t="s">
        <v>148</v>
      </c>
      <c r="D385" t="s">
        <v>20</v>
      </c>
      <c r="E385" s="4">
        <f t="shared" ca="1" si="6"/>
        <v>827052648.08000028</v>
      </c>
    </row>
    <row r="386" spans="1:5" hidden="1" x14ac:dyDescent="0.25">
      <c r="A386">
        <v>9</v>
      </c>
      <c r="B386">
        <v>22</v>
      </c>
      <c r="C386" t="s">
        <v>148</v>
      </c>
      <c r="D386" t="s">
        <v>21</v>
      </c>
      <c r="E386" s="4">
        <f t="shared" ca="1" si="6"/>
        <v>985477369.67999804</v>
      </c>
    </row>
    <row r="387" spans="1:5" hidden="1" x14ac:dyDescent="0.25">
      <c r="A387">
        <v>9</v>
      </c>
      <c r="B387">
        <v>23</v>
      </c>
      <c r="C387" t="s">
        <v>148</v>
      </c>
      <c r="D387" t="s">
        <v>22</v>
      </c>
      <c r="E387" s="4">
        <f t="shared" ca="1" si="6"/>
        <v>316886671.80000013</v>
      </c>
    </row>
    <row r="388" spans="1:5" hidden="1" x14ac:dyDescent="0.25">
      <c r="A388">
        <v>9</v>
      </c>
      <c r="B388">
        <v>24</v>
      </c>
      <c r="C388" t="s">
        <v>148</v>
      </c>
      <c r="D388" t="s">
        <v>23</v>
      </c>
      <c r="E388" s="4">
        <f t="shared" ca="1" si="6"/>
        <v>526488745.85999984</v>
      </c>
    </row>
    <row r="389" spans="1:5" hidden="1" x14ac:dyDescent="0.25">
      <c r="A389">
        <v>9</v>
      </c>
      <c r="B389">
        <v>25</v>
      </c>
      <c r="C389" t="s">
        <v>148</v>
      </c>
      <c r="D389" t="s">
        <v>24</v>
      </c>
      <c r="E389" s="4">
        <f t="shared" ca="1" si="6"/>
        <v>333258979.86000013</v>
      </c>
    </row>
    <row r="390" spans="1:5" hidden="1" x14ac:dyDescent="0.25">
      <c r="A390">
        <v>9</v>
      </c>
      <c r="B390">
        <v>26</v>
      </c>
      <c r="C390" t="s">
        <v>148</v>
      </c>
      <c r="D390" t="s">
        <v>25</v>
      </c>
      <c r="E390" s="4">
        <f t="shared" ca="1" si="6"/>
        <v>327404197.71999985</v>
      </c>
    </row>
    <row r="391" spans="1:5" hidden="1" x14ac:dyDescent="0.25">
      <c r="A391">
        <v>9</v>
      </c>
      <c r="B391">
        <v>27</v>
      </c>
      <c r="C391" t="s">
        <v>148</v>
      </c>
      <c r="D391" t="s">
        <v>145</v>
      </c>
      <c r="E391" s="4">
        <f t="shared" ca="1" si="6"/>
        <v>1814548038.1599998</v>
      </c>
    </row>
    <row r="392" spans="1:5" hidden="1" x14ac:dyDescent="0.25">
      <c r="A392">
        <v>9</v>
      </c>
      <c r="B392">
        <v>28</v>
      </c>
      <c r="C392" t="s">
        <v>148</v>
      </c>
      <c r="D392" t="s">
        <v>147</v>
      </c>
      <c r="E392" s="4">
        <f t="shared" ca="1" si="6"/>
        <v>1536776680.296</v>
      </c>
    </row>
    <row r="393" spans="1:5" hidden="1" x14ac:dyDescent="0.25">
      <c r="A393">
        <v>9</v>
      </c>
      <c r="B393">
        <v>29</v>
      </c>
      <c r="C393" t="s">
        <v>148</v>
      </c>
      <c r="D393" t="s">
        <v>146</v>
      </c>
      <c r="E393" s="4">
        <f t="shared" ca="1" si="6"/>
        <v>1950193858.0799999</v>
      </c>
    </row>
    <row r="394" spans="1:5" hidden="1" x14ac:dyDescent="0.25">
      <c r="A394">
        <v>9</v>
      </c>
      <c r="B394">
        <v>30</v>
      </c>
      <c r="C394" t="s">
        <v>148</v>
      </c>
      <c r="D394" t="s">
        <v>30</v>
      </c>
      <c r="E394" s="4">
        <f t="shared" ca="1" si="6"/>
        <v>121617286.75199999</v>
      </c>
    </row>
    <row r="395" spans="1:5" hidden="1" x14ac:dyDescent="0.25">
      <c r="A395">
        <v>9</v>
      </c>
      <c r="B395">
        <v>31</v>
      </c>
      <c r="C395" t="s">
        <v>148</v>
      </c>
      <c r="D395" t="s">
        <v>31</v>
      </c>
      <c r="E395" s="4">
        <f t="shared" ca="1" si="6"/>
        <v>56122266.000000015</v>
      </c>
    </row>
    <row r="396" spans="1:5" hidden="1" x14ac:dyDescent="0.25">
      <c r="A396">
        <v>9</v>
      </c>
      <c r="B396">
        <v>32</v>
      </c>
      <c r="C396" t="s">
        <v>148</v>
      </c>
      <c r="D396" t="s">
        <v>32</v>
      </c>
      <c r="E396" s="4">
        <f t="shared" ca="1" si="6"/>
        <v>20541303.239999995</v>
      </c>
    </row>
    <row r="397" spans="1:5" hidden="1" x14ac:dyDescent="0.25">
      <c r="A397">
        <v>9</v>
      </c>
      <c r="B397">
        <v>33</v>
      </c>
      <c r="C397" t="s">
        <v>148</v>
      </c>
      <c r="D397" t="s">
        <v>33</v>
      </c>
      <c r="E397" s="4">
        <f t="shared" ca="1" si="6"/>
        <v>919502745.57999945</v>
      </c>
    </row>
    <row r="398" spans="1:5" hidden="1" x14ac:dyDescent="0.25">
      <c r="A398">
        <v>9</v>
      </c>
      <c r="B398">
        <v>34</v>
      </c>
      <c r="C398" t="s">
        <v>148</v>
      </c>
      <c r="D398" t="s">
        <v>34</v>
      </c>
      <c r="E398" s="4">
        <f t="shared" ca="1" si="6"/>
        <v>2736112977.5000019</v>
      </c>
    </row>
    <row r="399" spans="1:5" hidden="1" x14ac:dyDescent="0.25">
      <c r="A399">
        <v>9</v>
      </c>
      <c r="B399">
        <v>35</v>
      </c>
      <c r="C399" t="s">
        <v>148</v>
      </c>
      <c r="D399" t="s">
        <v>35</v>
      </c>
      <c r="E399" s="4">
        <f t="shared" ca="1" si="6"/>
        <v>242144413.44000018</v>
      </c>
    </row>
    <row r="400" spans="1:5" hidden="1" x14ac:dyDescent="0.25">
      <c r="A400">
        <v>9</v>
      </c>
      <c r="B400">
        <v>36</v>
      </c>
      <c r="C400" t="s">
        <v>148</v>
      </c>
      <c r="D400" t="s">
        <v>36</v>
      </c>
      <c r="E400" s="4">
        <f t="shared" ca="1" si="6"/>
        <v>488811713.93999958</v>
      </c>
    </row>
    <row r="401" spans="1:5" hidden="1" x14ac:dyDescent="0.25">
      <c r="A401">
        <v>9</v>
      </c>
      <c r="B401">
        <v>37</v>
      </c>
      <c r="C401" t="s">
        <v>148</v>
      </c>
      <c r="D401" t="s">
        <v>37</v>
      </c>
      <c r="E401" s="4">
        <f t="shared" ca="1" si="6"/>
        <v>1449375532.8000062</v>
      </c>
    </row>
    <row r="402" spans="1:5" hidden="1" x14ac:dyDescent="0.25">
      <c r="A402">
        <v>9</v>
      </c>
      <c r="B402">
        <v>38</v>
      </c>
      <c r="C402" t="s">
        <v>148</v>
      </c>
      <c r="D402" t="s">
        <v>38</v>
      </c>
      <c r="E402" s="4">
        <f t="shared" ca="1" si="6"/>
        <v>112778927.03999999</v>
      </c>
    </row>
    <row r="403" spans="1:5" hidden="1" x14ac:dyDescent="0.25">
      <c r="A403">
        <v>9</v>
      </c>
      <c r="B403">
        <v>39</v>
      </c>
      <c r="C403" t="s">
        <v>148</v>
      </c>
      <c r="D403" t="s">
        <v>39</v>
      </c>
      <c r="E403" s="4">
        <f t="shared" ca="1" si="6"/>
        <v>495936062.0400005</v>
      </c>
    </row>
    <row r="404" spans="1:5" hidden="1" x14ac:dyDescent="0.25">
      <c r="A404">
        <v>9</v>
      </c>
      <c r="B404">
        <v>40</v>
      </c>
      <c r="C404" t="s">
        <v>148</v>
      </c>
      <c r="D404" t="s">
        <v>40</v>
      </c>
      <c r="E404" s="4">
        <f t="shared" ca="1" si="6"/>
        <v>1279275083.9399998</v>
      </c>
    </row>
    <row r="405" spans="1:5" hidden="1" x14ac:dyDescent="0.25">
      <c r="A405">
        <v>10</v>
      </c>
      <c r="B405">
        <v>1</v>
      </c>
      <c r="C405" t="s">
        <v>9</v>
      </c>
      <c r="D405" t="s">
        <v>0</v>
      </c>
      <c r="E405" s="4">
        <f t="shared" ca="1" si="6"/>
        <v>3524876386.1999993</v>
      </c>
    </row>
    <row r="406" spans="1:5" hidden="1" x14ac:dyDescent="0.25">
      <c r="A406">
        <v>10</v>
      </c>
      <c r="B406">
        <v>2</v>
      </c>
      <c r="C406" t="s">
        <v>9</v>
      </c>
      <c r="D406" t="s">
        <v>1</v>
      </c>
      <c r="E406" s="4">
        <f t="shared" ca="1" si="6"/>
        <v>1272608529.8828561</v>
      </c>
    </row>
    <row r="407" spans="1:5" hidden="1" x14ac:dyDescent="0.25">
      <c r="A407">
        <v>10</v>
      </c>
      <c r="B407">
        <v>3</v>
      </c>
      <c r="C407" t="s">
        <v>9</v>
      </c>
      <c r="D407" t="s">
        <v>2</v>
      </c>
      <c r="E407" s="4">
        <f t="shared" ca="1" si="6"/>
        <v>1188351485.4342864</v>
      </c>
    </row>
    <row r="408" spans="1:5" hidden="1" x14ac:dyDescent="0.25">
      <c r="A408">
        <v>10</v>
      </c>
      <c r="B408">
        <v>4</v>
      </c>
      <c r="C408" t="s">
        <v>9</v>
      </c>
      <c r="D408" t="s">
        <v>3</v>
      </c>
      <c r="E408" s="4">
        <f t="shared" ca="1" si="6"/>
        <v>491307272.15142828</v>
      </c>
    </row>
    <row r="409" spans="1:5" hidden="1" x14ac:dyDescent="0.25">
      <c r="A409">
        <v>10</v>
      </c>
      <c r="B409">
        <v>5</v>
      </c>
      <c r="C409" t="s">
        <v>9</v>
      </c>
      <c r="D409" t="s">
        <v>4</v>
      </c>
      <c r="E409" s="4">
        <f t="shared" ca="1" si="6"/>
        <v>375565069.17428589</v>
      </c>
    </row>
    <row r="410" spans="1:5" hidden="1" x14ac:dyDescent="0.25">
      <c r="A410">
        <v>10</v>
      </c>
      <c r="B410">
        <v>6</v>
      </c>
      <c r="C410" t="s">
        <v>9</v>
      </c>
      <c r="D410" t="s">
        <v>5</v>
      </c>
      <c r="E410" s="4">
        <f t="shared" ca="1" si="6"/>
        <v>377917023.56571412</v>
      </c>
    </row>
    <row r="411" spans="1:5" hidden="1" x14ac:dyDescent="0.25">
      <c r="A411">
        <v>10</v>
      </c>
      <c r="B411">
        <v>7</v>
      </c>
      <c r="C411" t="s">
        <v>9</v>
      </c>
      <c r="D411" t="s">
        <v>6</v>
      </c>
      <c r="E411" s="4">
        <f t="shared" ca="1" si="6"/>
        <v>145739226.06285709</v>
      </c>
    </row>
    <row r="412" spans="1:5" hidden="1" x14ac:dyDescent="0.25">
      <c r="A412">
        <v>10</v>
      </c>
      <c r="B412">
        <v>8</v>
      </c>
      <c r="C412" t="s">
        <v>9</v>
      </c>
      <c r="D412" t="s">
        <v>7</v>
      </c>
      <c r="E412" s="4">
        <f t="shared" ca="1" si="6"/>
        <v>528942560.19428521</v>
      </c>
    </row>
    <row r="413" spans="1:5" hidden="1" x14ac:dyDescent="0.25">
      <c r="A413">
        <v>10</v>
      </c>
      <c r="B413">
        <v>9</v>
      </c>
      <c r="C413" t="s">
        <v>9</v>
      </c>
      <c r="D413" t="s">
        <v>148</v>
      </c>
      <c r="E413" s="4">
        <f t="shared" ca="1" si="6"/>
        <v>326980908.76623374</v>
      </c>
    </row>
    <row r="414" spans="1:5" hidden="1" x14ac:dyDescent="0.25">
      <c r="A414">
        <v>10</v>
      </c>
      <c r="B414">
        <v>10</v>
      </c>
      <c r="C414" t="s">
        <v>9</v>
      </c>
      <c r="D414" t="s">
        <v>9</v>
      </c>
      <c r="E414" s="4">
        <f t="shared" ca="1" si="6"/>
        <v>0</v>
      </c>
    </row>
    <row r="415" spans="1:5" hidden="1" x14ac:dyDescent="0.25">
      <c r="A415">
        <v>10</v>
      </c>
      <c r="B415">
        <v>11</v>
      </c>
      <c r="C415" t="s">
        <v>9</v>
      </c>
      <c r="D415" t="s">
        <v>10</v>
      </c>
      <c r="E415" s="4">
        <f t="shared" ca="1" si="6"/>
        <v>4618067818.0285692</v>
      </c>
    </row>
    <row r="416" spans="1:5" hidden="1" x14ac:dyDescent="0.25">
      <c r="A416">
        <v>10</v>
      </c>
      <c r="B416">
        <v>12</v>
      </c>
      <c r="C416" t="s">
        <v>9</v>
      </c>
      <c r="D416" t="s">
        <v>11</v>
      </c>
      <c r="E416" s="4">
        <f t="shared" ca="1" si="6"/>
        <v>3670704716.1942863</v>
      </c>
    </row>
    <row r="417" spans="1:5" hidden="1" x14ac:dyDescent="0.25">
      <c r="A417">
        <v>10</v>
      </c>
      <c r="B417">
        <v>13</v>
      </c>
      <c r="C417" t="s">
        <v>9</v>
      </c>
      <c r="D417" t="s">
        <v>12</v>
      </c>
      <c r="E417" s="4">
        <f t="shared" ca="1" si="6"/>
        <v>1843883453.5314288</v>
      </c>
    </row>
    <row r="418" spans="1:5" hidden="1" x14ac:dyDescent="0.25">
      <c r="A418">
        <v>10</v>
      </c>
      <c r="B418">
        <v>14</v>
      </c>
      <c r="C418" t="s">
        <v>9</v>
      </c>
      <c r="D418" t="s">
        <v>13</v>
      </c>
      <c r="E418" s="4">
        <f t="shared" ca="1" si="6"/>
        <v>3757138007.931427</v>
      </c>
    </row>
    <row r="419" spans="1:5" hidden="1" x14ac:dyDescent="0.25">
      <c r="A419">
        <v>10</v>
      </c>
      <c r="B419">
        <v>15</v>
      </c>
      <c r="C419" t="s">
        <v>9</v>
      </c>
      <c r="D419" t="s">
        <v>14</v>
      </c>
      <c r="E419" s="4">
        <f t="shared" ca="1" si="6"/>
        <v>6374810342.6571388</v>
      </c>
    </row>
    <row r="420" spans="1:5" hidden="1" x14ac:dyDescent="0.25">
      <c r="A420">
        <v>10</v>
      </c>
      <c r="B420">
        <v>16</v>
      </c>
      <c r="C420" t="s">
        <v>9</v>
      </c>
      <c r="D420" t="s">
        <v>15</v>
      </c>
      <c r="E420" s="4">
        <f t="shared" ca="1" si="6"/>
        <v>6002977370.9428606</v>
      </c>
    </row>
    <row r="421" spans="1:5" hidden="1" x14ac:dyDescent="0.25">
      <c r="A421">
        <v>10</v>
      </c>
      <c r="B421">
        <v>17</v>
      </c>
      <c r="C421" t="s">
        <v>9</v>
      </c>
      <c r="D421" t="s">
        <v>16</v>
      </c>
      <c r="E421" s="4">
        <f t="shared" ref="E421:E482" ca="1" si="7">OFFSET($B$2,A421,B421)</f>
        <v>11015121443.205717</v>
      </c>
    </row>
    <row r="422" spans="1:5" hidden="1" x14ac:dyDescent="0.25">
      <c r="A422">
        <v>10</v>
      </c>
      <c r="B422">
        <v>18</v>
      </c>
      <c r="C422" t="s">
        <v>9</v>
      </c>
      <c r="D422" t="s">
        <v>17</v>
      </c>
      <c r="E422" s="4">
        <f t="shared" ca="1" si="7"/>
        <v>4923900899.1942825</v>
      </c>
    </row>
    <row r="423" spans="1:5" hidden="1" x14ac:dyDescent="0.25">
      <c r="A423">
        <v>10</v>
      </c>
      <c r="B423">
        <v>19</v>
      </c>
      <c r="C423" t="s">
        <v>9</v>
      </c>
      <c r="D423" t="s">
        <v>18</v>
      </c>
      <c r="E423" s="4">
        <f t="shared" ca="1" si="7"/>
        <v>949032436.18285739</v>
      </c>
    </row>
    <row r="424" spans="1:5" hidden="1" x14ac:dyDescent="0.25">
      <c r="A424">
        <v>10</v>
      </c>
      <c r="B424">
        <v>20</v>
      </c>
      <c r="C424" t="s">
        <v>9</v>
      </c>
      <c r="D424" t="s">
        <v>19</v>
      </c>
      <c r="E424" s="4">
        <f t="shared" ca="1" si="7"/>
        <v>3895882277.5714278</v>
      </c>
    </row>
    <row r="425" spans="1:5" hidden="1" x14ac:dyDescent="0.25">
      <c r="A425">
        <v>10</v>
      </c>
      <c r="B425">
        <v>21</v>
      </c>
      <c r="C425" t="s">
        <v>9</v>
      </c>
      <c r="D425" t="s">
        <v>20</v>
      </c>
      <c r="E425" s="4">
        <f t="shared" ca="1" si="7"/>
        <v>2130796509.4285719</v>
      </c>
    </row>
    <row r="426" spans="1:5" hidden="1" x14ac:dyDescent="0.25">
      <c r="A426">
        <v>10</v>
      </c>
      <c r="B426">
        <v>22</v>
      </c>
      <c r="C426" t="s">
        <v>9</v>
      </c>
      <c r="D426" t="s">
        <v>21</v>
      </c>
      <c r="E426" s="4">
        <f t="shared" ca="1" si="7"/>
        <v>2299229594.0171399</v>
      </c>
    </row>
    <row r="427" spans="1:5" hidden="1" x14ac:dyDescent="0.25">
      <c r="A427">
        <v>10</v>
      </c>
      <c r="B427">
        <v>23</v>
      </c>
      <c r="C427" t="s">
        <v>9</v>
      </c>
      <c r="D427" t="s">
        <v>22</v>
      </c>
      <c r="E427" s="4">
        <f t="shared" ca="1" si="7"/>
        <v>1309725547.6800003</v>
      </c>
    </row>
    <row r="428" spans="1:5" hidden="1" x14ac:dyDescent="0.25">
      <c r="A428">
        <v>10</v>
      </c>
      <c r="B428">
        <v>24</v>
      </c>
      <c r="C428" t="s">
        <v>9</v>
      </c>
      <c r="D428" t="s">
        <v>23</v>
      </c>
      <c r="E428" s="4">
        <f t="shared" ca="1" si="7"/>
        <v>1789761914.9999995</v>
      </c>
    </row>
    <row r="429" spans="1:5" hidden="1" x14ac:dyDescent="0.25">
      <c r="A429">
        <v>10</v>
      </c>
      <c r="B429">
        <v>25</v>
      </c>
      <c r="C429" t="s">
        <v>9</v>
      </c>
      <c r="D429" t="s">
        <v>24</v>
      </c>
      <c r="E429" s="4">
        <f t="shared" ca="1" si="7"/>
        <v>1450140931.0000002</v>
      </c>
    </row>
    <row r="430" spans="1:5" hidden="1" x14ac:dyDescent="0.25">
      <c r="A430">
        <v>10</v>
      </c>
      <c r="B430">
        <v>26</v>
      </c>
      <c r="C430" t="s">
        <v>9</v>
      </c>
      <c r="D430" t="s">
        <v>25</v>
      </c>
      <c r="E430" s="4">
        <f t="shared" ca="1" si="7"/>
        <v>1547192340.6171427</v>
      </c>
    </row>
    <row r="431" spans="1:5" hidden="1" x14ac:dyDescent="0.25">
      <c r="A431">
        <v>10</v>
      </c>
      <c r="B431">
        <v>27</v>
      </c>
      <c r="C431" t="s">
        <v>9</v>
      </c>
      <c r="D431" t="s">
        <v>145</v>
      </c>
      <c r="E431" s="4">
        <f t="shared" ca="1" si="7"/>
        <v>3738501388.6628571</v>
      </c>
    </row>
    <row r="432" spans="1:5" hidden="1" x14ac:dyDescent="0.25">
      <c r="A432">
        <v>10</v>
      </c>
      <c r="B432">
        <v>28</v>
      </c>
      <c r="C432" t="s">
        <v>9</v>
      </c>
      <c r="D432" t="s">
        <v>147</v>
      </c>
      <c r="E432" s="4">
        <f t="shared" ca="1" si="7"/>
        <v>3127883676.2234282</v>
      </c>
    </row>
    <row r="433" spans="1:5" hidden="1" x14ac:dyDescent="0.25">
      <c r="A433">
        <v>10</v>
      </c>
      <c r="B433">
        <v>29</v>
      </c>
      <c r="C433" t="s">
        <v>9</v>
      </c>
      <c r="D433" t="s">
        <v>146</v>
      </c>
      <c r="E433" s="4">
        <f t="shared" ca="1" si="7"/>
        <v>3682205999.7171426</v>
      </c>
    </row>
    <row r="434" spans="1:5" hidden="1" x14ac:dyDescent="0.25">
      <c r="A434">
        <v>10</v>
      </c>
      <c r="B434">
        <v>30</v>
      </c>
      <c r="C434" t="s">
        <v>9</v>
      </c>
      <c r="D434" t="s">
        <v>30</v>
      </c>
      <c r="E434" s="4">
        <f t="shared" ca="1" si="7"/>
        <v>435212817.22285718</v>
      </c>
    </row>
    <row r="435" spans="1:5" hidden="1" x14ac:dyDescent="0.25">
      <c r="A435">
        <v>10</v>
      </c>
      <c r="B435">
        <v>31</v>
      </c>
      <c r="C435" t="s">
        <v>9</v>
      </c>
      <c r="D435" t="s">
        <v>31</v>
      </c>
      <c r="E435" s="4">
        <f t="shared" ca="1" si="7"/>
        <v>387579037.93142861</v>
      </c>
    </row>
    <row r="436" spans="1:5" hidden="1" x14ac:dyDescent="0.25">
      <c r="A436">
        <v>10</v>
      </c>
      <c r="B436">
        <v>32</v>
      </c>
      <c r="C436" t="s">
        <v>9</v>
      </c>
      <c r="D436" t="s">
        <v>32</v>
      </c>
      <c r="E436" s="4">
        <f t="shared" ca="1" si="7"/>
        <v>429194348.42285711</v>
      </c>
    </row>
    <row r="437" spans="1:5" hidden="1" x14ac:dyDescent="0.25">
      <c r="A437">
        <v>10</v>
      </c>
      <c r="B437">
        <v>33</v>
      </c>
      <c r="C437" t="s">
        <v>9</v>
      </c>
      <c r="D437" t="s">
        <v>33</v>
      </c>
      <c r="E437" s="4">
        <f t="shared" ca="1" si="7"/>
        <v>2358007642.3199987</v>
      </c>
    </row>
    <row r="438" spans="1:5" hidden="1" x14ac:dyDescent="0.25">
      <c r="A438">
        <v>10</v>
      </c>
      <c r="B438">
        <v>34</v>
      </c>
      <c r="C438" t="s">
        <v>9</v>
      </c>
      <c r="D438" t="s">
        <v>34</v>
      </c>
      <c r="E438" s="4">
        <f t="shared" ca="1" si="7"/>
        <v>8586809416.7314358</v>
      </c>
    </row>
    <row r="439" spans="1:5" hidden="1" x14ac:dyDescent="0.25">
      <c r="A439">
        <v>10</v>
      </c>
      <c r="B439">
        <v>35</v>
      </c>
      <c r="C439" t="s">
        <v>9</v>
      </c>
      <c r="D439" t="s">
        <v>35</v>
      </c>
      <c r="E439" s="4">
        <f t="shared" ca="1" si="7"/>
        <v>1127660805.3257148</v>
      </c>
    </row>
    <row r="440" spans="1:5" hidden="1" x14ac:dyDescent="0.25">
      <c r="A440">
        <v>10</v>
      </c>
      <c r="B440">
        <v>36</v>
      </c>
      <c r="C440" t="s">
        <v>9</v>
      </c>
      <c r="D440" t="s">
        <v>36</v>
      </c>
      <c r="E440" s="4">
        <f t="shared" ca="1" si="7"/>
        <v>2242851707.9828568</v>
      </c>
    </row>
    <row r="441" spans="1:5" hidden="1" x14ac:dyDescent="0.25">
      <c r="A441">
        <v>10</v>
      </c>
      <c r="B441">
        <v>37</v>
      </c>
      <c r="C441" t="s">
        <v>9</v>
      </c>
      <c r="D441" t="s">
        <v>37</v>
      </c>
      <c r="E441" s="4">
        <f t="shared" ca="1" si="7"/>
        <v>3672959794.5600066</v>
      </c>
    </row>
    <row r="442" spans="1:5" hidden="1" x14ac:dyDescent="0.25">
      <c r="A442">
        <v>10</v>
      </c>
      <c r="B442">
        <v>38</v>
      </c>
      <c r="C442" t="s">
        <v>9</v>
      </c>
      <c r="D442" t="s">
        <v>38</v>
      </c>
      <c r="E442" s="4">
        <f t="shared" ca="1" si="7"/>
        <v>1853071563.1999998</v>
      </c>
    </row>
    <row r="443" spans="1:5" hidden="1" x14ac:dyDescent="0.25">
      <c r="A443">
        <v>10</v>
      </c>
      <c r="B443">
        <v>39</v>
      </c>
      <c r="C443" t="s">
        <v>9</v>
      </c>
      <c r="D443" t="s">
        <v>39</v>
      </c>
      <c r="E443" s="4">
        <f t="shared" ca="1" si="7"/>
        <v>2444944612.4000001</v>
      </c>
    </row>
    <row r="444" spans="1:5" hidden="1" x14ac:dyDescent="0.25">
      <c r="A444">
        <v>10</v>
      </c>
      <c r="B444">
        <v>40</v>
      </c>
      <c r="C444" t="s">
        <v>9</v>
      </c>
      <c r="D444" t="s">
        <v>40</v>
      </c>
      <c r="E444" s="4">
        <f t="shared" ca="1" si="7"/>
        <v>3351459512.5942855</v>
      </c>
    </row>
    <row r="445" spans="1:5" hidden="1" x14ac:dyDescent="0.25">
      <c r="A445">
        <v>11</v>
      </c>
      <c r="B445">
        <v>1</v>
      </c>
      <c r="C445" t="s">
        <v>10</v>
      </c>
      <c r="D445" t="s">
        <v>0</v>
      </c>
      <c r="E445" s="4">
        <f t="shared" ca="1" si="7"/>
        <v>10095019677.591425</v>
      </c>
    </row>
    <row r="446" spans="1:5" hidden="1" x14ac:dyDescent="0.25">
      <c r="A446">
        <v>11</v>
      </c>
      <c r="B446">
        <v>2</v>
      </c>
      <c r="C446" t="s">
        <v>10</v>
      </c>
      <c r="D446" t="s">
        <v>1</v>
      </c>
      <c r="E446" s="4">
        <f t="shared" ca="1" si="7"/>
        <v>3031996866.0942831</v>
      </c>
    </row>
    <row r="447" spans="1:5" hidden="1" x14ac:dyDescent="0.25">
      <c r="A447">
        <v>11</v>
      </c>
      <c r="B447">
        <v>3</v>
      </c>
      <c r="C447" t="s">
        <v>10</v>
      </c>
      <c r="D447" t="s">
        <v>2</v>
      </c>
      <c r="E447" s="4">
        <f t="shared" ca="1" si="7"/>
        <v>2559259051.6742868</v>
      </c>
    </row>
    <row r="448" spans="1:5" hidden="1" x14ac:dyDescent="0.25">
      <c r="A448">
        <v>11</v>
      </c>
      <c r="B448">
        <v>4</v>
      </c>
      <c r="C448" t="s">
        <v>10</v>
      </c>
      <c r="D448" t="s">
        <v>3</v>
      </c>
      <c r="E448" s="4">
        <f t="shared" ca="1" si="7"/>
        <v>5059951956.2199965</v>
      </c>
    </row>
    <row r="449" spans="1:5" hidden="1" x14ac:dyDescent="0.25">
      <c r="A449">
        <v>11</v>
      </c>
      <c r="B449">
        <v>5</v>
      </c>
      <c r="C449" t="s">
        <v>10</v>
      </c>
      <c r="D449" t="s">
        <v>4</v>
      </c>
      <c r="E449" s="4">
        <f t="shared" ca="1" si="7"/>
        <v>9573126799.3714314</v>
      </c>
    </row>
    <row r="450" spans="1:5" hidden="1" x14ac:dyDescent="0.25">
      <c r="A450">
        <v>11</v>
      </c>
      <c r="B450">
        <v>6</v>
      </c>
      <c r="C450" t="s">
        <v>10</v>
      </c>
      <c r="D450" t="s">
        <v>5</v>
      </c>
      <c r="E450" s="4">
        <f t="shared" ca="1" si="7"/>
        <v>3460454355.4542832</v>
      </c>
    </row>
    <row r="451" spans="1:5" hidden="1" x14ac:dyDescent="0.25">
      <c r="A451">
        <v>11</v>
      </c>
      <c r="B451">
        <v>7</v>
      </c>
      <c r="C451" t="s">
        <v>10</v>
      </c>
      <c r="D451" t="s">
        <v>6</v>
      </c>
      <c r="E451" s="4">
        <f t="shared" ca="1" si="7"/>
        <v>1980687674.7714281</v>
      </c>
    </row>
    <row r="452" spans="1:5" hidden="1" x14ac:dyDescent="0.25">
      <c r="A452">
        <v>11</v>
      </c>
      <c r="B452">
        <v>8</v>
      </c>
      <c r="C452" t="s">
        <v>10</v>
      </c>
      <c r="D452" t="s">
        <v>7</v>
      </c>
      <c r="E452" s="4">
        <f t="shared" ca="1" si="7"/>
        <v>5445362294.1599951</v>
      </c>
    </row>
    <row r="453" spans="1:5" hidden="1" x14ac:dyDescent="0.25">
      <c r="A453">
        <v>11</v>
      </c>
      <c r="B453">
        <v>9</v>
      </c>
      <c r="C453" t="s">
        <v>10</v>
      </c>
      <c r="D453" t="s">
        <v>148</v>
      </c>
      <c r="E453" s="4">
        <f t="shared" ca="1" si="7"/>
        <v>1242366577.363636</v>
      </c>
    </row>
    <row r="454" spans="1:5" hidden="1" x14ac:dyDescent="0.25">
      <c r="A454">
        <v>11</v>
      </c>
      <c r="B454">
        <v>10</v>
      </c>
      <c r="C454" t="s">
        <v>10</v>
      </c>
      <c r="D454" t="s">
        <v>9</v>
      </c>
      <c r="E454" s="4">
        <f t="shared" ca="1" si="7"/>
        <v>4156905109.1857166</v>
      </c>
    </row>
    <row r="455" spans="1:5" hidden="1" x14ac:dyDescent="0.25">
      <c r="A455">
        <v>11</v>
      </c>
      <c r="B455">
        <v>11</v>
      </c>
      <c r="C455" t="s">
        <v>10</v>
      </c>
      <c r="D455" t="s">
        <v>10</v>
      </c>
      <c r="E455" s="4">
        <f t="shared" ca="1" si="7"/>
        <v>0</v>
      </c>
    </row>
    <row r="456" spans="1:5" hidden="1" x14ac:dyDescent="0.25">
      <c r="A456">
        <v>11</v>
      </c>
      <c r="B456">
        <v>12</v>
      </c>
      <c r="C456" t="s">
        <v>10</v>
      </c>
      <c r="D456" t="s">
        <v>11</v>
      </c>
      <c r="E456" s="4">
        <f t="shared" ca="1" si="7"/>
        <v>493460850.99999994</v>
      </c>
    </row>
    <row r="457" spans="1:5" hidden="1" x14ac:dyDescent="0.25">
      <c r="A457">
        <v>11</v>
      </c>
      <c r="B457">
        <v>13</v>
      </c>
      <c r="C457" t="s">
        <v>10</v>
      </c>
      <c r="D457" t="s">
        <v>12</v>
      </c>
      <c r="E457" s="4">
        <f t="shared" ca="1" si="7"/>
        <v>399653864.96000016</v>
      </c>
    </row>
    <row r="458" spans="1:5" hidden="1" x14ac:dyDescent="0.25">
      <c r="A458">
        <v>11</v>
      </c>
      <c r="B458">
        <v>14</v>
      </c>
      <c r="C458" t="s">
        <v>10</v>
      </c>
      <c r="D458" t="s">
        <v>13</v>
      </c>
      <c r="E458" s="4">
        <f t="shared" ca="1" si="7"/>
        <v>1137994657.8399994</v>
      </c>
    </row>
    <row r="459" spans="1:5" hidden="1" x14ac:dyDescent="0.25">
      <c r="A459">
        <v>11</v>
      </c>
      <c r="B459">
        <v>15</v>
      </c>
      <c r="C459" t="s">
        <v>10</v>
      </c>
      <c r="D459" t="s">
        <v>14</v>
      </c>
      <c r="E459" s="4">
        <f t="shared" ca="1" si="7"/>
        <v>3162929142.119998</v>
      </c>
    </row>
    <row r="460" spans="1:5" hidden="1" x14ac:dyDescent="0.25">
      <c r="A460">
        <v>11</v>
      </c>
      <c r="B460">
        <v>16</v>
      </c>
      <c r="C460" t="s">
        <v>10</v>
      </c>
      <c r="D460" t="s">
        <v>15</v>
      </c>
      <c r="E460" s="4">
        <f t="shared" ca="1" si="7"/>
        <v>2268774190.8000011</v>
      </c>
    </row>
    <row r="461" spans="1:5" hidden="1" x14ac:dyDescent="0.25">
      <c r="A461">
        <v>11</v>
      </c>
      <c r="B461">
        <v>17</v>
      </c>
      <c r="C461" t="s">
        <v>10</v>
      </c>
      <c r="D461" t="s">
        <v>16</v>
      </c>
      <c r="E461" s="4">
        <f t="shared" ca="1" si="7"/>
        <v>3868664973.6000013</v>
      </c>
    </row>
    <row r="462" spans="1:5" hidden="1" x14ac:dyDescent="0.25">
      <c r="A462">
        <v>11</v>
      </c>
      <c r="B462">
        <v>18</v>
      </c>
      <c r="C462" t="s">
        <v>10</v>
      </c>
      <c r="D462" t="s">
        <v>17</v>
      </c>
      <c r="E462" s="4">
        <f t="shared" ca="1" si="7"/>
        <v>1708835826.5999985</v>
      </c>
    </row>
    <row r="463" spans="1:5" hidden="1" x14ac:dyDescent="0.25">
      <c r="A463">
        <v>11</v>
      </c>
      <c r="B463">
        <v>19</v>
      </c>
      <c r="C463" t="s">
        <v>10</v>
      </c>
      <c r="D463" t="s">
        <v>18</v>
      </c>
      <c r="E463" s="4">
        <f t="shared" ca="1" si="7"/>
        <v>967830302.24000013</v>
      </c>
    </row>
    <row r="464" spans="1:5" hidden="1" x14ac:dyDescent="0.25">
      <c r="A464">
        <v>11</v>
      </c>
      <c r="B464">
        <v>20</v>
      </c>
      <c r="C464" t="s">
        <v>10</v>
      </c>
      <c r="D464" t="s">
        <v>19</v>
      </c>
      <c r="E464" s="4">
        <f t="shared" ca="1" si="7"/>
        <v>5814735619.7999992</v>
      </c>
    </row>
    <row r="465" spans="1:5" hidden="1" x14ac:dyDescent="0.25">
      <c r="A465">
        <v>11</v>
      </c>
      <c r="B465">
        <v>21</v>
      </c>
      <c r="C465" t="s">
        <v>10</v>
      </c>
      <c r="D465" t="s">
        <v>20</v>
      </c>
      <c r="E465" s="4">
        <f t="shared" ca="1" si="7"/>
        <v>4366127788.000001</v>
      </c>
    </row>
    <row r="466" spans="1:5" hidden="1" x14ac:dyDescent="0.25">
      <c r="A466">
        <v>11</v>
      </c>
      <c r="B466">
        <v>22</v>
      </c>
      <c r="C466" t="s">
        <v>10</v>
      </c>
      <c r="D466" t="s">
        <v>21</v>
      </c>
      <c r="E466" s="4">
        <f t="shared" ca="1" si="7"/>
        <v>2252211709.8399963</v>
      </c>
    </row>
    <row r="467" spans="1:5" hidden="1" x14ac:dyDescent="0.25">
      <c r="A467">
        <v>11</v>
      </c>
      <c r="B467">
        <v>23</v>
      </c>
      <c r="C467" t="s">
        <v>10</v>
      </c>
      <c r="D467" t="s">
        <v>22</v>
      </c>
      <c r="E467" s="4">
        <f t="shared" ca="1" si="7"/>
        <v>1229772574.0800002</v>
      </c>
    </row>
    <row r="468" spans="1:5" hidden="1" x14ac:dyDescent="0.25">
      <c r="A468">
        <v>11</v>
      </c>
      <c r="B468">
        <v>24</v>
      </c>
      <c r="C468" t="s">
        <v>10</v>
      </c>
      <c r="D468" t="s">
        <v>23</v>
      </c>
      <c r="E468" s="4">
        <f t="shared" ca="1" si="7"/>
        <v>908164729.99999964</v>
      </c>
    </row>
    <row r="469" spans="1:5" hidden="1" x14ac:dyDescent="0.25">
      <c r="A469">
        <v>11</v>
      </c>
      <c r="B469">
        <v>25</v>
      </c>
      <c r="C469" t="s">
        <v>10</v>
      </c>
      <c r="D469" t="s">
        <v>24</v>
      </c>
      <c r="E469" s="4">
        <f t="shared" ca="1" si="7"/>
        <v>925127134.60000014</v>
      </c>
    </row>
    <row r="470" spans="1:5" hidden="1" x14ac:dyDescent="0.25">
      <c r="A470">
        <v>11</v>
      </c>
      <c r="B470">
        <v>26</v>
      </c>
      <c r="C470" t="s">
        <v>10</v>
      </c>
      <c r="D470" t="s">
        <v>25</v>
      </c>
      <c r="E470" s="4">
        <f t="shared" ca="1" si="7"/>
        <v>994078137.79999983</v>
      </c>
    </row>
    <row r="471" spans="1:5" hidden="1" x14ac:dyDescent="0.25">
      <c r="A471">
        <v>11</v>
      </c>
      <c r="B471">
        <v>27</v>
      </c>
      <c r="C471" t="s">
        <v>10</v>
      </c>
      <c r="D471" t="s">
        <v>145</v>
      </c>
      <c r="E471" s="4">
        <f t="shared" ca="1" si="7"/>
        <v>5635491016.7600002</v>
      </c>
    </row>
    <row r="472" spans="1:5" hidden="1" x14ac:dyDescent="0.25">
      <c r="A472">
        <v>11</v>
      </c>
      <c r="B472">
        <v>28</v>
      </c>
      <c r="C472" t="s">
        <v>10</v>
      </c>
      <c r="D472" t="s">
        <v>147</v>
      </c>
      <c r="E472" s="4">
        <f t="shared" ca="1" si="7"/>
        <v>3458727945.5440001</v>
      </c>
    </row>
    <row r="473" spans="1:5" hidden="1" x14ac:dyDescent="0.25">
      <c r="A473">
        <v>11</v>
      </c>
      <c r="B473">
        <v>29</v>
      </c>
      <c r="C473" t="s">
        <v>10</v>
      </c>
      <c r="D473" t="s">
        <v>146</v>
      </c>
      <c r="E473" s="4">
        <f t="shared" ca="1" si="7"/>
        <v>2259911105.4799995</v>
      </c>
    </row>
    <row r="474" spans="1:5" hidden="1" x14ac:dyDescent="0.25">
      <c r="A474">
        <v>11</v>
      </c>
      <c r="B474">
        <v>30</v>
      </c>
      <c r="C474" t="s">
        <v>10</v>
      </c>
      <c r="D474" t="s">
        <v>30</v>
      </c>
      <c r="E474" s="4">
        <f t="shared" ca="1" si="7"/>
        <v>2106486682.1839998</v>
      </c>
    </row>
    <row r="475" spans="1:5" hidden="1" x14ac:dyDescent="0.25">
      <c r="A475">
        <v>11</v>
      </c>
      <c r="B475">
        <v>31</v>
      </c>
      <c r="C475" t="s">
        <v>10</v>
      </c>
      <c r="D475" t="s">
        <v>31</v>
      </c>
      <c r="E475" s="4">
        <f t="shared" ca="1" si="7"/>
        <v>1499821627.0799999</v>
      </c>
    </row>
    <row r="476" spans="1:5" hidden="1" x14ac:dyDescent="0.25">
      <c r="A476">
        <v>11</v>
      </c>
      <c r="B476">
        <v>32</v>
      </c>
      <c r="C476" t="s">
        <v>10</v>
      </c>
      <c r="D476" t="s">
        <v>32</v>
      </c>
      <c r="E476" s="4">
        <f t="shared" ca="1" si="7"/>
        <v>1204045442</v>
      </c>
    </row>
    <row r="477" spans="1:5" hidden="1" x14ac:dyDescent="0.25">
      <c r="A477">
        <v>11</v>
      </c>
      <c r="B477">
        <v>33</v>
      </c>
      <c r="C477" t="s">
        <v>10</v>
      </c>
      <c r="D477" t="s">
        <v>33</v>
      </c>
      <c r="E477" s="4">
        <f t="shared" ca="1" si="7"/>
        <v>7788649125.8799953</v>
      </c>
    </row>
    <row r="478" spans="1:5" hidden="1" x14ac:dyDescent="0.25">
      <c r="A478">
        <v>11</v>
      </c>
      <c r="B478">
        <v>34</v>
      </c>
      <c r="C478" t="s">
        <v>10</v>
      </c>
      <c r="D478" t="s">
        <v>34</v>
      </c>
      <c r="E478" s="4">
        <f t="shared" ca="1" si="7"/>
        <v>32119129729.440029</v>
      </c>
    </row>
    <row r="479" spans="1:5" hidden="1" x14ac:dyDescent="0.25">
      <c r="A479">
        <v>11</v>
      </c>
      <c r="B479">
        <v>35</v>
      </c>
      <c r="C479" t="s">
        <v>10</v>
      </c>
      <c r="D479" t="s">
        <v>35</v>
      </c>
      <c r="E479" s="4">
        <f t="shared" ca="1" si="7"/>
        <v>3467604509.9200015</v>
      </c>
    </row>
    <row r="480" spans="1:5" hidden="1" x14ac:dyDescent="0.25">
      <c r="A480">
        <v>11</v>
      </c>
      <c r="B480">
        <v>36</v>
      </c>
      <c r="C480" t="s">
        <v>10</v>
      </c>
      <c r="D480" t="s">
        <v>36</v>
      </c>
      <c r="E480" s="4">
        <f t="shared" ca="1" si="7"/>
        <v>172596702.23999995</v>
      </c>
    </row>
    <row r="481" spans="1:5" hidden="1" x14ac:dyDescent="0.25">
      <c r="A481">
        <v>11</v>
      </c>
      <c r="B481">
        <v>37</v>
      </c>
      <c r="C481" t="s">
        <v>10</v>
      </c>
      <c r="D481" t="s">
        <v>37</v>
      </c>
      <c r="E481" s="4">
        <f t="shared" ca="1" si="7"/>
        <v>857797104.64000177</v>
      </c>
    </row>
    <row r="482" spans="1:5" hidden="1" x14ac:dyDescent="0.25">
      <c r="A482">
        <v>11</v>
      </c>
      <c r="B482">
        <v>38</v>
      </c>
      <c r="C482" t="s">
        <v>10</v>
      </c>
      <c r="D482" t="s">
        <v>38</v>
      </c>
      <c r="E482" s="4">
        <f t="shared" ca="1" si="7"/>
        <v>172445945.59999996</v>
      </c>
    </row>
    <row r="483" spans="1:5" hidden="1" x14ac:dyDescent="0.25">
      <c r="A483">
        <v>11</v>
      </c>
      <c r="B483">
        <v>39</v>
      </c>
      <c r="C483" t="s">
        <v>10</v>
      </c>
      <c r="D483" t="s">
        <v>39</v>
      </c>
      <c r="E483" s="4">
        <f t="shared" ref="E483:E545" ca="1" si="8">OFFSET($B$2,A483,B483)</f>
        <v>395582559.00000018</v>
      </c>
    </row>
    <row r="484" spans="1:5" hidden="1" x14ac:dyDescent="0.25">
      <c r="A484">
        <v>11</v>
      </c>
      <c r="B484">
        <v>40</v>
      </c>
      <c r="C484" t="s">
        <v>10</v>
      </c>
      <c r="D484" t="s">
        <v>40</v>
      </c>
      <c r="E484" s="4">
        <f t="shared" ca="1" si="8"/>
        <v>745268738.39999986</v>
      </c>
    </row>
    <row r="485" spans="1:5" hidden="1" x14ac:dyDescent="0.25">
      <c r="A485">
        <v>12</v>
      </c>
      <c r="B485">
        <v>1</v>
      </c>
      <c r="C485" t="s">
        <v>11</v>
      </c>
      <c r="D485" t="s">
        <v>0</v>
      </c>
      <c r="E485" s="4">
        <f t="shared" ca="1" si="8"/>
        <v>7902814092.6571398</v>
      </c>
    </row>
    <row r="486" spans="1:5" hidden="1" x14ac:dyDescent="0.25">
      <c r="A486">
        <v>12</v>
      </c>
      <c r="B486">
        <v>2</v>
      </c>
      <c r="C486" t="s">
        <v>11</v>
      </c>
      <c r="D486" t="s">
        <v>1</v>
      </c>
      <c r="E486" s="4">
        <f t="shared" ca="1" si="8"/>
        <v>2071282539.9199977</v>
      </c>
    </row>
    <row r="487" spans="1:5" hidden="1" x14ac:dyDescent="0.25">
      <c r="A487">
        <v>12</v>
      </c>
      <c r="B487">
        <v>3</v>
      </c>
      <c r="C487" t="s">
        <v>11</v>
      </c>
      <c r="D487" t="s">
        <v>2</v>
      </c>
      <c r="E487" s="4">
        <f t="shared" ca="1" si="8"/>
        <v>1685004689.6057153</v>
      </c>
    </row>
    <row r="488" spans="1:5" hidden="1" x14ac:dyDescent="0.25">
      <c r="A488">
        <v>12</v>
      </c>
      <c r="B488">
        <v>4</v>
      </c>
      <c r="C488" t="s">
        <v>11</v>
      </c>
      <c r="D488" t="s">
        <v>3</v>
      </c>
      <c r="E488" s="4">
        <f t="shared" ca="1" si="8"/>
        <v>3791418277.6857119</v>
      </c>
    </row>
    <row r="489" spans="1:5" hidden="1" x14ac:dyDescent="0.25">
      <c r="A489">
        <v>12</v>
      </c>
      <c r="B489">
        <v>5</v>
      </c>
      <c r="C489" t="s">
        <v>11</v>
      </c>
      <c r="D489" t="s">
        <v>4</v>
      </c>
      <c r="E489" s="4">
        <f t="shared" ca="1" si="8"/>
        <v>7701877402.7657166</v>
      </c>
    </row>
    <row r="490" spans="1:5" hidden="1" x14ac:dyDescent="0.25">
      <c r="A490">
        <v>12</v>
      </c>
      <c r="B490">
        <v>6</v>
      </c>
      <c r="C490" t="s">
        <v>11</v>
      </c>
      <c r="D490" t="s">
        <v>5</v>
      </c>
      <c r="E490" s="4">
        <f t="shared" ca="1" si="8"/>
        <v>2273309776.4457121</v>
      </c>
    </row>
    <row r="491" spans="1:5" hidden="1" x14ac:dyDescent="0.25">
      <c r="A491">
        <v>12</v>
      </c>
      <c r="B491">
        <v>7</v>
      </c>
      <c r="C491" t="s">
        <v>11</v>
      </c>
      <c r="D491" t="s">
        <v>6</v>
      </c>
      <c r="E491" s="4">
        <f t="shared" ca="1" si="8"/>
        <v>1129116458.0142851</v>
      </c>
    </row>
    <row r="492" spans="1:5" hidden="1" x14ac:dyDescent="0.25">
      <c r="A492">
        <v>12</v>
      </c>
      <c r="B492">
        <v>8</v>
      </c>
      <c r="C492" t="s">
        <v>11</v>
      </c>
      <c r="D492" t="s">
        <v>7</v>
      </c>
      <c r="E492" s="4">
        <f t="shared" ca="1" si="8"/>
        <v>4121663867.4285674</v>
      </c>
    </row>
    <row r="493" spans="1:5" hidden="1" x14ac:dyDescent="0.25">
      <c r="A493">
        <v>12</v>
      </c>
      <c r="B493">
        <v>9</v>
      </c>
      <c r="C493" t="s">
        <v>11</v>
      </c>
      <c r="D493" t="s">
        <v>148</v>
      </c>
      <c r="E493" s="4">
        <f t="shared" ca="1" si="8"/>
        <v>553783965.55999982</v>
      </c>
    </row>
    <row r="494" spans="1:5" hidden="1" x14ac:dyDescent="0.25">
      <c r="A494">
        <v>12</v>
      </c>
      <c r="B494">
        <v>10</v>
      </c>
      <c r="C494" t="s">
        <v>11</v>
      </c>
      <c r="D494" t="s">
        <v>9</v>
      </c>
      <c r="E494" s="4">
        <f t="shared" ca="1" si="8"/>
        <v>3007383077.5028586</v>
      </c>
    </row>
    <row r="495" spans="1:5" hidden="1" x14ac:dyDescent="0.25">
      <c r="A495">
        <v>12</v>
      </c>
      <c r="B495">
        <v>11</v>
      </c>
      <c r="C495" t="s">
        <v>11</v>
      </c>
      <c r="D495" t="s">
        <v>10</v>
      </c>
      <c r="E495" s="4">
        <f t="shared" ca="1" si="8"/>
        <v>454099736.9999997</v>
      </c>
    </row>
    <row r="496" spans="1:5" hidden="1" x14ac:dyDescent="0.25">
      <c r="A496">
        <v>12</v>
      </c>
      <c r="B496">
        <v>12</v>
      </c>
      <c r="C496" t="s">
        <v>11</v>
      </c>
      <c r="D496" t="s">
        <v>11</v>
      </c>
      <c r="E496" s="4">
        <f t="shared" ca="1" si="8"/>
        <v>0</v>
      </c>
    </row>
    <row r="497" spans="1:5" hidden="1" x14ac:dyDescent="0.25">
      <c r="A497">
        <v>12</v>
      </c>
      <c r="B497">
        <v>13</v>
      </c>
      <c r="C497" t="s">
        <v>11</v>
      </c>
      <c r="D497" t="s">
        <v>12</v>
      </c>
      <c r="E497" s="4">
        <f t="shared" ca="1" si="8"/>
        <v>90867680.00000003</v>
      </c>
    </row>
    <row r="498" spans="1:5" hidden="1" x14ac:dyDescent="0.25">
      <c r="A498">
        <v>12</v>
      </c>
      <c r="B498">
        <v>14</v>
      </c>
      <c r="C498" t="s">
        <v>11</v>
      </c>
      <c r="D498" t="s">
        <v>13</v>
      </c>
      <c r="E498" s="4">
        <f t="shared" ca="1" si="8"/>
        <v>545835006.99999964</v>
      </c>
    </row>
    <row r="499" spans="1:5" hidden="1" x14ac:dyDescent="0.25">
      <c r="A499">
        <v>12</v>
      </c>
      <c r="B499">
        <v>15</v>
      </c>
      <c r="C499" t="s">
        <v>11</v>
      </c>
      <c r="D499" t="s">
        <v>14</v>
      </c>
      <c r="E499" s="4">
        <f t="shared" ca="1" si="8"/>
        <v>2310843369.3199983</v>
      </c>
    </row>
    <row r="500" spans="1:5" hidden="1" x14ac:dyDescent="0.25">
      <c r="A500">
        <v>12</v>
      </c>
      <c r="B500">
        <v>16</v>
      </c>
      <c r="C500" t="s">
        <v>11</v>
      </c>
      <c r="D500" t="s">
        <v>15</v>
      </c>
      <c r="E500" s="4">
        <f t="shared" ca="1" si="8"/>
        <v>1805908748.6400018</v>
      </c>
    </row>
    <row r="501" spans="1:5" hidden="1" x14ac:dyDescent="0.25">
      <c r="A501">
        <v>12</v>
      </c>
      <c r="B501">
        <v>17</v>
      </c>
      <c r="C501" t="s">
        <v>11</v>
      </c>
      <c r="D501" t="s">
        <v>16</v>
      </c>
      <c r="E501" s="4">
        <f t="shared" ca="1" si="8"/>
        <v>3249225921.6800008</v>
      </c>
    </row>
    <row r="502" spans="1:5" hidden="1" x14ac:dyDescent="0.25">
      <c r="A502">
        <v>12</v>
      </c>
      <c r="B502">
        <v>18</v>
      </c>
      <c r="C502" t="s">
        <v>11</v>
      </c>
      <c r="D502" t="s">
        <v>17</v>
      </c>
      <c r="E502" s="4">
        <f t="shared" ca="1" si="8"/>
        <v>1298776573.9999986</v>
      </c>
    </row>
    <row r="503" spans="1:5" hidden="1" x14ac:dyDescent="0.25">
      <c r="A503">
        <v>12</v>
      </c>
      <c r="B503">
        <v>19</v>
      </c>
      <c r="C503" t="s">
        <v>11</v>
      </c>
      <c r="D503" t="s">
        <v>18</v>
      </c>
      <c r="E503" s="4">
        <f t="shared" ca="1" si="8"/>
        <v>422589397.44000018</v>
      </c>
    </row>
    <row r="504" spans="1:5" hidden="1" x14ac:dyDescent="0.25">
      <c r="A504">
        <v>12</v>
      </c>
      <c r="B504">
        <v>20</v>
      </c>
      <c r="C504" t="s">
        <v>11</v>
      </c>
      <c r="D504" t="s">
        <v>19</v>
      </c>
      <c r="E504" s="4">
        <f t="shared" ca="1" si="8"/>
        <v>4269964338.6399994</v>
      </c>
    </row>
    <row r="505" spans="1:5" hidden="1" x14ac:dyDescent="0.25">
      <c r="A505">
        <v>12</v>
      </c>
      <c r="B505">
        <v>21</v>
      </c>
      <c r="C505" t="s">
        <v>11</v>
      </c>
      <c r="D505" t="s">
        <v>20</v>
      </c>
      <c r="E505" s="4">
        <f t="shared" ca="1" si="8"/>
        <v>3150198621.3600006</v>
      </c>
    </row>
    <row r="506" spans="1:5" hidden="1" x14ac:dyDescent="0.25">
      <c r="A506">
        <v>12</v>
      </c>
      <c r="B506">
        <v>22</v>
      </c>
      <c r="C506" t="s">
        <v>11</v>
      </c>
      <c r="D506" t="s">
        <v>21</v>
      </c>
      <c r="E506" s="4">
        <f t="shared" ca="1" si="8"/>
        <v>1416203678.5999978</v>
      </c>
    </row>
    <row r="507" spans="1:5" hidden="1" x14ac:dyDescent="0.25">
      <c r="A507">
        <v>12</v>
      </c>
      <c r="B507">
        <v>23</v>
      </c>
      <c r="C507" t="s">
        <v>11</v>
      </c>
      <c r="D507" t="s">
        <v>22</v>
      </c>
      <c r="E507" s="4">
        <f t="shared" ca="1" si="8"/>
        <v>644619879.0400002</v>
      </c>
    </row>
    <row r="508" spans="1:5" hidden="1" x14ac:dyDescent="0.25">
      <c r="A508">
        <v>12</v>
      </c>
      <c r="B508">
        <v>24</v>
      </c>
      <c r="C508" t="s">
        <v>11</v>
      </c>
      <c r="D508" t="s">
        <v>23</v>
      </c>
      <c r="E508" s="4">
        <f t="shared" ca="1" si="8"/>
        <v>420725361.63999993</v>
      </c>
    </row>
    <row r="509" spans="1:5" hidden="1" x14ac:dyDescent="0.25">
      <c r="A509">
        <v>12</v>
      </c>
      <c r="B509">
        <v>25</v>
      </c>
      <c r="C509" t="s">
        <v>11</v>
      </c>
      <c r="D509" t="s">
        <v>24</v>
      </c>
      <c r="E509" s="4">
        <f t="shared" ca="1" si="8"/>
        <v>433134128.72000009</v>
      </c>
    </row>
    <row r="510" spans="1:5" hidden="1" x14ac:dyDescent="0.25">
      <c r="A510">
        <v>12</v>
      </c>
      <c r="B510">
        <v>26</v>
      </c>
      <c r="C510" t="s">
        <v>11</v>
      </c>
      <c r="D510" t="s">
        <v>25</v>
      </c>
      <c r="E510" s="4">
        <f t="shared" ca="1" si="8"/>
        <v>474171269.0399999</v>
      </c>
    </row>
    <row r="511" spans="1:5" hidden="1" x14ac:dyDescent="0.25">
      <c r="A511">
        <v>12</v>
      </c>
      <c r="B511">
        <v>27</v>
      </c>
      <c r="C511" t="s">
        <v>11</v>
      </c>
      <c r="D511" t="s">
        <v>145</v>
      </c>
      <c r="E511" s="4">
        <f t="shared" ca="1" si="8"/>
        <v>4093311233.9999995</v>
      </c>
    </row>
    <row r="512" spans="1:5" hidden="1" x14ac:dyDescent="0.25">
      <c r="A512">
        <v>12</v>
      </c>
      <c r="B512">
        <v>28</v>
      </c>
      <c r="C512" t="s">
        <v>11</v>
      </c>
      <c r="D512" t="s">
        <v>147</v>
      </c>
      <c r="E512" s="4">
        <f t="shared" ca="1" si="8"/>
        <v>2350490750.4480004</v>
      </c>
    </row>
    <row r="513" spans="1:5" hidden="1" x14ac:dyDescent="0.25">
      <c r="A513">
        <v>12</v>
      </c>
      <c r="B513">
        <v>29</v>
      </c>
      <c r="C513" t="s">
        <v>11</v>
      </c>
      <c r="D513" t="s">
        <v>146</v>
      </c>
      <c r="E513" s="4">
        <f t="shared" ca="1" si="8"/>
        <v>1329486397.6600001</v>
      </c>
    </row>
    <row r="514" spans="1:5" hidden="1" x14ac:dyDescent="0.25">
      <c r="A514">
        <v>12</v>
      </c>
      <c r="B514">
        <v>30</v>
      </c>
      <c r="C514" t="s">
        <v>11</v>
      </c>
      <c r="D514" t="s">
        <v>30</v>
      </c>
      <c r="E514" s="4">
        <f t="shared" ca="1" si="8"/>
        <v>1271891623.572</v>
      </c>
    </row>
    <row r="515" spans="1:5" hidden="1" x14ac:dyDescent="0.25">
      <c r="A515">
        <v>12</v>
      </c>
      <c r="B515">
        <v>31</v>
      </c>
      <c r="C515" t="s">
        <v>11</v>
      </c>
      <c r="D515" t="s">
        <v>31</v>
      </c>
      <c r="E515" s="4">
        <f t="shared" ca="1" si="8"/>
        <v>762671058.60000002</v>
      </c>
    </row>
    <row r="516" spans="1:5" hidden="1" x14ac:dyDescent="0.25">
      <c r="A516">
        <v>12</v>
      </c>
      <c r="B516">
        <v>32</v>
      </c>
      <c r="C516" t="s">
        <v>11</v>
      </c>
      <c r="D516" t="s">
        <v>32</v>
      </c>
      <c r="E516" s="4">
        <f t="shared" ca="1" si="8"/>
        <v>528995115.39999992</v>
      </c>
    </row>
    <row r="517" spans="1:5" hidden="1" x14ac:dyDescent="0.25">
      <c r="A517">
        <v>12</v>
      </c>
      <c r="B517">
        <v>33</v>
      </c>
      <c r="C517" t="s">
        <v>11</v>
      </c>
      <c r="D517" t="s">
        <v>33</v>
      </c>
      <c r="E517" s="4">
        <f t="shared" ca="1" si="8"/>
        <v>6039342890.159997</v>
      </c>
    </row>
    <row r="518" spans="1:5" hidden="1" x14ac:dyDescent="0.25">
      <c r="A518">
        <v>12</v>
      </c>
      <c r="B518">
        <v>34</v>
      </c>
      <c r="C518" t="s">
        <v>11</v>
      </c>
      <c r="D518" t="s">
        <v>34</v>
      </c>
      <c r="E518" s="4">
        <f t="shared" ca="1" si="8"/>
        <v>26372718246.240025</v>
      </c>
    </row>
    <row r="519" spans="1:5" hidden="1" x14ac:dyDescent="0.25">
      <c r="A519">
        <v>12</v>
      </c>
      <c r="B519">
        <v>35</v>
      </c>
      <c r="C519" t="s">
        <v>11</v>
      </c>
      <c r="D519" t="s">
        <v>35</v>
      </c>
      <c r="E519" s="4">
        <f t="shared" ca="1" si="8"/>
        <v>2431224538.0800014</v>
      </c>
    </row>
    <row r="520" spans="1:5" hidden="1" x14ac:dyDescent="0.25">
      <c r="A520">
        <v>12</v>
      </c>
      <c r="B520">
        <v>36</v>
      </c>
      <c r="C520" t="s">
        <v>11</v>
      </c>
      <c r="D520" t="s">
        <v>36</v>
      </c>
      <c r="E520" s="4">
        <f t="shared" ca="1" si="8"/>
        <v>190673455.99999991</v>
      </c>
    </row>
    <row r="521" spans="1:5" hidden="1" x14ac:dyDescent="0.25">
      <c r="A521">
        <v>12</v>
      </c>
      <c r="B521">
        <v>37</v>
      </c>
      <c r="C521" t="s">
        <v>11</v>
      </c>
      <c r="D521" t="s">
        <v>37</v>
      </c>
      <c r="E521" s="4">
        <f t="shared" ca="1" si="8"/>
        <v>787767615.36000228</v>
      </c>
    </row>
    <row r="522" spans="1:5" hidden="1" x14ac:dyDescent="0.25">
      <c r="A522">
        <v>12</v>
      </c>
      <c r="B522">
        <v>38</v>
      </c>
      <c r="C522" t="s">
        <v>11</v>
      </c>
      <c r="D522" t="s">
        <v>38</v>
      </c>
      <c r="E522" s="4">
        <f t="shared" ca="1" si="8"/>
        <v>151215777.91999999</v>
      </c>
    </row>
    <row r="523" spans="1:5" hidden="1" x14ac:dyDescent="0.25">
      <c r="A523">
        <v>12</v>
      </c>
      <c r="B523">
        <v>39</v>
      </c>
      <c r="C523" t="s">
        <v>11</v>
      </c>
      <c r="D523" t="s">
        <v>39</v>
      </c>
      <c r="E523" s="4">
        <f t="shared" ca="1" si="8"/>
        <v>355417493.08000016</v>
      </c>
    </row>
    <row r="524" spans="1:5" hidden="1" x14ac:dyDescent="0.25">
      <c r="A524">
        <v>12</v>
      </c>
      <c r="B524">
        <v>40</v>
      </c>
      <c r="C524" t="s">
        <v>11</v>
      </c>
      <c r="D524" t="s">
        <v>40</v>
      </c>
      <c r="E524" s="4">
        <f t="shared" ca="1" si="8"/>
        <v>602719366.48000002</v>
      </c>
    </row>
    <row r="525" spans="1:5" hidden="1" x14ac:dyDescent="0.25">
      <c r="A525">
        <v>13</v>
      </c>
      <c r="B525">
        <v>1</v>
      </c>
      <c r="C525" t="s">
        <v>12</v>
      </c>
      <c r="D525" t="s">
        <v>0</v>
      </c>
      <c r="E525" s="4">
        <f t="shared" ca="1" si="8"/>
        <v>6908115262.2428551</v>
      </c>
    </row>
    <row r="526" spans="1:5" hidden="1" x14ac:dyDescent="0.25">
      <c r="A526">
        <v>13</v>
      </c>
      <c r="B526">
        <v>2</v>
      </c>
      <c r="C526" t="s">
        <v>12</v>
      </c>
      <c r="D526" t="s">
        <v>1</v>
      </c>
      <c r="E526" s="4">
        <f t="shared" ca="1" si="8"/>
        <v>1623050002.5771403</v>
      </c>
    </row>
    <row r="527" spans="1:5" hidden="1" x14ac:dyDescent="0.25">
      <c r="A527">
        <v>13</v>
      </c>
      <c r="B527">
        <v>3</v>
      </c>
      <c r="C527" t="s">
        <v>12</v>
      </c>
      <c r="D527" t="s">
        <v>2</v>
      </c>
      <c r="E527" s="4">
        <f t="shared" ca="1" si="8"/>
        <v>1273921713.7028582</v>
      </c>
    </row>
    <row r="528" spans="1:5" hidden="1" x14ac:dyDescent="0.25">
      <c r="A528">
        <v>13</v>
      </c>
      <c r="B528">
        <v>4</v>
      </c>
      <c r="C528" t="s">
        <v>12</v>
      </c>
      <c r="D528" t="s">
        <v>3</v>
      </c>
      <c r="E528" s="4">
        <f t="shared" ca="1" si="8"/>
        <v>3175425572.8714256</v>
      </c>
    </row>
    <row r="529" spans="1:5" hidden="1" x14ac:dyDescent="0.25">
      <c r="A529">
        <v>13</v>
      </c>
      <c r="B529">
        <v>5</v>
      </c>
      <c r="C529" t="s">
        <v>12</v>
      </c>
      <c r="D529" t="s">
        <v>4</v>
      </c>
      <c r="E529" s="4">
        <f t="shared" ca="1" si="8"/>
        <v>6812016062.1571474</v>
      </c>
    </row>
    <row r="530" spans="1:5" hidden="1" x14ac:dyDescent="0.25">
      <c r="A530">
        <v>13</v>
      </c>
      <c r="B530">
        <v>6</v>
      </c>
      <c r="C530" t="s">
        <v>12</v>
      </c>
      <c r="D530" t="s">
        <v>5</v>
      </c>
      <c r="E530" s="4">
        <f t="shared" ca="1" si="8"/>
        <v>1726849921.114284</v>
      </c>
    </row>
    <row r="531" spans="1:5" hidden="1" x14ac:dyDescent="0.25">
      <c r="A531">
        <v>13</v>
      </c>
      <c r="B531">
        <v>7</v>
      </c>
      <c r="C531" t="s">
        <v>12</v>
      </c>
      <c r="D531" t="s">
        <v>6</v>
      </c>
      <c r="E531" s="4">
        <f t="shared" ca="1" si="8"/>
        <v>689848786.57714248</v>
      </c>
    </row>
    <row r="532" spans="1:5" hidden="1" x14ac:dyDescent="0.25">
      <c r="A532">
        <v>13</v>
      </c>
      <c r="B532">
        <v>8</v>
      </c>
      <c r="C532" t="s">
        <v>12</v>
      </c>
      <c r="D532" t="s">
        <v>7</v>
      </c>
      <c r="E532" s="4">
        <f t="shared" ca="1" si="8"/>
        <v>3505227821.382853</v>
      </c>
    </row>
    <row r="533" spans="1:5" hidden="1" x14ac:dyDescent="0.25">
      <c r="A533">
        <v>13</v>
      </c>
      <c r="B533">
        <v>9</v>
      </c>
      <c r="C533" t="s">
        <v>12</v>
      </c>
      <c r="D533" t="s">
        <v>148</v>
      </c>
      <c r="E533" s="4">
        <f t="shared" ca="1" si="8"/>
        <v>205744869.91999993</v>
      </c>
    </row>
    <row r="534" spans="1:5" hidden="1" x14ac:dyDescent="0.25">
      <c r="A534">
        <v>13</v>
      </c>
      <c r="B534">
        <v>10</v>
      </c>
      <c r="C534" t="s">
        <v>12</v>
      </c>
      <c r="D534" t="s">
        <v>9</v>
      </c>
      <c r="E534" s="4">
        <f t="shared" ca="1" si="8"/>
        <v>2433118111.474287</v>
      </c>
    </row>
    <row r="535" spans="1:5" hidden="1" x14ac:dyDescent="0.25">
      <c r="A535">
        <v>13</v>
      </c>
      <c r="B535">
        <v>11</v>
      </c>
      <c r="C535" t="s">
        <v>12</v>
      </c>
      <c r="D535" t="s">
        <v>10</v>
      </c>
      <c r="E535" s="4">
        <f t="shared" ca="1" si="8"/>
        <v>658736802.55999947</v>
      </c>
    </row>
    <row r="536" spans="1:5" hidden="1" x14ac:dyDescent="0.25">
      <c r="A536">
        <v>13</v>
      </c>
      <c r="B536">
        <v>12</v>
      </c>
      <c r="C536" t="s">
        <v>12</v>
      </c>
      <c r="D536" t="s">
        <v>11</v>
      </c>
      <c r="E536" s="4">
        <f t="shared" ca="1" si="8"/>
        <v>210340983.99999997</v>
      </c>
    </row>
    <row r="537" spans="1:5" hidden="1" x14ac:dyDescent="0.25">
      <c r="A537">
        <v>13</v>
      </c>
      <c r="B537">
        <v>13</v>
      </c>
      <c r="C537" t="s">
        <v>12</v>
      </c>
      <c r="D537" t="s">
        <v>12</v>
      </c>
      <c r="E537" s="4">
        <f t="shared" ca="1" si="8"/>
        <v>0</v>
      </c>
    </row>
    <row r="538" spans="1:5" hidden="1" x14ac:dyDescent="0.25">
      <c r="A538">
        <v>13</v>
      </c>
      <c r="B538">
        <v>14</v>
      </c>
      <c r="C538" t="s">
        <v>12</v>
      </c>
      <c r="D538" t="s">
        <v>13</v>
      </c>
      <c r="E538" s="4">
        <f t="shared" ca="1" si="8"/>
        <v>289166789.5199998</v>
      </c>
    </row>
    <row r="539" spans="1:5" hidden="1" x14ac:dyDescent="0.25">
      <c r="A539">
        <v>13</v>
      </c>
      <c r="B539">
        <v>15</v>
      </c>
      <c r="C539" t="s">
        <v>12</v>
      </c>
      <c r="D539" t="s">
        <v>14</v>
      </c>
      <c r="E539" s="4">
        <f t="shared" ca="1" si="8"/>
        <v>1565916596.7199988</v>
      </c>
    </row>
    <row r="540" spans="1:5" hidden="1" x14ac:dyDescent="0.25">
      <c r="A540">
        <v>13</v>
      </c>
      <c r="B540">
        <v>16</v>
      </c>
      <c r="C540" t="s">
        <v>12</v>
      </c>
      <c r="D540" t="s">
        <v>15</v>
      </c>
      <c r="E540" s="4">
        <f t="shared" ca="1" si="8"/>
        <v>1561357537.5200014</v>
      </c>
    </row>
    <row r="541" spans="1:5" hidden="1" x14ac:dyDescent="0.25">
      <c r="A541">
        <v>13</v>
      </c>
      <c r="B541">
        <v>17</v>
      </c>
      <c r="C541" t="s">
        <v>12</v>
      </c>
      <c r="D541" t="s">
        <v>16</v>
      </c>
      <c r="E541" s="4">
        <f t="shared" ca="1" si="8"/>
        <v>2955353004.8399997</v>
      </c>
    </row>
    <row r="542" spans="1:5" hidden="1" x14ac:dyDescent="0.25">
      <c r="A542">
        <v>13</v>
      </c>
      <c r="B542">
        <v>18</v>
      </c>
      <c r="C542" t="s">
        <v>12</v>
      </c>
      <c r="D542" t="s">
        <v>17</v>
      </c>
      <c r="E542" s="4">
        <f t="shared" ca="1" si="8"/>
        <v>1073324575.9999986</v>
      </c>
    </row>
    <row r="543" spans="1:5" hidden="1" x14ac:dyDescent="0.25">
      <c r="A543">
        <v>13</v>
      </c>
      <c r="B543">
        <v>19</v>
      </c>
      <c r="C543" t="s">
        <v>12</v>
      </c>
      <c r="D543" t="s">
        <v>18</v>
      </c>
      <c r="E543" s="4">
        <f t="shared" ca="1" si="8"/>
        <v>174027282.40000018</v>
      </c>
    </row>
    <row r="544" spans="1:5" hidden="1" x14ac:dyDescent="0.25">
      <c r="A544">
        <v>13</v>
      </c>
      <c r="B544">
        <v>20</v>
      </c>
      <c r="C544" t="s">
        <v>12</v>
      </c>
      <c r="D544" t="s">
        <v>19</v>
      </c>
      <c r="E544" s="4">
        <f t="shared" ca="1" si="8"/>
        <v>3586289024.1199989</v>
      </c>
    </row>
    <row r="545" spans="1:5" hidden="1" x14ac:dyDescent="0.25">
      <c r="A545">
        <v>13</v>
      </c>
      <c r="B545">
        <v>21</v>
      </c>
      <c r="C545" t="s">
        <v>12</v>
      </c>
      <c r="D545" t="s">
        <v>20</v>
      </c>
      <c r="E545" s="4">
        <f t="shared" ca="1" si="8"/>
        <v>2598591892.6000004</v>
      </c>
    </row>
    <row r="546" spans="1:5" hidden="1" x14ac:dyDescent="0.25">
      <c r="A546">
        <v>13</v>
      </c>
      <c r="B546">
        <v>22</v>
      </c>
      <c r="C546" t="s">
        <v>12</v>
      </c>
      <c r="D546" t="s">
        <v>21</v>
      </c>
      <c r="E546" s="4">
        <f t="shared" ref="E546:E607" ca="1" si="9">OFFSET($B$2,A546,B546)</f>
        <v>1056401040.2399977</v>
      </c>
    </row>
    <row r="547" spans="1:5" hidden="1" x14ac:dyDescent="0.25">
      <c r="A547">
        <v>13</v>
      </c>
      <c r="B547">
        <v>23</v>
      </c>
      <c r="C547" t="s">
        <v>12</v>
      </c>
      <c r="D547" t="s">
        <v>22</v>
      </c>
      <c r="E547" s="4">
        <f t="shared" ca="1" si="9"/>
        <v>389520680.40000015</v>
      </c>
    </row>
    <row r="548" spans="1:5" hidden="1" x14ac:dyDescent="0.25">
      <c r="A548">
        <v>13</v>
      </c>
      <c r="B548">
        <v>24</v>
      </c>
      <c r="C548" t="s">
        <v>12</v>
      </c>
      <c r="D548" t="s">
        <v>23</v>
      </c>
      <c r="E548" s="4">
        <f t="shared" ca="1" si="9"/>
        <v>235830305.51999989</v>
      </c>
    </row>
    <row r="549" spans="1:5" hidden="1" x14ac:dyDescent="0.25">
      <c r="A549">
        <v>13</v>
      </c>
      <c r="B549">
        <v>25</v>
      </c>
      <c r="C549" t="s">
        <v>12</v>
      </c>
      <c r="D549" t="s">
        <v>24</v>
      </c>
      <c r="E549" s="4">
        <f t="shared" ca="1" si="9"/>
        <v>235608036.84000009</v>
      </c>
    </row>
    <row r="550" spans="1:5" hidden="1" x14ac:dyDescent="0.25">
      <c r="A550">
        <v>13</v>
      </c>
      <c r="B550">
        <v>26</v>
      </c>
      <c r="C550" t="s">
        <v>12</v>
      </c>
      <c r="D550" t="s">
        <v>25</v>
      </c>
      <c r="E550" s="4">
        <f t="shared" ca="1" si="9"/>
        <v>254399498.91999993</v>
      </c>
    </row>
    <row r="551" spans="1:5" hidden="1" x14ac:dyDescent="0.25">
      <c r="A551">
        <v>13</v>
      </c>
      <c r="B551">
        <v>27</v>
      </c>
      <c r="C551" t="s">
        <v>12</v>
      </c>
      <c r="D551" t="s">
        <v>145</v>
      </c>
      <c r="E551" s="4">
        <f t="shared" ca="1" si="9"/>
        <v>3415465397.0799999</v>
      </c>
    </row>
    <row r="552" spans="1:5" hidden="1" x14ac:dyDescent="0.25">
      <c r="A552">
        <v>13</v>
      </c>
      <c r="B552">
        <v>28</v>
      </c>
      <c r="C552" t="s">
        <v>12</v>
      </c>
      <c r="D552" t="s">
        <v>147</v>
      </c>
      <c r="E552" s="4">
        <f t="shared" ca="1" si="9"/>
        <v>1867457551.9320002</v>
      </c>
    </row>
    <row r="553" spans="1:5" hidden="1" x14ac:dyDescent="0.25">
      <c r="A553">
        <v>13</v>
      </c>
      <c r="B553">
        <v>29</v>
      </c>
      <c r="C553" t="s">
        <v>12</v>
      </c>
      <c r="D553" t="s">
        <v>146</v>
      </c>
      <c r="E553" s="4">
        <f t="shared" ca="1" si="9"/>
        <v>950437952.76000011</v>
      </c>
    </row>
    <row r="554" spans="1:5" hidden="1" x14ac:dyDescent="0.25">
      <c r="A554">
        <v>13</v>
      </c>
      <c r="B554">
        <v>30</v>
      </c>
      <c r="C554" t="s">
        <v>12</v>
      </c>
      <c r="D554" t="s">
        <v>30</v>
      </c>
      <c r="E554" s="4">
        <f t="shared" ca="1" si="9"/>
        <v>856939078.93600011</v>
      </c>
    </row>
    <row r="555" spans="1:5" hidden="1" x14ac:dyDescent="0.25">
      <c r="A555">
        <v>13</v>
      </c>
      <c r="B555">
        <v>31</v>
      </c>
      <c r="C555" t="s">
        <v>12</v>
      </c>
      <c r="D555" t="s">
        <v>31</v>
      </c>
      <c r="E555" s="4">
        <f t="shared" ca="1" si="9"/>
        <v>391528043.28000003</v>
      </c>
    </row>
    <row r="556" spans="1:5" hidden="1" x14ac:dyDescent="0.25">
      <c r="A556">
        <v>13</v>
      </c>
      <c r="B556">
        <v>32</v>
      </c>
      <c r="C556" t="s">
        <v>12</v>
      </c>
      <c r="D556" t="s">
        <v>32</v>
      </c>
      <c r="E556" s="4">
        <f t="shared" ca="1" si="9"/>
        <v>190952272.55999991</v>
      </c>
    </row>
    <row r="557" spans="1:5" hidden="1" x14ac:dyDescent="0.25">
      <c r="A557">
        <v>13</v>
      </c>
      <c r="B557">
        <v>33</v>
      </c>
      <c r="C557" t="s">
        <v>12</v>
      </c>
      <c r="D557" t="s">
        <v>33</v>
      </c>
      <c r="E557" s="4">
        <f t="shared" ca="1" si="9"/>
        <v>5242604491.159997</v>
      </c>
    </row>
    <row r="558" spans="1:5" hidden="1" x14ac:dyDescent="0.25">
      <c r="A558">
        <v>13</v>
      </c>
      <c r="B558">
        <v>34</v>
      </c>
      <c r="C558" t="s">
        <v>12</v>
      </c>
      <c r="D558" t="s">
        <v>34</v>
      </c>
      <c r="E558" s="4">
        <f t="shared" ca="1" si="9"/>
        <v>23851933840.800018</v>
      </c>
    </row>
    <row r="559" spans="1:5" hidden="1" x14ac:dyDescent="0.25">
      <c r="A559">
        <v>13</v>
      </c>
      <c r="B559">
        <v>35</v>
      </c>
      <c r="C559" t="s">
        <v>12</v>
      </c>
      <c r="D559" t="s">
        <v>35</v>
      </c>
      <c r="E559" s="4">
        <f t="shared" ca="1" si="9"/>
        <v>1943661727.5200012</v>
      </c>
    </row>
    <row r="560" spans="1:5" hidden="1" x14ac:dyDescent="0.25">
      <c r="A560">
        <v>13</v>
      </c>
      <c r="B560">
        <v>36</v>
      </c>
      <c r="C560" t="s">
        <v>12</v>
      </c>
      <c r="D560" t="s">
        <v>36</v>
      </c>
      <c r="E560" s="4">
        <f t="shared" ca="1" si="9"/>
        <v>142570157.71999991</v>
      </c>
    </row>
    <row r="561" spans="1:5" hidden="1" x14ac:dyDescent="0.25">
      <c r="A561">
        <v>13</v>
      </c>
      <c r="B561">
        <v>37</v>
      </c>
      <c r="C561" t="s">
        <v>12</v>
      </c>
      <c r="D561" t="s">
        <v>37</v>
      </c>
      <c r="E561" s="4">
        <f t="shared" ca="1" si="9"/>
        <v>614315451.20000231</v>
      </c>
    </row>
    <row r="562" spans="1:5" hidden="1" x14ac:dyDescent="0.25">
      <c r="A562">
        <v>13</v>
      </c>
      <c r="B562">
        <v>38</v>
      </c>
      <c r="C562" t="s">
        <v>12</v>
      </c>
      <c r="D562" t="s">
        <v>38</v>
      </c>
      <c r="E562" s="4">
        <f t="shared" ca="1" si="9"/>
        <v>58359739.199999996</v>
      </c>
    </row>
    <row r="563" spans="1:5" hidden="1" x14ac:dyDescent="0.25">
      <c r="A563">
        <v>13</v>
      </c>
      <c r="B563">
        <v>39</v>
      </c>
      <c r="C563" t="s">
        <v>12</v>
      </c>
      <c r="D563" t="s">
        <v>39</v>
      </c>
      <c r="E563" s="4">
        <f t="shared" ca="1" si="9"/>
        <v>206882703.60000014</v>
      </c>
    </row>
    <row r="564" spans="1:5" hidden="1" x14ac:dyDescent="0.25">
      <c r="A564">
        <v>13</v>
      </c>
      <c r="B564">
        <v>40</v>
      </c>
      <c r="C564" t="s">
        <v>12</v>
      </c>
      <c r="D564" t="s">
        <v>40</v>
      </c>
      <c r="E564" s="4">
        <f t="shared" ca="1" si="9"/>
        <v>467594965.12</v>
      </c>
    </row>
    <row r="565" spans="1:5" hidden="1" x14ac:dyDescent="0.25">
      <c r="A565">
        <v>14</v>
      </c>
      <c r="B565">
        <v>1</v>
      </c>
      <c r="C565" t="s">
        <v>13</v>
      </c>
      <c r="D565" t="s">
        <v>0</v>
      </c>
      <c r="E565" s="4">
        <f t="shared" ca="1" si="9"/>
        <v>6862625080.1142845</v>
      </c>
    </row>
    <row r="566" spans="1:5" hidden="1" x14ac:dyDescent="0.25">
      <c r="A566">
        <v>14</v>
      </c>
      <c r="B566">
        <v>2</v>
      </c>
      <c r="C566" t="s">
        <v>13</v>
      </c>
      <c r="D566" t="s">
        <v>1</v>
      </c>
      <c r="E566" s="4">
        <f t="shared" ca="1" si="9"/>
        <v>2068937393.2171409</v>
      </c>
    </row>
    <row r="567" spans="1:5" hidden="1" x14ac:dyDescent="0.25">
      <c r="A567">
        <v>14</v>
      </c>
      <c r="B567">
        <v>3</v>
      </c>
      <c r="C567" t="s">
        <v>13</v>
      </c>
      <c r="D567" t="s">
        <v>2</v>
      </c>
      <c r="E567" s="4">
        <f t="shared" ca="1" si="9"/>
        <v>1746438126.0228581</v>
      </c>
    </row>
    <row r="568" spans="1:5" hidden="1" x14ac:dyDescent="0.25">
      <c r="A568">
        <v>14</v>
      </c>
      <c r="B568">
        <v>4</v>
      </c>
      <c r="C568" t="s">
        <v>13</v>
      </c>
      <c r="D568" t="s">
        <v>3</v>
      </c>
      <c r="E568" s="4">
        <f t="shared" ca="1" si="9"/>
        <v>3802935154.7428546</v>
      </c>
    </row>
    <row r="569" spans="1:5" hidden="1" x14ac:dyDescent="0.25">
      <c r="A569">
        <v>14</v>
      </c>
      <c r="B569">
        <v>5</v>
      </c>
      <c r="C569" t="s">
        <v>13</v>
      </c>
      <c r="D569" t="s">
        <v>4</v>
      </c>
      <c r="E569" s="4">
        <f t="shared" ca="1" si="9"/>
        <v>7245525232.1571465</v>
      </c>
    </row>
    <row r="570" spans="1:5" hidden="1" x14ac:dyDescent="0.25">
      <c r="A570">
        <v>14</v>
      </c>
      <c r="B570">
        <v>6</v>
      </c>
      <c r="C570" t="s">
        <v>13</v>
      </c>
      <c r="D570" t="s">
        <v>5</v>
      </c>
      <c r="E570" s="4">
        <f t="shared" ca="1" si="9"/>
        <v>2665687704.7142844</v>
      </c>
    </row>
    <row r="571" spans="1:5" hidden="1" x14ac:dyDescent="0.25">
      <c r="A571">
        <v>14</v>
      </c>
      <c r="B571">
        <v>7</v>
      </c>
      <c r="C571" t="s">
        <v>13</v>
      </c>
      <c r="D571" t="s">
        <v>6</v>
      </c>
      <c r="E571" s="4">
        <f t="shared" ca="1" si="9"/>
        <v>1562415929.2171423</v>
      </c>
    </row>
    <row r="572" spans="1:5" hidden="1" x14ac:dyDescent="0.25">
      <c r="A572">
        <v>14</v>
      </c>
      <c r="B572">
        <v>8</v>
      </c>
      <c r="C572" t="s">
        <v>13</v>
      </c>
      <c r="D572" t="s">
        <v>7</v>
      </c>
      <c r="E572" s="4">
        <f t="shared" ca="1" si="9"/>
        <v>4104017649.5428538</v>
      </c>
    </row>
    <row r="573" spans="1:5" hidden="1" x14ac:dyDescent="0.25">
      <c r="A573">
        <v>14</v>
      </c>
      <c r="B573">
        <v>9</v>
      </c>
      <c r="C573" t="s">
        <v>13</v>
      </c>
      <c r="D573" t="s">
        <v>148</v>
      </c>
      <c r="E573" s="4">
        <f t="shared" ca="1" si="9"/>
        <v>978996395.80363619</v>
      </c>
    </row>
    <row r="574" spans="1:5" hidden="1" x14ac:dyDescent="0.25">
      <c r="A574">
        <v>14</v>
      </c>
      <c r="B574">
        <v>10</v>
      </c>
      <c r="C574" t="s">
        <v>13</v>
      </c>
      <c r="D574" t="s">
        <v>9</v>
      </c>
      <c r="E574" s="4">
        <f t="shared" ca="1" si="9"/>
        <v>3229087403.5542874</v>
      </c>
    </row>
    <row r="575" spans="1:5" hidden="1" x14ac:dyDescent="0.25">
      <c r="A575">
        <v>14</v>
      </c>
      <c r="B575">
        <v>11</v>
      </c>
      <c r="C575" t="s">
        <v>13</v>
      </c>
      <c r="D575" t="s">
        <v>10</v>
      </c>
      <c r="E575" s="4">
        <f t="shared" ca="1" si="9"/>
        <v>1078430707.7599995</v>
      </c>
    </row>
    <row r="576" spans="1:5" hidden="1" x14ac:dyDescent="0.25">
      <c r="A576">
        <v>14</v>
      </c>
      <c r="B576">
        <v>12</v>
      </c>
      <c r="C576" t="s">
        <v>13</v>
      </c>
      <c r="D576" t="s">
        <v>11</v>
      </c>
      <c r="E576" s="4">
        <f t="shared" ca="1" si="9"/>
        <v>555051176.19999981</v>
      </c>
    </row>
    <row r="577" spans="1:5" hidden="1" x14ac:dyDescent="0.25">
      <c r="A577">
        <v>14</v>
      </c>
      <c r="B577">
        <v>13</v>
      </c>
      <c r="C577" t="s">
        <v>13</v>
      </c>
      <c r="D577" t="s">
        <v>12</v>
      </c>
      <c r="E577" s="4">
        <f t="shared" ca="1" si="9"/>
        <v>166886016.80000001</v>
      </c>
    </row>
    <row r="578" spans="1:5" hidden="1" x14ac:dyDescent="0.25">
      <c r="A578">
        <v>14</v>
      </c>
      <c r="B578">
        <v>14</v>
      </c>
      <c r="C578" t="s">
        <v>13</v>
      </c>
      <c r="D578" t="s">
        <v>13</v>
      </c>
      <c r="E578" s="4">
        <f t="shared" ca="1" si="9"/>
        <v>0</v>
      </c>
    </row>
    <row r="579" spans="1:5" hidden="1" x14ac:dyDescent="0.25">
      <c r="A579">
        <v>14</v>
      </c>
      <c r="B579">
        <v>15</v>
      </c>
      <c r="C579" t="s">
        <v>13</v>
      </c>
      <c r="D579" t="s">
        <v>14</v>
      </c>
      <c r="E579" s="4">
        <f t="shared" ca="1" si="9"/>
        <v>1603200088.1999991</v>
      </c>
    </row>
    <row r="580" spans="1:5" hidden="1" x14ac:dyDescent="0.25">
      <c r="A580">
        <v>14</v>
      </c>
      <c r="B580">
        <v>16</v>
      </c>
      <c r="C580" t="s">
        <v>13</v>
      </c>
      <c r="D580" t="s">
        <v>15</v>
      </c>
      <c r="E580" s="4">
        <f t="shared" ca="1" si="9"/>
        <v>1504419906.6000009</v>
      </c>
    </row>
    <row r="581" spans="1:5" hidden="1" x14ac:dyDescent="0.25">
      <c r="A581">
        <v>14</v>
      </c>
      <c r="B581">
        <v>17</v>
      </c>
      <c r="C581" t="s">
        <v>13</v>
      </c>
      <c r="D581" t="s">
        <v>16</v>
      </c>
      <c r="E581" s="4">
        <f t="shared" ca="1" si="9"/>
        <v>3230175750.1199999</v>
      </c>
    </row>
    <row r="582" spans="1:5" hidden="1" x14ac:dyDescent="0.25">
      <c r="A582">
        <v>14</v>
      </c>
      <c r="B582">
        <v>18</v>
      </c>
      <c r="C582" t="s">
        <v>13</v>
      </c>
      <c r="D582" t="s">
        <v>17</v>
      </c>
      <c r="E582" s="4">
        <f t="shared" ca="1" si="9"/>
        <v>1404934231.9199989</v>
      </c>
    </row>
    <row r="583" spans="1:5" hidden="1" x14ac:dyDescent="0.25">
      <c r="A583">
        <v>14</v>
      </c>
      <c r="B583">
        <v>19</v>
      </c>
      <c r="C583" t="s">
        <v>13</v>
      </c>
      <c r="D583" t="s">
        <v>18</v>
      </c>
      <c r="E583" s="4">
        <f t="shared" ca="1" si="9"/>
        <v>627923973.0400002</v>
      </c>
    </row>
    <row r="584" spans="1:5" hidden="1" x14ac:dyDescent="0.25">
      <c r="A584">
        <v>14</v>
      </c>
      <c r="B584">
        <v>20</v>
      </c>
      <c r="C584" t="s">
        <v>13</v>
      </c>
      <c r="D584" t="s">
        <v>19</v>
      </c>
      <c r="E584" s="4">
        <f t="shared" ca="1" si="9"/>
        <v>3655060421.0399985</v>
      </c>
    </row>
    <row r="585" spans="1:5" hidden="1" x14ac:dyDescent="0.25">
      <c r="A585">
        <v>14</v>
      </c>
      <c r="B585">
        <v>21</v>
      </c>
      <c r="C585" t="s">
        <v>13</v>
      </c>
      <c r="D585" t="s">
        <v>20</v>
      </c>
      <c r="E585" s="4">
        <f t="shared" ca="1" si="9"/>
        <v>2889363697.3600001</v>
      </c>
    </row>
    <row r="586" spans="1:5" hidden="1" x14ac:dyDescent="0.25">
      <c r="A586">
        <v>14</v>
      </c>
      <c r="B586">
        <v>22</v>
      </c>
      <c r="C586" t="s">
        <v>13</v>
      </c>
      <c r="D586" t="s">
        <v>21</v>
      </c>
      <c r="E586" s="4">
        <f t="shared" ca="1" si="9"/>
        <v>1250408502.1999981</v>
      </c>
    </row>
    <row r="587" spans="1:5" hidden="1" x14ac:dyDescent="0.25">
      <c r="A587">
        <v>14</v>
      </c>
      <c r="B587">
        <v>23</v>
      </c>
      <c r="C587" t="s">
        <v>13</v>
      </c>
      <c r="D587" t="s">
        <v>22</v>
      </c>
      <c r="E587" s="4">
        <f t="shared" ca="1" si="9"/>
        <v>719434619.0400002</v>
      </c>
    </row>
    <row r="588" spans="1:5" hidden="1" x14ac:dyDescent="0.25">
      <c r="A588">
        <v>14</v>
      </c>
      <c r="B588">
        <v>24</v>
      </c>
      <c r="C588" t="s">
        <v>13</v>
      </c>
      <c r="D588" t="s">
        <v>23</v>
      </c>
      <c r="E588" s="4">
        <f t="shared" ca="1" si="9"/>
        <v>340758854.03999996</v>
      </c>
    </row>
    <row r="589" spans="1:5" hidden="1" x14ac:dyDescent="0.25">
      <c r="A589">
        <v>14</v>
      </c>
      <c r="B589">
        <v>25</v>
      </c>
      <c r="C589" t="s">
        <v>13</v>
      </c>
      <c r="D589" t="s">
        <v>24</v>
      </c>
      <c r="E589" s="4">
        <f t="shared" ca="1" si="9"/>
        <v>441450145.5200001</v>
      </c>
    </row>
    <row r="590" spans="1:5" hidden="1" x14ac:dyDescent="0.25">
      <c r="A590">
        <v>14</v>
      </c>
      <c r="B590">
        <v>26</v>
      </c>
      <c r="C590" t="s">
        <v>13</v>
      </c>
      <c r="D590" t="s">
        <v>25</v>
      </c>
      <c r="E590" s="4">
        <f t="shared" ca="1" si="9"/>
        <v>546808449.03999996</v>
      </c>
    </row>
    <row r="591" spans="1:5" hidden="1" x14ac:dyDescent="0.25">
      <c r="A591">
        <v>14</v>
      </c>
      <c r="B591">
        <v>27</v>
      </c>
      <c r="C591" t="s">
        <v>13</v>
      </c>
      <c r="D591" t="s">
        <v>145</v>
      </c>
      <c r="E591" s="4">
        <f t="shared" ca="1" si="9"/>
        <v>3439908055.5999999</v>
      </c>
    </row>
    <row r="592" spans="1:5" hidden="1" x14ac:dyDescent="0.25">
      <c r="A592">
        <v>14</v>
      </c>
      <c r="B592">
        <v>28</v>
      </c>
      <c r="C592" t="s">
        <v>13</v>
      </c>
      <c r="D592" t="s">
        <v>147</v>
      </c>
      <c r="E592" s="4">
        <f t="shared" ca="1" si="9"/>
        <v>1990753426.7680001</v>
      </c>
    </row>
    <row r="593" spans="1:5" hidden="1" x14ac:dyDescent="0.25">
      <c r="A593">
        <v>14</v>
      </c>
      <c r="B593">
        <v>29</v>
      </c>
      <c r="C593" t="s">
        <v>13</v>
      </c>
      <c r="D593" t="s">
        <v>146</v>
      </c>
      <c r="E593" s="4">
        <f t="shared" ca="1" si="9"/>
        <v>897350746.8599999</v>
      </c>
    </row>
    <row r="594" spans="1:5" hidden="1" x14ac:dyDescent="0.25">
      <c r="A594">
        <v>14</v>
      </c>
      <c r="B594">
        <v>30</v>
      </c>
      <c r="C594" t="s">
        <v>13</v>
      </c>
      <c r="D594" t="s">
        <v>30</v>
      </c>
      <c r="E594" s="4">
        <f t="shared" ca="1" si="9"/>
        <v>1589139321.8920002</v>
      </c>
    </row>
    <row r="595" spans="1:5" hidden="1" x14ac:dyDescent="0.25">
      <c r="A595">
        <v>14</v>
      </c>
      <c r="B595">
        <v>31</v>
      </c>
      <c r="C595" t="s">
        <v>13</v>
      </c>
      <c r="D595" t="s">
        <v>31</v>
      </c>
      <c r="E595" s="4">
        <f t="shared" ca="1" si="9"/>
        <v>1144660613.4000001</v>
      </c>
    </row>
    <row r="596" spans="1:5" hidden="1" x14ac:dyDescent="0.25">
      <c r="A596">
        <v>14</v>
      </c>
      <c r="B596">
        <v>32</v>
      </c>
      <c r="C596" t="s">
        <v>13</v>
      </c>
      <c r="D596" t="s">
        <v>32</v>
      </c>
      <c r="E596" s="4">
        <f t="shared" ca="1" si="9"/>
        <v>912730111.80000007</v>
      </c>
    </row>
    <row r="597" spans="1:5" hidden="1" x14ac:dyDescent="0.25">
      <c r="A597">
        <v>14</v>
      </c>
      <c r="B597">
        <v>33</v>
      </c>
      <c r="C597" t="s">
        <v>13</v>
      </c>
      <c r="D597" t="s">
        <v>33</v>
      </c>
      <c r="E597" s="4">
        <f t="shared" ca="1" si="9"/>
        <v>5464204046.1599979</v>
      </c>
    </row>
    <row r="598" spans="1:5" hidden="1" x14ac:dyDescent="0.25">
      <c r="A598">
        <v>14</v>
      </c>
      <c r="B598">
        <v>34</v>
      </c>
      <c r="C598" t="s">
        <v>13</v>
      </c>
      <c r="D598" t="s">
        <v>34</v>
      </c>
      <c r="E598" s="4">
        <f t="shared" ca="1" si="9"/>
        <v>22379505890.240025</v>
      </c>
    </row>
    <row r="599" spans="1:5" hidden="1" x14ac:dyDescent="0.25">
      <c r="A599">
        <v>14</v>
      </c>
      <c r="B599">
        <v>35</v>
      </c>
      <c r="C599" t="s">
        <v>13</v>
      </c>
      <c r="D599" t="s">
        <v>35</v>
      </c>
      <c r="E599" s="4">
        <f t="shared" ca="1" si="9"/>
        <v>2451273078.480001</v>
      </c>
    </row>
    <row r="600" spans="1:5" hidden="1" x14ac:dyDescent="0.25">
      <c r="A600">
        <v>14</v>
      </c>
      <c r="B600">
        <v>36</v>
      </c>
      <c r="C600" t="s">
        <v>13</v>
      </c>
      <c r="D600" t="s">
        <v>36</v>
      </c>
      <c r="E600" s="4">
        <f t="shared" ca="1" si="9"/>
        <v>431576304.71999997</v>
      </c>
    </row>
    <row r="601" spans="1:5" hidden="1" x14ac:dyDescent="0.25">
      <c r="A601">
        <v>14</v>
      </c>
      <c r="B601">
        <v>37</v>
      </c>
      <c r="C601" t="s">
        <v>13</v>
      </c>
      <c r="D601" t="s">
        <v>37</v>
      </c>
      <c r="E601" s="4">
        <f t="shared" ca="1" si="9"/>
        <v>1168934440.3200023</v>
      </c>
    </row>
    <row r="602" spans="1:5" hidden="1" x14ac:dyDescent="0.25">
      <c r="A602">
        <v>14</v>
      </c>
      <c r="B602">
        <v>38</v>
      </c>
      <c r="C602" t="s">
        <v>13</v>
      </c>
      <c r="D602" t="s">
        <v>38</v>
      </c>
      <c r="E602" s="4">
        <f t="shared" ca="1" si="9"/>
        <v>383999729.51999998</v>
      </c>
    </row>
    <row r="603" spans="1:5" hidden="1" x14ac:dyDescent="0.25">
      <c r="A603">
        <v>14</v>
      </c>
      <c r="B603">
        <v>39</v>
      </c>
      <c r="C603" t="s">
        <v>13</v>
      </c>
      <c r="D603" t="s">
        <v>39</v>
      </c>
      <c r="E603" s="4">
        <f t="shared" ca="1" si="9"/>
        <v>647583853.32000005</v>
      </c>
    </row>
    <row r="604" spans="1:5" hidden="1" x14ac:dyDescent="0.25">
      <c r="A604">
        <v>14</v>
      </c>
      <c r="B604">
        <v>40</v>
      </c>
      <c r="C604" t="s">
        <v>13</v>
      </c>
      <c r="D604" t="s">
        <v>40</v>
      </c>
      <c r="E604" s="4">
        <f t="shared" ca="1" si="9"/>
        <v>915242721.12000012</v>
      </c>
    </row>
    <row r="605" spans="1:5" hidden="1" x14ac:dyDescent="0.25">
      <c r="A605">
        <v>15</v>
      </c>
      <c r="B605">
        <v>1</v>
      </c>
      <c r="C605" t="s">
        <v>14</v>
      </c>
      <c r="D605" t="s">
        <v>0</v>
      </c>
      <c r="E605" s="4">
        <f t="shared" ca="1" si="9"/>
        <v>8943035617.3885689</v>
      </c>
    </row>
    <row r="606" spans="1:5" hidden="1" x14ac:dyDescent="0.25">
      <c r="A606">
        <v>15</v>
      </c>
      <c r="B606">
        <v>2</v>
      </c>
      <c r="C606" t="s">
        <v>14</v>
      </c>
      <c r="D606" t="s">
        <v>1</v>
      </c>
      <c r="E606" s="4">
        <f t="shared" ca="1" si="9"/>
        <v>3182087257.862855</v>
      </c>
    </row>
    <row r="607" spans="1:5" hidden="1" x14ac:dyDescent="0.25">
      <c r="A607">
        <v>15</v>
      </c>
      <c r="B607">
        <v>3</v>
      </c>
      <c r="C607" t="s">
        <v>14</v>
      </c>
      <c r="D607" t="s">
        <v>2</v>
      </c>
      <c r="E607" s="4">
        <f t="shared" ca="1" si="9"/>
        <v>2828823271.2000008</v>
      </c>
    </row>
    <row r="608" spans="1:5" hidden="1" x14ac:dyDescent="0.25">
      <c r="A608">
        <v>15</v>
      </c>
      <c r="B608">
        <v>4</v>
      </c>
      <c r="C608" t="s">
        <v>14</v>
      </c>
      <c r="D608" t="s">
        <v>3</v>
      </c>
      <c r="E608" s="4">
        <f t="shared" ref="E608:E670" ca="1" si="10">OFFSET($B$2,A608,B608)</f>
        <v>5285031544.1342821</v>
      </c>
    </row>
    <row r="609" spans="1:5" hidden="1" x14ac:dyDescent="0.25">
      <c r="A609">
        <v>15</v>
      </c>
      <c r="B609">
        <v>5</v>
      </c>
      <c r="C609" t="s">
        <v>14</v>
      </c>
      <c r="D609" t="s">
        <v>4</v>
      </c>
      <c r="E609" s="4">
        <f t="shared" ca="1" si="10"/>
        <v>8975052080.3571472</v>
      </c>
    </row>
    <row r="610" spans="1:5" hidden="1" x14ac:dyDescent="0.25">
      <c r="A610">
        <v>15</v>
      </c>
      <c r="B610">
        <v>6</v>
      </c>
      <c r="C610" t="s">
        <v>14</v>
      </c>
      <c r="D610" t="s">
        <v>5</v>
      </c>
      <c r="E610" s="4">
        <f t="shared" ca="1" si="10"/>
        <v>4268077433.2657132</v>
      </c>
    </row>
    <row r="611" spans="1:5" hidden="1" x14ac:dyDescent="0.25">
      <c r="A611">
        <v>15</v>
      </c>
      <c r="B611">
        <v>7</v>
      </c>
      <c r="C611" t="s">
        <v>14</v>
      </c>
      <c r="D611" t="s">
        <v>6</v>
      </c>
      <c r="E611" s="4">
        <f t="shared" ca="1" si="10"/>
        <v>3039815629.594285</v>
      </c>
    </row>
    <row r="612" spans="1:5" hidden="1" x14ac:dyDescent="0.25">
      <c r="A612">
        <v>15</v>
      </c>
      <c r="B612">
        <v>8</v>
      </c>
      <c r="C612" t="s">
        <v>14</v>
      </c>
      <c r="D612" t="s">
        <v>7</v>
      </c>
      <c r="E612" s="4">
        <f t="shared" ca="1" si="10"/>
        <v>5558996430.3314247</v>
      </c>
    </row>
    <row r="613" spans="1:5" hidden="1" x14ac:dyDescent="0.25">
      <c r="A613">
        <v>15</v>
      </c>
      <c r="B613">
        <v>9</v>
      </c>
      <c r="C613" t="s">
        <v>14</v>
      </c>
      <c r="D613" t="s">
        <v>148</v>
      </c>
      <c r="E613" s="4">
        <f t="shared" ca="1" si="10"/>
        <v>2560513922.9999995</v>
      </c>
    </row>
    <row r="614" spans="1:5" hidden="1" x14ac:dyDescent="0.25">
      <c r="A614">
        <v>15</v>
      </c>
      <c r="B614">
        <v>10</v>
      </c>
      <c r="C614" t="s">
        <v>14</v>
      </c>
      <c r="D614" t="s">
        <v>9</v>
      </c>
      <c r="E614" s="4">
        <f t="shared" ca="1" si="10"/>
        <v>4885984318.0714302</v>
      </c>
    </row>
    <row r="615" spans="1:5" hidden="1" x14ac:dyDescent="0.25">
      <c r="A615">
        <v>15</v>
      </c>
      <c r="B615">
        <v>11</v>
      </c>
      <c r="C615" t="s">
        <v>14</v>
      </c>
      <c r="D615" t="s">
        <v>10</v>
      </c>
      <c r="E615" s="4">
        <f t="shared" ca="1" si="10"/>
        <v>2572639659.7999992</v>
      </c>
    </row>
    <row r="616" spans="1:5" hidden="1" x14ac:dyDescent="0.25">
      <c r="A616">
        <v>15</v>
      </c>
      <c r="B616">
        <v>12</v>
      </c>
      <c r="C616" t="s">
        <v>14</v>
      </c>
      <c r="D616" t="s">
        <v>11</v>
      </c>
      <c r="E616" s="4">
        <f t="shared" ca="1" si="10"/>
        <v>1936608230.9199998</v>
      </c>
    </row>
    <row r="617" spans="1:5" hidden="1" x14ac:dyDescent="0.25">
      <c r="A617">
        <v>15</v>
      </c>
      <c r="B617">
        <v>13</v>
      </c>
      <c r="C617" t="s">
        <v>14</v>
      </c>
      <c r="D617" t="s">
        <v>12</v>
      </c>
      <c r="E617" s="4">
        <f t="shared" ca="1" si="10"/>
        <v>934541332.48000002</v>
      </c>
    </row>
    <row r="618" spans="1:5" hidden="1" x14ac:dyDescent="0.25">
      <c r="A618">
        <v>15</v>
      </c>
      <c r="B618">
        <v>14</v>
      </c>
      <c r="C618" t="s">
        <v>14</v>
      </c>
      <c r="D618" t="s">
        <v>13</v>
      </c>
      <c r="E618" s="4">
        <f t="shared" ca="1" si="10"/>
        <v>1357343908.5999994</v>
      </c>
    </row>
    <row r="619" spans="1:5" hidden="1" x14ac:dyDescent="0.25">
      <c r="A619">
        <v>15</v>
      </c>
      <c r="B619">
        <v>15</v>
      </c>
      <c r="C619" t="s">
        <v>14</v>
      </c>
      <c r="D619" t="s">
        <v>14</v>
      </c>
      <c r="E619" s="4">
        <f t="shared" ca="1" si="10"/>
        <v>0</v>
      </c>
    </row>
    <row r="620" spans="1:5" hidden="1" x14ac:dyDescent="0.25">
      <c r="A620">
        <v>15</v>
      </c>
      <c r="B620">
        <v>16</v>
      </c>
      <c r="C620" t="s">
        <v>14</v>
      </c>
      <c r="D620" t="s">
        <v>15</v>
      </c>
      <c r="E620" s="4">
        <f t="shared" ca="1" si="10"/>
        <v>1083524364.0000005</v>
      </c>
    </row>
    <row r="621" spans="1:5" hidden="1" x14ac:dyDescent="0.25">
      <c r="A621">
        <v>15</v>
      </c>
      <c r="B621">
        <v>17</v>
      </c>
      <c r="C621" t="s">
        <v>14</v>
      </c>
      <c r="D621" t="s">
        <v>16</v>
      </c>
      <c r="E621" s="4">
        <f t="shared" ca="1" si="10"/>
        <v>4198276627.3200011</v>
      </c>
    </row>
    <row r="622" spans="1:5" hidden="1" x14ac:dyDescent="0.25">
      <c r="A622">
        <v>15</v>
      </c>
      <c r="B622">
        <v>18</v>
      </c>
      <c r="C622" t="s">
        <v>14</v>
      </c>
      <c r="D622" t="s">
        <v>17</v>
      </c>
      <c r="E622" s="4">
        <f t="shared" ca="1" si="10"/>
        <v>1470575836.799999</v>
      </c>
    </row>
    <row r="623" spans="1:5" hidden="1" x14ac:dyDescent="0.25">
      <c r="A623">
        <v>15</v>
      </c>
      <c r="B623">
        <v>19</v>
      </c>
      <c r="C623" t="s">
        <v>14</v>
      </c>
      <c r="D623" t="s">
        <v>18</v>
      </c>
      <c r="E623" s="4">
        <f t="shared" ca="1" si="10"/>
        <v>1565670100.1600001</v>
      </c>
    </row>
    <row r="624" spans="1:5" hidden="1" x14ac:dyDescent="0.25">
      <c r="A624">
        <v>15</v>
      </c>
      <c r="B624">
        <v>20</v>
      </c>
      <c r="C624" t="s">
        <v>14</v>
      </c>
      <c r="D624" t="s">
        <v>19</v>
      </c>
      <c r="E624" s="4">
        <f t="shared" ca="1" si="10"/>
        <v>4974737991.5999994</v>
      </c>
    </row>
    <row r="625" spans="1:5" hidden="1" x14ac:dyDescent="0.25">
      <c r="A625">
        <v>15</v>
      </c>
      <c r="B625">
        <v>21</v>
      </c>
      <c r="C625" t="s">
        <v>14</v>
      </c>
      <c r="D625" t="s">
        <v>20</v>
      </c>
      <c r="E625" s="4">
        <f t="shared" ca="1" si="10"/>
        <v>3992960098.4000006</v>
      </c>
    </row>
    <row r="626" spans="1:5" hidden="1" x14ac:dyDescent="0.25">
      <c r="A626">
        <v>15</v>
      </c>
      <c r="B626">
        <v>22</v>
      </c>
      <c r="C626" t="s">
        <v>14</v>
      </c>
      <c r="D626" t="s">
        <v>21</v>
      </c>
      <c r="E626" s="4">
        <f t="shared" ca="1" si="10"/>
        <v>2344879791.599998</v>
      </c>
    </row>
    <row r="627" spans="1:5" hidden="1" x14ac:dyDescent="0.25">
      <c r="A627">
        <v>15</v>
      </c>
      <c r="B627">
        <v>23</v>
      </c>
      <c r="C627" t="s">
        <v>14</v>
      </c>
      <c r="D627" t="s">
        <v>22</v>
      </c>
      <c r="E627" s="4">
        <f t="shared" ca="1" si="10"/>
        <v>1280652948.1599998</v>
      </c>
    </row>
    <row r="628" spans="1:5" hidden="1" x14ac:dyDescent="0.25">
      <c r="A628">
        <v>15</v>
      </c>
      <c r="B628">
        <v>24</v>
      </c>
      <c r="C628" t="s">
        <v>14</v>
      </c>
      <c r="D628" t="s">
        <v>23</v>
      </c>
      <c r="E628" s="4">
        <f t="shared" ca="1" si="10"/>
        <v>954647131.79999995</v>
      </c>
    </row>
    <row r="629" spans="1:5" hidden="1" x14ac:dyDescent="0.25">
      <c r="A629">
        <v>15</v>
      </c>
      <c r="B629">
        <v>25</v>
      </c>
      <c r="C629" t="s">
        <v>14</v>
      </c>
      <c r="D629" t="s">
        <v>24</v>
      </c>
      <c r="E629" s="4">
        <f t="shared" ca="1" si="10"/>
        <v>1186089904.3999999</v>
      </c>
    </row>
    <row r="630" spans="1:5" hidden="1" x14ac:dyDescent="0.25">
      <c r="A630">
        <v>15</v>
      </c>
      <c r="B630">
        <v>26</v>
      </c>
      <c r="C630" t="s">
        <v>14</v>
      </c>
      <c r="D630" t="s">
        <v>25</v>
      </c>
      <c r="E630" s="4">
        <f t="shared" ca="1" si="10"/>
        <v>614166896.36000001</v>
      </c>
    </row>
    <row r="631" spans="1:5" hidden="1" x14ac:dyDescent="0.25">
      <c r="A631">
        <v>15</v>
      </c>
      <c r="B631">
        <v>27</v>
      </c>
      <c r="C631" t="s">
        <v>14</v>
      </c>
      <c r="D631" t="s">
        <v>145</v>
      </c>
      <c r="E631" s="4">
        <f t="shared" ca="1" si="10"/>
        <v>4471948530.1199999</v>
      </c>
    </row>
    <row r="632" spans="1:5" hidden="1" x14ac:dyDescent="0.25">
      <c r="A632">
        <v>15</v>
      </c>
      <c r="B632">
        <v>28</v>
      </c>
      <c r="C632" t="s">
        <v>14</v>
      </c>
      <c r="D632" t="s">
        <v>147</v>
      </c>
      <c r="E632" s="4">
        <f t="shared" ca="1" si="10"/>
        <v>3097657593.5640001</v>
      </c>
    </row>
    <row r="633" spans="1:5" hidden="1" x14ac:dyDescent="0.25">
      <c r="A633">
        <v>15</v>
      </c>
      <c r="B633">
        <v>29</v>
      </c>
      <c r="C633" t="s">
        <v>14</v>
      </c>
      <c r="D633" t="s">
        <v>146</v>
      </c>
      <c r="E633" s="4">
        <f t="shared" ca="1" si="10"/>
        <v>1864047158.46</v>
      </c>
    </row>
    <row r="634" spans="1:5" hidden="1" x14ac:dyDescent="0.25">
      <c r="A634">
        <v>15</v>
      </c>
      <c r="B634">
        <v>30</v>
      </c>
      <c r="C634" t="s">
        <v>14</v>
      </c>
      <c r="D634" t="s">
        <v>30</v>
      </c>
      <c r="E634" s="4">
        <f t="shared" ca="1" si="10"/>
        <v>3108825837.8399997</v>
      </c>
    </row>
    <row r="635" spans="1:5" hidden="1" x14ac:dyDescent="0.25">
      <c r="A635">
        <v>15</v>
      </c>
      <c r="B635">
        <v>31</v>
      </c>
      <c r="C635" t="s">
        <v>14</v>
      </c>
      <c r="D635" t="s">
        <v>31</v>
      </c>
      <c r="E635" s="4">
        <f t="shared" ca="1" si="10"/>
        <v>2620517243.2799997</v>
      </c>
    </row>
    <row r="636" spans="1:5" hidden="1" x14ac:dyDescent="0.25">
      <c r="A636">
        <v>15</v>
      </c>
      <c r="B636">
        <v>32</v>
      </c>
      <c r="C636" t="s">
        <v>14</v>
      </c>
      <c r="D636" t="s">
        <v>32</v>
      </c>
      <c r="E636" s="4">
        <f t="shared" ca="1" si="10"/>
        <v>2295893595.7599998</v>
      </c>
    </row>
    <row r="637" spans="1:5" hidden="1" x14ac:dyDescent="0.25">
      <c r="A637">
        <v>15</v>
      </c>
      <c r="B637">
        <v>33</v>
      </c>
      <c r="C637" t="s">
        <v>14</v>
      </c>
      <c r="D637" t="s">
        <v>33</v>
      </c>
      <c r="E637" s="4">
        <f t="shared" ca="1" si="10"/>
        <v>7413831944.6799955</v>
      </c>
    </row>
    <row r="638" spans="1:5" hidden="1" x14ac:dyDescent="0.25">
      <c r="A638">
        <v>15</v>
      </c>
      <c r="B638">
        <v>34</v>
      </c>
      <c r="C638" t="s">
        <v>14</v>
      </c>
      <c r="D638" t="s">
        <v>34</v>
      </c>
      <c r="E638" s="4">
        <f t="shared" ca="1" si="10"/>
        <v>26059956264.960026</v>
      </c>
    </row>
    <row r="639" spans="1:5" hidden="1" x14ac:dyDescent="0.25">
      <c r="A639">
        <v>15</v>
      </c>
      <c r="B639">
        <v>35</v>
      </c>
      <c r="C639" t="s">
        <v>14</v>
      </c>
      <c r="D639" t="s">
        <v>35</v>
      </c>
      <c r="E639" s="4">
        <f t="shared" ca="1" si="10"/>
        <v>3924825288.3200006</v>
      </c>
    </row>
    <row r="640" spans="1:5" hidden="1" x14ac:dyDescent="0.25">
      <c r="A640">
        <v>15</v>
      </c>
      <c r="B640">
        <v>36</v>
      </c>
      <c r="C640" t="s">
        <v>14</v>
      </c>
      <c r="D640" t="s">
        <v>36</v>
      </c>
      <c r="E640" s="4">
        <f t="shared" ca="1" si="10"/>
        <v>1883388418.0799997</v>
      </c>
    </row>
    <row r="641" spans="1:5" hidden="1" x14ac:dyDescent="0.25">
      <c r="A641">
        <v>15</v>
      </c>
      <c r="B641">
        <v>37</v>
      </c>
      <c r="C641" t="s">
        <v>14</v>
      </c>
      <c r="D641" t="s">
        <v>37</v>
      </c>
      <c r="E641" s="4">
        <f t="shared" ca="1" si="10"/>
        <v>2238794336.5600028</v>
      </c>
    </row>
    <row r="642" spans="1:5" hidden="1" x14ac:dyDescent="0.25">
      <c r="A642">
        <v>15</v>
      </c>
      <c r="B642">
        <v>38</v>
      </c>
      <c r="C642" t="s">
        <v>14</v>
      </c>
      <c r="D642" t="s">
        <v>38</v>
      </c>
      <c r="E642" s="4">
        <f t="shared" ca="1" si="10"/>
        <v>1418232627.2</v>
      </c>
    </row>
    <row r="643" spans="1:5" hidden="1" x14ac:dyDescent="0.25">
      <c r="A643">
        <v>15</v>
      </c>
      <c r="B643">
        <v>39</v>
      </c>
      <c r="C643" t="s">
        <v>14</v>
      </c>
      <c r="D643" t="s">
        <v>39</v>
      </c>
      <c r="E643" s="4">
        <f t="shared" ca="1" si="10"/>
        <v>1821481793.2</v>
      </c>
    </row>
    <row r="644" spans="1:5" hidden="1" x14ac:dyDescent="0.25">
      <c r="A644">
        <v>15</v>
      </c>
      <c r="B644">
        <v>40</v>
      </c>
      <c r="C644" t="s">
        <v>14</v>
      </c>
      <c r="D644" t="s">
        <v>40</v>
      </c>
      <c r="E644" s="4">
        <f t="shared" ca="1" si="10"/>
        <v>2097972727.1999998</v>
      </c>
    </row>
    <row r="645" spans="1:5" hidden="1" x14ac:dyDescent="0.25">
      <c r="A645">
        <v>16</v>
      </c>
      <c r="B645">
        <v>1</v>
      </c>
      <c r="C645" t="s">
        <v>15</v>
      </c>
      <c r="D645" t="s">
        <v>0</v>
      </c>
      <c r="E645" s="4">
        <f t="shared" ca="1" si="10"/>
        <v>11712403270.242855</v>
      </c>
    </row>
    <row r="646" spans="1:5" hidden="1" x14ac:dyDescent="0.25">
      <c r="A646">
        <v>16</v>
      </c>
      <c r="B646">
        <v>2</v>
      </c>
      <c r="C646" t="s">
        <v>15</v>
      </c>
      <c r="D646" t="s">
        <v>1</v>
      </c>
      <c r="E646" s="4">
        <f t="shared" ca="1" si="10"/>
        <v>4932092395.402854</v>
      </c>
    </row>
    <row r="647" spans="1:5" hidden="1" x14ac:dyDescent="0.25">
      <c r="A647">
        <v>16</v>
      </c>
      <c r="B647">
        <v>3</v>
      </c>
      <c r="C647" t="s">
        <v>15</v>
      </c>
      <c r="D647" t="s">
        <v>2</v>
      </c>
      <c r="E647" s="4">
        <f t="shared" ca="1" si="10"/>
        <v>4475469701.2000008</v>
      </c>
    </row>
    <row r="648" spans="1:5" hidden="1" x14ac:dyDescent="0.25">
      <c r="A648">
        <v>16</v>
      </c>
      <c r="B648">
        <v>4</v>
      </c>
      <c r="C648" t="s">
        <v>15</v>
      </c>
      <c r="D648" t="s">
        <v>3</v>
      </c>
      <c r="E648" s="4">
        <f t="shared" ca="1" si="10"/>
        <v>7095987573.8542814</v>
      </c>
    </row>
    <row r="649" spans="1:5" hidden="1" x14ac:dyDescent="0.25">
      <c r="A649">
        <v>16</v>
      </c>
      <c r="B649">
        <v>5</v>
      </c>
      <c r="C649" t="s">
        <v>15</v>
      </c>
      <c r="D649" t="s">
        <v>4</v>
      </c>
      <c r="E649" s="4">
        <f t="shared" ca="1" si="10"/>
        <v>11345404279.440004</v>
      </c>
    </row>
    <row r="650" spans="1:5" hidden="1" x14ac:dyDescent="0.25">
      <c r="A650">
        <v>16</v>
      </c>
      <c r="B650">
        <v>6</v>
      </c>
      <c r="C650" t="s">
        <v>15</v>
      </c>
      <c r="D650" t="s">
        <v>5</v>
      </c>
      <c r="E650" s="4">
        <f t="shared" ca="1" si="10"/>
        <v>5960803372.0257139</v>
      </c>
    </row>
    <row r="651" spans="1:5" hidden="1" x14ac:dyDescent="0.25">
      <c r="A651">
        <v>16</v>
      </c>
      <c r="B651">
        <v>7</v>
      </c>
      <c r="C651" t="s">
        <v>15</v>
      </c>
      <c r="D651" t="s">
        <v>6</v>
      </c>
      <c r="E651" s="4">
        <f t="shared" ca="1" si="10"/>
        <v>4513732118.1542854</v>
      </c>
    </row>
    <row r="652" spans="1:5" hidden="1" x14ac:dyDescent="0.25">
      <c r="A652">
        <v>16</v>
      </c>
      <c r="B652">
        <v>8</v>
      </c>
      <c r="C652" t="s">
        <v>15</v>
      </c>
      <c r="D652" t="s">
        <v>7</v>
      </c>
      <c r="E652" s="4">
        <f t="shared" ca="1" si="10"/>
        <v>7414202361.8914223</v>
      </c>
    </row>
    <row r="653" spans="1:5" hidden="1" x14ac:dyDescent="0.25">
      <c r="A653">
        <v>16</v>
      </c>
      <c r="B653">
        <v>9</v>
      </c>
      <c r="C653" t="s">
        <v>15</v>
      </c>
      <c r="D653" t="s">
        <v>148</v>
      </c>
      <c r="E653" s="4">
        <f t="shared" ca="1" si="10"/>
        <v>4293227705.3672729</v>
      </c>
    </row>
    <row r="654" spans="1:5" hidden="1" x14ac:dyDescent="0.25">
      <c r="A654">
        <v>16</v>
      </c>
      <c r="B654">
        <v>10</v>
      </c>
      <c r="C654" t="s">
        <v>15</v>
      </c>
      <c r="D654" t="s">
        <v>9</v>
      </c>
      <c r="E654" s="4">
        <f t="shared" ca="1" si="10"/>
        <v>6578731826.9685717</v>
      </c>
    </row>
    <row r="655" spans="1:5" hidden="1" x14ac:dyDescent="0.25">
      <c r="A655">
        <v>16</v>
      </c>
      <c r="B655">
        <v>11</v>
      </c>
      <c r="C655" t="s">
        <v>15</v>
      </c>
      <c r="D655" t="s">
        <v>10</v>
      </c>
      <c r="E655" s="4">
        <f t="shared" ca="1" si="10"/>
        <v>2667812739.5199995</v>
      </c>
    </row>
    <row r="656" spans="1:5" hidden="1" x14ac:dyDescent="0.25">
      <c r="A656">
        <v>16</v>
      </c>
      <c r="B656">
        <v>12</v>
      </c>
      <c r="C656" t="s">
        <v>15</v>
      </c>
      <c r="D656" t="s">
        <v>11</v>
      </c>
      <c r="E656" s="4">
        <f t="shared" ca="1" si="10"/>
        <v>2260550455.6799998</v>
      </c>
    </row>
    <row r="657" spans="1:5" hidden="1" x14ac:dyDescent="0.25">
      <c r="A657">
        <v>16</v>
      </c>
      <c r="B657">
        <v>13</v>
      </c>
      <c r="C657" t="s">
        <v>15</v>
      </c>
      <c r="D657" t="s">
        <v>12</v>
      </c>
      <c r="E657" s="4">
        <f t="shared" ca="1" si="10"/>
        <v>1537183583.4400001</v>
      </c>
    </row>
    <row r="658" spans="1:5" hidden="1" x14ac:dyDescent="0.25">
      <c r="A658">
        <v>16</v>
      </c>
      <c r="B658">
        <v>14</v>
      </c>
      <c r="C658" t="s">
        <v>15</v>
      </c>
      <c r="D658" t="s">
        <v>13</v>
      </c>
      <c r="E658" s="4">
        <f t="shared" ca="1" si="10"/>
        <v>1820035432.8</v>
      </c>
    </row>
    <row r="659" spans="1:5" hidden="1" x14ac:dyDescent="0.25">
      <c r="A659">
        <v>16</v>
      </c>
      <c r="B659">
        <v>15</v>
      </c>
      <c r="C659" t="s">
        <v>15</v>
      </c>
      <c r="D659" t="s">
        <v>14</v>
      </c>
      <c r="E659" s="4">
        <f t="shared" ca="1" si="10"/>
        <v>1413001376.6399994</v>
      </c>
    </row>
    <row r="660" spans="1:5" hidden="1" x14ac:dyDescent="0.25">
      <c r="A660">
        <v>16</v>
      </c>
      <c r="B660">
        <v>16</v>
      </c>
      <c r="C660" t="s">
        <v>15</v>
      </c>
      <c r="D660" t="s">
        <v>15</v>
      </c>
      <c r="E660" s="4">
        <f t="shared" ca="1" si="10"/>
        <v>0</v>
      </c>
    </row>
    <row r="661" spans="1:5" hidden="1" x14ac:dyDescent="0.25">
      <c r="A661">
        <v>16</v>
      </c>
      <c r="B661">
        <v>17</v>
      </c>
      <c r="C661" t="s">
        <v>15</v>
      </c>
      <c r="D661" t="s">
        <v>16</v>
      </c>
      <c r="E661" s="4">
        <f t="shared" ca="1" si="10"/>
        <v>2971593792.7200007</v>
      </c>
    </row>
    <row r="662" spans="1:5" hidden="1" x14ac:dyDescent="0.25">
      <c r="A662">
        <v>16</v>
      </c>
      <c r="B662">
        <v>18</v>
      </c>
      <c r="C662" t="s">
        <v>15</v>
      </c>
      <c r="D662" t="s">
        <v>17</v>
      </c>
      <c r="E662" s="4">
        <f t="shared" ca="1" si="10"/>
        <v>704058823.43999958</v>
      </c>
    </row>
    <row r="663" spans="1:5" hidden="1" x14ac:dyDescent="0.25">
      <c r="A663">
        <v>16</v>
      </c>
      <c r="B663">
        <v>19</v>
      </c>
      <c r="C663" t="s">
        <v>15</v>
      </c>
      <c r="D663" t="s">
        <v>18</v>
      </c>
      <c r="E663" s="4">
        <f t="shared" ca="1" si="10"/>
        <v>2691594248</v>
      </c>
    </row>
    <row r="664" spans="1:5" hidden="1" x14ac:dyDescent="0.25">
      <c r="A664">
        <v>16</v>
      </c>
      <c r="B664">
        <v>20</v>
      </c>
      <c r="C664" t="s">
        <v>15</v>
      </c>
      <c r="D664" t="s">
        <v>19</v>
      </c>
      <c r="E664" s="4">
        <f t="shared" ca="1" si="10"/>
        <v>7205609500.3199987</v>
      </c>
    </row>
    <row r="665" spans="1:5" hidden="1" x14ac:dyDescent="0.25">
      <c r="A665">
        <v>16</v>
      </c>
      <c r="B665">
        <v>21</v>
      </c>
      <c r="C665" t="s">
        <v>15</v>
      </c>
      <c r="D665" t="s">
        <v>20</v>
      </c>
      <c r="E665" s="4">
        <f t="shared" ca="1" si="10"/>
        <v>6037796030.7200012</v>
      </c>
    </row>
    <row r="666" spans="1:5" hidden="1" x14ac:dyDescent="0.25">
      <c r="A666">
        <v>16</v>
      </c>
      <c r="B666">
        <v>22</v>
      </c>
      <c r="C666" t="s">
        <v>15</v>
      </c>
      <c r="D666" t="s">
        <v>21</v>
      </c>
      <c r="E666" s="4">
        <f t="shared" ca="1" si="10"/>
        <v>3545366486.4799972</v>
      </c>
    </row>
    <row r="667" spans="1:5" hidden="1" x14ac:dyDescent="0.25">
      <c r="A667">
        <v>16</v>
      </c>
      <c r="B667">
        <v>23</v>
      </c>
      <c r="C667" t="s">
        <v>15</v>
      </c>
      <c r="D667" t="s">
        <v>22</v>
      </c>
      <c r="E667" s="4">
        <f t="shared" ca="1" si="10"/>
        <v>2558350381.8000002</v>
      </c>
    </row>
    <row r="668" spans="1:5" hidden="1" x14ac:dyDescent="0.25">
      <c r="A668">
        <v>16</v>
      </c>
      <c r="B668">
        <v>24</v>
      </c>
      <c r="C668" t="s">
        <v>15</v>
      </c>
      <c r="D668" t="s">
        <v>23</v>
      </c>
      <c r="E668" s="4">
        <f t="shared" ca="1" si="10"/>
        <v>1667437441.6000001</v>
      </c>
    </row>
    <row r="669" spans="1:5" hidden="1" x14ac:dyDescent="0.25">
      <c r="A669">
        <v>16</v>
      </c>
      <c r="B669">
        <v>25</v>
      </c>
      <c r="C669" t="s">
        <v>15</v>
      </c>
      <c r="D669" t="s">
        <v>24</v>
      </c>
      <c r="E669" s="4">
        <f t="shared" ca="1" si="10"/>
        <v>2065791081.0400002</v>
      </c>
    </row>
    <row r="670" spans="1:5" hidden="1" x14ac:dyDescent="0.25">
      <c r="A670">
        <v>16</v>
      </c>
      <c r="B670">
        <v>26</v>
      </c>
      <c r="C670" t="s">
        <v>15</v>
      </c>
      <c r="D670" t="s">
        <v>25</v>
      </c>
      <c r="E670" s="4">
        <f t="shared" ca="1" si="10"/>
        <v>1380536583.04</v>
      </c>
    </row>
    <row r="671" spans="1:5" hidden="1" x14ac:dyDescent="0.25">
      <c r="A671">
        <v>16</v>
      </c>
      <c r="B671">
        <v>27</v>
      </c>
      <c r="C671" t="s">
        <v>15</v>
      </c>
      <c r="D671" t="s">
        <v>145</v>
      </c>
      <c r="E671" s="4">
        <f t="shared" ref="E671:E732" ca="1" si="11">OFFSET($B$2,A671,B671)</f>
        <v>6871054886.3999996</v>
      </c>
    </row>
    <row r="672" spans="1:5" hidden="1" x14ac:dyDescent="0.25">
      <c r="A672">
        <v>16</v>
      </c>
      <c r="B672">
        <v>28</v>
      </c>
      <c r="C672" t="s">
        <v>15</v>
      </c>
      <c r="D672" t="s">
        <v>147</v>
      </c>
      <c r="E672" s="4">
        <f t="shared" ca="1" si="11"/>
        <v>4740699548.8960009</v>
      </c>
    </row>
    <row r="673" spans="1:5" hidden="1" x14ac:dyDescent="0.25">
      <c r="A673">
        <v>16</v>
      </c>
      <c r="B673">
        <v>29</v>
      </c>
      <c r="C673" t="s">
        <v>15</v>
      </c>
      <c r="D673" t="s">
        <v>146</v>
      </c>
      <c r="E673" s="4">
        <f t="shared" ca="1" si="11"/>
        <v>3053216118.5599995</v>
      </c>
    </row>
    <row r="674" spans="1:5" hidden="1" x14ac:dyDescent="0.25">
      <c r="A674">
        <v>16</v>
      </c>
      <c r="B674">
        <v>30</v>
      </c>
      <c r="C674" t="s">
        <v>15</v>
      </c>
      <c r="D674" t="s">
        <v>30</v>
      </c>
      <c r="E674" s="4">
        <f t="shared" ca="1" si="11"/>
        <v>4578761526.9440002</v>
      </c>
    </row>
    <row r="675" spans="1:5" hidden="1" x14ac:dyDescent="0.25">
      <c r="A675">
        <v>16</v>
      </c>
      <c r="B675">
        <v>31</v>
      </c>
      <c r="C675" t="s">
        <v>15</v>
      </c>
      <c r="D675" t="s">
        <v>31</v>
      </c>
      <c r="E675" s="4">
        <f t="shared" ca="1" si="11"/>
        <v>3971674938.2400007</v>
      </c>
    </row>
    <row r="676" spans="1:5" hidden="1" x14ac:dyDescent="0.25">
      <c r="A676">
        <v>16</v>
      </c>
      <c r="B676">
        <v>32</v>
      </c>
      <c r="C676" t="s">
        <v>15</v>
      </c>
      <c r="D676" t="s">
        <v>32</v>
      </c>
      <c r="E676" s="4">
        <f t="shared" ca="1" si="11"/>
        <v>3573193352.0000005</v>
      </c>
    </row>
    <row r="677" spans="1:5" hidden="1" x14ac:dyDescent="0.25">
      <c r="A677">
        <v>16</v>
      </c>
      <c r="B677">
        <v>33</v>
      </c>
      <c r="C677" t="s">
        <v>15</v>
      </c>
      <c r="D677" t="s">
        <v>33</v>
      </c>
      <c r="E677" s="4">
        <f t="shared" ca="1" si="11"/>
        <v>9551234776.9599953</v>
      </c>
    </row>
    <row r="678" spans="1:5" hidden="1" x14ac:dyDescent="0.25">
      <c r="A678">
        <v>16</v>
      </c>
      <c r="B678">
        <v>34</v>
      </c>
      <c r="C678" t="s">
        <v>15</v>
      </c>
      <c r="D678" t="s">
        <v>34</v>
      </c>
      <c r="E678" s="4">
        <f t="shared" ca="1" si="11"/>
        <v>31691514026.600029</v>
      </c>
    </row>
    <row r="679" spans="1:5" hidden="1" x14ac:dyDescent="0.25">
      <c r="A679">
        <v>16</v>
      </c>
      <c r="B679">
        <v>35</v>
      </c>
      <c r="C679" t="s">
        <v>15</v>
      </c>
      <c r="D679" t="s">
        <v>35</v>
      </c>
      <c r="E679" s="4">
        <f t="shared" ca="1" si="11"/>
        <v>5534504805.2800016</v>
      </c>
    </row>
    <row r="680" spans="1:5" hidden="1" x14ac:dyDescent="0.25">
      <c r="A680">
        <v>16</v>
      </c>
      <c r="B680">
        <v>36</v>
      </c>
      <c r="C680" t="s">
        <v>15</v>
      </c>
      <c r="D680" t="s">
        <v>36</v>
      </c>
      <c r="E680" s="4">
        <f t="shared" ca="1" si="11"/>
        <v>1636132952.1599996</v>
      </c>
    </row>
    <row r="681" spans="1:5" hidden="1" x14ac:dyDescent="0.25">
      <c r="A681">
        <v>16</v>
      </c>
      <c r="B681">
        <v>37</v>
      </c>
      <c r="C681" t="s">
        <v>15</v>
      </c>
      <c r="D681" t="s">
        <v>37</v>
      </c>
      <c r="E681" s="4">
        <f t="shared" ca="1" si="11"/>
        <v>2046017054.6000021</v>
      </c>
    </row>
    <row r="682" spans="1:5" hidden="1" x14ac:dyDescent="0.25">
      <c r="A682">
        <v>16</v>
      </c>
      <c r="B682">
        <v>38</v>
      </c>
      <c r="C682" t="s">
        <v>15</v>
      </c>
      <c r="D682" t="s">
        <v>38</v>
      </c>
      <c r="E682" s="4">
        <f t="shared" ca="1" si="11"/>
        <v>1540531458.72</v>
      </c>
    </row>
    <row r="683" spans="1:5" hidden="1" x14ac:dyDescent="0.25">
      <c r="A683">
        <v>16</v>
      </c>
      <c r="B683">
        <v>39</v>
      </c>
      <c r="C683" t="s">
        <v>15</v>
      </c>
      <c r="D683" t="s">
        <v>39</v>
      </c>
      <c r="E683" s="4">
        <f t="shared" ca="1" si="11"/>
        <v>1781207421.0400002</v>
      </c>
    </row>
    <row r="684" spans="1:5" hidden="1" x14ac:dyDescent="0.25">
      <c r="A684">
        <v>16</v>
      </c>
      <c r="B684">
        <v>40</v>
      </c>
      <c r="C684" t="s">
        <v>15</v>
      </c>
      <c r="D684" t="s">
        <v>40</v>
      </c>
      <c r="E684" s="4">
        <f t="shared" ca="1" si="11"/>
        <v>1923247401.48</v>
      </c>
    </row>
    <row r="685" spans="1:5" hidden="1" x14ac:dyDescent="0.25">
      <c r="A685">
        <v>17</v>
      </c>
      <c r="B685">
        <v>1</v>
      </c>
      <c r="C685" t="s">
        <v>16</v>
      </c>
      <c r="D685" t="s">
        <v>0</v>
      </c>
      <c r="E685" s="4">
        <f t="shared" ca="1" si="11"/>
        <v>15739909480.208569</v>
      </c>
    </row>
    <row r="686" spans="1:5" hidden="1" x14ac:dyDescent="0.25">
      <c r="A686">
        <v>17</v>
      </c>
      <c r="B686">
        <v>2</v>
      </c>
      <c r="C686" t="s">
        <v>16</v>
      </c>
      <c r="D686" t="s">
        <v>1</v>
      </c>
      <c r="E686" s="4">
        <f t="shared" ca="1" si="11"/>
        <v>7883751779.7428532</v>
      </c>
    </row>
    <row r="687" spans="1:5" hidden="1" x14ac:dyDescent="0.25">
      <c r="A687">
        <v>17</v>
      </c>
      <c r="B687">
        <v>3</v>
      </c>
      <c r="C687" t="s">
        <v>16</v>
      </c>
      <c r="D687" t="s">
        <v>2</v>
      </c>
      <c r="E687" s="4">
        <f t="shared" ca="1" si="11"/>
        <v>7329429141.3600025</v>
      </c>
    </row>
    <row r="688" spans="1:5" hidden="1" x14ac:dyDescent="0.25">
      <c r="A688">
        <v>17</v>
      </c>
      <c r="B688">
        <v>4</v>
      </c>
      <c r="C688" t="s">
        <v>16</v>
      </c>
      <c r="D688" t="s">
        <v>3</v>
      </c>
      <c r="E688" s="4">
        <f t="shared" ca="1" si="11"/>
        <v>11130631579.637138</v>
      </c>
    </row>
    <row r="689" spans="1:5" hidden="1" x14ac:dyDescent="0.25">
      <c r="A689">
        <v>17</v>
      </c>
      <c r="B689">
        <v>5</v>
      </c>
      <c r="C689" t="s">
        <v>16</v>
      </c>
      <c r="D689" t="s">
        <v>4</v>
      </c>
      <c r="E689" s="4">
        <f t="shared" ca="1" si="11"/>
        <v>16318199123.094292</v>
      </c>
    </row>
    <row r="690" spans="1:5" hidden="1" x14ac:dyDescent="0.25">
      <c r="A690">
        <v>17</v>
      </c>
      <c r="B690">
        <v>6</v>
      </c>
      <c r="C690" t="s">
        <v>16</v>
      </c>
      <c r="D690" t="s">
        <v>5</v>
      </c>
      <c r="E690" s="4">
        <f t="shared" ca="1" si="11"/>
        <v>10045175910.951424</v>
      </c>
    </row>
    <row r="691" spans="1:5" hidden="1" x14ac:dyDescent="0.25">
      <c r="A691">
        <v>17</v>
      </c>
      <c r="B691">
        <v>7</v>
      </c>
      <c r="C691" t="s">
        <v>16</v>
      </c>
      <c r="D691" t="s">
        <v>6</v>
      </c>
      <c r="E691" s="4">
        <f t="shared" ca="1" si="11"/>
        <v>8048383626.6000004</v>
      </c>
    </row>
    <row r="692" spans="1:5" hidden="1" x14ac:dyDescent="0.25">
      <c r="A692">
        <v>17</v>
      </c>
      <c r="B692">
        <v>8</v>
      </c>
      <c r="C692" t="s">
        <v>16</v>
      </c>
      <c r="D692" t="s">
        <v>7</v>
      </c>
      <c r="E692" s="4">
        <f t="shared" ca="1" si="11"/>
        <v>11516769548.12571</v>
      </c>
    </row>
    <row r="693" spans="1:5" hidden="1" x14ac:dyDescent="0.25">
      <c r="A693">
        <v>17</v>
      </c>
      <c r="B693">
        <v>9</v>
      </c>
      <c r="C693" t="s">
        <v>16</v>
      </c>
      <c r="D693" t="s">
        <v>148</v>
      </c>
      <c r="E693" s="4">
        <f t="shared" ca="1" si="11"/>
        <v>5901205835.09091</v>
      </c>
    </row>
    <row r="694" spans="1:5" hidden="1" x14ac:dyDescent="0.25">
      <c r="A694">
        <v>17</v>
      </c>
      <c r="B694">
        <v>10</v>
      </c>
      <c r="C694" t="s">
        <v>16</v>
      </c>
      <c r="D694" t="s">
        <v>9</v>
      </c>
      <c r="E694" s="4">
        <f t="shared" ca="1" si="11"/>
        <v>10562179788.077145</v>
      </c>
    </row>
    <row r="695" spans="1:5" hidden="1" x14ac:dyDescent="0.25">
      <c r="A695">
        <v>17</v>
      </c>
      <c r="B695">
        <v>11</v>
      </c>
      <c r="C695" t="s">
        <v>16</v>
      </c>
      <c r="D695" t="s">
        <v>10</v>
      </c>
      <c r="E695" s="4">
        <f t="shared" ca="1" si="11"/>
        <v>3883907893.599999</v>
      </c>
    </row>
    <row r="696" spans="1:5" hidden="1" x14ac:dyDescent="0.25">
      <c r="A696">
        <v>17</v>
      </c>
      <c r="B696">
        <v>12</v>
      </c>
      <c r="C696" t="s">
        <v>16</v>
      </c>
      <c r="D696" t="s">
        <v>11</v>
      </c>
      <c r="E696" s="4">
        <f t="shared" ca="1" si="11"/>
        <v>3370311218.0000005</v>
      </c>
    </row>
    <row r="697" spans="1:5" hidden="1" x14ac:dyDescent="0.25">
      <c r="A697">
        <v>17</v>
      </c>
      <c r="B697">
        <v>13</v>
      </c>
      <c r="C697" t="s">
        <v>16</v>
      </c>
      <c r="D697" t="s">
        <v>12</v>
      </c>
      <c r="E697" s="4">
        <f t="shared" ca="1" si="11"/>
        <v>2564217516.2399998</v>
      </c>
    </row>
    <row r="698" spans="1:5" hidden="1" x14ac:dyDescent="0.25">
      <c r="A698">
        <v>17</v>
      </c>
      <c r="B698">
        <v>14</v>
      </c>
      <c r="C698" t="s">
        <v>16</v>
      </c>
      <c r="D698" t="s">
        <v>13</v>
      </c>
      <c r="E698" s="4">
        <f t="shared" ca="1" si="11"/>
        <v>3319735350.8399987</v>
      </c>
    </row>
    <row r="699" spans="1:5" hidden="1" x14ac:dyDescent="0.25">
      <c r="A699">
        <v>17</v>
      </c>
      <c r="B699">
        <v>15</v>
      </c>
      <c r="C699" t="s">
        <v>16</v>
      </c>
      <c r="D699" t="s">
        <v>14</v>
      </c>
      <c r="E699" s="4">
        <f t="shared" ca="1" si="11"/>
        <v>4716388075.6399984</v>
      </c>
    </row>
    <row r="700" spans="1:5" hidden="1" x14ac:dyDescent="0.25">
      <c r="A700">
        <v>17</v>
      </c>
      <c r="B700">
        <v>16</v>
      </c>
      <c r="C700" t="s">
        <v>16</v>
      </c>
      <c r="D700" t="s">
        <v>15</v>
      </c>
      <c r="E700" s="4">
        <f t="shared" ca="1" si="11"/>
        <v>2728458726.8400016</v>
      </c>
    </row>
    <row r="701" spans="1:5" hidden="1" x14ac:dyDescent="0.25">
      <c r="A701">
        <v>17</v>
      </c>
      <c r="B701">
        <v>17</v>
      </c>
      <c r="C701" t="s">
        <v>16</v>
      </c>
      <c r="D701" t="s">
        <v>16</v>
      </c>
      <c r="E701" s="4">
        <f t="shared" ca="1" si="11"/>
        <v>0</v>
      </c>
    </row>
    <row r="702" spans="1:5" hidden="1" x14ac:dyDescent="0.25">
      <c r="A702">
        <v>17</v>
      </c>
      <c r="B702">
        <v>18</v>
      </c>
      <c r="C702" t="s">
        <v>16</v>
      </c>
      <c r="D702" t="s">
        <v>17</v>
      </c>
      <c r="E702" s="4">
        <f t="shared" ca="1" si="11"/>
        <v>1793134244.3999994</v>
      </c>
    </row>
    <row r="703" spans="1:5" hidden="1" x14ac:dyDescent="0.25">
      <c r="A703">
        <v>17</v>
      </c>
      <c r="B703">
        <v>19</v>
      </c>
      <c r="C703" t="s">
        <v>16</v>
      </c>
      <c r="D703" t="s">
        <v>18</v>
      </c>
      <c r="E703" s="4">
        <f t="shared" ca="1" si="11"/>
        <v>5010713787.6000004</v>
      </c>
    </row>
    <row r="704" spans="1:5" hidden="1" x14ac:dyDescent="0.25">
      <c r="A704">
        <v>17</v>
      </c>
      <c r="B704">
        <v>20</v>
      </c>
      <c r="C704" t="s">
        <v>16</v>
      </c>
      <c r="D704" t="s">
        <v>19</v>
      </c>
      <c r="E704" s="4">
        <f t="shared" ca="1" si="11"/>
        <v>10545094985.039999</v>
      </c>
    </row>
    <row r="705" spans="1:5" hidden="1" x14ac:dyDescent="0.25">
      <c r="A705">
        <v>17</v>
      </c>
      <c r="B705">
        <v>21</v>
      </c>
      <c r="C705" t="s">
        <v>16</v>
      </c>
      <c r="D705" t="s">
        <v>20</v>
      </c>
      <c r="E705" s="4">
        <f t="shared" ca="1" si="11"/>
        <v>9199604480.8799992</v>
      </c>
    </row>
    <row r="706" spans="1:5" hidden="1" x14ac:dyDescent="0.25">
      <c r="A706">
        <v>17</v>
      </c>
      <c r="B706">
        <v>22</v>
      </c>
      <c r="C706" t="s">
        <v>16</v>
      </c>
      <c r="D706" t="s">
        <v>21</v>
      </c>
      <c r="E706" s="4">
        <f t="shared" ca="1" si="11"/>
        <v>5995860244.9199963</v>
      </c>
    </row>
    <row r="707" spans="1:5" hidden="1" x14ac:dyDescent="0.25">
      <c r="A707">
        <v>17</v>
      </c>
      <c r="B707">
        <v>23</v>
      </c>
      <c r="C707" t="s">
        <v>16</v>
      </c>
      <c r="D707" t="s">
        <v>22</v>
      </c>
      <c r="E707" s="4">
        <f t="shared" ca="1" si="11"/>
        <v>4936096644.000001</v>
      </c>
    </row>
    <row r="708" spans="1:5" hidden="1" x14ac:dyDescent="0.25">
      <c r="A708">
        <v>17</v>
      </c>
      <c r="B708">
        <v>24</v>
      </c>
      <c r="C708" t="s">
        <v>16</v>
      </c>
      <c r="D708" t="s">
        <v>23</v>
      </c>
      <c r="E708" s="4">
        <f t="shared" ca="1" si="11"/>
        <v>3657821538.8399997</v>
      </c>
    </row>
    <row r="709" spans="1:5" hidden="1" x14ac:dyDescent="0.25">
      <c r="A709">
        <v>17</v>
      </c>
      <c r="B709">
        <v>25</v>
      </c>
      <c r="C709" t="s">
        <v>16</v>
      </c>
      <c r="D709" t="s">
        <v>24</v>
      </c>
      <c r="E709" s="4">
        <f t="shared" ca="1" si="11"/>
        <v>4024569502.8000007</v>
      </c>
    </row>
    <row r="710" spans="1:5" hidden="1" x14ac:dyDescent="0.25">
      <c r="A710">
        <v>17</v>
      </c>
      <c r="B710">
        <v>26</v>
      </c>
      <c r="C710" t="s">
        <v>16</v>
      </c>
      <c r="D710" t="s">
        <v>25</v>
      </c>
      <c r="E710" s="4">
        <f t="shared" ca="1" si="11"/>
        <v>3753317325.6799998</v>
      </c>
    </row>
    <row r="711" spans="1:5" hidden="1" x14ac:dyDescent="0.25">
      <c r="A711">
        <v>17</v>
      </c>
      <c r="B711">
        <v>27</v>
      </c>
      <c r="C711" t="s">
        <v>16</v>
      </c>
      <c r="D711" t="s">
        <v>145</v>
      </c>
      <c r="E711" s="4">
        <f t="shared" ca="1" si="11"/>
        <v>10211022795.6</v>
      </c>
    </row>
    <row r="712" spans="1:5" hidden="1" x14ac:dyDescent="0.25">
      <c r="A712">
        <v>17</v>
      </c>
      <c r="B712">
        <v>28</v>
      </c>
      <c r="C712" t="s">
        <v>16</v>
      </c>
      <c r="D712" t="s">
        <v>147</v>
      </c>
      <c r="E712" s="4">
        <f t="shared" ca="1" si="11"/>
        <v>7507671248.7000008</v>
      </c>
    </row>
    <row r="713" spans="1:5" hidden="1" x14ac:dyDescent="0.25">
      <c r="A713">
        <v>17</v>
      </c>
      <c r="B713">
        <v>29</v>
      </c>
      <c r="C713" t="s">
        <v>16</v>
      </c>
      <c r="D713" t="s">
        <v>146</v>
      </c>
      <c r="E713" s="4">
        <f t="shared" ca="1" si="11"/>
        <v>5357029849.5</v>
      </c>
    </row>
    <row r="714" spans="1:5" hidden="1" x14ac:dyDescent="0.25">
      <c r="A714">
        <v>17</v>
      </c>
      <c r="B714">
        <v>30</v>
      </c>
      <c r="C714" t="s">
        <v>16</v>
      </c>
      <c r="D714" t="s">
        <v>30</v>
      </c>
      <c r="E714" s="4">
        <f t="shared" ca="1" si="11"/>
        <v>7664505369.7800007</v>
      </c>
    </row>
    <row r="715" spans="1:5" hidden="1" x14ac:dyDescent="0.25">
      <c r="A715">
        <v>17</v>
      </c>
      <c r="B715">
        <v>31</v>
      </c>
      <c r="C715" t="s">
        <v>16</v>
      </c>
      <c r="D715" t="s">
        <v>31</v>
      </c>
      <c r="E715" s="4">
        <f t="shared" ca="1" si="11"/>
        <v>6936816693.4000006</v>
      </c>
    </row>
    <row r="716" spans="1:5" hidden="1" x14ac:dyDescent="0.25">
      <c r="A716">
        <v>17</v>
      </c>
      <c r="B716">
        <v>32</v>
      </c>
      <c r="C716" t="s">
        <v>16</v>
      </c>
      <c r="D716" t="s">
        <v>32</v>
      </c>
      <c r="E716" s="4">
        <f t="shared" ca="1" si="11"/>
        <v>6409576347.96</v>
      </c>
    </row>
    <row r="717" spans="1:5" hidden="1" x14ac:dyDescent="0.25">
      <c r="A717">
        <v>17</v>
      </c>
      <c r="B717">
        <v>33</v>
      </c>
      <c r="C717" t="s">
        <v>16</v>
      </c>
      <c r="D717" t="s">
        <v>33</v>
      </c>
      <c r="E717" s="4">
        <f t="shared" ca="1" si="11"/>
        <v>13441796978.799995</v>
      </c>
    </row>
    <row r="718" spans="1:5" hidden="1" x14ac:dyDescent="0.25">
      <c r="A718">
        <v>17</v>
      </c>
      <c r="B718">
        <v>34</v>
      </c>
      <c r="C718" t="s">
        <v>16</v>
      </c>
      <c r="D718" t="s">
        <v>34</v>
      </c>
      <c r="E718" s="4">
        <f t="shared" ca="1" si="11"/>
        <v>40001786249.600029</v>
      </c>
    </row>
    <row r="719" spans="1:5" hidden="1" x14ac:dyDescent="0.25">
      <c r="A719">
        <v>17</v>
      </c>
      <c r="B719">
        <v>35</v>
      </c>
      <c r="C719" t="s">
        <v>16</v>
      </c>
      <c r="D719" t="s">
        <v>35</v>
      </c>
      <c r="E719" s="4">
        <f t="shared" ca="1" si="11"/>
        <v>8668613254.0000019</v>
      </c>
    </row>
    <row r="720" spans="1:5" hidden="1" x14ac:dyDescent="0.25">
      <c r="A720">
        <v>17</v>
      </c>
      <c r="B720">
        <v>36</v>
      </c>
      <c r="C720" t="s">
        <v>16</v>
      </c>
      <c r="D720" t="s">
        <v>36</v>
      </c>
      <c r="E720" s="4">
        <f t="shared" ca="1" si="11"/>
        <v>2269798249.9999995</v>
      </c>
    </row>
    <row r="721" spans="1:5" hidden="1" x14ac:dyDescent="0.25">
      <c r="A721">
        <v>17</v>
      </c>
      <c r="B721">
        <v>37</v>
      </c>
      <c r="C721" t="s">
        <v>16</v>
      </c>
      <c r="D721" t="s">
        <v>37</v>
      </c>
      <c r="E721" s="4">
        <f t="shared" ca="1" si="11"/>
        <v>1108558288.6400008</v>
      </c>
    </row>
    <row r="722" spans="1:5" hidden="1" x14ac:dyDescent="0.25">
      <c r="A722">
        <v>17</v>
      </c>
      <c r="B722">
        <v>38</v>
      </c>
      <c r="C722" t="s">
        <v>16</v>
      </c>
      <c r="D722" t="s">
        <v>38</v>
      </c>
      <c r="E722" s="4">
        <f t="shared" ca="1" si="11"/>
        <v>1994161945.6800001</v>
      </c>
    </row>
    <row r="723" spans="1:5" hidden="1" x14ac:dyDescent="0.25">
      <c r="A723">
        <v>17</v>
      </c>
      <c r="B723">
        <v>39</v>
      </c>
      <c r="C723" t="s">
        <v>16</v>
      </c>
      <c r="D723" t="s">
        <v>39</v>
      </c>
      <c r="E723" s="4">
        <f t="shared" ca="1" si="11"/>
        <v>1718056904.4000001</v>
      </c>
    </row>
    <row r="724" spans="1:5" hidden="1" x14ac:dyDescent="0.25">
      <c r="A724">
        <v>17</v>
      </c>
      <c r="B724">
        <v>40</v>
      </c>
      <c r="C724" t="s">
        <v>16</v>
      </c>
      <c r="D724" t="s">
        <v>40</v>
      </c>
      <c r="E724" s="4">
        <f t="shared" ca="1" si="11"/>
        <v>1212220325.4400001</v>
      </c>
    </row>
    <row r="725" spans="1:5" hidden="1" x14ac:dyDescent="0.25">
      <c r="A725">
        <v>18</v>
      </c>
      <c r="B725">
        <v>1</v>
      </c>
      <c r="C725" t="s">
        <v>17</v>
      </c>
      <c r="D725" t="s">
        <v>0</v>
      </c>
      <c r="E725" s="4">
        <f t="shared" ca="1" si="11"/>
        <v>10160256037.285711</v>
      </c>
    </row>
    <row r="726" spans="1:5" hidden="1" x14ac:dyDescent="0.25">
      <c r="A726">
        <v>18</v>
      </c>
      <c r="B726">
        <v>2</v>
      </c>
      <c r="C726" t="s">
        <v>17</v>
      </c>
      <c r="D726" t="s">
        <v>1</v>
      </c>
      <c r="E726" s="4">
        <f t="shared" ca="1" si="11"/>
        <v>2782872943.7485676</v>
      </c>
    </row>
    <row r="727" spans="1:5" hidden="1" x14ac:dyDescent="0.25">
      <c r="A727">
        <v>18</v>
      </c>
      <c r="B727">
        <v>3</v>
      </c>
      <c r="C727" t="s">
        <v>17</v>
      </c>
      <c r="D727" t="s">
        <v>2</v>
      </c>
      <c r="E727" s="4">
        <f t="shared" ca="1" si="11"/>
        <v>2293050043.4914298</v>
      </c>
    </row>
    <row r="728" spans="1:5" hidden="1" x14ac:dyDescent="0.25">
      <c r="A728">
        <v>18</v>
      </c>
      <c r="B728">
        <v>4</v>
      </c>
      <c r="C728" t="s">
        <v>17</v>
      </c>
      <c r="D728" t="s">
        <v>3</v>
      </c>
      <c r="E728" s="4">
        <f t="shared" ca="1" si="11"/>
        <v>4512611958.0314236</v>
      </c>
    </row>
    <row r="729" spans="1:5" hidden="1" x14ac:dyDescent="0.25">
      <c r="A729">
        <v>18</v>
      </c>
      <c r="B729">
        <v>5</v>
      </c>
      <c r="C729" t="s">
        <v>17</v>
      </c>
      <c r="D729" t="s">
        <v>4</v>
      </c>
      <c r="E729" s="4">
        <f t="shared" ca="1" si="11"/>
        <v>8991727642.071434</v>
      </c>
    </row>
    <row r="730" spans="1:5" hidden="1" x14ac:dyDescent="0.25">
      <c r="A730">
        <v>18</v>
      </c>
      <c r="B730">
        <v>6</v>
      </c>
      <c r="C730" t="s">
        <v>17</v>
      </c>
      <c r="D730" t="s">
        <v>5</v>
      </c>
      <c r="E730" s="4">
        <f t="shared" ca="1" si="11"/>
        <v>2695637992.2142839</v>
      </c>
    </row>
    <row r="731" spans="1:5" hidden="1" x14ac:dyDescent="0.25">
      <c r="A731">
        <v>18</v>
      </c>
      <c r="B731">
        <v>7</v>
      </c>
      <c r="C731" t="s">
        <v>17</v>
      </c>
      <c r="D731" t="s">
        <v>6</v>
      </c>
      <c r="E731" s="4">
        <f t="shared" ca="1" si="11"/>
        <v>1454136502.5428565</v>
      </c>
    </row>
    <row r="732" spans="1:5" hidden="1" x14ac:dyDescent="0.25">
      <c r="A732">
        <v>18</v>
      </c>
      <c r="B732">
        <v>8</v>
      </c>
      <c r="C732" t="s">
        <v>17</v>
      </c>
      <c r="D732" t="s">
        <v>7</v>
      </c>
      <c r="E732" s="4">
        <f t="shared" ca="1" si="11"/>
        <v>4894756888.0571375</v>
      </c>
    </row>
    <row r="733" spans="1:5" hidden="1" x14ac:dyDescent="0.25">
      <c r="A733">
        <v>18</v>
      </c>
      <c r="B733">
        <v>9</v>
      </c>
      <c r="C733" t="s">
        <v>17</v>
      </c>
      <c r="D733" t="s">
        <v>148</v>
      </c>
      <c r="E733" s="4">
        <f t="shared" ref="E733:E794" ca="1" si="12">OFFSET($B$2,A733,B733)</f>
        <v>301230022.74545455</v>
      </c>
    </row>
    <row r="734" spans="1:5" hidden="1" x14ac:dyDescent="0.25">
      <c r="A734">
        <v>18</v>
      </c>
      <c r="B734">
        <v>10</v>
      </c>
      <c r="C734" t="s">
        <v>17</v>
      </c>
      <c r="D734" t="s">
        <v>9</v>
      </c>
      <c r="E734" s="4">
        <f t="shared" ca="1" si="12"/>
        <v>3623419158.6428595</v>
      </c>
    </row>
    <row r="735" spans="1:5" hidden="1" x14ac:dyDescent="0.25">
      <c r="A735">
        <v>18</v>
      </c>
      <c r="B735">
        <v>11</v>
      </c>
      <c r="C735" t="s">
        <v>17</v>
      </c>
      <c r="D735" t="s">
        <v>10</v>
      </c>
      <c r="E735" s="4">
        <f t="shared" ca="1" si="12"/>
        <v>1388438414.999999</v>
      </c>
    </row>
    <row r="736" spans="1:5" hidden="1" x14ac:dyDescent="0.25">
      <c r="A736">
        <v>18</v>
      </c>
      <c r="B736">
        <v>12</v>
      </c>
      <c r="C736" t="s">
        <v>17</v>
      </c>
      <c r="D736" t="s">
        <v>11</v>
      </c>
      <c r="E736" s="4">
        <f t="shared" ca="1" si="12"/>
        <v>1113532878</v>
      </c>
    </row>
    <row r="737" spans="1:5" hidden="1" x14ac:dyDescent="0.25">
      <c r="A737">
        <v>18</v>
      </c>
      <c r="B737">
        <v>13</v>
      </c>
      <c r="C737" t="s">
        <v>17</v>
      </c>
      <c r="D737" t="s">
        <v>12</v>
      </c>
      <c r="E737" s="4">
        <f t="shared" ca="1" si="12"/>
        <v>421084352.00000012</v>
      </c>
    </row>
    <row r="738" spans="1:5" hidden="1" x14ac:dyDescent="0.25">
      <c r="A738">
        <v>18</v>
      </c>
      <c r="B738">
        <v>14</v>
      </c>
      <c r="C738" t="s">
        <v>17</v>
      </c>
      <c r="D738" t="s">
        <v>13</v>
      </c>
      <c r="E738" s="4">
        <f t="shared" ca="1" si="12"/>
        <v>1220061973.5199993</v>
      </c>
    </row>
    <row r="739" spans="1:5" hidden="1" x14ac:dyDescent="0.25">
      <c r="A739">
        <v>18</v>
      </c>
      <c r="B739">
        <v>15</v>
      </c>
      <c r="C739" t="s">
        <v>17</v>
      </c>
      <c r="D739" t="s">
        <v>14</v>
      </c>
      <c r="E739" s="4">
        <f t="shared" ca="1" si="12"/>
        <v>1601333507.1999989</v>
      </c>
    </row>
    <row r="740" spans="1:5" hidden="1" x14ac:dyDescent="0.25">
      <c r="A740">
        <v>18</v>
      </c>
      <c r="B740">
        <v>16</v>
      </c>
      <c r="C740" t="s">
        <v>17</v>
      </c>
      <c r="D740" t="s">
        <v>15</v>
      </c>
      <c r="E740" s="4">
        <f t="shared" ca="1" si="12"/>
        <v>526225089.40000027</v>
      </c>
    </row>
    <row r="741" spans="1:5" hidden="1" x14ac:dyDescent="0.25">
      <c r="A741">
        <v>18</v>
      </c>
      <c r="B741">
        <v>17</v>
      </c>
      <c r="C741" t="s">
        <v>17</v>
      </c>
      <c r="D741" t="s">
        <v>16</v>
      </c>
      <c r="E741" s="4">
        <f t="shared" ca="1" si="12"/>
        <v>1637819934.96</v>
      </c>
    </row>
    <row r="742" spans="1:5" hidden="1" x14ac:dyDescent="0.25">
      <c r="A742">
        <v>18</v>
      </c>
      <c r="B742">
        <v>18</v>
      </c>
      <c r="C742" t="s">
        <v>17</v>
      </c>
      <c r="D742" t="s">
        <v>17</v>
      </c>
      <c r="E742" s="4">
        <f t="shared" ca="1" si="12"/>
        <v>0</v>
      </c>
    </row>
    <row r="743" spans="1:5" hidden="1" x14ac:dyDescent="0.25">
      <c r="A743">
        <v>18</v>
      </c>
      <c r="B743">
        <v>19</v>
      </c>
      <c r="C743" t="s">
        <v>17</v>
      </c>
      <c r="D743" t="s">
        <v>18</v>
      </c>
      <c r="E743" s="4">
        <f t="shared" ca="1" si="12"/>
        <v>688295890.80000031</v>
      </c>
    </row>
    <row r="744" spans="1:5" hidden="1" x14ac:dyDescent="0.25">
      <c r="A744">
        <v>18</v>
      </c>
      <c r="B744">
        <v>20</v>
      </c>
      <c r="C744" t="s">
        <v>17</v>
      </c>
      <c r="D744" t="s">
        <v>19</v>
      </c>
      <c r="E744" s="4">
        <f t="shared" ca="1" si="12"/>
        <v>5813336305.1999979</v>
      </c>
    </row>
    <row r="745" spans="1:5" hidden="1" x14ac:dyDescent="0.25">
      <c r="A745">
        <v>18</v>
      </c>
      <c r="B745">
        <v>21</v>
      </c>
      <c r="C745" t="s">
        <v>17</v>
      </c>
      <c r="D745" t="s">
        <v>20</v>
      </c>
      <c r="E745" s="4">
        <f t="shared" ca="1" si="12"/>
        <v>4204227898.8000011</v>
      </c>
    </row>
    <row r="746" spans="1:5" hidden="1" x14ac:dyDescent="0.25">
      <c r="A746">
        <v>18</v>
      </c>
      <c r="B746">
        <v>22</v>
      </c>
      <c r="C746" t="s">
        <v>17</v>
      </c>
      <c r="D746" t="s">
        <v>21</v>
      </c>
      <c r="E746" s="4">
        <f t="shared" ca="1" si="12"/>
        <v>2121883657.0799966</v>
      </c>
    </row>
    <row r="747" spans="1:5" hidden="1" x14ac:dyDescent="0.25">
      <c r="A747">
        <v>18</v>
      </c>
      <c r="B747">
        <v>23</v>
      </c>
      <c r="C747" t="s">
        <v>17</v>
      </c>
      <c r="D747" t="s">
        <v>22</v>
      </c>
      <c r="E747" s="4">
        <f t="shared" ca="1" si="12"/>
        <v>897159753.84000027</v>
      </c>
    </row>
    <row r="748" spans="1:5" hidden="1" x14ac:dyDescent="0.25">
      <c r="A748">
        <v>18</v>
      </c>
      <c r="B748">
        <v>24</v>
      </c>
      <c r="C748" t="s">
        <v>17</v>
      </c>
      <c r="D748" t="s">
        <v>23</v>
      </c>
      <c r="E748" s="4">
        <f t="shared" ca="1" si="12"/>
        <v>732910034.99999976</v>
      </c>
    </row>
    <row r="749" spans="1:5" hidden="1" x14ac:dyDescent="0.25">
      <c r="A749">
        <v>18</v>
      </c>
      <c r="B749">
        <v>25</v>
      </c>
      <c r="C749" t="s">
        <v>17</v>
      </c>
      <c r="D749" t="s">
        <v>24</v>
      </c>
      <c r="E749" s="4">
        <f t="shared" ca="1" si="12"/>
        <v>754831782.00000012</v>
      </c>
    </row>
    <row r="750" spans="1:5" hidden="1" x14ac:dyDescent="0.25">
      <c r="A750">
        <v>18</v>
      </c>
      <c r="B750">
        <v>26</v>
      </c>
      <c r="C750" t="s">
        <v>17</v>
      </c>
      <c r="D750" t="s">
        <v>25</v>
      </c>
      <c r="E750" s="4">
        <f t="shared" ca="1" si="12"/>
        <v>519199577.87999994</v>
      </c>
    </row>
    <row r="751" spans="1:5" hidden="1" x14ac:dyDescent="0.25">
      <c r="A751">
        <v>18</v>
      </c>
      <c r="B751">
        <v>27</v>
      </c>
      <c r="C751" t="s">
        <v>17</v>
      </c>
      <c r="D751" t="s">
        <v>145</v>
      </c>
      <c r="E751" s="4">
        <f t="shared" ca="1" si="12"/>
        <v>5612578540.5599995</v>
      </c>
    </row>
    <row r="752" spans="1:5" hidden="1" x14ac:dyDescent="0.25">
      <c r="A752">
        <v>18</v>
      </c>
      <c r="B752">
        <v>28</v>
      </c>
      <c r="C752" t="s">
        <v>17</v>
      </c>
      <c r="D752" t="s">
        <v>147</v>
      </c>
      <c r="E752" s="4">
        <f t="shared" ca="1" si="12"/>
        <v>3391093805.3919997</v>
      </c>
    </row>
    <row r="753" spans="1:5" hidden="1" x14ac:dyDescent="0.25">
      <c r="A753">
        <v>18</v>
      </c>
      <c r="B753">
        <v>29</v>
      </c>
      <c r="C753" t="s">
        <v>17</v>
      </c>
      <c r="D753" t="s">
        <v>146</v>
      </c>
      <c r="E753" s="4">
        <f t="shared" ca="1" si="12"/>
        <v>2253187771.8199997</v>
      </c>
    </row>
    <row r="754" spans="1:5" hidden="1" x14ac:dyDescent="0.25">
      <c r="A754">
        <v>18</v>
      </c>
      <c r="B754">
        <v>30</v>
      </c>
      <c r="C754" t="s">
        <v>17</v>
      </c>
      <c r="D754" t="s">
        <v>30</v>
      </c>
      <c r="E754" s="4">
        <f t="shared" ca="1" si="12"/>
        <v>1718291895.4440002</v>
      </c>
    </row>
    <row r="755" spans="1:5" hidden="1" x14ac:dyDescent="0.25">
      <c r="A755">
        <v>18</v>
      </c>
      <c r="B755">
        <v>31</v>
      </c>
      <c r="C755" t="s">
        <v>17</v>
      </c>
      <c r="D755" t="s">
        <v>31</v>
      </c>
      <c r="E755" s="4">
        <f t="shared" ca="1" si="12"/>
        <v>1096177235.9600003</v>
      </c>
    </row>
    <row r="756" spans="1:5" hidden="1" x14ac:dyDescent="0.25">
      <c r="A756">
        <v>18</v>
      </c>
      <c r="B756">
        <v>32</v>
      </c>
      <c r="C756" t="s">
        <v>17</v>
      </c>
      <c r="D756" t="s">
        <v>32</v>
      </c>
      <c r="E756" s="4">
        <f t="shared" ca="1" si="12"/>
        <v>809243653.39999998</v>
      </c>
    </row>
    <row r="757" spans="1:5" hidden="1" x14ac:dyDescent="0.25">
      <c r="A757">
        <v>18</v>
      </c>
      <c r="B757">
        <v>33</v>
      </c>
      <c r="C757" t="s">
        <v>17</v>
      </c>
      <c r="D757" t="s">
        <v>33</v>
      </c>
      <c r="E757" s="4">
        <f t="shared" ca="1" si="12"/>
        <v>7677595290.9599962</v>
      </c>
    </row>
    <row r="758" spans="1:5" hidden="1" x14ac:dyDescent="0.25">
      <c r="A758">
        <v>18</v>
      </c>
      <c r="B758">
        <v>34</v>
      </c>
      <c r="C758" t="s">
        <v>17</v>
      </c>
      <c r="D758" t="s">
        <v>34</v>
      </c>
      <c r="E758" s="4">
        <f t="shared" ca="1" si="12"/>
        <v>32709041205.120029</v>
      </c>
    </row>
    <row r="759" spans="1:5" hidden="1" x14ac:dyDescent="0.25">
      <c r="A759">
        <v>18</v>
      </c>
      <c r="B759">
        <v>35</v>
      </c>
      <c r="C759" t="s">
        <v>17</v>
      </c>
      <c r="D759" t="s">
        <v>35</v>
      </c>
      <c r="E759" s="4">
        <f t="shared" ca="1" si="12"/>
        <v>3174922694.1600018</v>
      </c>
    </row>
    <row r="760" spans="1:5" hidden="1" x14ac:dyDescent="0.25">
      <c r="A760">
        <v>18</v>
      </c>
      <c r="B760">
        <v>36</v>
      </c>
      <c r="C760" t="s">
        <v>17</v>
      </c>
      <c r="D760" t="s">
        <v>36</v>
      </c>
      <c r="E760" s="4">
        <f t="shared" ca="1" si="12"/>
        <v>463103373.9199999</v>
      </c>
    </row>
    <row r="761" spans="1:5" hidden="1" x14ac:dyDescent="0.25">
      <c r="A761">
        <v>18</v>
      </c>
      <c r="B761">
        <v>37</v>
      </c>
      <c r="C761" t="s">
        <v>17</v>
      </c>
      <c r="D761" t="s">
        <v>37</v>
      </c>
      <c r="E761" s="4">
        <f t="shared" ca="1" si="12"/>
        <v>646653388.80000162</v>
      </c>
    </row>
    <row r="762" spans="1:5" hidden="1" x14ac:dyDescent="0.25">
      <c r="A762">
        <v>18</v>
      </c>
      <c r="B762">
        <v>38</v>
      </c>
      <c r="C762" t="s">
        <v>17</v>
      </c>
      <c r="D762" t="s">
        <v>38</v>
      </c>
      <c r="E762" s="4">
        <f t="shared" ca="1" si="12"/>
        <v>313725795.99999994</v>
      </c>
    </row>
    <row r="763" spans="1:5" hidden="1" x14ac:dyDescent="0.25">
      <c r="A763">
        <v>18</v>
      </c>
      <c r="B763">
        <v>39</v>
      </c>
      <c r="C763" t="s">
        <v>17</v>
      </c>
      <c r="D763" t="s">
        <v>39</v>
      </c>
      <c r="E763" s="4">
        <f t="shared" ca="1" si="12"/>
        <v>463507644.6000002</v>
      </c>
    </row>
    <row r="764" spans="1:5" hidden="1" x14ac:dyDescent="0.25">
      <c r="A764">
        <v>18</v>
      </c>
      <c r="B764">
        <v>40</v>
      </c>
      <c r="C764" t="s">
        <v>17</v>
      </c>
      <c r="D764" t="s">
        <v>40</v>
      </c>
      <c r="E764" s="4">
        <f t="shared" ca="1" si="12"/>
        <v>657524333.92000008</v>
      </c>
    </row>
    <row r="765" spans="1:5" hidden="1" x14ac:dyDescent="0.25">
      <c r="A765">
        <v>19</v>
      </c>
      <c r="B765">
        <v>1</v>
      </c>
      <c r="C765" t="s">
        <v>18</v>
      </c>
      <c r="D765" t="s">
        <v>0</v>
      </c>
      <c r="E765" s="4">
        <f t="shared" ca="1" si="12"/>
        <v>2723603009.2857137</v>
      </c>
    </row>
    <row r="766" spans="1:5" hidden="1" x14ac:dyDescent="0.25">
      <c r="A766">
        <v>19</v>
      </c>
      <c r="B766">
        <v>2</v>
      </c>
      <c r="C766" t="s">
        <v>18</v>
      </c>
      <c r="D766" t="s">
        <v>1</v>
      </c>
      <c r="E766" s="4">
        <f t="shared" ca="1" si="12"/>
        <v>599851364.7085706</v>
      </c>
    </row>
    <row r="767" spans="1:5" hidden="1" x14ac:dyDescent="0.25">
      <c r="A767">
        <v>19</v>
      </c>
      <c r="B767">
        <v>3</v>
      </c>
      <c r="C767" t="s">
        <v>18</v>
      </c>
      <c r="D767" t="s">
        <v>2</v>
      </c>
      <c r="E767" s="4">
        <f t="shared" ca="1" si="12"/>
        <v>462085538.05142897</v>
      </c>
    </row>
    <row r="768" spans="1:5" hidden="1" x14ac:dyDescent="0.25">
      <c r="A768">
        <v>19</v>
      </c>
      <c r="B768">
        <v>4</v>
      </c>
      <c r="C768" t="s">
        <v>18</v>
      </c>
      <c r="D768" t="s">
        <v>3</v>
      </c>
      <c r="E768" s="4">
        <f t="shared" ca="1" si="12"/>
        <v>1713124384.7142842</v>
      </c>
    </row>
    <row r="769" spans="1:5" hidden="1" x14ac:dyDescent="0.25">
      <c r="A769">
        <v>19</v>
      </c>
      <c r="B769">
        <v>5</v>
      </c>
      <c r="C769" t="s">
        <v>18</v>
      </c>
      <c r="D769" t="s">
        <v>4</v>
      </c>
      <c r="E769" s="4">
        <f t="shared" ca="1" si="12"/>
        <v>3908537117.5885739</v>
      </c>
    </row>
    <row r="770" spans="1:5" hidden="1" x14ac:dyDescent="0.25">
      <c r="A770">
        <v>19</v>
      </c>
      <c r="B770">
        <v>6</v>
      </c>
      <c r="C770" t="s">
        <v>18</v>
      </c>
      <c r="D770" t="s">
        <v>5</v>
      </c>
      <c r="E770" s="4">
        <f t="shared" ca="1" si="12"/>
        <v>1059700273.919999</v>
      </c>
    </row>
    <row r="771" spans="1:5" hidden="1" x14ac:dyDescent="0.25">
      <c r="A771">
        <v>19</v>
      </c>
      <c r="B771">
        <v>7</v>
      </c>
      <c r="C771" t="s">
        <v>18</v>
      </c>
      <c r="D771" t="s">
        <v>6</v>
      </c>
      <c r="E771" s="4">
        <f t="shared" ca="1" si="12"/>
        <v>389629679.88857114</v>
      </c>
    </row>
    <row r="772" spans="1:5" hidden="1" x14ac:dyDescent="0.25">
      <c r="A772">
        <v>19</v>
      </c>
      <c r="B772">
        <v>8</v>
      </c>
      <c r="C772" t="s">
        <v>18</v>
      </c>
      <c r="D772" t="s">
        <v>7</v>
      </c>
      <c r="E772" s="4">
        <f t="shared" ca="1" si="12"/>
        <v>1866347857.3714263</v>
      </c>
    </row>
    <row r="773" spans="1:5" hidden="1" x14ac:dyDescent="0.25">
      <c r="A773">
        <v>19</v>
      </c>
      <c r="B773">
        <v>9</v>
      </c>
      <c r="C773" t="s">
        <v>18</v>
      </c>
      <c r="D773" t="s">
        <v>148</v>
      </c>
      <c r="E773" s="4">
        <f t="shared" ca="1" si="12"/>
        <v>79335511.752727255</v>
      </c>
    </row>
    <row r="774" spans="1:5" hidden="1" x14ac:dyDescent="0.25">
      <c r="A774">
        <v>19</v>
      </c>
      <c r="B774">
        <v>10</v>
      </c>
      <c r="C774" t="s">
        <v>18</v>
      </c>
      <c r="D774" t="s">
        <v>9</v>
      </c>
      <c r="E774" s="4">
        <f t="shared" ca="1" si="12"/>
        <v>1416056099.7085724</v>
      </c>
    </row>
    <row r="775" spans="1:5" hidden="1" x14ac:dyDescent="0.25">
      <c r="A775">
        <v>19</v>
      </c>
      <c r="B775">
        <v>11</v>
      </c>
      <c r="C775" t="s">
        <v>18</v>
      </c>
      <c r="D775" t="s">
        <v>10</v>
      </c>
      <c r="E775" s="4">
        <f t="shared" ca="1" si="12"/>
        <v>1862310000.8799987</v>
      </c>
    </row>
    <row r="776" spans="1:5" hidden="1" x14ac:dyDescent="0.25">
      <c r="A776">
        <v>19</v>
      </c>
      <c r="B776">
        <v>12</v>
      </c>
      <c r="C776" t="s">
        <v>18</v>
      </c>
      <c r="D776" t="s">
        <v>11</v>
      </c>
      <c r="E776" s="4">
        <f t="shared" ca="1" si="12"/>
        <v>1273555948.8400002</v>
      </c>
    </row>
    <row r="777" spans="1:5" hidden="1" x14ac:dyDescent="0.25">
      <c r="A777">
        <v>19</v>
      </c>
      <c r="B777">
        <v>13</v>
      </c>
      <c r="C777" t="s">
        <v>18</v>
      </c>
      <c r="D777" t="s">
        <v>12</v>
      </c>
      <c r="E777" s="4">
        <f t="shared" ca="1" si="12"/>
        <v>286731324.00000024</v>
      </c>
    </row>
    <row r="778" spans="1:5" hidden="1" x14ac:dyDescent="0.25">
      <c r="A778">
        <v>19</v>
      </c>
      <c r="B778">
        <v>14</v>
      </c>
      <c r="C778" t="s">
        <v>18</v>
      </c>
      <c r="D778" t="s">
        <v>13</v>
      </c>
      <c r="E778" s="4">
        <f t="shared" ca="1" si="12"/>
        <v>1257965524.1999993</v>
      </c>
    </row>
    <row r="779" spans="1:5" hidden="1" x14ac:dyDescent="0.25">
      <c r="A779">
        <v>19</v>
      </c>
      <c r="B779">
        <v>15</v>
      </c>
      <c r="C779" t="s">
        <v>18</v>
      </c>
      <c r="D779" t="s">
        <v>14</v>
      </c>
      <c r="E779" s="4">
        <f t="shared" ca="1" si="12"/>
        <v>2814435514.1599979</v>
      </c>
    </row>
    <row r="780" spans="1:5" hidden="1" x14ac:dyDescent="0.25">
      <c r="A780">
        <v>19</v>
      </c>
      <c r="B780">
        <v>16</v>
      </c>
      <c r="C780" t="s">
        <v>18</v>
      </c>
      <c r="D780" t="s">
        <v>15</v>
      </c>
      <c r="E780" s="4">
        <f t="shared" ca="1" si="12"/>
        <v>2883705944.0000019</v>
      </c>
    </row>
    <row r="781" spans="1:5" hidden="1" x14ac:dyDescent="0.25">
      <c r="A781">
        <v>19</v>
      </c>
      <c r="B781">
        <v>17</v>
      </c>
      <c r="C781" t="s">
        <v>18</v>
      </c>
      <c r="D781" t="s">
        <v>16</v>
      </c>
      <c r="E781" s="4">
        <f t="shared" ca="1" si="12"/>
        <v>5983723276.920002</v>
      </c>
    </row>
    <row r="782" spans="1:5" hidden="1" x14ac:dyDescent="0.25">
      <c r="A782">
        <v>19</v>
      </c>
      <c r="B782">
        <v>18</v>
      </c>
      <c r="C782" t="s">
        <v>18</v>
      </c>
      <c r="D782" t="s">
        <v>17</v>
      </c>
      <c r="E782" s="4">
        <f t="shared" ca="1" si="12"/>
        <v>2193527837.3999977</v>
      </c>
    </row>
    <row r="783" spans="1:5" hidden="1" x14ac:dyDescent="0.25">
      <c r="A783">
        <v>19</v>
      </c>
      <c r="B783">
        <v>19</v>
      </c>
      <c r="C783" t="s">
        <v>18</v>
      </c>
      <c r="D783" t="s">
        <v>18</v>
      </c>
      <c r="E783" s="4">
        <f t="shared" ca="1" si="12"/>
        <v>0</v>
      </c>
    </row>
    <row r="784" spans="1:5" hidden="1" x14ac:dyDescent="0.25">
      <c r="A784">
        <v>19</v>
      </c>
      <c r="B784">
        <v>20</v>
      </c>
      <c r="C784" t="s">
        <v>18</v>
      </c>
      <c r="D784" t="s">
        <v>19</v>
      </c>
      <c r="E784" s="4">
        <f t="shared" ca="1" si="12"/>
        <v>512771335.9199999</v>
      </c>
    </row>
    <row r="785" spans="1:5" hidden="1" x14ac:dyDescent="0.25">
      <c r="A785">
        <v>19</v>
      </c>
      <c r="B785">
        <v>21</v>
      </c>
      <c r="C785" t="s">
        <v>18</v>
      </c>
      <c r="D785" t="s">
        <v>20</v>
      </c>
      <c r="E785" s="4">
        <f t="shared" ca="1" si="12"/>
        <v>860699056.84000015</v>
      </c>
    </row>
    <row r="786" spans="1:5" hidden="1" x14ac:dyDescent="0.25">
      <c r="A786">
        <v>19</v>
      </c>
      <c r="B786">
        <v>22</v>
      </c>
      <c r="C786" t="s">
        <v>18</v>
      </c>
      <c r="D786" t="s">
        <v>21</v>
      </c>
      <c r="E786" s="4">
        <f t="shared" ca="1" si="12"/>
        <v>242443195.67999956</v>
      </c>
    </row>
    <row r="787" spans="1:5" hidden="1" x14ac:dyDescent="0.25">
      <c r="A787">
        <v>19</v>
      </c>
      <c r="B787">
        <v>23</v>
      </c>
      <c r="C787" t="s">
        <v>18</v>
      </c>
      <c r="D787" t="s">
        <v>22</v>
      </c>
      <c r="E787" s="4">
        <f t="shared" ca="1" si="12"/>
        <v>152591987.76000005</v>
      </c>
    </row>
    <row r="788" spans="1:5" hidden="1" x14ac:dyDescent="0.25">
      <c r="A788">
        <v>19</v>
      </c>
      <c r="B788">
        <v>24</v>
      </c>
      <c r="C788" t="s">
        <v>18</v>
      </c>
      <c r="D788" t="s">
        <v>23</v>
      </c>
      <c r="E788" s="4">
        <f t="shared" ca="1" si="12"/>
        <v>303885341.75999987</v>
      </c>
    </row>
    <row r="789" spans="1:5" hidden="1" x14ac:dyDescent="0.25">
      <c r="A789">
        <v>19</v>
      </c>
      <c r="B789">
        <v>25</v>
      </c>
      <c r="C789" t="s">
        <v>18</v>
      </c>
      <c r="D789" t="s">
        <v>24</v>
      </c>
      <c r="E789" s="4">
        <f t="shared" ca="1" si="12"/>
        <v>174569511.00000006</v>
      </c>
    </row>
    <row r="790" spans="1:5" hidden="1" x14ac:dyDescent="0.25">
      <c r="A790">
        <v>19</v>
      </c>
      <c r="B790">
        <v>26</v>
      </c>
      <c r="C790" t="s">
        <v>18</v>
      </c>
      <c r="D790" t="s">
        <v>25</v>
      </c>
      <c r="E790" s="4">
        <f t="shared" ca="1" si="12"/>
        <v>281169282.27999997</v>
      </c>
    </row>
    <row r="791" spans="1:5" hidden="1" x14ac:dyDescent="0.25">
      <c r="A791">
        <v>19</v>
      </c>
      <c r="B791">
        <v>27</v>
      </c>
      <c r="C791" t="s">
        <v>18</v>
      </c>
      <c r="D791" t="s">
        <v>145</v>
      </c>
      <c r="E791" s="4">
        <f t="shared" ca="1" si="12"/>
        <v>914210711.19999993</v>
      </c>
    </row>
    <row r="792" spans="1:5" hidden="1" x14ac:dyDescent="0.25">
      <c r="A792">
        <v>19</v>
      </c>
      <c r="B792">
        <v>28</v>
      </c>
      <c r="C792" t="s">
        <v>18</v>
      </c>
      <c r="D792" t="s">
        <v>147</v>
      </c>
      <c r="E792" s="4">
        <f t="shared" ca="1" si="12"/>
        <v>300155856.56400001</v>
      </c>
    </row>
    <row r="793" spans="1:5" hidden="1" x14ac:dyDescent="0.25">
      <c r="A793">
        <v>19</v>
      </c>
      <c r="B793">
        <v>29</v>
      </c>
      <c r="C793" t="s">
        <v>18</v>
      </c>
      <c r="D793" t="s">
        <v>146</v>
      </c>
      <c r="E793" s="4">
        <f t="shared" ca="1" si="12"/>
        <v>982936072.32000005</v>
      </c>
    </row>
    <row r="794" spans="1:5" hidden="1" x14ac:dyDescent="0.25">
      <c r="A794">
        <v>19</v>
      </c>
      <c r="B794">
        <v>30</v>
      </c>
      <c r="C794" t="s">
        <v>18</v>
      </c>
      <c r="D794" t="s">
        <v>30</v>
      </c>
      <c r="E794" s="4">
        <f t="shared" ca="1" si="12"/>
        <v>432446269.83600003</v>
      </c>
    </row>
    <row r="795" spans="1:5" hidden="1" x14ac:dyDescent="0.25">
      <c r="A795">
        <v>19</v>
      </c>
      <c r="B795">
        <v>31</v>
      </c>
      <c r="C795" t="s">
        <v>18</v>
      </c>
      <c r="D795" t="s">
        <v>31</v>
      </c>
      <c r="E795" s="4">
        <f t="shared" ref="E795:E857" ca="1" si="13">OFFSET($B$2,A795,B795)</f>
        <v>193618890.72000006</v>
      </c>
    </row>
    <row r="796" spans="1:5" hidden="1" x14ac:dyDescent="0.25">
      <c r="A796">
        <v>19</v>
      </c>
      <c r="B796">
        <v>32</v>
      </c>
      <c r="C796" t="s">
        <v>18</v>
      </c>
      <c r="D796" t="s">
        <v>32</v>
      </c>
      <c r="E796" s="4">
        <f t="shared" ca="1" si="13"/>
        <v>88922440.199999988</v>
      </c>
    </row>
    <row r="797" spans="1:5" hidden="1" x14ac:dyDescent="0.25">
      <c r="A797">
        <v>19</v>
      </c>
      <c r="B797">
        <v>33</v>
      </c>
      <c r="C797" t="s">
        <v>18</v>
      </c>
      <c r="D797" t="s">
        <v>33</v>
      </c>
      <c r="E797" s="4">
        <f t="shared" ca="1" si="13"/>
        <v>2314613881.1199985</v>
      </c>
    </row>
    <row r="798" spans="1:5" hidden="1" x14ac:dyDescent="0.25">
      <c r="A798">
        <v>19</v>
      </c>
      <c r="B798">
        <v>34</v>
      </c>
      <c r="C798" t="s">
        <v>18</v>
      </c>
      <c r="D798" t="s">
        <v>34</v>
      </c>
      <c r="E798" s="4">
        <f t="shared" ca="1" si="13"/>
        <v>10600826712.320009</v>
      </c>
    </row>
    <row r="799" spans="1:5" hidden="1" x14ac:dyDescent="0.25">
      <c r="A799">
        <v>19</v>
      </c>
      <c r="B799">
        <v>35</v>
      </c>
      <c r="C799" t="s">
        <v>18</v>
      </c>
      <c r="D799" t="s">
        <v>35</v>
      </c>
      <c r="E799" s="4">
        <f t="shared" ca="1" si="13"/>
        <v>838385591.44000053</v>
      </c>
    </row>
    <row r="800" spans="1:5" hidden="1" x14ac:dyDescent="0.25">
      <c r="A800">
        <v>19</v>
      </c>
      <c r="B800">
        <v>36</v>
      </c>
      <c r="C800" t="s">
        <v>18</v>
      </c>
      <c r="D800" t="s">
        <v>36</v>
      </c>
      <c r="E800" s="4">
        <f t="shared" ca="1" si="13"/>
        <v>419219827.35999978</v>
      </c>
    </row>
    <row r="801" spans="1:5" hidden="1" x14ac:dyDescent="0.25">
      <c r="A801">
        <v>19</v>
      </c>
      <c r="B801">
        <v>37</v>
      </c>
      <c r="C801" t="s">
        <v>18</v>
      </c>
      <c r="D801" t="s">
        <v>37</v>
      </c>
      <c r="E801" s="4">
        <f t="shared" ca="1" si="13"/>
        <v>1212222426.2400045</v>
      </c>
    </row>
    <row r="802" spans="1:5" hidden="1" x14ac:dyDescent="0.25">
      <c r="A802">
        <v>19</v>
      </c>
      <c r="B802">
        <v>38</v>
      </c>
      <c r="C802" t="s">
        <v>18</v>
      </c>
      <c r="D802" t="s">
        <v>38</v>
      </c>
      <c r="E802" s="4">
        <f t="shared" ca="1" si="13"/>
        <v>154176508.08000001</v>
      </c>
    </row>
    <row r="803" spans="1:5" hidden="1" x14ac:dyDescent="0.25">
      <c r="A803">
        <v>19</v>
      </c>
      <c r="B803">
        <v>39</v>
      </c>
      <c r="C803" t="s">
        <v>18</v>
      </c>
      <c r="D803" t="s">
        <v>39</v>
      </c>
      <c r="E803" s="4">
        <f t="shared" ca="1" si="13"/>
        <v>456105003.12000042</v>
      </c>
    </row>
    <row r="804" spans="1:5" hidden="1" x14ac:dyDescent="0.25">
      <c r="A804">
        <v>19</v>
      </c>
      <c r="B804">
        <v>40</v>
      </c>
      <c r="C804" t="s">
        <v>18</v>
      </c>
      <c r="D804" t="s">
        <v>40</v>
      </c>
      <c r="E804" s="4">
        <f t="shared" ca="1" si="13"/>
        <v>1044736727.9999998</v>
      </c>
    </row>
    <row r="805" spans="1:5" hidden="1" x14ac:dyDescent="0.25">
      <c r="A805">
        <v>20</v>
      </c>
      <c r="B805">
        <v>1</v>
      </c>
      <c r="C805" t="s">
        <v>19</v>
      </c>
      <c r="D805" t="s">
        <v>0</v>
      </c>
      <c r="E805" s="4">
        <f t="shared" ca="1" si="13"/>
        <v>2581782469.8142853</v>
      </c>
    </row>
    <row r="806" spans="1:5" hidden="1" x14ac:dyDescent="0.25">
      <c r="A806">
        <v>20</v>
      </c>
      <c r="B806">
        <v>2</v>
      </c>
      <c r="C806" t="s">
        <v>19</v>
      </c>
      <c r="D806" t="s">
        <v>1</v>
      </c>
      <c r="E806" s="4">
        <f t="shared" ca="1" si="13"/>
        <v>952593877.1171422</v>
      </c>
    </row>
    <row r="807" spans="1:5" hidden="1" x14ac:dyDescent="0.25">
      <c r="A807">
        <v>20</v>
      </c>
      <c r="B807">
        <v>3</v>
      </c>
      <c r="C807" t="s">
        <v>19</v>
      </c>
      <c r="D807" t="s">
        <v>2</v>
      </c>
      <c r="E807" s="4">
        <f t="shared" ca="1" si="13"/>
        <v>829614408.61714303</v>
      </c>
    </row>
    <row r="808" spans="1:5" hidden="1" x14ac:dyDescent="0.25">
      <c r="A808">
        <v>20</v>
      </c>
      <c r="B808">
        <v>4</v>
      </c>
      <c r="C808" t="s">
        <v>19</v>
      </c>
      <c r="D808" t="s">
        <v>3</v>
      </c>
      <c r="E808" s="4">
        <f t="shared" ca="1" si="13"/>
        <v>2767675428.4428554</v>
      </c>
    </row>
    <row r="809" spans="1:5" hidden="1" x14ac:dyDescent="0.25">
      <c r="A809">
        <v>20</v>
      </c>
      <c r="B809">
        <v>5</v>
      </c>
      <c r="C809" t="s">
        <v>19</v>
      </c>
      <c r="D809" t="s">
        <v>4</v>
      </c>
      <c r="E809" s="4">
        <f t="shared" ca="1" si="13"/>
        <v>4888055465.6257153</v>
      </c>
    </row>
    <row r="810" spans="1:5" hidden="1" x14ac:dyDescent="0.25">
      <c r="A810">
        <v>20</v>
      </c>
      <c r="B810">
        <v>6</v>
      </c>
      <c r="C810" t="s">
        <v>19</v>
      </c>
      <c r="D810" t="s">
        <v>5</v>
      </c>
      <c r="E810" s="4">
        <f t="shared" ca="1" si="13"/>
        <v>2821045353.2542849</v>
      </c>
    </row>
    <row r="811" spans="1:5" hidden="1" x14ac:dyDescent="0.25">
      <c r="A811">
        <v>20</v>
      </c>
      <c r="B811">
        <v>7</v>
      </c>
      <c r="C811" t="s">
        <v>19</v>
      </c>
      <c r="D811" t="s">
        <v>6</v>
      </c>
      <c r="E811" s="4">
        <f t="shared" ca="1" si="13"/>
        <v>1826848997.262857</v>
      </c>
    </row>
    <row r="812" spans="1:5" hidden="1" x14ac:dyDescent="0.25">
      <c r="A812">
        <v>20</v>
      </c>
      <c r="B812">
        <v>8</v>
      </c>
      <c r="C812" t="s">
        <v>19</v>
      </c>
      <c r="D812" t="s">
        <v>7</v>
      </c>
      <c r="E812" s="4">
        <f t="shared" ca="1" si="13"/>
        <v>2870539750.7942839</v>
      </c>
    </row>
    <row r="813" spans="1:5" hidden="1" x14ac:dyDescent="0.25">
      <c r="A813">
        <v>20</v>
      </c>
      <c r="B813">
        <v>9</v>
      </c>
      <c r="C813" t="s">
        <v>19</v>
      </c>
      <c r="D813" t="s">
        <v>148</v>
      </c>
      <c r="E813" s="4">
        <f t="shared" ca="1" si="13"/>
        <v>704719042.4436363</v>
      </c>
    </row>
    <row r="814" spans="1:5" hidden="1" x14ac:dyDescent="0.25">
      <c r="A814">
        <v>20</v>
      </c>
      <c r="B814">
        <v>10</v>
      </c>
      <c r="C814" t="s">
        <v>19</v>
      </c>
      <c r="D814" t="s">
        <v>9</v>
      </c>
      <c r="E814" s="4">
        <f t="shared" ca="1" si="13"/>
        <v>2850321120.3342862</v>
      </c>
    </row>
    <row r="815" spans="1:5" hidden="1" x14ac:dyDescent="0.25">
      <c r="A815">
        <v>20</v>
      </c>
      <c r="B815">
        <v>11</v>
      </c>
      <c r="C815" t="s">
        <v>19</v>
      </c>
      <c r="D815" t="s">
        <v>10</v>
      </c>
      <c r="E815" s="4">
        <f t="shared" ca="1" si="13"/>
        <v>4474822921.4399986</v>
      </c>
    </row>
    <row r="816" spans="1:5" hidden="1" x14ac:dyDescent="0.25">
      <c r="A816">
        <v>20</v>
      </c>
      <c r="B816">
        <v>12</v>
      </c>
      <c r="C816" t="s">
        <v>19</v>
      </c>
      <c r="D816" t="s">
        <v>11</v>
      </c>
      <c r="E816" s="4">
        <f t="shared" ca="1" si="13"/>
        <v>3358020818.8800001</v>
      </c>
    </row>
    <row r="817" spans="1:5" hidden="1" x14ac:dyDescent="0.25">
      <c r="A817">
        <v>20</v>
      </c>
      <c r="B817">
        <v>13</v>
      </c>
      <c r="C817" t="s">
        <v>19</v>
      </c>
      <c r="D817" t="s">
        <v>12</v>
      </c>
      <c r="E817" s="4">
        <f t="shared" ca="1" si="13"/>
        <v>2098458622.04</v>
      </c>
    </row>
    <row r="818" spans="1:5" hidden="1" x14ac:dyDescent="0.25">
      <c r="A818">
        <v>20</v>
      </c>
      <c r="B818">
        <v>14</v>
      </c>
      <c r="C818" t="s">
        <v>19</v>
      </c>
      <c r="D818" t="s">
        <v>13</v>
      </c>
      <c r="E818" s="4">
        <f t="shared" ca="1" si="13"/>
        <v>2917738774.7199993</v>
      </c>
    </row>
    <row r="819" spans="1:5" hidden="1" x14ac:dyDescent="0.25">
      <c r="A819">
        <v>20</v>
      </c>
      <c r="B819">
        <v>15</v>
      </c>
      <c r="C819" t="s">
        <v>19</v>
      </c>
      <c r="D819" t="s">
        <v>14</v>
      </c>
      <c r="E819" s="4">
        <f t="shared" ca="1" si="13"/>
        <v>4679159318.0799971</v>
      </c>
    </row>
    <row r="820" spans="1:5" hidden="1" x14ac:dyDescent="0.25">
      <c r="A820">
        <v>20</v>
      </c>
      <c r="B820">
        <v>16</v>
      </c>
      <c r="C820" t="s">
        <v>19</v>
      </c>
      <c r="D820" t="s">
        <v>15</v>
      </c>
      <c r="E820" s="4">
        <f t="shared" ca="1" si="13"/>
        <v>5331088082.3200026</v>
      </c>
    </row>
    <row r="821" spans="1:5" hidden="1" x14ac:dyDescent="0.25">
      <c r="A821">
        <v>20</v>
      </c>
      <c r="B821">
        <v>17</v>
      </c>
      <c r="C821" t="s">
        <v>19</v>
      </c>
      <c r="D821" t="s">
        <v>16</v>
      </c>
      <c r="E821" s="4">
        <f t="shared" ca="1" si="13"/>
        <v>9025982111.5200024</v>
      </c>
    </row>
    <row r="822" spans="1:5" hidden="1" x14ac:dyDescent="0.25">
      <c r="A822">
        <v>20</v>
      </c>
      <c r="B822">
        <v>18</v>
      </c>
      <c r="C822" t="s">
        <v>19</v>
      </c>
      <c r="D822" t="s">
        <v>17</v>
      </c>
      <c r="E822" s="4">
        <f t="shared" ca="1" si="13"/>
        <v>4967940344.159997</v>
      </c>
    </row>
    <row r="823" spans="1:5" hidden="1" x14ac:dyDescent="0.25">
      <c r="A823">
        <v>20</v>
      </c>
      <c r="B823">
        <v>19</v>
      </c>
      <c r="C823" t="s">
        <v>19</v>
      </c>
      <c r="D823" t="s">
        <v>18</v>
      </c>
      <c r="E823" s="4">
        <f t="shared" ca="1" si="13"/>
        <v>282972936.24000001</v>
      </c>
    </row>
    <row r="824" spans="1:5" hidden="1" x14ac:dyDescent="0.25">
      <c r="A824">
        <v>20</v>
      </c>
      <c r="B824">
        <v>20</v>
      </c>
      <c r="C824" t="s">
        <v>19</v>
      </c>
      <c r="D824" t="s">
        <v>19</v>
      </c>
      <c r="E824" s="4">
        <f t="shared" ca="1" si="13"/>
        <v>0</v>
      </c>
    </row>
    <row r="825" spans="1:5" hidden="1" x14ac:dyDescent="0.25">
      <c r="A825">
        <v>20</v>
      </c>
      <c r="B825">
        <v>21</v>
      </c>
      <c r="C825" t="s">
        <v>19</v>
      </c>
      <c r="D825" t="s">
        <v>20</v>
      </c>
      <c r="E825" s="4">
        <f t="shared" ca="1" si="13"/>
        <v>960518338.56000042</v>
      </c>
    </row>
    <row r="826" spans="1:5" hidden="1" x14ac:dyDescent="0.25">
      <c r="A826">
        <v>20</v>
      </c>
      <c r="B826">
        <v>22</v>
      </c>
      <c r="C826" t="s">
        <v>19</v>
      </c>
      <c r="D826" t="s">
        <v>21</v>
      </c>
      <c r="E826" s="4">
        <f t="shared" ca="1" si="13"/>
        <v>741951340.8799994</v>
      </c>
    </row>
    <row r="827" spans="1:5" hidden="1" x14ac:dyDescent="0.25">
      <c r="A827">
        <v>20</v>
      </c>
      <c r="B827">
        <v>23</v>
      </c>
      <c r="C827" t="s">
        <v>19</v>
      </c>
      <c r="D827" t="s">
        <v>22</v>
      </c>
      <c r="E827" s="4">
        <f t="shared" ca="1" si="13"/>
        <v>762208498.79999995</v>
      </c>
    </row>
    <row r="828" spans="1:5" hidden="1" x14ac:dyDescent="0.25">
      <c r="A828">
        <v>20</v>
      </c>
      <c r="B828">
        <v>24</v>
      </c>
      <c r="C828" t="s">
        <v>19</v>
      </c>
      <c r="D828" t="s">
        <v>23</v>
      </c>
      <c r="E828" s="4">
        <f t="shared" ca="1" si="13"/>
        <v>1418914086.3199999</v>
      </c>
    </row>
    <row r="829" spans="1:5" hidden="1" x14ac:dyDescent="0.25">
      <c r="A829">
        <v>20</v>
      </c>
      <c r="B829">
        <v>25</v>
      </c>
      <c r="C829" t="s">
        <v>19</v>
      </c>
      <c r="D829" t="s">
        <v>24</v>
      </c>
      <c r="E829" s="4">
        <f t="shared" ca="1" si="13"/>
        <v>1059755419.9199998</v>
      </c>
    </row>
    <row r="830" spans="1:5" hidden="1" x14ac:dyDescent="0.25">
      <c r="A830">
        <v>20</v>
      </c>
      <c r="B830">
        <v>26</v>
      </c>
      <c r="C830" t="s">
        <v>19</v>
      </c>
      <c r="D830" t="s">
        <v>25</v>
      </c>
      <c r="E830" s="4">
        <f t="shared" ca="1" si="13"/>
        <v>1615902175.4399998</v>
      </c>
    </row>
    <row r="831" spans="1:5" hidden="1" x14ac:dyDescent="0.25">
      <c r="A831">
        <v>20</v>
      </c>
      <c r="B831">
        <v>27</v>
      </c>
      <c r="C831" t="s">
        <v>19</v>
      </c>
      <c r="D831" t="s">
        <v>145</v>
      </c>
      <c r="E831" s="4">
        <f t="shared" ca="1" si="13"/>
        <v>782922330.24000001</v>
      </c>
    </row>
    <row r="832" spans="1:5" hidden="1" x14ac:dyDescent="0.25">
      <c r="A832">
        <v>20</v>
      </c>
      <c r="B832">
        <v>28</v>
      </c>
      <c r="C832" t="s">
        <v>19</v>
      </c>
      <c r="D832" t="s">
        <v>147</v>
      </c>
      <c r="E832" s="4">
        <f t="shared" ca="1" si="13"/>
        <v>780900868.972</v>
      </c>
    </row>
    <row r="833" spans="1:5" hidden="1" x14ac:dyDescent="0.25">
      <c r="A833">
        <v>20</v>
      </c>
      <c r="B833">
        <v>29</v>
      </c>
      <c r="C833" t="s">
        <v>19</v>
      </c>
      <c r="D833" t="s">
        <v>146</v>
      </c>
      <c r="E833" s="4">
        <f t="shared" ca="1" si="13"/>
        <v>2071913501.0599999</v>
      </c>
    </row>
    <row r="834" spans="1:5" hidden="1" x14ac:dyDescent="0.25">
      <c r="A834">
        <v>20</v>
      </c>
      <c r="B834">
        <v>30</v>
      </c>
      <c r="C834" t="s">
        <v>19</v>
      </c>
      <c r="D834" t="s">
        <v>30</v>
      </c>
      <c r="E834" s="4">
        <f t="shared" ca="1" si="13"/>
        <v>1470921274.98</v>
      </c>
    </row>
    <row r="835" spans="1:5" hidden="1" x14ac:dyDescent="0.25">
      <c r="A835">
        <v>20</v>
      </c>
      <c r="B835">
        <v>31</v>
      </c>
      <c r="C835" t="s">
        <v>19</v>
      </c>
      <c r="D835" t="s">
        <v>31</v>
      </c>
      <c r="E835" s="4">
        <f t="shared" ca="1" si="13"/>
        <v>1223508562.1600001</v>
      </c>
    </row>
    <row r="836" spans="1:5" hidden="1" x14ac:dyDescent="0.25">
      <c r="A836">
        <v>20</v>
      </c>
      <c r="B836">
        <v>32</v>
      </c>
      <c r="C836" t="s">
        <v>19</v>
      </c>
      <c r="D836" t="s">
        <v>32</v>
      </c>
      <c r="E836" s="4">
        <f t="shared" ca="1" si="13"/>
        <v>990493029.67999983</v>
      </c>
    </row>
    <row r="837" spans="1:5" hidden="1" x14ac:dyDescent="0.25">
      <c r="A837">
        <v>20</v>
      </c>
      <c r="B837">
        <v>33</v>
      </c>
      <c r="C837" t="s">
        <v>19</v>
      </c>
      <c r="D837" t="s">
        <v>33</v>
      </c>
      <c r="E837" s="4">
        <f t="shared" ca="1" si="13"/>
        <v>2585161482.2399988</v>
      </c>
    </row>
    <row r="838" spans="1:5" hidden="1" x14ac:dyDescent="0.25">
      <c r="A838">
        <v>20</v>
      </c>
      <c r="B838">
        <v>34</v>
      </c>
      <c r="C838" t="s">
        <v>19</v>
      </c>
      <c r="D838" t="s">
        <v>34</v>
      </c>
      <c r="E838" s="4">
        <f t="shared" ca="1" si="13"/>
        <v>8978241480.0000076</v>
      </c>
    </row>
    <row r="839" spans="1:5" hidden="1" x14ac:dyDescent="0.25">
      <c r="A839">
        <v>20</v>
      </c>
      <c r="B839">
        <v>35</v>
      </c>
      <c r="C839" t="s">
        <v>19</v>
      </c>
      <c r="D839" t="s">
        <v>35</v>
      </c>
      <c r="E839" s="4">
        <f t="shared" ca="1" si="13"/>
        <v>1402661962.2000005</v>
      </c>
    </row>
    <row r="840" spans="1:5" hidden="1" x14ac:dyDescent="0.25">
      <c r="A840">
        <v>20</v>
      </c>
      <c r="B840">
        <v>36</v>
      </c>
      <c r="C840" t="s">
        <v>19</v>
      </c>
      <c r="D840" t="s">
        <v>36</v>
      </c>
      <c r="E840" s="4">
        <f t="shared" ca="1" si="13"/>
        <v>2832325862.3199997</v>
      </c>
    </row>
    <row r="841" spans="1:5" hidden="1" x14ac:dyDescent="0.25">
      <c r="A841">
        <v>20</v>
      </c>
      <c r="B841">
        <v>37</v>
      </c>
      <c r="C841" t="s">
        <v>19</v>
      </c>
      <c r="D841" t="s">
        <v>37</v>
      </c>
      <c r="E841" s="4">
        <f t="shared" ca="1" si="13"/>
        <v>4420982403.0000048</v>
      </c>
    </row>
    <row r="842" spans="1:5" hidden="1" x14ac:dyDescent="0.25">
      <c r="A842">
        <v>20</v>
      </c>
      <c r="B842">
        <v>38</v>
      </c>
      <c r="C842" t="s">
        <v>19</v>
      </c>
      <c r="D842" t="s">
        <v>38</v>
      </c>
      <c r="E842" s="4">
        <f t="shared" ca="1" si="13"/>
        <v>2695559103.9999995</v>
      </c>
    </row>
    <row r="843" spans="1:5" hidden="1" x14ac:dyDescent="0.25">
      <c r="A843">
        <v>20</v>
      </c>
      <c r="B843">
        <v>39</v>
      </c>
      <c r="C843" t="s">
        <v>19</v>
      </c>
      <c r="D843" t="s">
        <v>39</v>
      </c>
      <c r="E843" s="4">
        <f t="shared" ca="1" si="13"/>
        <v>3341225682.4000001</v>
      </c>
    </row>
    <row r="844" spans="1:5" hidden="1" x14ac:dyDescent="0.25">
      <c r="A844">
        <v>20</v>
      </c>
      <c r="B844">
        <v>40</v>
      </c>
      <c r="C844" t="s">
        <v>19</v>
      </c>
      <c r="D844" t="s">
        <v>40</v>
      </c>
      <c r="E844" s="4">
        <f t="shared" ca="1" si="13"/>
        <v>3926306307.8799996</v>
      </c>
    </row>
    <row r="845" spans="1:5" hidden="1" x14ac:dyDescent="0.25">
      <c r="A845">
        <v>21</v>
      </c>
      <c r="B845">
        <v>1</v>
      </c>
      <c r="C845" t="s">
        <v>20</v>
      </c>
      <c r="D845" t="s">
        <v>0</v>
      </c>
      <c r="E845" s="4">
        <f t="shared" ca="1" si="13"/>
        <v>978069833.73999977</v>
      </c>
    </row>
    <row r="846" spans="1:5" hidden="1" x14ac:dyDescent="0.25">
      <c r="A846">
        <v>21</v>
      </c>
      <c r="B846">
        <v>2</v>
      </c>
      <c r="C846" t="s">
        <v>20</v>
      </c>
      <c r="D846" t="s">
        <v>1</v>
      </c>
      <c r="E846" s="4">
        <f t="shared" ca="1" si="13"/>
        <v>251892740.67428553</v>
      </c>
    </row>
    <row r="847" spans="1:5" hidden="1" x14ac:dyDescent="0.25">
      <c r="A847">
        <v>21</v>
      </c>
      <c r="B847">
        <v>3</v>
      </c>
      <c r="C847" t="s">
        <v>20</v>
      </c>
      <c r="D847" t="s">
        <v>2</v>
      </c>
      <c r="E847" s="4">
        <f t="shared" ca="1" si="13"/>
        <v>191486445.63085717</v>
      </c>
    </row>
    <row r="848" spans="1:5" hidden="1" x14ac:dyDescent="0.25">
      <c r="A848">
        <v>21</v>
      </c>
      <c r="B848">
        <v>4</v>
      </c>
      <c r="C848" t="s">
        <v>20</v>
      </c>
      <c r="D848" t="s">
        <v>3</v>
      </c>
      <c r="E848" s="4">
        <f t="shared" ca="1" si="13"/>
        <v>1714888057.9685702</v>
      </c>
    </row>
    <row r="849" spans="1:5" hidden="1" x14ac:dyDescent="0.25">
      <c r="A849">
        <v>21</v>
      </c>
      <c r="B849">
        <v>5</v>
      </c>
      <c r="C849" t="s">
        <v>20</v>
      </c>
      <c r="D849" t="s">
        <v>4</v>
      </c>
      <c r="E849" s="4">
        <f t="shared" ca="1" si="13"/>
        <v>4454102116.6714306</v>
      </c>
    </row>
    <row r="850" spans="1:5" hidden="1" x14ac:dyDescent="0.25">
      <c r="A850">
        <v>21</v>
      </c>
      <c r="B850">
        <v>6</v>
      </c>
      <c r="C850" t="s">
        <v>20</v>
      </c>
      <c r="D850" t="s">
        <v>5</v>
      </c>
      <c r="E850" s="4">
        <f t="shared" ca="1" si="13"/>
        <v>1791009821.6542852</v>
      </c>
    </row>
    <row r="851" spans="1:5" hidden="1" x14ac:dyDescent="0.25">
      <c r="A851">
        <v>21</v>
      </c>
      <c r="B851">
        <v>7</v>
      </c>
      <c r="C851" t="s">
        <v>20</v>
      </c>
      <c r="D851" t="s">
        <v>6</v>
      </c>
      <c r="E851" s="4">
        <f t="shared" ca="1" si="13"/>
        <v>1064260732.1142856</v>
      </c>
    </row>
    <row r="852" spans="1:5" hidden="1" x14ac:dyDescent="0.25">
      <c r="A852">
        <v>21</v>
      </c>
      <c r="B852">
        <v>8</v>
      </c>
      <c r="C852" t="s">
        <v>20</v>
      </c>
      <c r="D852" t="s">
        <v>7</v>
      </c>
      <c r="E852" s="4">
        <f t="shared" ca="1" si="13"/>
        <v>2115537255.7085698</v>
      </c>
    </row>
    <row r="853" spans="1:5" hidden="1" x14ac:dyDescent="0.25">
      <c r="A853">
        <v>21</v>
      </c>
      <c r="B853">
        <v>9</v>
      </c>
      <c r="C853" t="s">
        <v>20</v>
      </c>
      <c r="D853" t="s">
        <v>148</v>
      </c>
      <c r="E853" s="4">
        <f t="shared" ca="1" si="13"/>
        <v>1034414498.6181818</v>
      </c>
    </row>
    <row r="854" spans="1:5" hidden="1" x14ac:dyDescent="0.25">
      <c r="A854">
        <v>21</v>
      </c>
      <c r="B854">
        <v>10</v>
      </c>
      <c r="C854" t="s">
        <v>20</v>
      </c>
      <c r="D854" t="s">
        <v>9</v>
      </c>
      <c r="E854" s="4">
        <f t="shared" ca="1" si="13"/>
        <v>1836787457.2857144</v>
      </c>
    </row>
    <row r="855" spans="1:5" hidden="1" x14ac:dyDescent="0.25">
      <c r="A855">
        <v>21</v>
      </c>
      <c r="B855">
        <v>11</v>
      </c>
      <c r="C855" t="s">
        <v>20</v>
      </c>
      <c r="D855" t="s">
        <v>10</v>
      </c>
      <c r="E855" s="4">
        <f t="shared" ca="1" si="13"/>
        <v>4042188710.3999987</v>
      </c>
    </row>
    <row r="856" spans="1:5" hidden="1" x14ac:dyDescent="0.25">
      <c r="A856">
        <v>21</v>
      </c>
      <c r="B856">
        <v>12</v>
      </c>
      <c r="C856" t="s">
        <v>20</v>
      </c>
      <c r="D856" t="s">
        <v>11</v>
      </c>
      <c r="E856" s="4">
        <f t="shared" ca="1" si="13"/>
        <v>3057514145.2800002</v>
      </c>
    </row>
    <row r="857" spans="1:5" hidden="1" x14ac:dyDescent="0.25">
      <c r="A857">
        <v>21</v>
      </c>
      <c r="B857">
        <v>13</v>
      </c>
      <c r="C857" t="s">
        <v>20</v>
      </c>
      <c r="D857" t="s">
        <v>12</v>
      </c>
      <c r="E857" s="4">
        <f t="shared" ca="1" si="13"/>
        <v>1759533584.6000001</v>
      </c>
    </row>
    <row r="858" spans="1:5" hidden="1" x14ac:dyDescent="0.25">
      <c r="A858">
        <v>21</v>
      </c>
      <c r="B858">
        <v>14</v>
      </c>
      <c r="C858" t="s">
        <v>20</v>
      </c>
      <c r="D858" t="s">
        <v>13</v>
      </c>
      <c r="E858" s="4">
        <f t="shared" ref="E858:E919" ca="1" si="14">OFFSET($B$2,A858,B858)</f>
        <v>2785904880.6399989</v>
      </c>
    </row>
    <row r="859" spans="1:5" hidden="1" x14ac:dyDescent="0.25">
      <c r="A859">
        <v>21</v>
      </c>
      <c r="B859">
        <v>15</v>
      </c>
      <c r="C859" t="s">
        <v>20</v>
      </c>
      <c r="D859" t="s">
        <v>14</v>
      </c>
      <c r="E859" s="4">
        <f t="shared" ca="1" si="14"/>
        <v>4454028766.7199984</v>
      </c>
    </row>
    <row r="860" spans="1:5" hidden="1" x14ac:dyDescent="0.25">
      <c r="A860">
        <v>21</v>
      </c>
      <c r="B860">
        <v>16</v>
      </c>
      <c r="C860" t="s">
        <v>20</v>
      </c>
      <c r="D860" t="s">
        <v>15</v>
      </c>
      <c r="E860" s="4">
        <f t="shared" ca="1" si="14"/>
        <v>5038297049.2000017</v>
      </c>
    </row>
    <row r="861" spans="1:5" hidden="1" x14ac:dyDescent="0.25">
      <c r="A861">
        <v>21</v>
      </c>
      <c r="B861">
        <v>17</v>
      </c>
      <c r="C861" t="s">
        <v>20</v>
      </c>
      <c r="D861" t="s">
        <v>16</v>
      </c>
      <c r="E861" s="4">
        <f t="shared" ca="1" si="14"/>
        <v>8811855259.6800003</v>
      </c>
    </row>
    <row r="862" spans="1:5" hidden="1" x14ac:dyDescent="0.25">
      <c r="A862">
        <v>21</v>
      </c>
      <c r="B862">
        <v>18</v>
      </c>
      <c r="C862" t="s">
        <v>20</v>
      </c>
      <c r="D862" t="s">
        <v>17</v>
      </c>
      <c r="E862" s="4">
        <f t="shared" ca="1" si="14"/>
        <v>4480587678.2399969</v>
      </c>
    </row>
    <row r="863" spans="1:5" hidden="1" x14ac:dyDescent="0.25">
      <c r="A863">
        <v>21</v>
      </c>
      <c r="B863">
        <v>19</v>
      </c>
      <c r="C863" t="s">
        <v>20</v>
      </c>
      <c r="D863" t="s">
        <v>18</v>
      </c>
      <c r="E863" s="4">
        <f t="shared" ca="1" si="14"/>
        <v>538648081.32000005</v>
      </c>
    </row>
    <row r="864" spans="1:5" hidden="1" x14ac:dyDescent="0.25">
      <c r="A864">
        <v>21</v>
      </c>
      <c r="B864">
        <v>20</v>
      </c>
      <c r="C864" t="s">
        <v>20</v>
      </c>
      <c r="D864" t="s">
        <v>19</v>
      </c>
      <c r="E864" s="4">
        <f t="shared" ca="1" si="14"/>
        <v>1132089446.3999999</v>
      </c>
    </row>
    <row r="865" spans="1:5" hidden="1" x14ac:dyDescent="0.25">
      <c r="A865">
        <v>21</v>
      </c>
      <c r="B865">
        <v>21</v>
      </c>
      <c r="C865" t="s">
        <v>20</v>
      </c>
      <c r="D865" t="s">
        <v>20</v>
      </c>
      <c r="E865" s="4">
        <f t="shared" ca="1" si="14"/>
        <v>0</v>
      </c>
    </row>
    <row r="866" spans="1:5" hidden="1" x14ac:dyDescent="0.25">
      <c r="A866">
        <v>21</v>
      </c>
      <c r="B866">
        <v>22</v>
      </c>
      <c r="C866" t="s">
        <v>20</v>
      </c>
      <c r="D866" t="s">
        <v>21</v>
      </c>
      <c r="E866" s="4">
        <f t="shared" ca="1" si="14"/>
        <v>1095001729.2799988</v>
      </c>
    </row>
    <row r="867" spans="1:5" hidden="1" x14ac:dyDescent="0.25">
      <c r="A867">
        <v>21</v>
      </c>
      <c r="B867">
        <v>23</v>
      </c>
      <c r="C867" t="s">
        <v>20</v>
      </c>
      <c r="D867" t="s">
        <v>22</v>
      </c>
      <c r="E867" s="4">
        <f t="shared" ca="1" si="14"/>
        <v>712297336.88</v>
      </c>
    </row>
    <row r="868" spans="1:5" hidden="1" x14ac:dyDescent="0.25">
      <c r="A868">
        <v>21</v>
      </c>
      <c r="B868">
        <v>24</v>
      </c>
      <c r="C868" t="s">
        <v>20</v>
      </c>
      <c r="D868" t="s">
        <v>23</v>
      </c>
      <c r="E868" s="4">
        <f t="shared" ca="1" si="14"/>
        <v>1317270482</v>
      </c>
    </row>
    <row r="869" spans="1:5" hidden="1" x14ac:dyDescent="0.25">
      <c r="A869">
        <v>21</v>
      </c>
      <c r="B869">
        <v>25</v>
      </c>
      <c r="C869" t="s">
        <v>20</v>
      </c>
      <c r="D869" t="s">
        <v>24</v>
      </c>
      <c r="E869" s="4">
        <f t="shared" ca="1" si="14"/>
        <v>1006072110.0000001</v>
      </c>
    </row>
    <row r="870" spans="1:5" hidden="1" x14ac:dyDescent="0.25">
      <c r="A870">
        <v>21</v>
      </c>
      <c r="B870">
        <v>26</v>
      </c>
      <c r="C870" t="s">
        <v>20</v>
      </c>
      <c r="D870" t="s">
        <v>25</v>
      </c>
      <c r="E870" s="4">
        <f t="shared" ca="1" si="14"/>
        <v>1339720487.2800002</v>
      </c>
    </row>
    <row r="871" spans="1:5" hidden="1" x14ac:dyDescent="0.25">
      <c r="A871">
        <v>21</v>
      </c>
      <c r="B871">
        <v>27</v>
      </c>
      <c r="C871" t="s">
        <v>20</v>
      </c>
      <c r="D871" t="s">
        <v>145</v>
      </c>
      <c r="E871" s="4">
        <f t="shared" ca="1" si="14"/>
        <v>903138961.91999996</v>
      </c>
    </row>
    <row r="872" spans="1:5" hidden="1" x14ac:dyDescent="0.25">
      <c r="A872">
        <v>21</v>
      </c>
      <c r="B872">
        <v>28</v>
      </c>
      <c r="C872" t="s">
        <v>20</v>
      </c>
      <c r="D872" t="s">
        <v>147</v>
      </c>
      <c r="E872" s="4">
        <f t="shared" ca="1" si="14"/>
        <v>1308308842.092</v>
      </c>
    </row>
    <row r="873" spans="1:5" hidden="1" x14ac:dyDescent="0.25">
      <c r="A873">
        <v>21</v>
      </c>
      <c r="B873">
        <v>29</v>
      </c>
      <c r="C873" t="s">
        <v>20</v>
      </c>
      <c r="D873" t="s">
        <v>146</v>
      </c>
      <c r="E873" s="4">
        <f t="shared" ca="1" si="14"/>
        <v>2176863853.46</v>
      </c>
    </row>
    <row r="874" spans="1:5" hidden="1" x14ac:dyDescent="0.25">
      <c r="A874">
        <v>21</v>
      </c>
      <c r="B874">
        <v>30</v>
      </c>
      <c r="C874" t="s">
        <v>20</v>
      </c>
      <c r="D874" t="s">
        <v>30</v>
      </c>
      <c r="E874" s="4">
        <f t="shared" ca="1" si="14"/>
        <v>765479993.43599999</v>
      </c>
    </row>
    <row r="875" spans="1:5" hidden="1" x14ac:dyDescent="0.25">
      <c r="A875">
        <v>21</v>
      </c>
      <c r="B875">
        <v>31</v>
      </c>
      <c r="C875" t="s">
        <v>20</v>
      </c>
      <c r="D875" t="s">
        <v>31</v>
      </c>
      <c r="E875" s="4">
        <f t="shared" ca="1" si="14"/>
        <v>595635937.51999998</v>
      </c>
    </row>
    <row r="876" spans="1:5" hidden="1" x14ac:dyDescent="0.25">
      <c r="A876">
        <v>21</v>
      </c>
      <c r="B876">
        <v>32</v>
      </c>
      <c r="C876" t="s">
        <v>20</v>
      </c>
      <c r="D876" t="s">
        <v>32</v>
      </c>
      <c r="E876" s="4">
        <f t="shared" ca="1" si="14"/>
        <v>432778729.91999996</v>
      </c>
    </row>
    <row r="877" spans="1:5" hidden="1" x14ac:dyDescent="0.25">
      <c r="A877">
        <v>21</v>
      </c>
      <c r="B877">
        <v>33</v>
      </c>
      <c r="C877" t="s">
        <v>20</v>
      </c>
      <c r="D877" t="s">
        <v>33</v>
      </c>
      <c r="E877" s="4">
        <f t="shared" ca="1" si="14"/>
        <v>1275451011.8399997</v>
      </c>
    </row>
    <row r="878" spans="1:5" hidden="1" x14ac:dyDescent="0.25">
      <c r="A878">
        <v>21</v>
      </c>
      <c r="B878">
        <v>34</v>
      </c>
      <c r="C878" t="s">
        <v>20</v>
      </c>
      <c r="D878" t="s">
        <v>34</v>
      </c>
      <c r="E878" s="4">
        <f t="shared" ca="1" si="14"/>
        <v>4822937064.1200037</v>
      </c>
    </row>
    <row r="879" spans="1:5" hidden="1" x14ac:dyDescent="0.25">
      <c r="A879">
        <v>21</v>
      </c>
      <c r="B879">
        <v>35</v>
      </c>
      <c r="C879" t="s">
        <v>20</v>
      </c>
      <c r="D879" t="s">
        <v>35</v>
      </c>
      <c r="E879" s="4">
        <f t="shared" ca="1" si="14"/>
        <v>612585862.56000006</v>
      </c>
    </row>
    <row r="880" spans="1:5" hidden="1" x14ac:dyDescent="0.25">
      <c r="A880">
        <v>21</v>
      </c>
      <c r="B880">
        <v>36</v>
      </c>
      <c r="C880" t="s">
        <v>20</v>
      </c>
      <c r="D880" t="s">
        <v>36</v>
      </c>
      <c r="E880" s="4">
        <f t="shared" ca="1" si="14"/>
        <v>2322020485.8399992</v>
      </c>
    </row>
    <row r="881" spans="1:5" hidden="1" x14ac:dyDescent="0.25">
      <c r="A881">
        <v>21</v>
      </c>
      <c r="B881">
        <v>37</v>
      </c>
      <c r="C881" t="s">
        <v>20</v>
      </c>
      <c r="D881" t="s">
        <v>37</v>
      </c>
      <c r="E881" s="4">
        <f t="shared" ca="1" si="14"/>
        <v>3730116805.5600047</v>
      </c>
    </row>
    <row r="882" spans="1:5" hidden="1" x14ac:dyDescent="0.25">
      <c r="A882">
        <v>21</v>
      </c>
      <c r="B882">
        <v>38</v>
      </c>
      <c r="C882" t="s">
        <v>20</v>
      </c>
      <c r="D882" t="s">
        <v>38</v>
      </c>
      <c r="E882" s="4">
        <f t="shared" ca="1" si="14"/>
        <v>2119161234.3999999</v>
      </c>
    </row>
    <row r="883" spans="1:5" hidden="1" x14ac:dyDescent="0.25">
      <c r="A883">
        <v>21</v>
      </c>
      <c r="B883">
        <v>39</v>
      </c>
      <c r="C883" t="s">
        <v>20</v>
      </c>
      <c r="D883" t="s">
        <v>39</v>
      </c>
      <c r="E883" s="4">
        <f t="shared" ca="1" si="14"/>
        <v>2689263733.6000004</v>
      </c>
    </row>
    <row r="884" spans="1:5" hidden="1" x14ac:dyDescent="0.25">
      <c r="A884">
        <v>21</v>
      </c>
      <c r="B884">
        <v>40</v>
      </c>
      <c r="C884" t="s">
        <v>20</v>
      </c>
      <c r="D884" t="s">
        <v>40</v>
      </c>
      <c r="E884" s="4">
        <f t="shared" ca="1" si="14"/>
        <v>3327568320.9999995</v>
      </c>
    </row>
    <row r="885" spans="1:5" hidden="1" x14ac:dyDescent="0.25">
      <c r="A885">
        <v>22</v>
      </c>
      <c r="B885">
        <v>1</v>
      </c>
      <c r="C885" t="s">
        <v>21</v>
      </c>
      <c r="D885" t="s">
        <v>0</v>
      </c>
      <c r="E885" s="4">
        <f t="shared" ca="1" si="14"/>
        <v>3160708372.2999992</v>
      </c>
    </row>
    <row r="886" spans="1:5" hidden="1" x14ac:dyDescent="0.25">
      <c r="A886">
        <v>22</v>
      </c>
      <c r="B886">
        <v>2</v>
      </c>
      <c r="C886" t="s">
        <v>21</v>
      </c>
      <c r="D886" t="s">
        <v>1</v>
      </c>
      <c r="E886" s="4">
        <f t="shared" ca="1" si="14"/>
        <v>849092570.5628562</v>
      </c>
    </row>
    <row r="887" spans="1:5" hidden="1" x14ac:dyDescent="0.25">
      <c r="A887">
        <v>22</v>
      </c>
      <c r="B887">
        <v>3</v>
      </c>
      <c r="C887" t="s">
        <v>21</v>
      </c>
      <c r="D887" t="s">
        <v>2</v>
      </c>
      <c r="E887" s="4">
        <f t="shared" ca="1" si="14"/>
        <v>694733559.23428607</v>
      </c>
    </row>
    <row r="888" spans="1:5" hidden="1" x14ac:dyDescent="0.25">
      <c r="A888">
        <v>22</v>
      </c>
      <c r="B888">
        <v>4</v>
      </c>
      <c r="C888" t="s">
        <v>21</v>
      </c>
      <c r="D888" t="s">
        <v>3</v>
      </c>
      <c r="E888" s="4">
        <f t="shared" ca="1" si="14"/>
        <v>2163706945.3285694</v>
      </c>
    </row>
    <row r="889" spans="1:5" hidden="1" x14ac:dyDescent="0.25">
      <c r="A889">
        <v>22</v>
      </c>
      <c r="B889">
        <v>5</v>
      </c>
      <c r="C889" t="s">
        <v>21</v>
      </c>
      <c r="D889" t="s">
        <v>4</v>
      </c>
      <c r="E889" s="4">
        <f t="shared" ca="1" si="14"/>
        <v>4491951246.2428608</v>
      </c>
    </row>
    <row r="890" spans="1:5" hidden="1" x14ac:dyDescent="0.25">
      <c r="A890">
        <v>22</v>
      </c>
      <c r="B890">
        <v>6</v>
      </c>
      <c r="C890" t="s">
        <v>21</v>
      </c>
      <c r="D890" t="s">
        <v>5</v>
      </c>
      <c r="E890" s="4">
        <f t="shared" ca="1" si="14"/>
        <v>1595373322.0371416</v>
      </c>
    </row>
    <row r="891" spans="1:5" hidden="1" x14ac:dyDescent="0.25">
      <c r="A891">
        <v>22</v>
      </c>
      <c r="B891">
        <v>7</v>
      </c>
      <c r="C891" t="s">
        <v>21</v>
      </c>
      <c r="D891" t="s">
        <v>6</v>
      </c>
      <c r="E891" s="4">
        <f t="shared" ca="1" si="14"/>
        <v>816857646.32571387</v>
      </c>
    </row>
    <row r="892" spans="1:5" hidden="1" x14ac:dyDescent="0.25">
      <c r="A892">
        <v>22</v>
      </c>
      <c r="B892">
        <v>8</v>
      </c>
      <c r="C892" t="s">
        <v>21</v>
      </c>
      <c r="D892" t="s">
        <v>7</v>
      </c>
      <c r="E892" s="4">
        <f t="shared" ca="1" si="14"/>
        <v>2320070470.1828547</v>
      </c>
    </row>
    <row r="893" spans="1:5" hidden="1" x14ac:dyDescent="0.25">
      <c r="A893">
        <v>22</v>
      </c>
      <c r="B893">
        <v>9</v>
      </c>
      <c r="C893" t="s">
        <v>21</v>
      </c>
      <c r="D893" t="s">
        <v>148</v>
      </c>
      <c r="E893" s="4">
        <f t="shared" ca="1" si="14"/>
        <v>399853575.38181812</v>
      </c>
    </row>
    <row r="894" spans="1:5" hidden="1" x14ac:dyDescent="0.25">
      <c r="A894">
        <v>22</v>
      </c>
      <c r="B894">
        <v>10</v>
      </c>
      <c r="C894" t="s">
        <v>21</v>
      </c>
      <c r="D894" t="s">
        <v>9</v>
      </c>
      <c r="E894" s="4">
        <f t="shared" ca="1" si="14"/>
        <v>1910563768.6714296</v>
      </c>
    </row>
    <row r="895" spans="1:5" hidden="1" x14ac:dyDescent="0.25">
      <c r="A895">
        <v>22</v>
      </c>
      <c r="B895">
        <v>11</v>
      </c>
      <c r="C895" t="s">
        <v>21</v>
      </c>
      <c r="D895" t="s">
        <v>10</v>
      </c>
      <c r="E895" s="4">
        <f t="shared" ca="1" si="14"/>
        <v>2076827892.3999989</v>
      </c>
    </row>
    <row r="896" spans="1:5" hidden="1" x14ac:dyDescent="0.25">
      <c r="A896">
        <v>22</v>
      </c>
      <c r="B896">
        <v>12</v>
      </c>
      <c r="C896" t="s">
        <v>21</v>
      </c>
      <c r="D896" t="s">
        <v>11</v>
      </c>
      <c r="E896" s="4">
        <f t="shared" ca="1" si="14"/>
        <v>1404707050.5999999</v>
      </c>
    </row>
    <row r="897" spans="1:5" hidden="1" x14ac:dyDescent="0.25">
      <c r="A897">
        <v>22</v>
      </c>
      <c r="B897">
        <v>13</v>
      </c>
      <c r="C897" t="s">
        <v>21</v>
      </c>
      <c r="D897" t="s">
        <v>12</v>
      </c>
      <c r="E897" s="4">
        <f t="shared" ca="1" si="14"/>
        <v>536382574.56000012</v>
      </c>
    </row>
    <row r="898" spans="1:5" hidden="1" x14ac:dyDescent="0.25">
      <c r="A898">
        <v>22</v>
      </c>
      <c r="B898">
        <v>14</v>
      </c>
      <c r="C898" t="s">
        <v>21</v>
      </c>
      <c r="D898" t="s">
        <v>13</v>
      </c>
      <c r="E898" s="4">
        <f t="shared" ca="1" si="14"/>
        <v>1223584962.5999994</v>
      </c>
    </row>
    <row r="899" spans="1:5" hidden="1" x14ac:dyDescent="0.25">
      <c r="A899">
        <v>22</v>
      </c>
      <c r="B899">
        <v>15</v>
      </c>
      <c r="C899" t="s">
        <v>21</v>
      </c>
      <c r="D899" t="s">
        <v>14</v>
      </c>
      <c r="E899" s="4">
        <f t="shared" ca="1" si="14"/>
        <v>2753963727.599998</v>
      </c>
    </row>
    <row r="900" spans="1:5" hidden="1" x14ac:dyDescent="0.25">
      <c r="A900">
        <v>22</v>
      </c>
      <c r="B900">
        <v>16</v>
      </c>
      <c r="C900" t="s">
        <v>21</v>
      </c>
      <c r="D900" t="s">
        <v>15</v>
      </c>
      <c r="E900" s="4">
        <f t="shared" ca="1" si="14"/>
        <v>2862740990.2000017</v>
      </c>
    </row>
    <row r="901" spans="1:5" hidden="1" x14ac:dyDescent="0.25">
      <c r="A901">
        <v>22</v>
      </c>
      <c r="B901">
        <v>17</v>
      </c>
      <c r="C901" t="s">
        <v>21</v>
      </c>
      <c r="D901" t="s">
        <v>16</v>
      </c>
      <c r="E901" s="4">
        <f t="shared" ca="1" si="14"/>
        <v>5773086306.3600006</v>
      </c>
    </row>
    <row r="902" spans="1:5" hidden="1" x14ac:dyDescent="0.25">
      <c r="A902">
        <v>22</v>
      </c>
      <c r="B902">
        <v>18</v>
      </c>
      <c r="C902" t="s">
        <v>21</v>
      </c>
      <c r="D902" t="s">
        <v>17</v>
      </c>
      <c r="E902" s="4">
        <f t="shared" ca="1" si="14"/>
        <v>2414735968.9199977</v>
      </c>
    </row>
    <row r="903" spans="1:5" hidden="1" x14ac:dyDescent="0.25">
      <c r="A903">
        <v>22</v>
      </c>
      <c r="B903">
        <v>19</v>
      </c>
      <c r="C903" t="s">
        <v>21</v>
      </c>
      <c r="D903" t="s">
        <v>18</v>
      </c>
      <c r="E903" s="4">
        <f t="shared" ca="1" si="14"/>
        <v>102449842.88000004</v>
      </c>
    </row>
    <row r="904" spans="1:5" hidden="1" x14ac:dyDescent="0.25">
      <c r="A904">
        <v>22</v>
      </c>
      <c r="B904">
        <v>20</v>
      </c>
      <c r="C904" t="s">
        <v>21</v>
      </c>
      <c r="D904" t="s">
        <v>19</v>
      </c>
      <c r="E904" s="4">
        <f t="shared" ca="1" si="14"/>
        <v>927170889.79999959</v>
      </c>
    </row>
    <row r="905" spans="1:5" hidden="1" x14ac:dyDescent="0.25">
      <c r="A905">
        <v>22</v>
      </c>
      <c r="B905">
        <v>21</v>
      </c>
      <c r="C905" t="s">
        <v>21</v>
      </c>
      <c r="D905" t="s">
        <v>20</v>
      </c>
      <c r="E905" s="4">
        <f t="shared" ca="1" si="14"/>
        <v>1120227683.2000003</v>
      </c>
    </row>
    <row r="906" spans="1:5" hidden="1" x14ac:dyDescent="0.25">
      <c r="A906">
        <v>22</v>
      </c>
      <c r="B906">
        <v>22</v>
      </c>
      <c r="C906" t="s">
        <v>21</v>
      </c>
      <c r="D906" t="s">
        <v>21</v>
      </c>
      <c r="E906" s="4">
        <f t="shared" ca="1" si="14"/>
        <v>0</v>
      </c>
    </row>
    <row r="907" spans="1:5" hidden="1" x14ac:dyDescent="0.25">
      <c r="A907">
        <v>22</v>
      </c>
      <c r="B907">
        <v>23</v>
      </c>
      <c r="C907" t="s">
        <v>21</v>
      </c>
      <c r="D907" t="s">
        <v>22</v>
      </c>
      <c r="E907" s="4">
        <f t="shared" ca="1" si="14"/>
        <v>180662950.08000001</v>
      </c>
    </row>
    <row r="908" spans="1:5" hidden="1" x14ac:dyDescent="0.25">
      <c r="A908">
        <v>22</v>
      </c>
      <c r="B908">
        <v>24</v>
      </c>
      <c r="C908" t="s">
        <v>21</v>
      </c>
      <c r="D908" t="s">
        <v>23</v>
      </c>
      <c r="E908" s="4">
        <f t="shared" ca="1" si="14"/>
        <v>345639068.99999994</v>
      </c>
    </row>
    <row r="909" spans="1:5" hidden="1" x14ac:dyDescent="0.25">
      <c r="A909">
        <v>22</v>
      </c>
      <c r="B909">
        <v>25</v>
      </c>
      <c r="C909" t="s">
        <v>21</v>
      </c>
      <c r="D909" t="s">
        <v>24</v>
      </c>
      <c r="E909" s="4">
        <f t="shared" ca="1" si="14"/>
        <v>192092788.80000004</v>
      </c>
    </row>
    <row r="910" spans="1:5" hidden="1" x14ac:dyDescent="0.25">
      <c r="A910">
        <v>22</v>
      </c>
      <c r="B910">
        <v>26</v>
      </c>
      <c r="C910" t="s">
        <v>21</v>
      </c>
      <c r="D910" t="s">
        <v>25</v>
      </c>
      <c r="E910" s="4">
        <f t="shared" ca="1" si="14"/>
        <v>514197791.23999995</v>
      </c>
    </row>
    <row r="911" spans="1:5" hidden="1" x14ac:dyDescent="0.25">
      <c r="A911">
        <v>22</v>
      </c>
      <c r="B911">
        <v>27</v>
      </c>
      <c r="C911" t="s">
        <v>21</v>
      </c>
      <c r="D911" t="s">
        <v>145</v>
      </c>
      <c r="E911" s="4">
        <f t="shared" ca="1" si="14"/>
        <v>930581922.39999998</v>
      </c>
    </row>
    <row r="912" spans="1:5" hidden="1" x14ac:dyDescent="0.25">
      <c r="A912">
        <v>22</v>
      </c>
      <c r="B912">
        <v>28</v>
      </c>
      <c r="C912" t="s">
        <v>21</v>
      </c>
      <c r="D912" t="s">
        <v>147</v>
      </c>
      <c r="E912" s="4">
        <f t="shared" ca="1" si="14"/>
        <v>128464684.7316</v>
      </c>
    </row>
    <row r="913" spans="1:5" hidden="1" x14ac:dyDescent="0.25">
      <c r="A913">
        <v>22</v>
      </c>
      <c r="B913">
        <v>29</v>
      </c>
      <c r="C913" t="s">
        <v>21</v>
      </c>
      <c r="D913" t="s">
        <v>146</v>
      </c>
      <c r="E913" s="4">
        <f t="shared" ca="1" si="14"/>
        <v>721603414.25999999</v>
      </c>
    </row>
    <row r="914" spans="1:5" hidden="1" x14ac:dyDescent="0.25">
      <c r="A914">
        <v>22</v>
      </c>
      <c r="B914">
        <v>30</v>
      </c>
      <c r="C914" t="s">
        <v>21</v>
      </c>
      <c r="D914" t="s">
        <v>30</v>
      </c>
      <c r="E914" s="4">
        <f t="shared" ca="1" si="14"/>
        <v>779582404.06399989</v>
      </c>
    </row>
    <row r="915" spans="1:5" hidden="1" x14ac:dyDescent="0.25">
      <c r="A915">
        <v>22</v>
      </c>
      <c r="B915">
        <v>31</v>
      </c>
      <c r="C915" t="s">
        <v>21</v>
      </c>
      <c r="D915" t="s">
        <v>31</v>
      </c>
      <c r="E915" s="4">
        <f t="shared" ca="1" si="14"/>
        <v>517923248.95999998</v>
      </c>
    </row>
    <row r="916" spans="1:5" hidden="1" x14ac:dyDescent="0.25">
      <c r="A916">
        <v>22</v>
      </c>
      <c r="B916">
        <v>32</v>
      </c>
      <c r="C916" t="s">
        <v>21</v>
      </c>
      <c r="D916" t="s">
        <v>32</v>
      </c>
      <c r="E916" s="4">
        <f t="shared" ca="1" si="14"/>
        <v>375476715.23999995</v>
      </c>
    </row>
    <row r="917" spans="1:5" hidden="1" x14ac:dyDescent="0.25">
      <c r="A917">
        <v>22</v>
      </c>
      <c r="B917">
        <v>33</v>
      </c>
      <c r="C917" t="s">
        <v>21</v>
      </c>
      <c r="D917" t="s">
        <v>33</v>
      </c>
      <c r="E917" s="4">
        <f t="shared" ca="1" si="14"/>
        <v>2719646299.079999</v>
      </c>
    </row>
    <row r="918" spans="1:5" hidden="1" x14ac:dyDescent="0.25">
      <c r="A918">
        <v>22</v>
      </c>
      <c r="B918">
        <v>34</v>
      </c>
      <c r="C918" t="s">
        <v>21</v>
      </c>
      <c r="D918" t="s">
        <v>34</v>
      </c>
      <c r="E918" s="4">
        <f t="shared" ca="1" si="14"/>
        <v>11550100147.20001</v>
      </c>
    </row>
    <row r="919" spans="1:5" hidden="1" x14ac:dyDescent="0.25">
      <c r="A919">
        <v>22</v>
      </c>
      <c r="B919">
        <v>35</v>
      </c>
      <c r="C919" t="s">
        <v>21</v>
      </c>
      <c r="D919" t="s">
        <v>35</v>
      </c>
      <c r="E919" s="4">
        <f t="shared" ca="1" si="14"/>
        <v>1142609646.8000004</v>
      </c>
    </row>
    <row r="920" spans="1:5" hidden="1" x14ac:dyDescent="0.25">
      <c r="A920">
        <v>22</v>
      </c>
      <c r="B920">
        <v>36</v>
      </c>
      <c r="C920" t="s">
        <v>21</v>
      </c>
      <c r="D920" t="s">
        <v>36</v>
      </c>
      <c r="E920" s="4">
        <f t="shared" ref="E920:E982" ca="1" si="15">OFFSET($B$2,A920,B920)</f>
        <v>801977576.03999972</v>
      </c>
    </row>
    <row r="921" spans="1:5" hidden="1" x14ac:dyDescent="0.25">
      <c r="A921">
        <v>22</v>
      </c>
      <c r="B921">
        <v>37</v>
      </c>
      <c r="C921" t="s">
        <v>21</v>
      </c>
      <c r="D921" t="s">
        <v>37</v>
      </c>
      <c r="E921" s="4">
        <f t="shared" ca="1" si="15"/>
        <v>1699580020.9600039</v>
      </c>
    </row>
    <row r="922" spans="1:5" hidden="1" x14ac:dyDescent="0.25">
      <c r="A922">
        <v>22</v>
      </c>
      <c r="B922">
        <v>38</v>
      </c>
      <c r="C922" t="s">
        <v>21</v>
      </c>
      <c r="D922" t="s">
        <v>38</v>
      </c>
      <c r="E922" s="4">
        <f t="shared" ca="1" si="15"/>
        <v>609020546.39999986</v>
      </c>
    </row>
    <row r="923" spans="1:5" hidden="1" x14ac:dyDescent="0.25">
      <c r="A923">
        <v>22</v>
      </c>
      <c r="B923">
        <v>39</v>
      </c>
      <c r="C923" t="s">
        <v>21</v>
      </c>
      <c r="D923" t="s">
        <v>39</v>
      </c>
      <c r="E923" s="4">
        <f t="shared" ca="1" si="15"/>
        <v>952186771.80000031</v>
      </c>
    </row>
    <row r="924" spans="1:5" hidden="1" x14ac:dyDescent="0.25">
      <c r="A924">
        <v>22</v>
      </c>
      <c r="B924">
        <v>40</v>
      </c>
      <c r="C924" t="s">
        <v>21</v>
      </c>
      <c r="D924" t="s">
        <v>40</v>
      </c>
      <c r="E924" s="4">
        <f t="shared" ca="1" si="15"/>
        <v>1462151434.8799996</v>
      </c>
    </row>
    <row r="925" spans="1:5" hidden="1" x14ac:dyDescent="0.25">
      <c r="A925">
        <v>23</v>
      </c>
      <c r="B925">
        <v>1</v>
      </c>
      <c r="C925" t="s">
        <v>22</v>
      </c>
      <c r="D925" t="s">
        <v>0</v>
      </c>
      <c r="E925" s="4">
        <f t="shared" ca="1" si="15"/>
        <v>2885754110.5914278</v>
      </c>
    </row>
    <row r="926" spans="1:5" hidden="1" x14ac:dyDescent="0.25">
      <c r="A926">
        <v>23</v>
      </c>
      <c r="B926">
        <v>2</v>
      </c>
      <c r="C926" t="s">
        <v>22</v>
      </c>
      <c r="D926" t="s">
        <v>1</v>
      </c>
      <c r="E926" s="4">
        <f t="shared" ca="1" si="15"/>
        <v>620036776.84571338</v>
      </c>
    </row>
    <row r="927" spans="1:5" hidden="1" x14ac:dyDescent="0.25">
      <c r="A927">
        <v>23</v>
      </c>
      <c r="B927">
        <v>3</v>
      </c>
      <c r="C927" t="s">
        <v>22</v>
      </c>
      <c r="D927" t="s">
        <v>2</v>
      </c>
      <c r="E927" s="4">
        <f t="shared" ca="1" si="15"/>
        <v>472203718.62857181</v>
      </c>
    </row>
    <row r="928" spans="1:5" hidden="1" x14ac:dyDescent="0.25">
      <c r="A928">
        <v>23</v>
      </c>
      <c r="B928">
        <v>4</v>
      </c>
      <c r="C928" t="s">
        <v>22</v>
      </c>
      <c r="D928" t="s">
        <v>3</v>
      </c>
      <c r="E928" s="4">
        <f t="shared" ca="1" si="15"/>
        <v>1726493194.0199983</v>
      </c>
    </row>
    <row r="929" spans="1:5" hidden="1" x14ac:dyDescent="0.25">
      <c r="A929">
        <v>23</v>
      </c>
      <c r="B929">
        <v>5</v>
      </c>
      <c r="C929" t="s">
        <v>22</v>
      </c>
      <c r="D929" t="s">
        <v>4</v>
      </c>
      <c r="E929" s="4">
        <f t="shared" ca="1" si="15"/>
        <v>3994730230.7485738</v>
      </c>
    </row>
    <row r="930" spans="1:5" hidden="1" x14ac:dyDescent="0.25">
      <c r="A930">
        <v>23</v>
      </c>
      <c r="B930">
        <v>6</v>
      </c>
      <c r="C930" t="s">
        <v>22</v>
      </c>
      <c r="D930" t="s">
        <v>5</v>
      </c>
      <c r="E930" s="4">
        <f t="shared" ca="1" si="15"/>
        <v>1018450648.0685704</v>
      </c>
    </row>
    <row r="931" spans="1:5" hidden="1" x14ac:dyDescent="0.25">
      <c r="A931">
        <v>23</v>
      </c>
      <c r="B931">
        <v>7</v>
      </c>
      <c r="C931" t="s">
        <v>22</v>
      </c>
      <c r="D931" t="s">
        <v>6</v>
      </c>
      <c r="E931" s="4">
        <f t="shared" ca="1" si="15"/>
        <v>343736271.1314283</v>
      </c>
    </row>
    <row r="932" spans="1:5" hidden="1" x14ac:dyDescent="0.25">
      <c r="A932">
        <v>23</v>
      </c>
      <c r="B932">
        <v>8</v>
      </c>
      <c r="C932" t="s">
        <v>22</v>
      </c>
      <c r="D932" t="s">
        <v>7</v>
      </c>
      <c r="E932" s="4">
        <f t="shared" ca="1" si="15"/>
        <v>1887543671.1999977</v>
      </c>
    </row>
    <row r="933" spans="1:5" hidden="1" x14ac:dyDescent="0.25">
      <c r="A933">
        <v>23</v>
      </c>
      <c r="B933">
        <v>9</v>
      </c>
      <c r="C933" t="s">
        <v>22</v>
      </c>
      <c r="D933" t="s">
        <v>148</v>
      </c>
      <c r="E933" s="4">
        <f t="shared" ca="1" si="15"/>
        <v>86936763.305454507</v>
      </c>
    </row>
    <row r="934" spans="1:5" hidden="1" x14ac:dyDescent="0.25">
      <c r="A934">
        <v>23</v>
      </c>
      <c r="B934">
        <v>10</v>
      </c>
      <c r="C934" t="s">
        <v>22</v>
      </c>
      <c r="D934" t="s">
        <v>9</v>
      </c>
      <c r="E934" s="4">
        <f t="shared" ca="1" si="15"/>
        <v>1400081565.7200007</v>
      </c>
    </row>
    <row r="935" spans="1:5" hidden="1" x14ac:dyDescent="0.25">
      <c r="A935">
        <v>23</v>
      </c>
      <c r="B935">
        <v>11</v>
      </c>
      <c r="C935" t="s">
        <v>22</v>
      </c>
      <c r="D935" t="s">
        <v>10</v>
      </c>
      <c r="E935" s="4">
        <f t="shared" ca="1" si="15"/>
        <v>1584516150.7199988</v>
      </c>
    </row>
    <row r="936" spans="1:5" hidden="1" x14ac:dyDescent="0.25">
      <c r="A936">
        <v>23</v>
      </c>
      <c r="B936">
        <v>12</v>
      </c>
      <c r="C936" t="s">
        <v>22</v>
      </c>
      <c r="D936" t="s">
        <v>11</v>
      </c>
      <c r="E936" s="4">
        <f t="shared" ca="1" si="15"/>
        <v>1041024396.2399999</v>
      </c>
    </row>
    <row r="937" spans="1:5" hidden="1" x14ac:dyDescent="0.25">
      <c r="A937">
        <v>23</v>
      </c>
      <c r="B937">
        <v>13</v>
      </c>
      <c r="C937" t="s">
        <v>22</v>
      </c>
      <c r="D937" t="s">
        <v>12</v>
      </c>
      <c r="E937" s="4">
        <f t="shared" ca="1" si="15"/>
        <v>194057812.4800002</v>
      </c>
    </row>
    <row r="938" spans="1:5" hidden="1" x14ac:dyDescent="0.25">
      <c r="A938">
        <v>23</v>
      </c>
      <c r="B938">
        <v>14</v>
      </c>
      <c r="C938" t="s">
        <v>22</v>
      </c>
      <c r="D938" t="s">
        <v>13</v>
      </c>
      <c r="E938" s="4">
        <f t="shared" ca="1" si="15"/>
        <v>989537375.75999928</v>
      </c>
    </row>
    <row r="939" spans="1:5" hidden="1" x14ac:dyDescent="0.25">
      <c r="A939">
        <v>23</v>
      </c>
      <c r="B939">
        <v>15</v>
      </c>
      <c r="C939" t="s">
        <v>22</v>
      </c>
      <c r="D939" t="s">
        <v>14</v>
      </c>
      <c r="E939" s="4">
        <f t="shared" ca="1" si="15"/>
        <v>1901217673.3599985</v>
      </c>
    </row>
    <row r="940" spans="1:5" hidden="1" x14ac:dyDescent="0.25">
      <c r="A940">
        <v>23</v>
      </c>
      <c r="B940">
        <v>16</v>
      </c>
      <c r="C940" t="s">
        <v>22</v>
      </c>
      <c r="D940" t="s">
        <v>15</v>
      </c>
      <c r="E940" s="4">
        <f t="shared" ca="1" si="15"/>
        <v>2342399179.0800018</v>
      </c>
    </row>
    <row r="941" spans="1:5" hidden="1" x14ac:dyDescent="0.25">
      <c r="A941">
        <v>23</v>
      </c>
      <c r="B941">
        <v>17</v>
      </c>
      <c r="C941" t="s">
        <v>22</v>
      </c>
      <c r="D941" t="s">
        <v>16</v>
      </c>
      <c r="E941" s="4">
        <f t="shared" ca="1" si="15"/>
        <v>5313926938</v>
      </c>
    </row>
    <row r="942" spans="1:5" hidden="1" x14ac:dyDescent="0.25">
      <c r="A942">
        <v>23</v>
      </c>
      <c r="B942">
        <v>18</v>
      </c>
      <c r="C942" t="s">
        <v>22</v>
      </c>
      <c r="D942" t="s">
        <v>17</v>
      </c>
      <c r="E942" s="4">
        <f t="shared" ca="1" si="15"/>
        <v>1674429861.4799979</v>
      </c>
    </row>
    <row r="943" spans="1:5" hidden="1" x14ac:dyDescent="0.25">
      <c r="A943">
        <v>23</v>
      </c>
      <c r="B943">
        <v>19</v>
      </c>
      <c r="C943" t="s">
        <v>22</v>
      </c>
      <c r="D943" t="s">
        <v>18</v>
      </c>
      <c r="E943" s="4">
        <f t="shared" ca="1" si="15"/>
        <v>38830395.360000059</v>
      </c>
    </row>
    <row r="944" spans="1:5" hidden="1" x14ac:dyDescent="0.25">
      <c r="A944">
        <v>23</v>
      </c>
      <c r="B944">
        <v>20</v>
      </c>
      <c r="C944" t="s">
        <v>22</v>
      </c>
      <c r="D944" t="s">
        <v>19</v>
      </c>
      <c r="E944" s="4">
        <f t="shared" ca="1" si="15"/>
        <v>1176586402.3199997</v>
      </c>
    </row>
    <row r="945" spans="1:5" hidden="1" x14ac:dyDescent="0.25">
      <c r="A945">
        <v>23</v>
      </c>
      <c r="B945">
        <v>21</v>
      </c>
      <c r="C945" t="s">
        <v>22</v>
      </c>
      <c r="D945" t="s">
        <v>20</v>
      </c>
      <c r="E945" s="4">
        <f t="shared" ca="1" si="15"/>
        <v>916724391.12000024</v>
      </c>
    </row>
    <row r="946" spans="1:5" hidden="1" x14ac:dyDescent="0.25">
      <c r="A946">
        <v>23</v>
      </c>
      <c r="B946">
        <v>22</v>
      </c>
      <c r="C946" t="s">
        <v>22</v>
      </c>
      <c r="D946" t="s">
        <v>21</v>
      </c>
      <c r="E946" s="4">
        <f t="shared" ca="1" si="15"/>
        <v>270034618.07999939</v>
      </c>
    </row>
    <row r="947" spans="1:5" hidden="1" x14ac:dyDescent="0.25">
      <c r="A947">
        <v>23</v>
      </c>
      <c r="B947">
        <v>23</v>
      </c>
      <c r="C947" t="s">
        <v>22</v>
      </c>
      <c r="D947" t="s">
        <v>22</v>
      </c>
      <c r="E947" s="4">
        <f t="shared" ca="1" si="15"/>
        <v>0</v>
      </c>
    </row>
    <row r="948" spans="1:5" hidden="1" x14ac:dyDescent="0.25">
      <c r="A948">
        <v>23</v>
      </c>
      <c r="B948">
        <v>24</v>
      </c>
      <c r="C948" t="s">
        <v>22</v>
      </c>
      <c r="D948" t="s">
        <v>23</v>
      </c>
      <c r="E948" s="4">
        <f t="shared" ca="1" si="15"/>
        <v>189072157.55999988</v>
      </c>
    </row>
    <row r="949" spans="1:5" hidden="1" x14ac:dyDescent="0.25">
      <c r="A949">
        <v>23</v>
      </c>
      <c r="B949">
        <v>25</v>
      </c>
      <c r="C949" t="s">
        <v>22</v>
      </c>
      <c r="D949" t="s">
        <v>24</v>
      </c>
      <c r="E949" s="4">
        <f t="shared" ca="1" si="15"/>
        <v>83454340.600000039</v>
      </c>
    </row>
    <row r="950" spans="1:5" hidden="1" x14ac:dyDescent="0.25">
      <c r="A950">
        <v>23</v>
      </c>
      <c r="B950">
        <v>26</v>
      </c>
      <c r="C950" t="s">
        <v>22</v>
      </c>
      <c r="D950" t="s">
        <v>25</v>
      </c>
      <c r="E950" s="4">
        <f t="shared" ca="1" si="15"/>
        <v>138342128.03999996</v>
      </c>
    </row>
    <row r="951" spans="1:5" hidden="1" x14ac:dyDescent="0.25">
      <c r="A951">
        <v>23</v>
      </c>
      <c r="B951">
        <v>27</v>
      </c>
      <c r="C951" t="s">
        <v>22</v>
      </c>
      <c r="D951" t="s">
        <v>145</v>
      </c>
      <c r="E951" s="4">
        <f t="shared" ca="1" si="15"/>
        <v>807447065.39999998</v>
      </c>
    </row>
    <row r="952" spans="1:5" hidden="1" x14ac:dyDescent="0.25">
      <c r="A952">
        <v>23</v>
      </c>
      <c r="B952">
        <v>28</v>
      </c>
      <c r="C952" t="s">
        <v>22</v>
      </c>
      <c r="D952" t="s">
        <v>147</v>
      </c>
      <c r="E952" s="4">
        <f t="shared" ca="1" si="15"/>
        <v>417879612.708</v>
      </c>
    </row>
    <row r="953" spans="1:5" hidden="1" x14ac:dyDescent="0.25">
      <c r="A953">
        <v>23</v>
      </c>
      <c r="B953">
        <v>29</v>
      </c>
      <c r="C953" t="s">
        <v>22</v>
      </c>
      <c r="D953" t="s">
        <v>146</v>
      </c>
      <c r="E953" s="4">
        <f t="shared" ca="1" si="15"/>
        <v>585927870.03999996</v>
      </c>
    </row>
    <row r="954" spans="1:5" hidden="1" x14ac:dyDescent="0.25">
      <c r="A954">
        <v>23</v>
      </c>
      <c r="B954">
        <v>30</v>
      </c>
      <c r="C954" t="s">
        <v>22</v>
      </c>
      <c r="D954" t="s">
        <v>30</v>
      </c>
      <c r="E954" s="4">
        <f t="shared" ca="1" si="15"/>
        <v>404700980.40000004</v>
      </c>
    </row>
    <row r="955" spans="1:5" hidden="1" x14ac:dyDescent="0.25">
      <c r="A955">
        <v>23</v>
      </c>
      <c r="B955">
        <v>31</v>
      </c>
      <c r="C955" t="s">
        <v>22</v>
      </c>
      <c r="D955" t="s">
        <v>31</v>
      </c>
      <c r="E955" s="4">
        <f t="shared" ca="1" si="15"/>
        <v>157321979.36000007</v>
      </c>
    </row>
    <row r="956" spans="1:5" hidden="1" x14ac:dyDescent="0.25">
      <c r="A956">
        <v>23</v>
      </c>
      <c r="B956">
        <v>32</v>
      </c>
      <c r="C956" t="s">
        <v>22</v>
      </c>
      <c r="D956" t="s">
        <v>32</v>
      </c>
      <c r="E956" s="4">
        <f t="shared" ca="1" si="15"/>
        <v>52816018.879999988</v>
      </c>
    </row>
    <row r="957" spans="1:5" hidden="1" x14ac:dyDescent="0.25">
      <c r="A957">
        <v>23</v>
      </c>
      <c r="B957">
        <v>33</v>
      </c>
      <c r="C957" t="s">
        <v>22</v>
      </c>
      <c r="D957" t="s">
        <v>33</v>
      </c>
      <c r="E957" s="4">
        <f t="shared" ca="1" si="15"/>
        <v>2398915878.3599987</v>
      </c>
    </row>
    <row r="958" spans="1:5" hidden="1" x14ac:dyDescent="0.25">
      <c r="A958">
        <v>23</v>
      </c>
      <c r="B958">
        <v>34</v>
      </c>
      <c r="C958" t="s">
        <v>22</v>
      </c>
      <c r="D958" t="s">
        <v>34</v>
      </c>
      <c r="E958" s="4">
        <f t="shared" ca="1" si="15"/>
        <v>11315471006.400009</v>
      </c>
    </row>
    <row r="959" spans="1:5" hidden="1" x14ac:dyDescent="0.25">
      <c r="A959">
        <v>23</v>
      </c>
      <c r="B959">
        <v>35</v>
      </c>
      <c r="C959" t="s">
        <v>22</v>
      </c>
      <c r="D959" t="s">
        <v>35</v>
      </c>
      <c r="E959" s="4">
        <f t="shared" ca="1" si="15"/>
        <v>853631961.6000005</v>
      </c>
    </row>
    <row r="960" spans="1:5" hidden="1" x14ac:dyDescent="0.25">
      <c r="A960">
        <v>23</v>
      </c>
      <c r="B960">
        <v>36</v>
      </c>
      <c r="C960" t="s">
        <v>22</v>
      </c>
      <c r="D960" t="s">
        <v>36</v>
      </c>
      <c r="E960" s="4">
        <f t="shared" ca="1" si="15"/>
        <v>285984041.15999973</v>
      </c>
    </row>
    <row r="961" spans="1:5" hidden="1" x14ac:dyDescent="0.25">
      <c r="A961">
        <v>23</v>
      </c>
      <c r="B961">
        <v>37</v>
      </c>
      <c r="C961" t="s">
        <v>22</v>
      </c>
      <c r="D961" t="s">
        <v>37</v>
      </c>
      <c r="E961" s="4">
        <f t="shared" ca="1" si="15"/>
        <v>972074055.60000396</v>
      </c>
    </row>
    <row r="962" spans="1:5" hidden="1" x14ac:dyDescent="0.25">
      <c r="A962">
        <v>23</v>
      </c>
      <c r="B962">
        <v>38</v>
      </c>
      <c r="C962" t="s">
        <v>22</v>
      </c>
      <c r="D962" t="s">
        <v>38</v>
      </c>
      <c r="E962" s="4">
        <f t="shared" ca="1" si="15"/>
        <v>61988919.68</v>
      </c>
    </row>
    <row r="963" spans="1:5" hidden="1" x14ac:dyDescent="0.25">
      <c r="A963">
        <v>23</v>
      </c>
      <c r="B963">
        <v>39</v>
      </c>
      <c r="C963" t="s">
        <v>22</v>
      </c>
      <c r="D963" t="s">
        <v>39</v>
      </c>
      <c r="E963" s="4">
        <f t="shared" ca="1" si="15"/>
        <v>314271931.28000033</v>
      </c>
    </row>
    <row r="964" spans="1:5" hidden="1" x14ac:dyDescent="0.25">
      <c r="A964">
        <v>23</v>
      </c>
      <c r="B964">
        <v>40</v>
      </c>
      <c r="C964" t="s">
        <v>22</v>
      </c>
      <c r="D964" t="s">
        <v>40</v>
      </c>
      <c r="E964" s="4">
        <f t="shared" ca="1" si="15"/>
        <v>821281863.5999999</v>
      </c>
    </row>
    <row r="965" spans="1:5" hidden="1" x14ac:dyDescent="0.25">
      <c r="A965">
        <v>24</v>
      </c>
      <c r="B965">
        <v>1</v>
      </c>
      <c r="C965" t="s">
        <v>23</v>
      </c>
      <c r="D965" t="s">
        <v>0</v>
      </c>
      <c r="E965" s="4">
        <f t="shared" ca="1" si="15"/>
        <v>4780513894.4514265</v>
      </c>
    </row>
    <row r="966" spans="1:5" hidden="1" x14ac:dyDescent="0.25">
      <c r="A966">
        <v>24</v>
      </c>
      <c r="B966">
        <v>2</v>
      </c>
      <c r="C966" t="s">
        <v>23</v>
      </c>
      <c r="D966" t="s">
        <v>1</v>
      </c>
      <c r="E966" s="4">
        <f t="shared" ca="1" si="15"/>
        <v>1170517280.8657131</v>
      </c>
    </row>
    <row r="967" spans="1:5" hidden="1" x14ac:dyDescent="0.25">
      <c r="A967">
        <v>24</v>
      </c>
      <c r="B967">
        <v>3</v>
      </c>
      <c r="C967" t="s">
        <v>23</v>
      </c>
      <c r="D967" t="s">
        <v>2</v>
      </c>
      <c r="E967" s="4">
        <f t="shared" ca="1" si="15"/>
        <v>931434227.34857213</v>
      </c>
    </row>
    <row r="968" spans="1:5" hidden="1" x14ac:dyDescent="0.25">
      <c r="A968">
        <v>24</v>
      </c>
      <c r="B968">
        <v>4</v>
      </c>
      <c r="C968" t="s">
        <v>23</v>
      </c>
      <c r="D968" t="s">
        <v>3</v>
      </c>
      <c r="E968" s="4">
        <f t="shared" ca="1" si="15"/>
        <v>2538903284.2799978</v>
      </c>
    </row>
    <row r="969" spans="1:5" hidden="1" x14ac:dyDescent="0.25">
      <c r="A969">
        <v>24</v>
      </c>
      <c r="B969">
        <v>5</v>
      </c>
      <c r="C969" t="s">
        <v>23</v>
      </c>
      <c r="D969" t="s">
        <v>4</v>
      </c>
      <c r="E969" s="4">
        <f t="shared" ca="1" si="15"/>
        <v>5459552903.5285749</v>
      </c>
    </row>
    <row r="970" spans="1:5" hidden="1" x14ac:dyDescent="0.25">
      <c r="A970">
        <v>24</v>
      </c>
      <c r="B970">
        <v>6</v>
      </c>
      <c r="C970" t="s">
        <v>23</v>
      </c>
      <c r="D970" t="s">
        <v>5</v>
      </c>
      <c r="E970" s="4">
        <f t="shared" ca="1" si="15"/>
        <v>1549245120.8885701</v>
      </c>
    </row>
    <row r="971" spans="1:5" hidden="1" x14ac:dyDescent="0.25">
      <c r="A971">
        <v>24</v>
      </c>
      <c r="B971">
        <v>7</v>
      </c>
      <c r="C971" t="s">
        <v>23</v>
      </c>
      <c r="D971" t="s">
        <v>6</v>
      </c>
      <c r="E971" s="4">
        <f t="shared" ca="1" si="15"/>
        <v>681658033.15142822</v>
      </c>
    </row>
    <row r="972" spans="1:5" hidden="1" x14ac:dyDescent="0.25">
      <c r="A972">
        <v>24</v>
      </c>
      <c r="B972">
        <v>8</v>
      </c>
      <c r="C972" t="s">
        <v>23</v>
      </c>
      <c r="D972" t="s">
        <v>7</v>
      </c>
      <c r="E972" s="4">
        <f t="shared" ca="1" si="15"/>
        <v>2764718846.4971399</v>
      </c>
    </row>
    <row r="973" spans="1:5" hidden="1" x14ac:dyDescent="0.25">
      <c r="A973">
        <v>24</v>
      </c>
      <c r="B973">
        <v>9</v>
      </c>
      <c r="C973" t="s">
        <v>23</v>
      </c>
      <c r="D973" t="s">
        <v>148</v>
      </c>
      <c r="E973" s="4">
        <f t="shared" ca="1" si="15"/>
        <v>236603482.92363629</v>
      </c>
    </row>
    <row r="974" spans="1:5" hidden="1" x14ac:dyDescent="0.25">
      <c r="A974">
        <v>24</v>
      </c>
      <c r="B974">
        <v>10</v>
      </c>
      <c r="C974" t="s">
        <v>23</v>
      </c>
      <c r="D974" t="s">
        <v>9</v>
      </c>
      <c r="E974" s="4">
        <f t="shared" ca="1" si="15"/>
        <v>2052976045.5000012</v>
      </c>
    </row>
    <row r="975" spans="1:5" hidden="1" x14ac:dyDescent="0.25">
      <c r="A975">
        <v>24</v>
      </c>
      <c r="B975">
        <v>11</v>
      </c>
      <c r="C975" t="s">
        <v>23</v>
      </c>
      <c r="D975" t="s">
        <v>10</v>
      </c>
      <c r="E975" s="4">
        <f t="shared" ca="1" si="15"/>
        <v>1241394781.4399991</v>
      </c>
    </row>
    <row r="976" spans="1:5" hidden="1" x14ac:dyDescent="0.25">
      <c r="A976">
        <v>24</v>
      </c>
      <c r="B976">
        <v>12</v>
      </c>
      <c r="C976" t="s">
        <v>23</v>
      </c>
      <c r="D976" t="s">
        <v>11</v>
      </c>
      <c r="E976" s="4">
        <f t="shared" ca="1" si="15"/>
        <v>713736910.08000004</v>
      </c>
    </row>
    <row r="977" spans="1:5" hidden="1" x14ac:dyDescent="0.25">
      <c r="A977">
        <v>24</v>
      </c>
      <c r="B977">
        <v>13</v>
      </c>
      <c r="C977" t="s">
        <v>23</v>
      </c>
      <c r="D977" t="s">
        <v>12</v>
      </c>
      <c r="E977" s="4">
        <f t="shared" ca="1" si="15"/>
        <v>176556508.24000007</v>
      </c>
    </row>
    <row r="978" spans="1:5" hidden="1" x14ac:dyDescent="0.25">
      <c r="A978">
        <v>24</v>
      </c>
      <c r="B978">
        <v>14</v>
      </c>
      <c r="C978" t="s">
        <v>23</v>
      </c>
      <c r="D978" t="s">
        <v>13</v>
      </c>
      <c r="E978" s="4">
        <f t="shared" ca="1" si="15"/>
        <v>492428037.11999971</v>
      </c>
    </row>
    <row r="979" spans="1:5" hidden="1" x14ac:dyDescent="0.25">
      <c r="A979">
        <v>24</v>
      </c>
      <c r="B979">
        <v>15</v>
      </c>
      <c r="C979" t="s">
        <v>23</v>
      </c>
      <c r="D979" t="s">
        <v>14</v>
      </c>
      <c r="E979" s="4">
        <f t="shared" ca="1" si="15"/>
        <v>1451260629.1199992</v>
      </c>
    </row>
    <row r="980" spans="1:5" hidden="1" x14ac:dyDescent="0.25">
      <c r="A980">
        <v>24</v>
      </c>
      <c r="B980">
        <v>16</v>
      </c>
      <c r="C980" t="s">
        <v>23</v>
      </c>
      <c r="D980" t="s">
        <v>15</v>
      </c>
      <c r="E980" s="4">
        <f t="shared" ca="1" si="15"/>
        <v>1599274561.6000013</v>
      </c>
    </row>
    <row r="981" spans="1:5" hidden="1" x14ac:dyDescent="0.25">
      <c r="A981">
        <v>24</v>
      </c>
      <c r="B981">
        <v>17</v>
      </c>
      <c r="C981" t="s">
        <v>23</v>
      </c>
      <c r="D981" t="s">
        <v>16</v>
      </c>
      <c r="E981" s="4">
        <f t="shared" ca="1" si="15"/>
        <v>4037279779.1200004</v>
      </c>
    </row>
    <row r="982" spans="1:5" hidden="1" x14ac:dyDescent="0.25">
      <c r="A982">
        <v>24</v>
      </c>
      <c r="B982">
        <v>18</v>
      </c>
      <c r="C982" t="s">
        <v>23</v>
      </c>
      <c r="D982" t="s">
        <v>17</v>
      </c>
      <c r="E982" s="4">
        <f t="shared" ca="1" si="15"/>
        <v>1406924141.9999983</v>
      </c>
    </row>
    <row r="983" spans="1:5" hidden="1" x14ac:dyDescent="0.25">
      <c r="A983">
        <v>24</v>
      </c>
      <c r="B983">
        <v>19</v>
      </c>
      <c r="C983" t="s">
        <v>23</v>
      </c>
      <c r="D983" t="s">
        <v>18</v>
      </c>
      <c r="E983" s="4">
        <f t="shared" ref="E983:E1044" ca="1" si="16">OFFSET($B$2,A983,B983)</f>
        <v>162615203.5200001</v>
      </c>
    </row>
    <row r="984" spans="1:5" hidden="1" x14ac:dyDescent="0.25">
      <c r="A984">
        <v>24</v>
      </c>
      <c r="B984">
        <v>20</v>
      </c>
      <c r="C984" t="s">
        <v>23</v>
      </c>
      <c r="D984" t="s">
        <v>19</v>
      </c>
      <c r="E984" s="4">
        <f t="shared" ca="1" si="16"/>
        <v>2231119928.3199997</v>
      </c>
    </row>
    <row r="985" spans="1:5" hidden="1" x14ac:dyDescent="0.25">
      <c r="A985">
        <v>24</v>
      </c>
      <c r="B985">
        <v>21</v>
      </c>
      <c r="C985" t="s">
        <v>23</v>
      </c>
      <c r="D985" t="s">
        <v>20</v>
      </c>
      <c r="E985" s="4">
        <f t="shared" ca="1" si="16"/>
        <v>1756786485.6000004</v>
      </c>
    </row>
    <row r="986" spans="1:5" hidden="1" x14ac:dyDescent="0.25">
      <c r="A986">
        <v>24</v>
      </c>
      <c r="B986">
        <v>22</v>
      </c>
      <c r="C986" t="s">
        <v>23</v>
      </c>
      <c r="D986" t="s">
        <v>21</v>
      </c>
      <c r="E986" s="4">
        <f t="shared" ca="1" si="16"/>
        <v>542030518.799999</v>
      </c>
    </row>
    <row r="987" spans="1:5" hidden="1" x14ac:dyDescent="0.25">
      <c r="A987">
        <v>24</v>
      </c>
      <c r="B987">
        <v>23</v>
      </c>
      <c r="C987" t="s">
        <v>23</v>
      </c>
      <c r="D987" t="s">
        <v>22</v>
      </c>
      <c r="E987" s="4">
        <f t="shared" ca="1" si="16"/>
        <v>228941770.20000005</v>
      </c>
    </row>
    <row r="988" spans="1:5" hidden="1" x14ac:dyDescent="0.25">
      <c r="A988">
        <v>24</v>
      </c>
      <c r="B988">
        <v>24</v>
      </c>
      <c r="C988" t="s">
        <v>23</v>
      </c>
      <c r="D988" t="s">
        <v>23</v>
      </c>
      <c r="E988" s="4">
        <f t="shared" ca="1" si="16"/>
        <v>0</v>
      </c>
    </row>
    <row r="989" spans="1:5" hidden="1" x14ac:dyDescent="0.25">
      <c r="A989">
        <v>24</v>
      </c>
      <c r="B989">
        <v>25</v>
      </c>
      <c r="C989" t="s">
        <v>23</v>
      </c>
      <c r="D989" t="s">
        <v>24</v>
      </c>
      <c r="E989" s="4">
        <f t="shared" ca="1" si="16"/>
        <v>90030074.88000004</v>
      </c>
    </row>
    <row r="990" spans="1:5" hidden="1" x14ac:dyDescent="0.25">
      <c r="A990">
        <v>24</v>
      </c>
      <c r="B990">
        <v>26</v>
      </c>
      <c r="C990" t="s">
        <v>23</v>
      </c>
      <c r="D990" t="s">
        <v>25</v>
      </c>
      <c r="E990" s="4">
        <f t="shared" ca="1" si="16"/>
        <v>187140193.19999999</v>
      </c>
    </row>
    <row r="991" spans="1:5" hidden="1" x14ac:dyDescent="0.25">
      <c r="A991">
        <v>24</v>
      </c>
      <c r="B991">
        <v>27</v>
      </c>
      <c r="C991" t="s">
        <v>23</v>
      </c>
      <c r="D991" t="s">
        <v>145</v>
      </c>
      <c r="E991" s="4">
        <f t="shared" ca="1" si="16"/>
        <v>2032111532.1599998</v>
      </c>
    </row>
    <row r="992" spans="1:5" hidden="1" x14ac:dyDescent="0.25">
      <c r="A992">
        <v>24</v>
      </c>
      <c r="B992">
        <v>28</v>
      </c>
      <c r="C992" t="s">
        <v>23</v>
      </c>
      <c r="D992" t="s">
        <v>147</v>
      </c>
      <c r="E992" s="4">
        <f t="shared" ca="1" si="16"/>
        <v>1011381422.248</v>
      </c>
    </row>
    <row r="993" spans="1:5" hidden="1" x14ac:dyDescent="0.25">
      <c r="A993">
        <v>24</v>
      </c>
      <c r="B993">
        <v>29</v>
      </c>
      <c r="C993" t="s">
        <v>23</v>
      </c>
      <c r="D993" t="s">
        <v>146</v>
      </c>
      <c r="E993" s="4">
        <f t="shared" ca="1" si="16"/>
        <v>147508471.71799996</v>
      </c>
    </row>
    <row r="994" spans="1:5" hidden="1" x14ac:dyDescent="0.25">
      <c r="A994">
        <v>24</v>
      </c>
      <c r="B994">
        <v>30</v>
      </c>
      <c r="C994" t="s">
        <v>23</v>
      </c>
      <c r="D994" t="s">
        <v>30</v>
      </c>
      <c r="E994" s="4">
        <f t="shared" ca="1" si="16"/>
        <v>758791011.49199998</v>
      </c>
    </row>
    <row r="995" spans="1:5" hidden="1" x14ac:dyDescent="0.25">
      <c r="A995">
        <v>24</v>
      </c>
      <c r="B995">
        <v>31</v>
      </c>
      <c r="C995" t="s">
        <v>23</v>
      </c>
      <c r="D995" t="s">
        <v>31</v>
      </c>
      <c r="E995" s="4">
        <f t="shared" ca="1" si="16"/>
        <v>410658122.00000006</v>
      </c>
    </row>
    <row r="996" spans="1:5" hidden="1" x14ac:dyDescent="0.25">
      <c r="A996">
        <v>24</v>
      </c>
      <c r="B996">
        <v>32</v>
      </c>
      <c r="C996" t="s">
        <v>23</v>
      </c>
      <c r="D996" t="s">
        <v>32</v>
      </c>
      <c r="E996" s="4">
        <f t="shared" ca="1" si="16"/>
        <v>251578661.83999994</v>
      </c>
    </row>
    <row r="997" spans="1:5" hidden="1" x14ac:dyDescent="0.25">
      <c r="A997">
        <v>24</v>
      </c>
      <c r="B997">
        <v>33</v>
      </c>
      <c r="C997" t="s">
        <v>23</v>
      </c>
      <c r="D997" t="s">
        <v>33</v>
      </c>
      <c r="E997" s="4">
        <f t="shared" ca="1" si="16"/>
        <v>3794631214.079998</v>
      </c>
    </row>
    <row r="998" spans="1:5" hidden="1" x14ac:dyDescent="0.25">
      <c r="A998">
        <v>24</v>
      </c>
      <c r="B998">
        <v>34</v>
      </c>
      <c r="C998" t="s">
        <v>23</v>
      </c>
      <c r="D998" t="s">
        <v>34</v>
      </c>
      <c r="E998" s="4">
        <f t="shared" ca="1" si="16"/>
        <v>16919470550.400015</v>
      </c>
    </row>
    <row r="999" spans="1:5" hidden="1" x14ac:dyDescent="0.25">
      <c r="A999">
        <v>24</v>
      </c>
      <c r="B999">
        <v>35</v>
      </c>
      <c r="C999" t="s">
        <v>23</v>
      </c>
      <c r="D999" t="s">
        <v>35</v>
      </c>
      <c r="E999" s="4">
        <f t="shared" ca="1" si="16"/>
        <v>1455833468.7600007</v>
      </c>
    </row>
    <row r="1000" spans="1:5" hidden="1" x14ac:dyDescent="0.25">
      <c r="A1000">
        <v>24</v>
      </c>
      <c r="B1000">
        <v>36</v>
      </c>
      <c r="C1000" t="s">
        <v>23</v>
      </c>
      <c r="D1000" t="s">
        <v>36</v>
      </c>
      <c r="E1000" s="4">
        <f t="shared" ca="1" si="16"/>
        <v>336087454.55999976</v>
      </c>
    </row>
    <row r="1001" spans="1:5" hidden="1" x14ac:dyDescent="0.25">
      <c r="A1001">
        <v>24</v>
      </c>
      <c r="B1001">
        <v>37</v>
      </c>
      <c r="C1001" t="s">
        <v>23</v>
      </c>
      <c r="D1001" t="s">
        <v>37</v>
      </c>
      <c r="E1001" s="4">
        <f t="shared" ca="1" si="16"/>
        <v>981742361.40000308</v>
      </c>
    </row>
    <row r="1002" spans="1:5" hidden="1" x14ac:dyDescent="0.25">
      <c r="A1002">
        <v>24</v>
      </c>
      <c r="B1002">
        <v>38</v>
      </c>
      <c r="C1002" t="s">
        <v>23</v>
      </c>
      <c r="D1002" t="s">
        <v>38</v>
      </c>
      <c r="E1002" s="4">
        <f t="shared" ca="1" si="16"/>
        <v>191259567.08000001</v>
      </c>
    </row>
    <row r="1003" spans="1:5" hidden="1" x14ac:dyDescent="0.25">
      <c r="A1003">
        <v>24</v>
      </c>
      <c r="B1003">
        <v>39</v>
      </c>
      <c r="C1003" t="s">
        <v>23</v>
      </c>
      <c r="D1003" t="s">
        <v>39</v>
      </c>
      <c r="E1003" s="4">
        <f t="shared" ca="1" si="16"/>
        <v>420245817.68000019</v>
      </c>
    </row>
    <row r="1004" spans="1:5" hidden="1" x14ac:dyDescent="0.25">
      <c r="A1004">
        <v>24</v>
      </c>
      <c r="B1004">
        <v>40</v>
      </c>
      <c r="C1004" t="s">
        <v>23</v>
      </c>
      <c r="D1004" t="s">
        <v>40</v>
      </c>
      <c r="E1004" s="4">
        <f t="shared" ca="1" si="16"/>
        <v>806021450.39999998</v>
      </c>
    </row>
    <row r="1005" spans="1:5" hidden="1" x14ac:dyDescent="0.25">
      <c r="A1005">
        <v>25</v>
      </c>
      <c r="B1005">
        <v>1</v>
      </c>
      <c r="C1005" t="s">
        <v>24</v>
      </c>
      <c r="D1005" t="s">
        <v>0</v>
      </c>
      <c r="E1005" s="4">
        <f t="shared" ca="1" si="16"/>
        <v>4071423170.2114277</v>
      </c>
    </row>
    <row r="1006" spans="1:5" hidden="1" x14ac:dyDescent="0.25">
      <c r="A1006">
        <v>25</v>
      </c>
      <c r="B1006">
        <v>2</v>
      </c>
      <c r="C1006" t="s">
        <v>24</v>
      </c>
      <c r="D1006" t="s">
        <v>1</v>
      </c>
      <c r="E1006" s="4">
        <f t="shared" ca="1" si="16"/>
        <v>985500640.94571304</v>
      </c>
    </row>
    <row r="1007" spans="1:5" hidden="1" x14ac:dyDescent="0.25">
      <c r="A1007">
        <v>25</v>
      </c>
      <c r="B1007">
        <v>3</v>
      </c>
      <c r="C1007" t="s">
        <v>24</v>
      </c>
      <c r="D1007" t="s">
        <v>2</v>
      </c>
      <c r="E1007" s="4">
        <f t="shared" ca="1" si="16"/>
        <v>781267782.86857176</v>
      </c>
    </row>
    <row r="1008" spans="1:5" hidden="1" x14ac:dyDescent="0.25">
      <c r="A1008">
        <v>25</v>
      </c>
      <c r="B1008">
        <v>4</v>
      </c>
      <c r="C1008" t="s">
        <v>24</v>
      </c>
      <c r="D1008" t="s">
        <v>3</v>
      </c>
      <c r="E1008" s="4">
        <f t="shared" ca="1" si="16"/>
        <v>2279951622.4399977</v>
      </c>
    </row>
    <row r="1009" spans="1:5" hidden="1" x14ac:dyDescent="0.25">
      <c r="A1009">
        <v>25</v>
      </c>
      <c r="B1009">
        <v>5</v>
      </c>
      <c r="C1009" t="s">
        <v>24</v>
      </c>
      <c r="D1009" t="s">
        <v>4</v>
      </c>
      <c r="E1009" s="4">
        <f t="shared" ca="1" si="16"/>
        <v>4952284483.9285746</v>
      </c>
    </row>
    <row r="1010" spans="1:5" hidden="1" x14ac:dyDescent="0.25">
      <c r="A1010">
        <v>25</v>
      </c>
      <c r="B1010">
        <v>6</v>
      </c>
      <c r="C1010" t="s">
        <v>24</v>
      </c>
      <c r="D1010" t="s">
        <v>5</v>
      </c>
      <c r="E1010" s="4">
        <f t="shared" ca="1" si="16"/>
        <v>1421456664.6485698</v>
      </c>
    </row>
    <row r="1011" spans="1:5" hidden="1" x14ac:dyDescent="0.25">
      <c r="A1011">
        <v>25</v>
      </c>
      <c r="B1011">
        <v>7</v>
      </c>
      <c r="C1011" t="s">
        <v>24</v>
      </c>
      <c r="D1011" t="s">
        <v>6</v>
      </c>
      <c r="E1011" s="4">
        <f t="shared" ca="1" si="16"/>
        <v>615027129.23142815</v>
      </c>
    </row>
    <row r="1012" spans="1:5" hidden="1" x14ac:dyDescent="0.25">
      <c r="A1012">
        <v>25</v>
      </c>
      <c r="B1012">
        <v>8</v>
      </c>
      <c r="C1012" t="s">
        <v>24</v>
      </c>
      <c r="D1012" t="s">
        <v>7</v>
      </c>
      <c r="E1012" s="4">
        <f t="shared" ca="1" si="16"/>
        <v>2478327786.8799973</v>
      </c>
    </row>
    <row r="1013" spans="1:5" hidden="1" x14ac:dyDescent="0.25">
      <c r="A1013">
        <v>25</v>
      </c>
      <c r="B1013">
        <v>9</v>
      </c>
      <c r="C1013" t="s">
        <v>24</v>
      </c>
      <c r="D1013" t="s">
        <v>148</v>
      </c>
      <c r="E1013" s="4">
        <f t="shared" ca="1" si="16"/>
        <v>271313604.21818173</v>
      </c>
    </row>
    <row r="1014" spans="1:5" hidden="1" x14ac:dyDescent="0.25">
      <c r="A1014">
        <v>25</v>
      </c>
      <c r="B1014">
        <v>10</v>
      </c>
      <c r="C1014" t="s">
        <v>24</v>
      </c>
      <c r="D1014" t="s">
        <v>9</v>
      </c>
      <c r="E1014" s="4">
        <f t="shared" ca="1" si="16"/>
        <v>1867613775.5000007</v>
      </c>
    </row>
    <row r="1015" spans="1:5" hidden="1" x14ac:dyDescent="0.25">
      <c r="A1015">
        <v>25</v>
      </c>
      <c r="B1015">
        <v>11</v>
      </c>
      <c r="C1015" t="s">
        <v>24</v>
      </c>
      <c r="D1015" t="s">
        <v>10</v>
      </c>
      <c r="E1015" s="4">
        <f t="shared" ca="1" si="16"/>
        <v>1453070355.1999989</v>
      </c>
    </row>
    <row r="1016" spans="1:5" hidden="1" x14ac:dyDescent="0.25">
      <c r="A1016">
        <v>25</v>
      </c>
      <c r="B1016">
        <v>12</v>
      </c>
      <c r="C1016" t="s">
        <v>24</v>
      </c>
      <c r="D1016" t="s">
        <v>11</v>
      </c>
      <c r="E1016" s="4">
        <f t="shared" ca="1" si="16"/>
        <v>900116783.35999978</v>
      </c>
    </row>
    <row r="1017" spans="1:5" hidden="1" x14ac:dyDescent="0.25">
      <c r="A1017">
        <v>25</v>
      </c>
      <c r="B1017">
        <v>13</v>
      </c>
      <c r="C1017" t="s">
        <v>24</v>
      </c>
      <c r="D1017" t="s">
        <v>12</v>
      </c>
      <c r="E1017" s="4">
        <f t="shared" ca="1" si="16"/>
        <v>235478554.84000012</v>
      </c>
    </row>
    <row r="1018" spans="1:5" hidden="1" x14ac:dyDescent="0.25">
      <c r="A1018">
        <v>25</v>
      </c>
      <c r="B1018">
        <v>14</v>
      </c>
      <c r="C1018" t="s">
        <v>24</v>
      </c>
      <c r="D1018" t="s">
        <v>13</v>
      </c>
      <c r="E1018" s="4">
        <f t="shared" ca="1" si="16"/>
        <v>728194292.47999942</v>
      </c>
    </row>
    <row r="1019" spans="1:5" hidden="1" x14ac:dyDescent="0.25">
      <c r="A1019">
        <v>25</v>
      </c>
      <c r="B1019">
        <v>15</v>
      </c>
      <c r="C1019" t="s">
        <v>24</v>
      </c>
      <c r="D1019" t="s">
        <v>14</v>
      </c>
      <c r="E1019" s="4">
        <f t="shared" ca="1" si="16"/>
        <v>1938980482.5599985</v>
      </c>
    </row>
    <row r="1020" spans="1:5" hidden="1" x14ac:dyDescent="0.25">
      <c r="A1020">
        <v>25</v>
      </c>
      <c r="B1020">
        <v>16</v>
      </c>
      <c r="C1020" t="s">
        <v>24</v>
      </c>
      <c r="D1020" t="s">
        <v>15</v>
      </c>
      <c r="E1020" s="4">
        <f t="shared" ca="1" si="16"/>
        <v>2096561838.0000014</v>
      </c>
    </row>
    <row r="1021" spans="1:5" hidden="1" x14ac:dyDescent="0.25">
      <c r="A1021">
        <v>25</v>
      </c>
      <c r="B1021">
        <v>17</v>
      </c>
      <c r="C1021" t="s">
        <v>24</v>
      </c>
      <c r="D1021" t="s">
        <v>16</v>
      </c>
      <c r="E1021" s="4">
        <f t="shared" ca="1" si="16"/>
        <v>4618613728.8000002</v>
      </c>
    </row>
    <row r="1022" spans="1:5" hidden="1" x14ac:dyDescent="0.25">
      <c r="A1022">
        <v>25</v>
      </c>
      <c r="B1022">
        <v>18</v>
      </c>
      <c r="C1022" t="s">
        <v>24</v>
      </c>
      <c r="D1022" t="s">
        <v>17</v>
      </c>
      <c r="E1022" s="4">
        <f t="shared" ca="1" si="16"/>
        <v>1737840307.6799982</v>
      </c>
    </row>
    <row r="1023" spans="1:5" hidden="1" x14ac:dyDescent="0.25">
      <c r="A1023">
        <v>25</v>
      </c>
      <c r="B1023">
        <v>19</v>
      </c>
      <c r="C1023" t="s">
        <v>24</v>
      </c>
      <c r="D1023" t="s">
        <v>18</v>
      </c>
      <c r="E1023" s="4">
        <f t="shared" ca="1" si="16"/>
        <v>124441393.00000006</v>
      </c>
    </row>
    <row r="1024" spans="1:5" hidden="1" x14ac:dyDescent="0.25">
      <c r="A1024">
        <v>25</v>
      </c>
      <c r="B1024">
        <v>20</v>
      </c>
      <c r="C1024" t="s">
        <v>24</v>
      </c>
      <c r="D1024" t="s">
        <v>19</v>
      </c>
      <c r="E1024" s="4">
        <f t="shared" ca="1" si="16"/>
        <v>1772701257.5999994</v>
      </c>
    </row>
    <row r="1025" spans="1:5" hidden="1" x14ac:dyDescent="0.25">
      <c r="A1025">
        <v>25</v>
      </c>
      <c r="B1025">
        <v>21</v>
      </c>
      <c r="C1025" t="s">
        <v>24</v>
      </c>
      <c r="D1025" t="s">
        <v>20</v>
      </c>
      <c r="E1025" s="4">
        <f t="shared" ca="1" si="16"/>
        <v>1453654620.0000005</v>
      </c>
    </row>
    <row r="1026" spans="1:5" hidden="1" x14ac:dyDescent="0.25">
      <c r="A1026">
        <v>25</v>
      </c>
      <c r="B1026">
        <v>22</v>
      </c>
      <c r="C1026" t="s">
        <v>24</v>
      </c>
      <c r="D1026" t="s">
        <v>21</v>
      </c>
      <c r="E1026" s="4">
        <f t="shared" ca="1" si="16"/>
        <v>352794583.67999935</v>
      </c>
    </row>
    <row r="1027" spans="1:5" hidden="1" x14ac:dyDescent="0.25">
      <c r="A1027">
        <v>25</v>
      </c>
      <c r="B1027">
        <v>23</v>
      </c>
      <c r="C1027" t="s">
        <v>24</v>
      </c>
      <c r="D1027" t="s">
        <v>22</v>
      </c>
      <c r="E1027" s="4">
        <f t="shared" ca="1" si="16"/>
        <v>140889889.40000007</v>
      </c>
    </row>
    <row r="1028" spans="1:5" hidden="1" x14ac:dyDescent="0.25">
      <c r="A1028">
        <v>25</v>
      </c>
      <c r="B1028">
        <v>24</v>
      </c>
      <c r="C1028" t="s">
        <v>24</v>
      </c>
      <c r="D1028" t="s">
        <v>23</v>
      </c>
      <c r="E1028" s="4">
        <f t="shared" ca="1" si="16"/>
        <v>113800012.79999998</v>
      </c>
    </row>
    <row r="1029" spans="1:5" hidden="1" x14ac:dyDescent="0.25">
      <c r="A1029">
        <v>25</v>
      </c>
      <c r="B1029">
        <v>25</v>
      </c>
      <c r="C1029" t="s">
        <v>24</v>
      </c>
      <c r="D1029" t="s">
        <v>24</v>
      </c>
      <c r="E1029" s="4">
        <f t="shared" ca="1" si="16"/>
        <v>0</v>
      </c>
    </row>
    <row r="1030" spans="1:5" hidden="1" x14ac:dyDescent="0.25">
      <c r="A1030">
        <v>25</v>
      </c>
      <c r="B1030">
        <v>26</v>
      </c>
      <c r="C1030" t="s">
        <v>24</v>
      </c>
      <c r="D1030" t="s">
        <v>25</v>
      </c>
      <c r="E1030" s="4">
        <f t="shared" ca="1" si="16"/>
        <v>261166414.07999995</v>
      </c>
    </row>
    <row r="1031" spans="1:5" hidden="1" x14ac:dyDescent="0.25">
      <c r="A1031">
        <v>25</v>
      </c>
      <c r="B1031">
        <v>27</v>
      </c>
      <c r="C1031" t="s">
        <v>24</v>
      </c>
      <c r="D1031" t="s">
        <v>145</v>
      </c>
      <c r="E1031" s="4">
        <f t="shared" ca="1" si="16"/>
        <v>1562985164.6400001</v>
      </c>
    </row>
    <row r="1032" spans="1:5" hidden="1" x14ac:dyDescent="0.25">
      <c r="A1032">
        <v>25</v>
      </c>
      <c r="B1032">
        <v>28</v>
      </c>
      <c r="C1032" t="s">
        <v>24</v>
      </c>
      <c r="D1032" t="s">
        <v>147</v>
      </c>
      <c r="E1032" s="4">
        <f t="shared" ca="1" si="16"/>
        <v>710255910.33600008</v>
      </c>
    </row>
    <row r="1033" spans="1:5" hidden="1" x14ac:dyDescent="0.25">
      <c r="A1033">
        <v>25</v>
      </c>
      <c r="B1033">
        <v>29</v>
      </c>
      <c r="C1033" t="s">
        <v>24</v>
      </c>
      <c r="D1033" t="s">
        <v>146</v>
      </c>
      <c r="E1033" s="4">
        <f t="shared" ca="1" si="16"/>
        <v>228750698.40000001</v>
      </c>
    </row>
    <row r="1034" spans="1:5" hidden="1" x14ac:dyDescent="0.25">
      <c r="A1034">
        <v>25</v>
      </c>
      <c r="B1034">
        <v>30</v>
      </c>
      <c r="C1034" t="s">
        <v>24</v>
      </c>
      <c r="D1034" t="s">
        <v>30</v>
      </c>
      <c r="E1034" s="4">
        <f t="shared" ca="1" si="16"/>
        <v>670838095.33999991</v>
      </c>
    </row>
    <row r="1035" spans="1:5" hidden="1" x14ac:dyDescent="0.25">
      <c r="A1035">
        <v>25</v>
      </c>
      <c r="B1035">
        <v>31</v>
      </c>
      <c r="C1035" t="s">
        <v>24</v>
      </c>
      <c r="D1035" t="s">
        <v>31</v>
      </c>
      <c r="E1035" s="4">
        <f t="shared" ca="1" si="16"/>
        <v>360885144.24000007</v>
      </c>
    </row>
    <row r="1036" spans="1:5" hidden="1" x14ac:dyDescent="0.25">
      <c r="A1036">
        <v>25</v>
      </c>
      <c r="B1036">
        <v>32</v>
      </c>
      <c r="C1036" t="s">
        <v>24</v>
      </c>
      <c r="D1036" t="s">
        <v>32</v>
      </c>
      <c r="E1036" s="4">
        <f t="shared" ca="1" si="16"/>
        <v>218282298.88</v>
      </c>
    </row>
    <row r="1037" spans="1:5" hidden="1" x14ac:dyDescent="0.25">
      <c r="A1037">
        <v>25</v>
      </c>
      <c r="B1037">
        <v>33</v>
      </c>
      <c r="C1037" t="s">
        <v>24</v>
      </c>
      <c r="D1037" t="s">
        <v>33</v>
      </c>
      <c r="E1037" s="4">
        <f t="shared" ca="1" si="16"/>
        <v>3289921706.2399988</v>
      </c>
    </row>
    <row r="1038" spans="1:5" hidden="1" x14ac:dyDescent="0.25">
      <c r="A1038">
        <v>25</v>
      </c>
      <c r="B1038">
        <v>34</v>
      </c>
      <c r="C1038" t="s">
        <v>24</v>
      </c>
      <c r="D1038" t="s">
        <v>34</v>
      </c>
      <c r="E1038" s="4">
        <f t="shared" ca="1" si="16"/>
        <v>14692189539.160015</v>
      </c>
    </row>
    <row r="1039" spans="1:5" hidden="1" x14ac:dyDescent="0.25">
      <c r="A1039">
        <v>25</v>
      </c>
      <c r="B1039">
        <v>35</v>
      </c>
      <c r="C1039" t="s">
        <v>24</v>
      </c>
      <c r="D1039" t="s">
        <v>35</v>
      </c>
      <c r="E1039" s="4">
        <f t="shared" ca="1" si="16"/>
        <v>1260960404.4800005</v>
      </c>
    </row>
    <row r="1040" spans="1:5" hidden="1" x14ac:dyDescent="0.25">
      <c r="A1040">
        <v>25</v>
      </c>
      <c r="B1040">
        <v>36</v>
      </c>
      <c r="C1040" t="s">
        <v>24</v>
      </c>
      <c r="D1040" t="s">
        <v>36</v>
      </c>
      <c r="E1040" s="4">
        <f t="shared" ca="1" si="16"/>
        <v>397500609.59999979</v>
      </c>
    </row>
    <row r="1041" spans="1:5" hidden="1" x14ac:dyDescent="0.25">
      <c r="A1041">
        <v>25</v>
      </c>
      <c r="B1041">
        <v>37</v>
      </c>
      <c r="C1041" t="s">
        <v>24</v>
      </c>
      <c r="D1041" t="s">
        <v>37</v>
      </c>
      <c r="E1041" s="4">
        <f t="shared" ca="1" si="16"/>
        <v>1096063198.8800035</v>
      </c>
    </row>
    <row r="1042" spans="1:5" hidden="1" x14ac:dyDescent="0.25">
      <c r="A1042">
        <v>25</v>
      </c>
      <c r="B1042">
        <v>38</v>
      </c>
      <c r="C1042" t="s">
        <v>24</v>
      </c>
      <c r="D1042" t="s">
        <v>38</v>
      </c>
      <c r="E1042" s="4">
        <f t="shared" ca="1" si="16"/>
        <v>221755418.19999999</v>
      </c>
    </row>
    <row r="1043" spans="1:5" hidden="1" x14ac:dyDescent="0.25">
      <c r="A1043">
        <v>25</v>
      </c>
      <c r="B1043">
        <v>39</v>
      </c>
      <c r="C1043" t="s">
        <v>24</v>
      </c>
      <c r="D1043" t="s">
        <v>39</v>
      </c>
      <c r="E1043" s="4">
        <f t="shared" ca="1" si="16"/>
        <v>476083215.20000029</v>
      </c>
    </row>
    <row r="1044" spans="1:5" hidden="1" x14ac:dyDescent="0.25">
      <c r="A1044">
        <v>25</v>
      </c>
      <c r="B1044">
        <v>40</v>
      </c>
      <c r="C1044" t="s">
        <v>24</v>
      </c>
      <c r="D1044" t="s">
        <v>40</v>
      </c>
      <c r="E1044" s="4">
        <f t="shared" ca="1" si="16"/>
        <v>917247308.51999986</v>
      </c>
    </row>
    <row r="1045" spans="1:5" hidden="1" x14ac:dyDescent="0.25">
      <c r="A1045">
        <v>26</v>
      </c>
      <c r="B1045">
        <v>1</v>
      </c>
      <c r="C1045" t="s">
        <v>25</v>
      </c>
      <c r="D1045" t="s">
        <v>0</v>
      </c>
      <c r="E1045" s="4">
        <f t="shared" ref="E1045:E1107" ca="1" si="17">OFFSET($B$2,A1045,B1045)</f>
        <v>5218491780.3057127</v>
      </c>
    </row>
    <row r="1046" spans="1:5" hidden="1" x14ac:dyDescent="0.25">
      <c r="A1046">
        <v>26</v>
      </c>
      <c r="B1046">
        <v>2</v>
      </c>
      <c r="C1046" t="s">
        <v>25</v>
      </c>
      <c r="D1046" t="s">
        <v>1</v>
      </c>
      <c r="E1046" s="4">
        <f t="shared" ca="1" si="17"/>
        <v>1184068535.1285698</v>
      </c>
    </row>
    <row r="1047" spans="1:5" hidden="1" x14ac:dyDescent="0.25">
      <c r="A1047">
        <v>26</v>
      </c>
      <c r="B1047">
        <v>3</v>
      </c>
      <c r="C1047" t="s">
        <v>25</v>
      </c>
      <c r="D1047" t="s">
        <v>2</v>
      </c>
      <c r="E1047" s="4">
        <f t="shared" ca="1" si="17"/>
        <v>919719620.57142901</v>
      </c>
    </row>
    <row r="1048" spans="1:5" hidden="1" x14ac:dyDescent="0.25">
      <c r="A1048">
        <v>26</v>
      </c>
      <c r="B1048">
        <v>4</v>
      </c>
      <c r="C1048" t="s">
        <v>25</v>
      </c>
      <c r="D1048" t="s">
        <v>3</v>
      </c>
      <c r="E1048" s="4">
        <f t="shared" ca="1" si="17"/>
        <v>2409581799.8285689</v>
      </c>
    </row>
    <row r="1049" spans="1:5" hidden="1" x14ac:dyDescent="0.25">
      <c r="A1049">
        <v>26</v>
      </c>
      <c r="B1049">
        <v>5</v>
      </c>
      <c r="C1049" t="s">
        <v>25</v>
      </c>
      <c r="D1049" t="s">
        <v>4</v>
      </c>
      <c r="E1049" s="4">
        <f t="shared" ca="1" si="17"/>
        <v>5352255517.1685743</v>
      </c>
    </row>
    <row r="1050" spans="1:5" hidden="1" x14ac:dyDescent="0.25">
      <c r="A1050">
        <v>26</v>
      </c>
      <c r="B1050">
        <v>6</v>
      </c>
      <c r="C1050" t="s">
        <v>25</v>
      </c>
      <c r="D1050" t="s">
        <v>5</v>
      </c>
      <c r="E1050" s="4">
        <f t="shared" ca="1" si="17"/>
        <v>1303004667.7428555</v>
      </c>
    </row>
    <row r="1051" spans="1:5" hidden="1" x14ac:dyDescent="0.25">
      <c r="A1051">
        <v>26</v>
      </c>
      <c r="B1051">
        <v>7</v>
      </c>
      <c r="C1051" t="s">
        <v>25</v>
      </c>
      <c r="D1051" t="s">
        <v>6</v>
      </c>
      <c r="E1051" s="4">
        <f t="shared" ca="1" si="17"/>
        <v>489210463.67142826</v>
      </c>
    </row>
    <row r="1052" spans="1:5" hidden="1" x14ac:dyDescent="0.25">
      <c r="A1052">
        <v>26</v>
      </c>
      <c r="B1052">
        <v>8</v>
      </c>
      <c r="C1052" t="s">
        <v>25</v>
      </c>
      <c r="D1052" t="s">
        <v>7</v>
      </c>
      <c r="E1052" s="4">
        <f t="shared" ca="1" si="17"/>
        <v>2641454417.4628539</v>
      </c>
    </row>
    <row r="1053" spans="1:5" hidden="1" x14ac:dyDescent="0.25">
      <c r="A1053">
        <v>26</v>
      </c>
      <c r="B1053">
        <v>9</v>
      </c>
      <c r="C1053" t="s">
        <v>25</v>
      </c>
      <c r="D1053" t="s">
        <v>148</v>
      </c>
      <c r="E1053" s="4">
        <f t="shared" ca="1" si="17"/>
        <v>53076081.759999983</v>
      </c>
    </row>
    <row r="1054" spans="1:5" hidden="1" x14ac:dyDescent="0.25">
      <c r="A1054">
        <v>26</v>
      </c>
      <c r="B1054">
        <v>10</v>
      </c>
      <c r="C1054" t="s">
        <v>25</v>
      </c>
      <c r="D1054" t="s">
        <v>9</v>
      </c>
      <c r="E1054" s="4">
        <f t="shared" ca="1" si="17"/>
        <v>1879020190.0114295</v>
      </c>
    </row>
    <row r="1055" spans="1:5" hidden="1" x14ac:dyDescent="0.25">
      <c r="A1055">
        <v>26</v>
      </c>
      <c r="B1055">
        <v>11</v>
      </c>
      <c r="C1055" t="s">
        <v>25</v>
      </c>
      <c r="D1055" t="s">
        <v>10</v>
      </c>
      <c r="E1055" s="4">
        <f t="shared" ca="1" si="17"/>
        <v>1489315720.1999986</v>
      </c>
    </row>
    <row r="1056" spans="1:5" hidden="1" x14ac:dyDescent="0.25">
      <c r="A1056">
        <v>26</v>
      </c>
      <c r="B1056">
        <v>12</v>
      </c>
      <c r="C1056" t="s">
        <v>25</v>
      </c>
      <c r="D1056" t="s">
        <v>11</v>
      </c>
      <c r="E1056" s="4">
        <f t="shared" ca="1" si="17"/>
        <v>954993145.67999995</v>
      </c>
    </row>
    <row r="1057" spans="1:5" hidden="1" x14ac:dyDescent="0.25">
      <c r="A1057">
        <v>26</v>
      </c>
      <c r="B1057">
        <v>13</v>
      </c>
      <c r="C1057" t="s">
        <v>25</v>
      </c>
      <c r="D1057" t="s">
        <v>12</v>
      </c>
      <c r="E1057" s="4">
        <f t="shared" ca="1" si="17"/>
        <v>186843196.64000016</v>
      </c>
    </row>
    <row r="1058" spans="1:5" hidden="1" x14ac:dyDescent="0.25">
      <c r="A1058">
        <v>26</v>
      </c>
      <c r="B1058">
        <v>14</v>
      </c>
      <c r="C1058" t="s">
        <v>25</v>
      </c>
      <c r="D1058" t="s">
        <v>13</v>
      </c>
      <c r="E1058" s="4">
        <f t="shared" ca="1" si="17"/>
        <v>867019042.95999932</v>
      </c>
    </row>
    <row r="1059" spans="1:5" hidden="1" x14ac:dyDescent="0.25">
      <c r="A1059">
        <v>26</v>
      </c>
      <c r="B1059">
        <v>15</v>
      </c>
      <c r="C1059" t="s">
        <v>25</v>
      </c>
      <c r="D1059" t="s">
        <v>14</v>
      </c>
      <c r="E1059" s="4">
        <f t="shared" ca="1" si="17"/>
        <v>983391489.39999926</v>
      </c>
    </row>
    <row r="1060" spans="1:5" hidden="1" x14ac:dyDescent="0.25">
      <c r="A1060">
        <v>26</v>
      </c>
      <c r="B1060">
        <v>16</v>
      </c>
      <c r="C1060" t="s">
        <v>25</v>
      </c>
      <c r="D1060" t="s">
        <v>15</v>
      </c>
      <c r="E1060" s="4">
        <f t="shared" ca="1" si="17"/>
        <v>1345429920.3200011</v>
      </c>
    </row>
    <row r="1061" spans="1:5" hidden="1" x14ac:dyDescent="0.25">
      <c r="A1061">
        <v>26</v>
      </c>
      <c r="B1061">
        <v>17</v>
      </c>
      <c r="C1061" t="s">
        <v>25</v>
      </c>
      <c r="D1061" t="s">
        <v>16</v>
      </c>
      <c r="E1061" s="4">
        <f t="shared" ca="1" si="17"/>
        <v>4212713757.1999998</v>
      </c>
    </row>
    <row r="1062" spans="1:5" hidden="1" x14ac:dyDescent="0.25">
      <c r="A1062">
        <v>26</v>
      </c>
      <c r="B1062">
        <v>18</v>
      </c>
      <c r="C1062" t="s">
        <v>25</v>
      </c>
      <c r="D1062" t="s">
        <v>17</v>
      </c>
      <c r="E1062" s="4">
        <f t="shared" ca="1" si="17"/>
        <v>1175952376.8399985</v>
      </c>
    </row>
    <row r="1063" spans="1:5" hidden="1" x14ac:dyDescent="0.25">
      <c r="A1063">
        <v>26</v>
      </c>
      <c r="B1063">
        <v>19</v>
      </c>
      <c r="C1063" t="s">
        <v>25</v>
      </c>
      <c r="D1063" t="s">
        <v>18</v>
      </c>
      <c r="E1063" s="4">
        <f t="shared" ca="1" si="17"/>
        <v>113696362.56000014</v>
      </c>
    </row>
    <row r="1064" spans="1:5" hidden="1" x14ac:dyDescent="0.25">
      <c r="A1064">
        <v>26</v>
      </c>
      <c r="B1064">
        <v>20</v>
      </c>
      <c r="C1064" t="s">
        <v>25</v>
      </c>
      <c r="D1064" t="s">
        <v>19</v>
      </c>
      <c r="E1064" s="4">
        <f t="shared" ca="1" si="17"/>
        <v>2658826102.9199991</v>
      </c>
    </row>
    <row r="1065" spans="1:5" hidden="1" x14ac:dyDescent="0.25">
      <c r="A1065">
        <v>26</v>
      </c>
      <c r="B1065">
        <v>21</v>
      </c>
      <c r="C1065" t="s">
        <v>25</v>
      </c>
      <c r="D1065" t="s">
        <v>20</v>
      </c>
      <c r="E1065" s="4">
        <f t="shared" ca="1" si="17"/>
        <v>1877169246.1200008</v>
      </c>
    </row>
    <row r="1066" spans="1:5" hidden="1" x14ac:dyDescent="0.25">
      <c r="A1066">
        <v>26</v>
      </c>
      <c r="B1066">
        <v>22</v>
      </c>
      <c r="C1066" t="s">
        <v>25</v>
      </c>
      <c r="D1066" t="s">
        <v>21</v>
      </c>
      <c r="E1066" s="4">
        <f t="shared" ca="1" si="17"/>
        <v>910985154.99999809</v>
      </c>
    </row>
    <row r="1067" spans="1:5" hidden="1" x14ac:dyDescent="0.25">
      <c r="A1067">
        <v>26</v>
      </c>
      <c r="B1067">
        <v>23</v>
      </c>
      <c r="C1067" t="s">
        <v>25</v>
      </c>
      <c r="D1067" t="s">
        <v>22</v>
      </c>
      <c r="E1067" s="4">
        <f t="shared" ca="1" si="17"/>
        <v>206941824.96000007</v>
      </c>
    </row>
    <row r="1068" spans="1:5" hidden="1" x14ac:dyDescent="0.25">
      <c r="A1068">
        <v>26</v>
      </c>
      <c r="B1068">
        <v>24</v>
      </c>
      <c r="C1068" t="s">
        <v>25</v>
      </c>
      <c r="D1068" t="s">
        <v>23</v>
      </c>
      <c r="E1068" s="4">
        <f t="shared" ca="1" si="17"/>
        <v>204602224.59999996</v>
      </c>
    </row>
    <row r="1069" spans="1:5" hidden="1" x14ac:dyDescent="0.25">
      <c r="A1069">
        <v>26</v>
      </c>
      <c r="B1069">
        <v>25</v>
      </c>
      <c r="C1069" t="s">
        <v>25</v>
      </c>
      <c r="D1069" t="s">
        <v>24</v>
      </c>
      <c r="E1069" s="4">
        <f t="shared" ca="1" si="17"/>
        <v>208400200.32000011</v>
      </c>
    </row>
    <row r="1070" spans="1:5" hidden="1" x14ac:dyDescent="0.25">
      <c r="A1070">
        <v>26</v>
      </c>
      <c r="B1070">
        <v>26</v>
      </c>
      <c r="C1070" t="s">
        <v>25</v>
      </c>
      <c r="D1070" t="s">
        <v>25</v>
      </c>
      <c r="E1070" s="4">
        <f t="shared" ca="1" si="17"/>
        <v>0</v>
      </c>
    </row>
    <row r="1071" spans="1:5" hidden="1" x14ac:dyDescent="0.25">
      <c r="A1071">
        <v>26</v>
      </c>
      <c r="B1071">
        <v>27</v>
      </c>
      <c r="C1071" t="s">
        <v>25</v>
      </c>
      <c r="D1071" t="s">
        <v>145</v>
      </c>
      <c r="E1071" s="4">
        <f t="shared" ca="1" si="17"/>
        <v>2312681508.7200003</v>
      </c>
    </row>
    <row r="1072" spans="1:5" hidden="1" x14ac:dyDescent="0.25">
      <c r="A1072">
        <v>26</v>
      </c>
      <c r="B1072">
        <v>28</v>
      </c>
      <c r="C1072" t="s">
        <v>25</v>
      </c>
      <c r="D1072" t="s">
        <v>147</v>
      </c>
      <c r="E1072" s="4">
        <f t="shared" ca="1" si="17"/>
        <v>1469849136.9520001</v>
      </c>
    </row>
    <row r="1073" spans="1:5" hidden="1" x14ac:dyDescent="0.25">
      <c r="A1073">
        <v>26</v>
      </c>
      <c r="B1073">
        <v>29</v>
      </c>
      <c r="C1073" t="s">
        <v>25</v>
      </c>
      <c r="D1073" t="s">
        <v>146</v>
      </c>
      <c r="E1073" s="4">
        <f t="shared" ca="1" si="17"/>
        <v>904397127</v>
      </c>
    </row>
    <row r="1074" spans="1:5" hidden="1" x14ac:dyDescent="0.25">
      <c r="A1074">
        <v>26</v>
      </c>
      <c r="B1074">
        <v>30</v>
      </c>
      <c r="C1074" t="s">
        <v>25</v>
      </c>
      <c r="D1074" t="s">
        <v>30</v>
      </c>
      <c r="E1074" s="4">
        <f t="shared" ca="1" si="17"/>
        <v>642146942.51999998</v>
      </c>
    </row>
    <row r="1075" spans="1:5" hidden="1" x14ac:dyDescent="0.25">
      <c r="A1075">
        <v>26</v>
      </c>
      <c r="B1075">
        <v>31</v>
      </c>
      <c r="C1075" t="s">
        <v>25</v>
      </c>
      <c r="D1075" t="s">
        <v>31</v>
      </c>
      <c r="E1075" s="4">
        <f t="shared" ca="1" si="17"/>
        <v>268000276.0800001</v>
      </c>
    </row>
    <row r="1076" spans="1:5" hidden="1" x14ac:dyDescent="0.25">
      <c r="A1076">
        <v>26</v>
      </c>
      <c r="B1076">
        <v>32</v>
      </c>
      <c r="C1076" t="s">
        <v>25</v>
      </c>
      <c r="D1076" t="s">
        <v>32</v>
      </c>
      <c r="E1076" s="4">
        <f t="shared" ca="1" si="17"/>
        <v>108631806.43999998</v>
      </c>
    </row>
    <row r="1077" spans="1:5" hidden="1" x14ac:dyDescent="0.25">
      <c r="A1077">
        <v>26</v>
      </c>
      <c r="B1077">
        <v>33</v>
      </c>
      <c r="C1077" t="s">
        <v>25</v>
      </c>
      <c r="D1077" t="s">
        <v>33</v>
      </c>
      <c r="E1077" s="4">
        <f t="shared" ca="1" si="17"/>
        <v>4028523192.2399979</v>
      </c>
    </row>
    <row r="1078" spans="1:5" hidden="1" x14ac:dyDescent="0.25">
      <c r="A1078">
        <v>26</v>
      </c>
      <c r="B1078">
        <v>34</v>
      </c>
      <c r="C1078" t="s">
        <v>25</v>
      </c>
      <c r="D1078" t="s">
        <v>34</v>
      </c>
      <c r="E1078" s="4">
        <f t="shared" ca="1" si="17"/>
        <v>18558713300.640015</v>
      </c>
    </row>
    <row r="1079" spans="1:5" hidden="1" x14ac:dyDescent="0.25">
      <c r="A1079">
        <v>26</v>
      </c>
      <c r="B1079">
        <v>35</v>
      </c>
      <c r="C1079" t="s">
        <v>25</v>
      </c>
      <c r="D1079" t="s">
        <v>35</v>
      </c>
      <c r="E1079" s="4">
        <f t="shared" ca="1" si="17"/>
        <v>1466827217.7600007</v>
      </c>
    </row>
    <row r="1080" spans="1:5" hidden="1" x14ac:dyDescent="0.25">
      <c r="A1080">
        <v>26</v>
      </c>
      <c r="B1080">
        <v>36</v>
      </c>
      <c r="C1080" t="s">
        <v>25</v>
      </c>
      <c r="D1080" t="s">
        <v>36</v>
      </c>
      <c r="E1080" s="4">
        <f t="shared" ca="1" si="17"/>
        <v>301971351.35999978</v>
      </c>
    </row>
    <row r="1081" spans="1:5" hidden="1" x14ac:dyDescent="0.25">
      <c r="A1081">
        <v>26</v>
      </c>
      <c r="B1081">
        <v>37</v>
      </c>
      <c r="C1081" t="s">
        <v>25</v>
      </c>
      <c r="D1081" t="s">
        <v>37</v>
      </c>
      <c r="E1081" s="4">
        <f t="shared" ca="1" si="17"/>
        <v>896795402.40000343</v>
      </c>
    </row>
    <row r="1082" spans="1:5" hidden="1" x14ac:dyDescent="0.25">
      <c r="A1082">
        <v>26</v>
      </c>
      <c r="B1082">
        <v>38</v>
      </c>
      <c r="C1082" t="s">
        <v>25</v>
      </c>
      <c r="D1082" t="s">
        <v>38</v>
      </c>
      <c r="E1082" s="4">
        <f t="shared" ca="1" si="17"/>
        <v>84795075.200000018</v>
      </c>
    </row>
    <row r="1083" spans="1:5" hidden="1" x14ac:dyDescent="0.25">
      <c r="A1083">
        <v>26</v>
      </c>
      <c r="B1083">
        <v>39</v>
      </c>
      <c r="C1083" t="s">
        <v>25</v>
      </c>
      <c r="D1083" t="s">
        <v>39</v>
      </c>
      <c r="E1083" s="4">
        <f t="shared" ca="1" si="17"/>
        <v>336725213.0000003</v>
      </c>
    </row>
    <row r="1084" spans="1:5" hidden="1" x14ac:dyDescent="0.25">
      <c r="A1084">
        <v>26</v>
      </c>
      <c r="B1084">
        <v>40</v>
      </c>
      <c r="C1084" t="s">
        <v>25</v>
      </c>
      <c r="D1084" t="s">
        <v>40</v>
      </c>
      <c r="E1084" s="4">
        <f t="shared" ca="1" si="17"/>
        <v>834128215.19999981</v>
      </c>
    </row>
    <row r="1085" spans="1:5" hidden="1" x14ac:dyDescent="0.25">
      <c r="A1085">
        <v>27</v>
      </c>
      <c r="B1085">
        <v>1</v>
      </c>
      <c r="C1085" t="s">
        <v>145</v>
      </c>
      <c r="D1085" t="s">
        <v>0</v>
      </c>
      <c r="E1085" s="4">
        <f t="shared" ca="1" si="17"/>
        <v>2245404591.485714</v>
      </c>
    </row>
    <row r="1086" spans="1:5" hidden="1" x14ac:dyDescent="0.25">
      <c r="A1086">
        <v>27</v>
      </c>
      <c r="B1086">
        <v>2</v>
      </c>
      <c r="C1086" t="s">
        <v>145</v>
      </c>
      <c r="D1086" t="s">
        <v>1</v>
      </c>
      <c r="E1086" s="4">
        <f t="shared" ca="1" si="17"/>
        <v>818389981.3885709</v>
      </c>
    </row>
    <row r="1087" spans="1:5" hidden="1" x14ac:dyDescent="0.25">
      <c r="A1087">
        <v>27</v>
      </c>
      <c r="B1087">
        <v>3</v>
      </c>
      <c r="C1087" t="s">
        <v>145</v>
      </c>
      <c r="D1087" t="s">
        <v>2</v>
      </c>
      <c r="E1087" s="4">
        <f t="shared" ca="1" si="17"/>
        <v>705456668.05714309</v>
      </c>
    </row>
    <row r="1088" spans="1:5" hidden="1" x14ac:dyDescent="0.25">
      <c r="A1088">
        <v>27</v>
      </c>
      <c r="B1088">
        <v>4</v>
      </c>
      <c r="C1088" t="s">
        <v>145</v>
      </c>
      <c r="D1088" t="s">
        <v>3</v>
      </c>
      <c r="E1088" s="4">
        <f t="shared" ca="1" si="17"/>
        <v>2635009839.762856</v>
      </c>
    </row>
    <row r="1089" spans="1:5" hidden="1" x14ac:dyDescent="0.25">
      <c r="A1089">
        <v>27</v>
      </c>
      <c r="B1089">
        <v>5</v>
      </c>
      <c r="C1089" t="s">
        <v>145</v>
      </c>
      <c r="D1089" t="s">
        <v>4</v>
      </c>
      <c r="E1089" s="4">
        <f t="shared" ca="1" si="17"/>
        <v>4680194367.2342873</v>
      </c>
    </row>
    <row r="1090" spans="1:5" hidden="1" x14ac:dyDescent="0.25">
      <c r="A1090">
        <v>27</v>
      </c>
      <c r="B1090">
        <v>6</v>
      </c>
      <c r="C1090" t="s">
        <v>145</v>
      </c>
      <c r="D1090" t="s">
        <v>5</v>
      </c>
      <c r="E1090" s="4">
        <f t="shared" ca="1" si="17"/>
        <v>2767632627.2399988</v>
      </c>
    </row>
    <row r="1091" spans="1:5" hidden="1" x14ac:dyDescent="0.25">
      <c r="A1091">
        <v>27</v>
      </c>
      <c r="B1091">
        <v>7</v>
      </c>
      <c r="C1091" t="s">
        <v>145</v>
      </c>
      <c r="D1091" t="s">
        <v>6</v>
      </c>
      <c r="E1091" s="4">
        <f t="shared" ca="1" si="17"/>
        <v>1778470587.1028569</v>
      </c>
    </row>
    <row r="1092" spans="1:5" hidden="1" x14ac:dyDescent="0.25">
      <c r="A1092">
        <v>27</v>
      </c>
      <c r="B1092">
        <v>8</v>
      </c>
      <c r="C1092" t="s">
        <v>145</v>
      </c>
      <c r="D1092" t="s">
        <v>7</v>
      </c>
      <c r="E1092" s="4">
        <f t="shared" ca="1" si="17"/>
        <v>2730305380.2514267</v>
      </c>
    </row>
    <row r="1093" spans="1:5" hidden="1" x14ac:dyDescent="0.25">
      <c r="A1093">
        <v>27</v>
      </c>
      <c r="B1093">
        <v>9</v>
      </c>
      <c r="C1093" t="s">
        <v>145</v>
      </c>
      <c r="D1093" t="s">
        <v>148</v>
      </c>
      <c r="E1093" s="4">
        <f t="shared" ca="1" si="17"/>
        <v>1388974224.04</v>
      </c>
    </row>
    <row r="1094" spans="1:5" hidden="1" x14ac:dyDescent="0.25">
      <c r="A1094">
        <v>27</v>
      </c>
      <c r="B1094">
        <v>10</v>
      </c>
      <c r="C1094" t="s">
        <v>145</v>
      </c>
      <c r="D1094" t="s">
        <v>9</v>
      </c>
      <c r="E1094" s="4">
        <f t="shared" ca="1" si="17"/>
        <v>2762875913.3485723</v>
      </c>
    </row>
    <row r="1095" spans="1:5" hidden="1" x14ac:dyDescent="0.25">
      <c r="A1095">
        <v>27</v>
      </c>
      <c r="B1095">
        <v>11</v>
      </c>
      <c r="C1095" t="s">
        <v>145</v>
      </c>
      <c r="D1095" t="s">
        <v>10</v>
      </c>
      <c r="E1095" s="4">
        <f t="shared" ca="1" si="17"/>
        <v>4377512382.7599983</v>
      </c>
    </row>
    <row r="1096" spans="1:5" hidden="1" x14ac:dyDescent="0.25">
      <c r="A1096">
        <v>27</v>
      </c>
      <c r="B1096">
        <v>12</v>
      </c>
      <c r="C1096" t="s">
        <v>145</v>
      </c>
      <c r="D1096" t="s">
        <v>11</v>
      </c>
      <c r="E1096" s="4">
        <f t="shared" ca="1" si="17"/>
        <v>3249946108.2399998</v>
      </c>
    </row>
    <row r="1097" spans="1:5" hidden="1" x14ac:dyDescent="0.25">
      <c r="A1097">
        <v>27</v>
      </c>
      <c r="B1097">
        <v>13</v>
      </c>
      <c r="C1097" t="s">
        <v>145</v>
      </c>
      <c r="D1097" t="s">
        <v>12</v>
      </c>
      <c r="E1097" s="4">
        <f t="shared" ca="1" si="17"/>
        <v>2037224911.6800001</v>
      </c>
    </row>
    <row r="1098" spans="1:5" hidden="1" x14ac:dyDescent="0.25">
      <c r="A1098">
        <v>27</v>
      </c>
      <c r="B1098">
        <v>14</v>
      </c>
      <c r="C1098" t="s">
        <v>145</v>
      </c>
      <c r="D1098" t="s">
        <v>13</v>
      </c>
      <c r="E1098" s="4">
        <f t="shared" ca="1" si="17"/>
        <v>2769064617.3599987</v>
      </c>
    </row>
    <row r="1099" spans="1:5" hidden="1" x14ac:dyDescent="0.25">
      <c r="A1099">
        <v>27</v>
      </c>
      <c r="B1099">
        <v>15</v>
      </c>
      <c r="C1099" t="s">
        <v>145</v>
      </c>
      <c r="D1099" t="s">
        <v>14</v>
      </c>
      <c r="E1099" s="4">
        <f t="shared" ca="1" si="17"/>
        <v>4223494687.079998</v>
      </c>
    </row>
    <row r="1100" spans="1:5" hidden="1" x14ac:dyDescent="0.25">
      <c r="A1100">
        <v>27</v>
      </c>
      <c r="B1100">
        <v>16</v>
      </c>
      <c r="C1100" t="s">
        <v>145</v>
      </c>
      <c r="D1100" t="s">
        <v>15</v>
      </c>
      <c r="E1100" s="4">
        <f t="shared" ca="1" si="17"/>
        <v>5122443583.2000027</v>
      </c>
    </row>
    <row r="1101" spans="1:5" hidden="1" x14ac:dyDescent="0.25">
      <c r="A1101">
        <v>27</v>
      </c>
      <c r="B1101">
        <v>17</v>
      </c>
      <c r="C1101" t="s">
        <v>145</v>
      </c>
      <c r="D1101" t="s">
        <v>16</v>
      </c>
      <c r="E1101" s="4">
        <f t="shared" ca="1" si="17"/>
        <v>8777529795.6000004</v>
      </c>
    </row>
    <row r="1102" spans="1:5" hidden="1" x14ac:dyDescent="0.25">
      <c r="A1102">
        <v>27</v>
      </c>
      <c r="B1102">
        <v>18</v>
      </c>
      <c r="C1102" t="s">
        <v>145</v>
      </c>
      <c r="D1102" t="s">
        <v>17</v>
      </c>
      <c r="E1102" s="4">
        <f t="shared" ca="1" si="17"/>
        <v>4831884932.8799973</v>
      </c>
    </row>
    <row r="1103" spans="1:5" hidden="1" x14ac:dyDescent="0.25">
      <c r="A1103">
        <v>27</v>
      </c>
      <c r="B1103">
        <v>19</v>
      </c>
      <c r="C1103" t="s">
        <v>145</v>
      </c>
      <c r="D1103" t="s">
        <v>18</v>
      </c>
      <c r="E1103" s="4">
        <f t="shared" ca="1" si="17"/>
        <v>515380343.68000007</v>
      </c>
    </row>
    <row r="1104" spans="1:5" hidden="1" x14ac:dyDescent="0.25">
      <c r="A1104">
        <v>27</v>
      </c>
      <c r="B1104">
        <v>20</v>
      </c>
      <c r="C1104" t="s">
        <v>145</v>
      </c>
      <c r="D1104" t="s">
        <v>19</v>
      </c>
      <c r="E1104" s="4">
        <f t="shared" ca="1" si="17"/>
        <v>785233076.91999984</v>
      </c>
    </row>
    <row r="1105" spans="1:5" hidden="1" x14ac:dyDescent="0.25">
      <c r="A1105">
        <v>27</v>
      </c>
      <c r="B1105">
        <v>21</v>
      </c>
      <c r="C1105" t="s">
        <v>145</v>
      </c>
      <c r="D1105" t="s">
        <v>20</v>
      </c>
      <c r="E1105" s="4">
        <f t="shared" ca="1" si="17"/>
        <v>770910408.32000005</v>
      </c>
    </row>
    <row r="1106" spans="1:5" hidden="1" x14ac:dyDescent="0.25">
      <c r="A1106">
        <v>27</v>
      </c>
      <c r="B1106">
        <v>22</v>
      </c>
      <c r="C1106" t="s">
        <v>145</v>
      </c>
      <c r="D1106" t="s">
        <v>21</v>
      </c>
      <c r="E1106" s="4">
        <f t="shared" ca="1" si="17"/>
        <v>751160997.59999943</v>
      </c>
    </row>
    <row r="1107" spans="1:5" hidden="1" x14ac:dyDescent="0.25">
      <c r="A1107">
        <v>27</v>
      </c>
      <c r="B1107">
        <v>23</v>
      </c>
      <c r="C1107" t="s">
        <v>145</v>
      </c>
      <c r="D1107" t="s">
        <v>22</v>
      </c>
      <c r="E1107" s="4">
        <f t="shared" ca="1" si="17"/>
        <v>531521388.00000006</v>
      </c>
    </row>
    <row r="1108" spans="1:5" hidden="1" x14ac:dyDescent="0.25">
      <c r="A1108">
        <v>27</v>
      </c>
      <c r="B1108">
        <v>24</v>
      </c>
      <c r="C1108" t="s">
        <v>145</v>
      </c>
      <c r="D1108" t="s">
        <v>23</v>
      </c>
      <c r="E1108" s="4">
        <f t="shared" ref="E1108:E1129" ca="1" si="18">OFFSET($B$2,A1108,B1108)</f>
        <v>1313012976.4799998</v>
      </c>
    </row>
    <row r="1109" spans="1:5" hidden="1" x14ac:dyDescent="0.25">
      <c r="A1109">
        <v>27</v>
      </c>
      <c r="B1109">
        <v>25</v>
      </c>
      <c r="C1109" t="s">
        <v>145</v>
      </c>
      <c r="D1109" t="s">
        <v>24</v>
      </c>
      <c r="E1109" s="4">
        <f t="shared" ca="1" si="18"/>
        <v>951250647.24000013</v>
      </c>
    </row>
    <row r="1110" spans="1:5" hidden="1" x14ac:dyDescent="0.25">
      <c r="A1110">
        <v>27</v>
      </c>
      <c r="B1110">
        <v>26</v>
      </c>
      <c r="C1110" t="s">
        <v>145</v>
      </c>
      <c r="D1110" t="s">
        <v>25</v>
      </c>
      <c r="E1110" s="4">
        <f t="shared" ca="1" si="18"/>
        <v>1431144604.5599997</v>
      </c>
    </row>
    <row r="1111" spans="1:5" hidden="1" x14ac:dyDescent="0.25">
      <c r="A1111">
        <v>27</v>
      </c>
      <c r="B1111">
        <v>27</v>
      </c>
      <c r="C1111" t="s">
        <v>145</v>
      </c>
      <c r="D1111" t="s">
        <v>145</v>
      </c>
      <c r="E1111" s="4">
        <f t="shared" ca="1" si="18"/>
        <v>0</v>
      </c>
    </row>
    <row r="1112" spans="1:5" hidden="1" x14ac:dyDescent="0.25">
      <c r="A1112">
        <v>27</v>
      </c>
      <c r="B1112">
        <v>28</v>
      </c>
      <c r="C1112" t="s">
        <v>145</v>
      </c>
      <c r="D1112" t="s">
        <v>147</v>
      </c>
      <c r="E1112" s="4">
        <f t="shared" ca="1" si="18"/>
        <v>780984631.90799999</v>
      </c>
    </row>
    <row r="1113" spans="1:5" hidden="1" x14ac:dyDescent="0.25">
      <c r="A1113">
        <v>27</v>
      </c>
      <c r="B1113">
        <v>29</v>
      </c>
      <c r="C1113" t="s">
        <v>145</v>
      </c>
      <c r="D1113" t="s">
        <v>146</v>
      </c>
      <c r="E1113" s="4">
        <f t="shared" ca="1" si="18"/>
        <v>1864397474.9400001</v>
      </c>
    </row>
    <row r="1114" spans="1:5" hidden="1" x14ac:dyDescent="0.25">
      <c r="A1114">
        <v>27</v>
      </c>
      <c r="B1114">
        <v>30</v>
      </c>
      <c r="C1114" t="s">
        <v>145</v>
      </c>
      <c r="D1114" t="s">
        <v>30</v>
      </c>
      <c r="E1114" s="4">
        <f t="shared" ca="1" si="18"/>
        <v>1400351001.3999999</v>
      </c>
    </row>
    <row r="1115" spans="1:5" hidden="1" x14ac:dyDescent="0.25">
      <c r="A1115">
        <v>27</v>
      </c>
      <c r="B1115">
        <v>31</v>
      </c>
      <c r="C1115" t="s">
        <v>145</v>
      </c>
      <c r="D1115" t="s">
        <v>31</v>
      </c>
      <c r="E1115" s="4">
        <f t="shared" ca="1" si="18"/>
        <v>1163640355.6399999</v>
      </c>
    </row>
    <row r="1116" spans="1:5" hidden="1" x14ac:dyDescent="0.25">
      <c r="A1116">
        <v>27</v>
      </c>
      <c r="B1116">
        <v>32</v>
      </c>
      <c r="C1116" t="s">
        <v>145</v>
      </c>
      <c r="D1116" t="s">
        <v>32</v>
      </c>
      <c r="E1116" s="4">
        <f t="shared" ca="1" si="18"/>
        <v>932482427.27999997</v>
      </c>
    </row>
    <row r="1117" spans="1:5" hidden="1" x14ac:dyDescent="0.25">
      <c r="A1117">
        <v>27</v>
      </c>
      <c r="B1117">
        <v>33</v>
      </c>
      <c r="C1117" t="s">
        <v>145</v>
      </c>
      <c r="D1117" t="s">
        <v>33</v>
      </c>
      <c r="E1117" s="4">
        <f t="shared" ca="1" si="18"/>
        <v>2338522249.6399989</v>
      </c>
    </row>
    <row r="1118" spans="1:5" hidden="1" x14ac:dyDescent="0.25">
      <c r="A1118">
        <v>27</v>
      </c>
      <c r="B1118">
        <v>34</v>
      </c>
      <c r="C1118" t="s">
        <v>145</v>
      </c>
      <c r="D1118" t="s">
        <v>34</v>
      </c>
      <c r="E1118" s="4">
        <f t="shared" ca="1" si="18"/>
        <v>8060227230.0000057</v>
      </c>
    </row>
    <row r="1119" spans="1:5" hidden="1" x14ac:dyDescent="0.25">
      <c r="A1119">
        <v>27</v>
      </c>
      <c r="B1119">
        <v>35</v>
      </c>
      <c r="C1119" t="s">
        <v>145</v>
      </c>
      <c r="D1119" t="s">
        <v>35</v>
      </c>
      <c r="E1119" s="4">
        <f t="shared" ca="1" si="18"/>
        <v>1272825593.6000006</v>
      </c>
    </row>
    <row r="1120" spans="1:5" hidden="1" x14ac:dyDescent="0.25">
      <c r="A1120">
        <v>27</v>
      </c>
      <c r="B1120">
        <v>36</v>
      </c>
      <c r="C1120" t="s">
        <v>145</v>
      </c>
      <c r="D1120" t="s">
        <v>36</v>
      </c>
      <c r="E1120" s="4">
        <f t="shared" ca="1" si="18"/>
        <v>2795177088.6799998</v>
      </c>
    </row>
    <row r="1121" spans="1:5" hidden="1" x14ac:dyDescent="0.25">
      <c r="A1121">
        <v>27</v>
      </c>
      <c r="B1121">
        <v>37</v>
      </c>
      <c r="C1121" t="s">
        <v>145</v>
      </c>
      <c r="D1121" t="s">
        <v>37</v>
      </c>
      <c r="E1121" s="4">
        <f t="shared" ca="1" si="18"/>
        <v>4392731390.0000038</v>
      </c>
    </row>
    <row r="1122" spans="1:5" hidden="1" x14ac:dyDescent="0.25">
      <c r="A1122">
        <v>27</v>
      </c>
      <c r="B1122">
        <v>38</v>
      </c>
      <c r="C1122" t="s">
        <v>145</v>
      </c>
      <c r="D1122" t="s">
        <v>38</v>
      </c>
      <c r="E1122" s="4">
        <f t="shared" ca="1" si="18"/>
        <v>2678121688.3199997</v>
      </c>
    </row>
    <row r="1123" spans="1:5" hidden="1" x14ac:dyDescent="0.25">
      <c r="A1123">
        <v>27</v>
      </c>
      <c r="B1123">
        <v>39</v>
      </c>
      <c r="C1123" t="s">
        <v>145</v>
      </c>
      <c r="D1123" t="s">
        <v>39</v>
      </c>
      <c r="E1123" s="4">
        <f t="shared" ca="1" si="18"/>
        <v>3324538167.4800005</v>
      </c>
    </row>
    <row r="1124" spans="1:5" hidden="1" x14ac:dyDescent="0.25">
      <c r="A1124">
        <v>27</v>
      </c>
      <c r="B1124">
        <v>40</v>
      </c>
      <c r="C1124" t="s">
        <v>145</v>
      </c>
      <c r="D1124" t="s">
        <v>40</v>
      </c>
      <c r="E1124" s="4">
        <f t="shared" ca="1" si="18"/>
        <v>3883364675.2000003</v>
      </c>
    </row>
    <row r="1125" spans="1:5" hidden="1" x14ac:dyDescent="0.25">
      <c r="A1125">
        <v>28</v>
      </c>
      <c r="B1125">
        <v>1</v>
      </c>
      <c r="C1125" t="s">
        <v>147</v>
      </c>
      <c r="D1125" t="s">
        <v>0</v>
      </c>
      <c r="E1125" s="4">
        <f t="shared" ca="1" si="18"/>
        <v>436515524.65337133</v>
      </c>
    </row>
    <row r="1126" spans="1:5" hidden="1" x14ac:dyDescent="0.25">
      <c r="A1126">
        <v>28</v>
      </c>
      <c r="B1126">
        <v>2</v>
      </c>
      <c r="C1126" t="s">
        <v>147</v>
      </c>
      <c r="D1126" t="s">
        <v>1</v>
      </c>
      <c r="E1126" s="4">
        <f t="shared" ca="1" si="18"/>
        <v>1156802965.277142</v>
      </c>
    </row>
    <row r="1127" spans="1:5" hidden="1" x14ac:dyDescent="0.25">
      <c r="A1127">
        <v>28</v>
      </c>
      <c r="B1127">
        <v>3</v>
      </c>
      <c r="C1127" t="s">
        <v>147</v>
      </c>
      <c r="D1127" t="s">
        <v>2</v>
      </c>
      <c r="E1127" s="4">
        <f t="shared" ca="1" si="18"/>
        <v>1000283595.8068575</v>
      </c>
    </row>
    <row r="1128" spans="1:5" hidden="1" x14ac:dyDescent="0.25">
      <c r="A1128">
        <v>28</v>
      </c>
      <c r="B1128">
        <v>4</v>
      </c>
      <c r="C1128" t="s">
        <v>147</v>
      </c>
      <c r="D1128" t="s">
        <v>3</v>
      </c>
      <c r="E1128" s="4">
        <f t="shared" ca="1" si="18"/>
        <v>2826588314.7468557</v>
      </c>
    </row>
    <row r="1129" spans="1:5" hidden="1" x14ac:dyDescent="0.25">
      <c r="A1129">
        <v>28</v>
      </c>
      <c r="B1129">
        <v>5</v>
      </c>
      <c r="C1129" t="s">
        <v>147</v>
      </c>
      <c r="D1129" t="s">
        <v>4</v>
      </c>
      <c r="E1129" s="4">
        <f t="shared" ca="1" si="18"/>
        <v>5171566285.5034304</v>
      </c>
    </row>
    <row r="1130" spans="1:5" hidden="1" x14ac:dyDescent="0.25">
      <c r="A1130">
        <v>28</v>
      </c>
      <c r="B1130">
        <v>6</v>
      </c>
      <c r="C1130" t="s">
        <v>147</v>
      </c>
      <c r="D1130" t="s">
        <v>5</v>
      </c>
      <c r="E1130" s="4">
        <f t="shared" ref="E1130:E1191" ca="1" si="19">OFFSET($B$2,A1130,B1130)</f>
        <v>2573275834.502285</v>
      </c>
    </row>
    <row r="1131" spans="1:5" hidden="1" x14ac:dyDescent="0.25">
      <c r="A1131">
        <v>28</v>
      </c>
      <c r="B1131">
        <v>7</v>
      </c>
      <c r="C1131" t="s">
        <v>147</v>
      </c>
      <c r="D1131" t="s">
        <v>6</v>
      </c>
      <c r="E1131" s="4">
        <f t="shared" ca="1" si="19"/>
        <v>1625121840.278857</v>
      </c>
    </row>
    <row r="1132" spans="1:5" hidden="1" x14ac:dyDescent="0.25">
      <c r="A1132">
        <v>28</v>
      </c>
      <c r="B1132">
        <v>8</v>
      </c>
      <c r="C1132" t="s">
        <v>147</v>
      </c>
      <c r="D1132" t="s">
        <v>7</v>
      </c>
      <c r="E1132" s="4">
        <f t="shared" ca="1" si="19"/>
        <v>2963843603.3142834</v>
      </c>
    </row>
    <row r="1133" spans="1:5" hidden="1" x14ac:dyDescent="0.25">
      <c r="A1133">
        <v>28</v>
      </c>
      <c r="B1133">
        <v>9</v>
      </c>
      <c r="C1133" t="s">
        <v>147</v>
      </c>
      <c r="D1133" t="s">
        <v>148</v>
      </c>
      <c r="E1133" s="4">
        <f t="shared" ca="1" si="19"/>
        <v>1389352632.549818</v>
      </c>
    </row>
    <row r="1134" spans="1:5" hidden="1" x14ac:dyDescent="0.25">
      <c r="A1134">
        <v>28</v>
      </c>
      <c r="B1134">
        <v>10</v>
      </c>
      <c r="C1134" t="s">
        <v>147</v>
      </c>
      <c r="D1134" t="s">
        <v>9</v>
      </c>
      <c r="E1134" s="4">
        <f t="shared" ca="1" si="19"/>
        <v>2742036785.4062862</v>
      </c>
    </row>
    <row r="1135" spans="1:5" hidden="1" x14ac:dyDescent="0.25">
      <c r="A1135">
        <v>28</v>
      </c>
      <c r="B1135">
        <v>11</v>
      </c>
      <c r="C1135" t="s">
        <v>147</v>
      </c>
      <c r="D1135" t="s">
        <v>10</v>
      </c>
      <c r="E1135" s="4">
        <f t="shared" ca="1" si="19"/>
        <v>3259816998.2239985</v>
      </c>
    </row>
    <row r="1136" spans="1:5" hidden="1" x14ac:dyDescent="0.25">
      <c r="A1136">
        <v>28</v>
      </c>
      <c r="B1136">
        <v>12</v>
      </c>
      <c r="C1136" t="s">
        <v>147</v>
      </c>
      <c r="D1136" t="s">
        <v>11</v>
      </c>
      <c r="E1136" s="4">
        <f t="shared" ca="1" si="19"/>
        <v>2327443673.5679998</v>
      </c>
    </row>
    <row r="1137" spans="1:5" hidden="1" x14ac:dyDescent="0.25">
      <c r="A1137">
        <v>28</v>
      </c>
      <c r="B1137">
        <v>13</v>
      </c>
      <c r="C1137" t="s">
        <v>147</v>
      </c>
      <c r="D1137" t="s">
        <v>12</v>
      </c>
      <c r="E1137" s="4">
        <f t="shared" ca="1" si="19"/>
        <v>1293694443.072</v>
      </c>
    </row>
    <row r="1138" spans="1:5" hidden="1" x14ac:dyDescent="0.25">
      <c r="A1138">
        <v>28</v>
      </c>
      <c r="B1138">
        <v>14</v>
      </c>
      <c r="C1138" t="s">
        <v>147</v>
      </c>
      <c r="D1138" t="s">
        <v>13</v>
      </c>
      <c r="E1138" s="4">
        <f t="shared" ca="1" si="19"/>
        <v>1953291355.1679995</v>
      </c>
    </row>
    <row r="1139" spans="1:5" hidden="1" x14ac:dyDescent="0.25">
      <c r="A1139">
        <v>28</v>
      </c>
      <c r="B1139">
        <v>15</v>
      </c>
      <c r="C1139" t="s">
        <v>147</v>
      </c>
      <c r="D1139" t="s">
        <v>14</v>
      </c>
      <c r="E1139" s="4">
        <f t="shared" ca="1" si="19"/>
        <v>3501286687.2239976</v>
      </c>
    </row>
    <row r="1140" spans="1:5" hidden="1" x14ac:dyDescent="0.25">
      <c r="A1140">
        <v>28</v>
      </c>
      <c r="B1140">
        <v>16</v>
      </c>
      <c r="C1140" t="s">
        <v>147</v>
      </c>
      <c r="D1140" t="s">
        <v>15</v>
      </c>
      <c r="E1140" s="4">
        <f t="shared" ca="1" si="19"/>
        <v>4003359197.3760018</v>
      </c>
    </row>
    <row r="1141" spans="1:5" hidden="1" x14ac:dyDescent="0.25">
      <c r="A1141">
        <v>28</v>
      </c>
      <c r="B1141">
        <v>17</v>
      </c>
      <c r="C1141" t="s">
        <v>147</v>
      </c>
      <c r="D1141" t="s">
        <v>16</v>
      </c>
      <c r="E1141" s="4">
        <f t="shared" ca="1" si="19"/>
        <v>7258435720.2000008</v>
      </c>
    </row>
    <row r="1142" spans="1:5" hidden="1" x14ac:dyDescent="0.25">
      <c r="A1142">
        <v>28</v>
      </c>
      <c r="B1142">
        <v>18</v>
      </c>
      <c r="C1142" t="s">
        <v>147</v>
      </c>
      <c r="D1142" t="s">
        <v>17</v>
      </c>
      <c r="E1142" s="4">
        <f t="shared" ca="1" si="19"/>
        <v>3684054122.5919976</v>
      </c>
    </row>
    <row r="1143" spans="1:5" hidden="1" x14ac:dyDescent="0.25">
      <c r="A1143">
        <v>28</v>
      </c>
      <c r="B1143">
        <v>19</v>
      </c>
      <c r="C1143" t="s">
        <v>147</v>
      </c>
      <c r="D1143" t="s">
        <v>18</v>
      </c>
      <c r="E1143" s="4">
        <f t="shared" ca="1" si="19"/>
        <v>192238574.62400004</v>
      </c>
    </row>
    <row r="1144" spans="1:5" hidden="1" x14ac:dyDescent="0.25">
      <c r="A1144">
        <v>28</v>
      </c>
      <c r="B1144">
        <v>20</v>
      </c>
      <c r="C1144" t="s">
        <v>147</v>
      </c>
      <c r="D1144" t="s">
        <v>19</v>
      </c>
      <c r="E1144" s="4">
        <f t="shared" ca="1" si="19"/>
        <v>931549121.8319999</v>
      </c>
    </row>
    <row r="1145" spans="1:5" hidden="1" x14ac:dyDescent="0.25">
      <c r="A1145">
        <v>28</v>
      </c>
      <c r="B1145">
        <v>21</v>
      </c>
      <c r="C1145" t="s">
        <v>147</v>
      </c>
      <c r="D1145" t="s">
        <v>20</v>
      </c>
      <c r="E1145" s="4">
        <f t="shared" ca="1" si="19"/>
        <v>1326799047.4320002</v>
      </c>
    </row>
    <row r="1146" spans="1:5" hidden="1" x14ac:dyDescent="0.25">
      <c r="A1146">
        <v>28</v>
      </c>
      <c r="B1146">
        <v>22</v>
      </c>
      <c r="C1146" t="s">
        <v>147</v>
      </c>
      <c r="D1146" t="s">
        <v>21</v>
      </c>
      <c r="E1146" s="4">
        <f t="shared" ca="1" si="19"/>
        <v>127922318.16559987</v>
      </c>
    </row>
    <row r="1147" spans="1:5" hidden="1" x14ac:dyDescent="0.25">
      <c r="A1147">
        <v>28</v>
      </c>
      <c r="B1147">
        <v>23</v>
      </c>
      <c r="C1147" t="s">
        <v>147</v>
      </c>
      <c r="D1147" t="s">
        <v>22</v>
      </c>
      <c r="E1147" s="4">
        <f t="shared" ca="1" si="19"/>
        <v>332252279.32799995</v>
      </c>
    </row>
    <row r="1148" spans="1:5" hidden="1" x14ac:dyDescent="0.25">
      <c r="A1148">
        <v>28</v>
      </c>
      <c r="B1148">
        <v>24</v>
      </c>
      <c r="C1148" t="s">
        <v>147</v>
      </c>
      <c r="D1148" t="s">
        <v>23</v>
      </c>
      <c r="E1148" s="4">
        <f t="shared" ca="1" si="19"/>
        <v>774798945.4879998</v>
      </c>
    </row>
    <row r="1149" spans="1:5" hidden="1" x14ac:dyDescent="0.25">
      <c r="A1149">
        <v>28</v>
      </c>
      <c r="B1149">
        <v>25</v>
      </c>
      <c r="C1149" t="s">
        <v>147</v>
      </c>
      <c r="D1149" t="s">
        <v>24</v>
      </c>
      <c r="E1149" s="4">
        <f t="shared" ca="1" si="19"/>
        <v>502357865.85600001</v>
      </c>
    </row>
    <row r="1150" spans="1:5" hidden="1" x14ac:dyDescent="0.25">
      <c r="A1150">
        <v>28</v>
      </c>
      <c r="B1150">
        <v>26</v>
      </c>
      <c r="C1150" t="s">
        <v>147</v>
      </c>
      <c r="D1150" t="s">
        <v>25</v>
      </c>
      <c r="E1150" s="4">
        <f t="shared" ca="1" si="19"/>
        <v>1073485395.4719998</v>
      </c>
    </row>
    <row r="1151" spans="1:5" hidden="1" x14ac:dyDescent="0.25">
      <c r="A1151">
        <v>28</v>
      </c>
      <c r="B1151">
        <v>27</v>
      </c>
      <c r="C1151" t="s">
        <v>147</v>
      </c>
      <c r="D1151" t="s">
        <v>145</v>
      </c>
      <c r="E1151" s="4">
        <f t="shared" ca="1" si="19"/>
        <v>925836393.76799989</v>
      </c>
    </row>
    <row r="1152" spans="1:5" hidden="1" x14ac:dyDescent="0.25">
      <c r="A1152">
        <v>28</v>
      </c>
      <c r="B1152">
        <v>28</v>
      </c>
      <c r="C1152" t="s">
        <v>147</v>
      </c>
      <c r="D1152" t="s">
        <v>147</v>
      </c>
      <c r="E1152" s="4">
        <f t="shared" ca="1" si="19"/>
        <v>0</v>
      </c>
    </row>
    <row r="1153" spans="1:5" hidden="1" x14ac:dyDescent="0.25">
      <c r="A1153">
        <v>28</v>
      </c>
      <c r="B1153">
        <v>29</v>
      </c>
      <c r="C1153" t="s">
        <v>147</v>
      </c>
      <c r="D1153" t="s">
        <v>146</v>
      </c>
      <c r="E1153" s="4">
        <f t="shared" ca="1" si="19"/>
        <v>1188458614.98</v>
      </c>
    </row>
    <row r="1154" spans="1:5" hidden="1" x14ac:dyDescent="0.25">
      <c r="A1154">
        <v>28</v>
      </c>
      <c r="B1154">
        <v>30</v>
      </c>
      <c r="C1154" t="s">
        <v>147</v>
      </c>
      <c r="D1154" t="s">
        <v>30</v>
      </c>
      <c r="E1154" s="4">
        <f t="shared" ca="1" si="19"/>
        <v>1400048375.908</v>
      </c>
    </row>
    <row r="1155" spans="1:5" hidden="1" x14ac:dyDescent="0.25">
      <c r="A1155">
        <v>28</v>
      </c>
      <c r="B1155">
        <v>31</v>
      </c>
      <c r="C1155" t="s">
        <v>147</v>
      </c>
      <c r="D1155" t="s">
        <v>31</v>
      </c>
      <c r="E1155" s="4">
        <f t="shared" ca="1" si="19"/>
        <v>1124547107.3760002</v>
      </c>
    </row>
    <row r="1156" spans="1:5" hidden="1" x14ac:dyDescent="0.25">
      <c r="A1156">
        <v>28</v>
      </c>
      <c r="B1156">
        <v>32</v>
      </c>
      <c r="C1156" t="s">
        <v>147</v>
      </c>
      <c r="D1156" t="s">
        <v>32</v>
      </c>
      <c r="E1156" s="4">
        <f t="shared" ca="1" si="19"/>
        <v>917465613.9599998</v>
      </c>
    </row>
    <row r="1157" spans="1:5" hidden="1" x14ac:dyDescent="0.25">
      <c r="A1157">
        <v>28</v>
      </c>
      <c r="B1157">
        <v>33</v>
      </c>
      <c r="C1157" t="s">
        <v>147</v>
      </c>
      <c r="D1157" t="s">
        <v>33</v>
      </c>
      <c r="E1157" s="4">
        <f t="shared" ca="1" si="19"/>
        <v>3058664124.8159986</v>
      </c>
    </row>
    <row r="1158" spans="1:5" hidden="1" x14ac:dyDescent="0.25">
      <c r="A1158">
        <v>28</v>
      </c>
      <c r="B1158">
        <v>34</v>
      </c>
      <c r="C1158" t="s">
        <v>147</v>
      </c>
      <c r="D1158" t="s">
        <v>34</v>
      </c>
      <c r="E1158" s="4">
        <f t="shared" ca="1" si="19"/>
        <v>11329464328.544008</v>
      </c>
    </row>
    <row r="1159" spans="1:5" hidden="1" x14ac:dyDescent="0.25">
      <c r="A1159">
        <v>28</v>
      </c>
      <c r="B1159">
        <v>35</v>
      </c>
      <c r="C1159" t="s">
        <v>147</v>
      </c>
      <c r="D1159" t="s">
        <v>35</v>
      </c>
      <c r="E1159" s="4">
        <f t="shared" ca="1" si="19"/>
        <v>1556304804.8640003</v>
      </c>
    </row>
    <row r="1160" spans="1:5" hidden="1" x14ac:dyDescent="0.25">
      <c r="A1160">
        <v>28</v>
      </c>
      <c r="B1160">
        <v>36</v>
      </c>
      <c r="C1160" t="s">
        <v>147</v>
      </c>
      <c r="D1160" t="s">
        <v>36</v>
      </c>
      <c r="E1160" s="4">
        <f t="shared" ca="1" si="19"/>
        <v>1850380870.6799996</v>
      </c>
    </row>
    <row r="1161" spans="1:5" hidden="1" x14ac:dyDescent="0.25">
      <c r="A1161">
        <v>28</v>
      </c>
      <c r="B1161">
        <v>37</v>
      </c>
      <c r="C1161" t="s">
        <v>147</v>
      </c>
      <c r="D1161" t="s">
        <v>37</v>
      </c>
      <c r="E1161" s="4">
        <f t="shared" ca="1" si="19"/>
        <v>3146790765.0080042</v>
      </c>
    </row>
    <row r="1162" spans="1:5" hidden="1" x14ac:dyDescent="0.25">
      <c r="A1162">
        <v>28</v>
      </c>
      <c r="B1162">
        <v>38</v>
      </c>
      <c r="C1162" t="s">
        <v>147</v>
      </c>
      <c r="D1162" t="s">
        <v>38</v>
      </c>
      <c r="E1162" s="4">
        <f t="shared" ca="1" si="19"/>
        <v>1712068556.224</v>
      </c>
    </row>
    <row r="1163" spans="1:5" hidden="1" x14ac:dyDescent="0.25">
      <c r="A1163">
        <v>28</v>
      </c>
      <c r="B1163">
        <v>39</v>
      </c>
      <c r="C1163" t="s">
        <v>147</v>
      </c>
      <c r="D1163" t="s">
        <v>39</v>
      </c>
      <c r="E1163" s="4">
        <f t="shared" ca="1" si="19"/>
        <v>2228639778.7840004</v>
      </c>
    </row>
    <row r="1164" spans="1:5" hidden="1" x14ac:dyDescent="0.25">
      <c r="A1164">
        <v>28</v>
      </c>
      <c r="B1164">
        <v>40</v>
      </c>
      <c r="C1164" t="s">
        <v>147</v>
      </c>
      <c r="D1164" t="s">
        <v>40</v>
      </c>
      <c r="E1164" s="4">
        <f t="shared" ca="1" si="19"/>
        <v>2748922471.7759995</v>
      </c>
    </row>
    <row r="1165" spans="1:5" hidden="1" x14ac:dyDescent="0.25">
      <c r="A1165">
        <v>29</v>
      </c>
      <c r="B1165">
        <v>1</v>
      </c>
      <c r="C1165" t="s">
        <v>146</v>
      </c>
      <c r="D1165" t="s">
        <v>0</v>
      </c>
      <c r="E1165" s="4">
        <f t="shared" ca="1" si="19"/>
        <v>675886062.3542856</v>
      </c>
    </row>
    <row r="1166" spans="1:5" hidden="1" x14ac:dyDescent="0.25">
      <c r="A1166">
        <v>29</v>
      </c>
      <c r="B1166">
        <v>2</v>
      </c>
      <c r="C1166" t="s">
        <v>146</v>
      </c>
      <c r="D1166" t="s">
        <v>1</v>
      </c>
      <c r="E1166" s="4">
        <f t="shared" ca="1" si="19"/>
        <v>952633644.85714197</v>
      </c>
    </row>
    <row r="1167" spans="1:5" hidden="1" x14ac:dyDescent="0.25">
      <c r="A1167">
        <v>29</v>
      </c>
      <c r="B1167">
        <v>3</v>
      </c>
      <c r="C1167" t="s">
        <v>146</v>
      </c>
      <c r="D1167" t="s">
        <v>2</v>
      </c>
      <c r="E1167" s="4">
        <f t="shared" ca="1" si="19"/>
        <v>797591322.35714316</v>
      </c>
    </row>
    <row r="1168" spans="1:5" hidden="1" x14ac:dyDescent="0.25">
      <c r="A1168">
        <v>29</v>
      </c>
      <c r="B1168">
        <v>4</v>
      </c>
      <c r="C1168" t="s">
        <v>146</v>
      </c>
      <c r="D1168" t="s">
        <v>3</v>
      </c>
      <c r="E1168" s="4">
        <f t="shared" ca="1" si="19"/>
        <v>1815364273.98857</v>
      </c>
    </row>
    <row r="1169" spans="1:5" hidden="1" x14ac:dyDescent="0.25">
      <c r="A1169">
        <v>29</v>
      </c>
      <c r="B1169">
        <v>5</v>
      </c>
      <c r="C1169" t="s">
        <v>146</v>
      </c>
      <c r="D1169" t="s">
        <v>4</v>
      </c>
      <c r="E1169" s="4">
        <f t="shared" ca="1" si="19"/>
        <v>5902328329.7828598</v>
      </c>
    </row>
    <row r="1170" spans="1:5" hidden="1" x14ac:dyDescent="0.25">
      <c r="A1170">
        <v>29</v>
      </c>
      <c r="B1170">
        <v>6</v>
      </c>
      <c r="C1170" t="s">
        <v>146</v>
      </c>
      <c r="D1170" t="s">
        <v>5</v>
      </c>
      <c r="E1170" s="4">
        <f t="shared" ca="1" si="19"/>
        <v>2297398003.4571414</v>
      </c>
    </row>
    <row r="1171" spans="1:5" hidden="1" x14ac:dyDescent="0.25">
      <c r="A1171">
        <v>29</v>
      </c>
      <c r="B1171">
        <v>7</v>
      </c>
      <c r="C1171" t="s">
        <v>146</v>
      </c>
      <c r="D1171" t="s">
        <v>6</v>
      </c>
      <c r="E1171" s="4">
        <f t="shared" ca="1" si="19"/>
        <v>1341261237.0857141</v>
      </c>
    </row>
    <row r="1172" spans="1:5" hidden="1" x14ac:dyDescent="0.25">
      <c r="A1172">
        <v>29</v>
      </c>
      <c r="B1172">
        <v>8</v>
      </c>
      <c r="C1172" t="s">
        <v>146</v>
      </c>
      <c r="D1172" t="s">
        <v>7</v>
      </c>
      <c r="E1172" s="4">
        <f t="shared" ca="1" si="19"/>
        <v>3252871926.1628547</v>
      </c>
    </row>
    <row r="1173" spans="1:5" hidden="1" x14ac:dyDescent="0.25">
      <c r="A1173">
        <v>29</v>
      </c>
      <c r="B1173">
        <v>9</v>
      </c>
      <c r="C1173" t="s">
        <v>146</v>
      </c>
      <c r="D1173" t="s">
        <v>148</v>
      </c>
      <c r="E1173" s="4">
        <f t="shared" ca="1" si="19"/>
        <v>190738032.27818179</v>
      </c>
    </row>
    <row r="1174" spans="1:5" hidden="1" x14ac:dyDescent="0.25">
      <c r="A1174">
        <v>29</v>
      </c>
      <c r="B1174">
        <v>10</v>
      </c>
      <c r="C1174" t="s">
        <v>146</v>
      </c>
      <c r="D1174" t="s">
        <v>9</v>
      </c>
      <c r="E1174" s="4">
        <f t="shared" ca="1" si="19"/>
        <v>2690564179.0114303</v>
      </c>
    </row>
    <row r="1175" spans="1:5" hidden="1" x14ac:dyDescent="0.25">
      <c r="A1175">
        <v>29</v>
      </c>
      <c r="B1175">
        <v>11</v>
      </c>
      <c r="C1175" t="s">
        <v>146</v>
      </c>
      <c r="D1175" t="s">
        <v>10</v>
      </c>
      <c r="E1175" s="4">
        <f t="shared" ca="1" si="19"/>
        <v>1788115526.1199987</v>
      </c>
    </row>
    <row r="1176" spans="1:5" hidden="1" x14ac:dyDescent="0.25">
      <c r="A1176">
        <v>29</v>
      </c>
      <c r="B1176">
        <v>12</v>
      </c>
      <c r="C1176" t="s">
        <v>146</v>
      </c>
      <c r="D1176" t="s">
        <v>11</v>
      </c>
      <c r="E1176" s="4">
        <f t="shared" ca="1" si="19"/>
        <v>1093680340.22</v>
      </c>
    </row>
    <row r="1177" spans="1:5" hidden="1" x14ac:dyDescent="0.25">
      <c r="A1177">
        <v>29</v>
      </c>
      <c r="B1177">
        <v>13</v>
      </c>
      <c r="C1177" t="s">
        <v>146</v>
      </c>
      <c r="D1177" t="s">
        <v>12</v>
      </c>
      <c r="E1177" s="4">
        <f t="shared" ca="1" si="19"/>
        <v>450265162.92000014</v>
      </c>
    </row>
    <row r="1178" spans="1:5" hidden="1" x14ac:dyDescent="0.25">
      <c r="A1178">
        <v>29</v>
      </c>
      <c r="B1178">
        <v>14</v>
      </c>
      <c r="C1178" t="s">
        <v>146</v>
      </c>
      <c r="D1178" t="s">
        <v>13</v>
      </c>
      <c r="E1178" s="4">
        <f t="shared" ca="1" si="19"/>
        <v>750486816.5399996</v>
      </c>
    </row>
    <row r="1179" spans="1:5" hidden="1" x14ac:dyDescent="0.25">
      <c r="A1179">
        <v>29</v>
      </c>
      <c r="B1179">
        <v>15</v>
      </c>
      <c r="C1179" t="s">
        <v>146</v>
      </c>
      <c r="D1179" t="s">
        <v>14</v>
      </c>
      <c r="E1179" s="4">
        <f t="shared" ca="1" si="19"/>
        <v>1923079218.2999985</v>
      </c>
    </row>
    <row r="1180" spans="1:5" hidden="1" x14ac:dyDescent="0.25">
      <c r="A1180">
        <v>29</v>
      </c>
      <c r="B1180">
        <v>16</v>
      </c>
      <c r="C1180" t="s">
        <v>146</v>
      </c>
      <c r="D1180" t="s">
        <v>15</v>
      </c>
      <c r="E1180" s="4">
        <f t="shared" ca="1" si="19"/>
        <v>2266546058.0800014</v>
      </c>
    </row>
    <row r="1181" spans="1:5" hidden="1" x14ac:dyDescent="0.25">
      <c r="A1181">
        <v>29</v>
      </c>
      <c r="B1181">
        <v>17</v>
      </c>
      <c r="C1181" t="s">
        <v>146</v>
      </c>
      <c r="D1181" t="s">
        <v>16</v>
      </c>
      <c r="E1181" s="4">
        <f t="shared" ca="1" si="19"/>
        <v>4781047857.5</v>
      </c>
    </row>
    <row r="1182" spans="1:5" hidden="1" x14ac:dyDescent="0.25">
      <c r="A1182">
        <v>29</v>
      </c>
      <c r="B1182">
        <v>18</v>
      </c>
      <c r="C1182" t="s">
        <v>146</v>
      </c>
      <c r="D1182" t="s">
        <v>17</v>
      </c>
      <c r="E1182" s="4">
        <f t="shared" ca="1" si="19"/>
        <v>2105249742.8599982</v>
      </c>
    </row>
    <row r="1183" spans="1:5" hidden="1" x14ac:dyDescent="0.25">
      <c r="A1183">
        <v>29</v>
      </c>
      <c r="B1183">
        <v>19</v>
      </c>
      <c r="C1183" t="s">
        <v>146</v>
      </c>
      <c r="D1183" t="s">
        <v>18</v>
      </c>
      <c r="E1183" s="4">
        <f t="shared" ca="1" si="19"/>
        <v>408347104.6400001</v>
      </c>
    </row>
    <row r="1184" spans="1:5" hidden="1" x14ac:dyDescent="0.25">
      <c r="A1184">
        <v>29</v>
      </c>
      <c r="B1184">
        <v>20</v>
      </c>
      <c r="C1184" t="s">
        <v>146</v>
      </c>
      <c r="D1184" t="s">
        <v>19</v>
      </c>
      <c r="E1184" s="4">
        <f t="shared" ca="1" si="19"/>
        <v>2293265921.1799998</v>
      </c>
    </row>
    <row r="1185" spans="1:5" hidden="1" x14ac:dyDescent="0.25">
      <c r="A1185">
        <v>29</v>
      </c>
      <c r="B1185">
        <v>21</v>
      </c>
      <c r="C1185" t="s">
        <v>146</v>
      </c>
      <c r="D1185" t="s">
        <v>20</v>
      </c>
      <c r="E1185" s="4">
        <f t="shared" ca="1" si="19"/>
        <v>1963168404.9400005</v>
      </c>
    </row>
    <row r="1186" spans="1:5" hidden="1" x14ac:dyDescent="0.25">
      <c r="A1186">
        <v>29</v>
      </c>
      <c r="B1186">
        <v>22</v>
      </c>
      <c r="C1186" t="s">
        <v>146</v>
      </c>
      <c r="D1186" t="s">
        <v>21</v>
      </c>
      <c r="E1186" s="4">
        <f t="shared" ca="1" si="19"/>
        <v>607724766.89999926</v>
      </c>
    </row>
    <row r="1187" spans="1:5" hidden="1" x14ac:dyDescent="0.25">
      <c r="A1187">
        <v>29</v>
      </c>
      <c r="B1187">
        <v>23</v>
      </c>
      <c r="C1187" t="s">
        <v>146</v>
      </c>
      <c r="D1187" t="s">
        <v>22</v>
      </c>
      <c r="E1187" s="4">
        <f t="shared" ca="1" si="19"/>
        <v>340785590.76000005</v>
      </c>
    </row>
    <row r="1188" spans="1:5" hidden="1" x14ac:dyDescent="0.25">
      <c r="A1188">
        <v>29</v>
      </c>
      <c r="B1188">
        <v>24</v>
      </c>
      <c r="C1188" t="s">
        <v>146</v>
      </c>
      <c r="D1188" t="s">
        <v>23</v>
      </c>
      <c r="E1188" s="4">
        <f t="shared" ca="1" si="19"/>
        <v>83589482.033999979</v>
      </c>
    </row>
    <row r="1189" spans="1:5" hidden="1" x14ac:dyDescent="0.25">
      <c r="A1189">
        <v>29</v>
      </c>
      <c r="B1189">
        <v>25</v>
      </c>
      <c r="C1189" t="s">
        <v>146</v>
      </c>
      <c r="D1189" t="s">
        <v>24</v>
      </c>
      <c r="E1189" s="4">
        <f t="shared" ca="1" si="19"/>
        <v>114667077.60000002</v>
      </c>
    </row>
    <row r="1190" spans="1:5" hidden="1" x14ac:dyDescent="0.25">
      <c r="A1190">
        <v>29</v>
      </c>
      <c r="B1190">
        <v>26</v>
      </c>
      <c r="C1190" t="s">
        <v>146</v>
      </c>
      <c r="D1190" t="s">
        <v>25</v>
      </c>
      <c r="E1190" s="4">
        <f t="shared" ca="1" si="19"/>
        <v>462667971</v>
      </c>
    </row>
    <row r="1191" spans="1:5" hidden="1" x14ac:dyDescent="0.25">
      <c r="A1191">
        <v>29</v>
      </c>
      <c r="B1191">
        <v>27</v>
      </c>
      <c r="C1191" t="s">
        <v>146</v>
      </c>
      <c r="D1191" t="s">
        <v>145</v>
      </c>
      <c r="E1191" s="4">
        <f t="shared" ca="1" si="19"/>
        <v>2052024754.78</v>
      </c>
    </row>
    <row r="1192" spans="1:5" hidden="1" x14ac:dyDescent="0.25">
      <c r="A1192">
        <v>29</v>
      </c>
      <c r="B1192">
        <v>28</v>
      </c>
      <c r="C1192" t="s">
        <v>146</v>
      </c>
      <c r="D1192" t="s">
        <v>147</v>
      </c>
      <c r="E1192" s="4">
        <f t="shared" ref="E1192:E1254" ca="1" si="20">OFFSET($B$2,A1192,B1192)</f>
        <v>1054017787.6799999</v>
      </c>
    </row>
    <row r="1193" spans="1:5" hidden="1" x14ac:dyDescent="0.25">
      <c r="A1193">
        <v>29</v>
      </c>
      <c r="B1193">
        <v>29</v>
      </c>
      <c r="C1193" t="s">
        <v>146</v>
      </c>
      <c r="D1193" t="s">
        <v>146</v>
      </c>
      <c r="E1193" s="4">
        <f t="shared" ca="1" si="20"/>
        <v>0</v>
      </c>
    </row>
    <row r="1194" spans="1:5" hidden="1" x14ac:dyDescent="0.25">
      <c r="A1194">
        <v>29</v>
      </c>
      <c r="B1194">
        <v>30</v>
      </c>
      <c r="C1194" t="s">
        <v>146</v>
      </c>
      <c r="D1194" t="s">
        <v>30</v>
      </c>
      <c r="E1194" s="4">
        <f t="shared" ca="1" si="20"/>
        <v>1292011064.76</v>
      </c>
    </row>
    <row r="1195" spans="1:5" hidden="1" x14ac:dyDescent="0.25">
      <c r="A1195">
        <v>29</v>
      </c>
      <c r="B1195">
        <v>31</v>
      </c>
      <c r="C1195" t="s">
        <v>146</v>
      </c>
      <c r="D1195" t="s">
        <v>31</v>
      </c>
      <c r="E1195" s="4">
        <f t="shared" ca="1" si="20"/>
        <v>947631629.38000011</v>
      </c>
    </row>
    <row r="1196" spans="1:5" hidden="1" x14ac:dyDescent="0.25">
      <c r="A1196">
        <v>29</v>
      </c>
      <c r="B1196">
        <v>32</v>
      </c>
      <c r="C1196" t="s">
        <v>146</v>
      </c>
      <c r="D1196" t="s">
        <v>32</v>
      </c>
      <c r="E1196" s="4">
        <f t="shared" ca="1" si="20"/>
        <v>751929448.01999998</v>
      </c>
    </row>
    <row r="1197" spans="1:5" hidden="1" x14ac:dyDescent="0.25">
      <c r="A1197">
        <v>29</v>
      </c>
      <c r="B1197">
        <v>33</v>
      </c>
      <c r="C1197" t="s">
        <v>146</v>
      </c>
      <c r="D1197" t="s">
        <v>33</v>
      </c>
      <c r="E1197" s="4">
        <f t="shared" ca="1" si="20"/>
        <v>4020610779.5199976</v>
      </c>
    </row>
    <row r="1198" spans="1:5" hidden="1" x14ac:dyDescent="0.25">
      <c r="A1198">
        <v>29</v>
      </c>
      <c r="B1198">
        <v>34</v>
      </c>
      <c r="C1198" t="s">
        <v>146</v>
      </c>
      <c r="D1198" t="s">
        <v>34</v>
      </c>
      <c r="E1198" s="4">
        <f t="shared" ca="1" si="20"/>
        <v>16269740540.000013</v>
      </c>
    </row>
    <row r="1199" spans="1:5" hidden="1" x14ac:dyDescent="0.25">
      <c r="A1199">
        <v>29</v>
      </c>
      <c r="B1199">
        <v>35</v>
      </c>
      <c r="C1199" t="s">
        <v>146</v>
      </c>
      <c r="D1199" t="s">
        <v>35</v>
      </c>
      <c r="E1199" s="4">
        <f t="shared" ca="1" si="20"/>
        <v>1829618827.9000008</v>
      </c>
    </row>
    <row r="1200" spans="1:5" hidden="1" x14ac:dyDescent="0.25">
      <c r="A1200">
        <v>29</v>
      </c>
      <c r="B1200">
        <v>36</v>
      </c>
      <c r="C1200" t="s">
        <v>146</v>
      </c>
      <c r="D1200" t="s">
        <v>36</v>
      </c>
      <c r="E1200" s="4">
        <f t="shared" ca="1" si="20"/>
        <v>795796569.95999968</v>
      </c>
    </row>
    <row r="1201" spans="1:5" hidden="1" x14ac:dyDescent="0.25">
      <c r="A1201">
        <v>29</v>
      </c>
      <c r="B1201">
        <v>37</v>
      </c>
      <c r="C1201" t="s">
        <v>146</v>
      </c>
      <c r="D1201" t="s">
        <v>37</v>
      </c>
      <c r="E1201" s="4">
        <f t="shared" ca="1" si="20"/>
        <v>1694391024.7600033</v>
      </c>
    </row>
    <row r="1202" spans="1:5" hidden="1" x14ac:dyDescent="0.25">
      <c r="A1202">
        <v>29</v>
      </c>
      <c r="B1202">
        <v>38</v>
      </c>
      <c r="C1202" t="s">
        <v>146</v>
      </c>
      <c r="D1202" t="s">
        <v>38</v>
      </c>
      <c r="E1202" s="4">
        <f t="shared" ca="1" si="20"/>
        <v>685172900.10000002</v>
      </c>
    </row>
    <row r="1203" spans="1:5" hidden="1" x14ac:dyDescent="0.25">
      <c r="A1203">
        <v>29</v>
      </c>
      <c r="B1203">
        <v>39</v>
      </c>
      <c r="C1203" t="s">
        <v>146</v>
      </c>
      <c r="D1203" t="s">
        <v>39</v>
      </c>
      <c r="E1203" s="4">
        <f t="shared" ca="1" si="20"/>
        <v>1023246586.3200003</v>
      </c>
    </row>
    <row r="1204" spans="1:5" hidden="1" x14ac:dyDescent="0.25">
      <c r="A1204">
        <v>29</v>
      </c>
      <c r="B1204">
        <v>40</v>
      </c>
      <c r="C1204" t="s">
        <v>146</v>
      </c>
      <c r="D1204" t="s">
        <v>40</v>
      </c>
      <c r="E1204" s="4">
        <f t="shared" ca="1" si="20"/>
        <v>1416908486.9000001</v>
      </c>
    </row>
    <row r="1205" spans="1:5" hidden="1" x14ac:dyDescent="0.25">
      <c r="A1205">
        <v>30</v>
      </c>
      <c r="B1205">
        <v>1</v>
      </c>
      <c r="C1205" t="s">
        <v>30</v>
      </c>
      <c r="D1205" t="s">
        <v>0</v>
      </c>
      <c r="E1205" s="4">
        <f t="shared" ca="1" si="20"/>
        <v>1581247112.461714</v>
      </c>
    </row>
    <row r="1206" spans="1:5" hidden="1" x14ac:dyDescent="0.25">
      <c r="A1206">
        <v>30</v>
      </c>
      <c r="B1206">
        <v>2</v>
      </c>
      <c r="C1206" t="s">
        <v>30</v>
      </c>
      <c r="D1206" t="s">
        <v>1</v>
      </c>
      <c r="E1206" s="4">
        <f t="shared" ca="1" si="20"/>
        <v>444369468.85428512</v>
      </c>
    </row>
    <row r="1207" spans="1:5" hidden="1" x14ac:dyDescent="0.25">
      <c r="A1207">
        <v>30</v>
      </c>
      <c r="B1207">
        <v>3</v>
      </c>
      <c r="C1207" t="s">
        <v>30</v>
      </c>
      <c r="D1207" t="s">
        <v>2</v>
      </c>
      <c r="E1207" s="4">
        <f t="shared" ca="1" si="20"/>
        <v>405050429.434286</v>
      </c>
    </row>
    <row r="1208" spans="1:5" hidden="1" x14ac:dyDescent="0.25">
      <c r="A1208">
        <v>30</v>
      </c>
      <c r="B1208">
        <v>4</v>
      </c>
      <c r="C1208" t="s">
        <v>30</v>
      </c>
      <c r="D1208" t="s">
        <v>3</v>
      </c>
      <c r="E1208" s="4">
        <f t="shared" ca="1" si="20"/>
        <v>318663511.7028569</v>
      </c>
    </row>
    <row r="1209" spans="1:5" hidden="1" x14ac:dyDescent="0.25">
      <c r="A1209">
        <v>30</v>
      </c>
      <c r="B1209">
        <v>5</v>
      </c>
      <c r="C1209" t="s">
        <v>30</v>
      </c>
      <c r="D1209" t="s">
        <v>4</v>
      </c>
      <c r="E1209" s="4">
        <f t="shared" ca="1" si="20"/>
        <v>1037098646.2857147</v>
      </c>
    </row>
    <row r="1210" spans="1:5" hidden="1" x14ac:dyDescent="0.25">
      <c r="A1210">
        <v>30</v>
      </c>
      <c r="B1210">
        <v>6</v>
      </c>
      <c r="C1210" t="s">
        <v>30</v>
      </c>
      <c r="D1210" t="s">
        <v>5</v>
      </c>
      <c r="E1210" s="4">
        <f t="shared" ca="1" si="20"/>
        <v>412330778.38285667</v>
      </c>
    </row>
    <row r="1211" spans="1:5" hidden="1" x14ac:dyDescent="0.25">
      <c r="A1211">
        <v>30</v>
      </c>
      <c r="B1211">
        <v>7</v>
      </c>
      <c r="C1211" t="s">
        <v>30</v>
      </c>
      <c r="D1211" t="s">
        <v>6</v>
      </c>
      <c r="E1211" s="4">
        <f t="shared" ca="1" si="20"/>
        <v>110550868.7714285</v>
      </c>
    </row>
    <row r="1212" spans="1:5" hidden="1" x14ac:dyDescent="0.25">
      <c r="A1212">
        <v>30</v>
      </c>
      <c r="B1212">
        <v>8</v>
      </c>
      <c r="C1212" t="s">
        <v>30</v>
      </c>
      <c r="D1212" t="s">
        <v>7</v>
      </c>
      <c r="E1212" s="4">
        <f t="shared" ca="1" si="20"/>
        <v>331066622.20571393</v>
      </c>
    </row>
    <row r="1213" spans="1:5" hidden="1" x14ac:dyDescent="0.25">
      <c r="A1213">
        <v>30</v>
      </c>
      <c r="B1213">
        <v>9</v>
      </c>
      <c r="C1213" t="s">
        <v>30</v>
      </c>
      <c r="D1213" t="s">
        <v>148</v>
      </c>
      <c r="E1213" s="4">
        <f t="shared" ca="1" si="20"/>
        <v>38330601.818181813</v>
      </c>
    </row>
    <row r="1214" spans="1:5" hidden="1" x14ac:dyDescent="0.25">
      <c r="A1214">
        <v>30</v>
      </c>
      <c r="B1214">
        <v>10</v>
      </c>
      <c r="C1214" t="s">
        <v>30</v>
      </c>
      <c r="D1214" t="s">
        <v>9</v>
      </c>
      <c r="E1214" s="4">
        <f t="shared" ca="1" si="20"/>
        <v>457338821.42857164</v>
      </c>
    </row>
    <row r="1215" spans="1:5" hidden="1" x14ac:dyDescent="0.25">
      <c r="A1215">
        <v>30</v>
      </c>
      <c r="B1215">
        <v>11</v>
      </c>
      <c r="C1215" t="s">
        <v>30</v>
      </c>
      <c r="D1215" t="s">
        <v>10</v>
      </c>
      <c r="E1215" s="4">
        <f t="shared" ca="1" si="20"/>
        <v>2635546721.9999976</v>
      </c>
    </row>
    <row r="1216" spans="1:5" hidden="1" x14ac:dyDescent="0.25">
      <c r="A1216">
        <v>30</v>
      </c>
      <c r="B1216">
        <v>12</v>
      </c>
      <c r="C1216" t="s">
        <v>30</v>
      </c>
      <c r="D1216" t="s">
        <v>11</v>
      </c>
      <c r="E1216" s="4">
        <f t="shared" ca="1" si="20"/>
        <v>1945065873.9599998</v>
      </c>
    </row>
    <row r="1217" spans="1:5" hidden="1" x14ac:dyDescent="0.25">
      <c r="A1217">
        <v>30</v>
      </c>
      <c r="B1217">
        <v>13</v>
      </c>
      <c r="C1217" t="s">
        <v>30</v>
      </c>
      <c r="D1217" t="s">
        <v>12</v>
      </c>
      <c r="E1217" s="4">
        <f t="shared" ca="1" si="20"/>
        <v>459615916.64000034</v>
      </c>
    </row>
    <row r="1218" spans="1:5" hidden="1" x14ac:dyDescent="0.25">
      <c r="A1218">
        <v>30</v>
      </c>
      <c r="B1218">
        <v>14</v>
      </c>
      <c r="C1218" t="s">
        <v>30</v>
      </c>
      <c r="D1218" t="s">
        <v>13</v>
      </c>
      <c r="E1218" s="4">
        <f t="shared" ca="1" si="20"/>
        <v>2119581301.4799984</v>
      </c>
    </row>
    <row r="1219" spans="1:5" hidden="1" x14ac:dyDescent="0.25">
      <c r="A1219">
        <v>30</v>
      </c>
      <c r="B1219">
        <v>15</v>
      </c>
      <c r="C1219" t="s">
        <v>30</v>
      </c>
      <c r="D1219" t="s">
        <v>14</v>
      </c>
      <c r="E1219" s="4">
        <f t="shared" ca="1" si="20"/>
        <v>4528489408.7999964</v>
      </c>
    </row>
    <row r="1220" spans="1:5" hidden="1" x14ac:dyDescent="0.25">
      <c r="A1220">
        <v>30</v>
      </c>
      <c r="B1220">
        <v>16</v>
      </c>
      <c r="C1220" t="s">
        <v>30</v>
      </c>
      <c r="D1220" t="s">
        <v>15</v>
      </c>
      <c r="E1220" s="4">
        <f t="shared" ca="1" si="20"/>
        <v>4171925876.8000026</v>
      </c>
    </row>
    <row r="1221" spans="1:5" hidden="1" x14ac:dyDescent="0.25">
      <c r="A1221">
        <v>30</v>
      </c>
      <c r="B1221">
        <v>17</v>
      </c>
      <c r="C1221" t="s">
        <v>30</v>
      </c>
      <c r="D1221" t="s">
        <v>16</v>
      </c>
      <c r="E1221" s="4">
        <f t="shared" ca="1" si="20"/>
        <v>8200983516.5999994</v>
      </c>
    </row>
    <row r="1222" spans="1:5" hidden="1" x14ac:dyDescent="0.25">
      <c r="A1222">
        <v>30</v>
      </c>
      <c r="B1222">
        <v>18</v>
      </c>
      <c r="C1222" t="s">
        <v>30</v>
      </c>
      <c r="D1222" t="s">
        <v>17</v>
      </c>
      <c r="E1222" s="4">
        <f t="shared" ca="1" si="20"/>
        <v>3033939739.3199964</v>
      </c>
    </row>
    <row r="1223" spans="1:5" hidden="1" x14ac:dyDescent="0.25">
      <c r="A1223">
        <v>30</v>
      </c>
      <c r="B1223">
        <v>19</v>
      </c>
      <c r="C1223" t="s">
        <v>30</v>
      </c>
      <c r="D1223" t="s">
        <v>18</v>
      </c>
      <c r="E1223" s="4">
        <f t="shared" ca="1" si="20"/>
        <v>141231620.88000014</v>
      </c>
    </row>
    <row r="1224" spans="1:5" hidden="1" x14ac:dyDescent="0.25">
      <c r="A1224">
        <v>30</v>
      </c>
      <c r="B1224">
        <v>20</v>
      </c>
      <c r="C1224" t="s">
        <v>30</v>
      </c>
      <c r="D1224" t="s">
        <v>19</v>
      </c>
      <c r="E1224" s="4">
        <f t="shared" ca="1" si="20"/>
        <v>2232518846.9999995</v>
      </c>
    </row>
    <row r="1225" spans="1:5" hidden="1" x14ac:dyDescent="0.25">
      <c r="A1225">
        <v>30</v>
      </c>
      <c r="B1225">
        <v>21</v>
      </c>
      <c r="C1225" t="s">
        <v>30</v>
      </c>
      <c r="D1225" t="s">
        <v>20</v>
      </c>
      <c r="E1225" s="4">
        <f t="shared" ca="1" si="20"/>
        <v>968193534.60000038</v>
      </c>
    </row>
    <row r="1226" spans="1:5" hidden="1" x14ac:dyDescent="0.25">
      <c r="A1226">
        <v>30</v>
      </c>
      <c r="B1226">
        <v>22</v>
      </c>
      <c r="C1226" t="s">
        <v>30</v>
      </c>
      <c r="D1226" t="s">
        <v>21</v>
      </c>
      <c r="E1226" s="4">
        <f t="shared" ca="1" si="20"/>
        <v>1119507561.2799978</v>
      </c>
    </row>
    <row r="1227" spans="1:5" hidden="1" x14ac:dyDescent="0.25">
      <c r="A1227">
        <v>30</v>
      </c>
      <c r="B1227">
        <v>23</v>
      </c>
      <c r="C1227" t="s">
        <v>30</v>
      </c>
      <c r="D1227" t="s">
        <v>22</v>
      </c>
      <c r="E1227" s="4">
        <f t="shared" ca="1" si="20"/>
        <v>390339144.00000024</v>
      </c>
    </row>
    <row r="1228" spans="1:5" hidden="1" x14ac:dyDescent="0.25">
      <c r="A1228">
        <v>30</v>
      </c>
      <c r="B1228">
        <v>24</v>
      </c>
      <c r="C1228" t="s">
        <v>30</v>
      </c>
      <c r="D1228" t="s">
        <v>23</v>
      </c>
      <c r="E1228" s="4">
        <f t="shared" ca="1" si="20"/>
        <v>621911560.19999993</v>
      </c>
    </row>
    <row r="1229" spans="1:5" hidden="1" x14ac:dyDescent="0.25">
      <c r="A1229">
        <v>30</v>
      </c>
      <c r="B1229">
        <v>25</v>
      </c>
      <c r="C1229" t="s">
        <v>30</v>
      </c>
      <c r="D1229" t="s">
        <v>24</v>
      </c>
      <c r="E1229" s="4">
        <f t="shared" ca="1" si="20"/>
        <v>411382595.00000012</v>
      </c>
    </row>
    <row r="1230" spans="1:5" hidden="1" x14ac:dyDescent="0.25">
      <c r="A1230">
        <v>30</v>
      </c>
      <c r="B1230">
        <v>26</v>
      </c>
      <c r="C1230" t="s">
        <v>30</v>
      </c>
      <c r="D1230" t="s">
        <v>25</v>
      </c>
      <c r="E1230" s="4">
        <f t="shared" ca="1" si="20"/>
        <v>439202984.39999992</v>
      </c>
    </row>
    <row r="1231" spans="1:5" hidden="1" x14ac:dyDescent="0.25">
      <c r="A1231">
        <v>30</v>
      </c>
      <c r="B1231">
        <v>27</v>
      </c>
      <c r="C1231" t="s">
        <v>30</v>
      </c>
      <c r="D1231" t="s">
        <v>145</v>
      </c>
      <c r="E1231" s="4">
        <f t="shared" ca="1" si="20"/>
        <v>2093318526</v>
      </c>
    </row>
    <row r="1232" spans="1:5" hidden="1" x14ac:dyDescent="0.25">
      <c r="A1232">
        <v>30</v>
      </c>
      <c r="B1232">
        <v>28</v>
      </c>
      <c r="C1232" t="s">
        <v>30</v>
      </c>
      <c r="D1232" t="s">
        <v>147</v>
      </c>
      <c r="E1232" s="4">
        <f t="shared" ca="1" si="20"/>
        <v>1731664178.2839999</v>
      </c>
    </row>
    <row r="1233" spans="1:5" hidden="1" x14ac:dyDescent="0.25">
      <c r="A1233">
        <v>30</v>
      </c>
      <c r="B1233">
        <v>29</v>
      </c>
      <c r="C1233" t="s">
        <v>30</v>
      </c>
      <c r="D1233" t="s">
        <v>146</v>
      </c>
      <c r="E1233" s="4">
        <f t="shared" ca="1" si="20"/>
        <v>2142842633.7</v>
      </c>
    </row>
    <row r="1234" spans="1:5" hidden="1" x14ac:dyDescent="0.25">
      <c r="A1234">
        <v>30</v>
      </c>
      <c r="B1234">
        <v>30</v>
      </c>
      <c r="C1234" t="s">
        <v>30</v>
      </c>
      <c r="D1234" t="s">
        <v>30</v>
      </c>
      <c r="E1234" s="4">
        <f t="shared" ca="1" si="20"/>
        <v>0</v>
      </c>
    </row>
    <row r="1235" spans="1:5" hidden="1" x14ac:dyDescent="0.25">
      <c r="A1235">
        <v>30</v>
      </c>
      <c r="B1235">
        <v>31</v>
      </c>
      <c r="C1235" t="s">
        <v>30</v>
      </c>
      <c r="D1235" t="s">
        <v>31</v>
      </c>
      <c r="E1235" s="4">
        <f t="shared" ca="1" si="20"/>
        <v>14728370.248000003</v>
      </c>
    </row>
    <row r="1236" spans="1:5" hidden="1" x14ac:dyDescent="0.25">
      <c r="A1236">
        <v>30</v>
      </c>
      <c r="B1236">
        <v>32</v>
      </c>
      <c r="C1236" t="s">
        <v>30</v>
      </c>
      <c r="D1236" t="s">
        <v>32</v>
      </c>
      <c r="E1236" s="4">
        <f t="shared" ca="1" si="20"/>
        <v>24418567.999999993</v>
      </c>
    </row>
    <row r="1237" spans="1:5" hidden="1" x14ac:dyDescent="0.25">
      <c r="A1237">
        <v>30</v>
      </c>
      <c r="B1237">
        <v>33</v>
      </c>
      <c r="C1237" t="s">
        <v>30</v>
      </c>
      <c r="D1237" t="s">
        <v>33</v>
      </c>
      <c r="E1237" s="4">
        <f t="shared" ca="1" si="20"/>
        <v>835409408.27999961</v>
      </c>
    </row>
    <row r="1238" spans="1:5" hidden="1" x14ac:dyDescent="0.25">
      <c r="A1238">
        <v>30</v>
      </c>
      <c r="B1238">
        <v>34</v>
      </c>
      <c r="C1238" t="s">
        <v>30</v>
      </c>
      <c r="D1238" t="s">
        <v>34</v>
      </c>
      <c r="E1238" s="4">
        <f t="shared" ca="1" si="20"/>
        <v>3387557064.9600034</v>
      </c>
    </row>
    <row r="1239" spans="1:5" hidden="1" x14ac:dyDescent="0.25">
      <c r="A1239">
        <v>30</v>
      </c>
      <c r="B1239">
        <v>35</v>
      </c>
      <c r="C1239" t="s">
        <v>30</v>
      </c>
      <c r="D1239" t="s">
        <v>35</v>
      </c>
      <c r="E1239" s="4">
        <f t="shared" ca="1" si="20"/>
        <v>354839833.68000019</v>
      </c>
    </row>
    <row r="1240" spans="1:5" hidden="1" x14ac:dyDescent="0.25">
      <c r="A1240">
        <v>30</v>
      </c>
      <c r="B1240">
        <v>36</v>
      </c>
      <c r="C1240" t="s">
        <v>30</v>
      </c>
      <c r="D1240" t="s">
        <v>36</v>
      </c>
      <c r="E1240" s="4">
        <f t="shared" ca="1" si="20"/>
        <v>607729164.43999958</v>
      </c>
    </row>
    <row r="1241" spans="1:5" hidden="1" x14ac:dyDescent="0.25">
      <c r="A1241">
        <v>30</v>
      </c>
      <c r="B1241">
        <v>37</v>
      </c>
      <c r="C1241" t="s">
        <v>30</v>
      </c>
      <c r="D1241" t="s">
        <v>37</v>
      </c>
      <c r="E1241" s="4">
        <f t="shared" ca="1" si="20"/>
        <v>1616857061.760006</v>
      </c>
    </row>
    <row r="1242" spans="1:5" hidden="1" x14ac:dyDescent="0.25">
      <c r="A1242">
        <v>30</v>
      </c>
      <c r="B1242">
        <v>38</v>
      </c>
      <c r="C1242" t="s">
        <v>30</v>
      </c>
      <c r="D1242" t="s">
        <v>38</v>
      </c>
      <c r="E1242" s="4">
        <f t="shared" ca="1" si="20"/>
        <v>221565720</v>
      </c>
    </row>
    <row r="1243" spans="1:5" hidden="1" x14ac:dyDescent="0.25">
      <c r="A1243">
        <v>30</v>
      </c>
      <c r="B1243">
        <v>39</v>
      </c>
      <c r="C1243" t="s">
        <v>30</v>
      </c>
      <c r="D1243" t="s">
        <v>39</v>
      </c>
      <c r="E1243" s="4">
        <f t="shared" ca="1" si="20"/>
        <v>627101041.20000041</v>
      </c>
    </row>
    <row r="1244" spans="1:5" hidden="1" x14ac:dyDescent="0.25">
      <c r="A1244">
        <v>30</v>
      </c>
      <c r="B1244">
        <v>40</v>
      </c>
      <c r="C1244" t="s">
        <v>30</v>
      </c>
      <c r="D1244" t="s">
        <v>40</v>
      </c>
      <c r="E1244" s="4">
        <f t="shared" ca="1" si="20"/>
        <v>1435750632.7999997</v>
      </c>
    </row>
    <row r="1245" spans="1:5" hidden="1" x14ac:dyDescent="0.25">
      <c r="A1245">
        <v>31</v>
      </c>
      <c r="B1245">
        <v>1</v>
      </c>
      <c r="C1245" t="s">
        <v>31</v>
      </c>
      <c r="D1245" t="s">
        <v>0</v>
      </c>
      <c r="E1245" s="4">
        <f t="shared" ca="1" si="20"/>
        <v>1386964239.1999996</v>
      </c>
    </row>
    <row r="1246" spans="1:5" hidden="1" x14ac:dyDescent="0.25">
      <c r="A1246">
        <v>31</v>
      </c>
      <c r="B1246">
        <v>2</v>
      </c>
      <c r="C1246" t="s">
        <v>31</v>
      </c>
      <c r="D1246" t="s">
        <v>1</v>
      </c>
      <c r="E1246" s="4">
        <f t="shared" ca="1" si="20"/>
        <v>405623357.12857085</v>
      </c>
    </row>
    <row r="1247" spans="1:5" hidden="1" x14ac:dyDescent="0.25">
      <c r="A1247">
        <v>31</v>
      </c>
      <c r="B1247">
        <v>3</v>
      </c>
      <c r="C1247" t="s">
        <v>31</v>
      </c>
      <c r="D1247" t="s">
        <v>2</v>
      </c>
      <c r="E1247" s="4">
        <f t="shared" ca="1" si="20"/>
        <v>374262748.33714306</v>
      </c>
    </row>
    <row r="1248" spans="1:5" hidden="1" x14ac:dyDescent="0.25">
      <c r="A1248">
        <v>31</v>
      </c>
      <c r="B1248">
        <v>4</v>
      </c>
      <c r="C1248" t="s">
        <v>31</v>
      </c>
      <c r="D1248" t="s">
        <v>3</v>
      </c>
      <c r="E1248" s="4">
        <f t="shared" ca="1" si="20"/>
        <v>426039260.21142823</v>
      </c>
    </row>
    <row r="1249" spans="1:5" hidden="1" x14ac:dyDescent="0.25">
      <c r="A1249">
        <v>31</v>
      </c>
      <c r="B1249">
        <v>5</v>
      </c>
      <c r="C1249" t="s">
        <v>31</v>
      </c>
      <c r="D1249" t="s">
        <v>4</v>
      </c>
      <c r="E1249" s="4">
        <f t="shared" ca="1" si="20"/>
        <v>1275351038.0000007</v>
      </c>
    </row>
    <row r="1250" spans="1:5" hidden="1" x14ac:dyDescent="0.25">
      <c r="A1250">
        <v>31</v>
      </c>
      <c r="B1250">
        <v>6</v>
      </c>
      <c r="C1250" t="s">
        <v>31</v>
      </c>
      <c r="D1250" t="s">
        <v>5</v>
      </c>
      <c r="E1250" s="4">
        <f t="shared" ca="1" si="20"/>
        <v>465254460.66571373</v>
      </c>
    </row>
    <row r="1251" spans="1:5" hidden="1" x14ac:dyDescent="0.25">
      <c r="A1251">
        <v>31</v>
      </c>
      <c r="B1251">
        <v>7</v>
      </c>
      <c r="C1251" t="s">
        <v>31</v>
      </c>
      <c r="D1251" t="s">
        <v>6</v>
      </c>
      <c r="E1251" s="4">
        <f t="shared" ca="1" si="20"/>
        <v>134800736.7599999</v>
      </c>
    </row>
    <row r="1252" spans="1:5" hidden="1" x14ac:dyDescent="0.25">
      <c r="A1252">
        <v>31</v>
      </c>
      <c r="B1252">
        <v>8</v>
      </c>
      <c r="C1252" t="s">
        <v>31</v>
      </c>
      <c r="D1252" t="s">
        <v>7</v>
      </c>
      <c r="E1252" s="4">
        <f t="shared" ca="1" si="20"/>
        <v>459283175.31428522</v>
      </c>
    </row>
    <row r="1253" spans="1:5" hidden="1" x14ac:dyDescent="0.25">
      <c r="A1253">
        <v>31</v>
      </c>
      <c r="B1253">
        <v>9</v>
      </c>
      <c r="C1253" t="s">
        <v>31</v>
      </c>
      <c r="D1253" t="s">
        <v>148</v>
      </c>
      <c r="E1253" s="4">
        <f t="shared" ca="1" si="20"/>
        <v>35519691.018181816</v>
      </c>
    </row>
    <row r="1254" spans="1:5" hidden="1" x14ac:dyDescent="0.25">
      <c r="A1254">
        <v>31</v>
      </c>
      <c r="B1254">
        <v>10</v>
      </c>
      <c r="C1254" t="s">
        <v>31</v>
      </c>
      <c r="D1254" t="s">
        <v>9</v>
      </c>
      <c r="E1254" s="4">
        <f t="shared" ca="1" si="20"/>
        <v>531957260.71428597</v>
      </c>
    </row>
    <row r="1255" spans="1:5" hidden="1" x14ac:dyDescent="0.25">
      <c r="A1255">
        <v>31</v>
      </c>
      <c r="B1255">
        <v>11</v>
      </c>
      <c r="C1255" t="s">
        <v>31</v>
      </c>
      <c r="D1255" t="s">
        <v>10</v>
      </c>
      <c r="E1255" s="4">
        <f t="shared" ref="E1255:E1316" ca="1" si="21">OFFSET($B$2,A1255,B1255)</f>
        <v>2595540722.9999976</v>
      </c>
    </row>
    <row r="1256" spans="1:5" hidden="1" x14ac:dyDescent="0.25">
      <c r="A1256">
        <v>31</v>
      </c>
      <c r="B1256">
        <v>12</v>
      </c>
      <c r="C1256" t="s">
        <v>31</v>
      </c>
      <c r="D1256" t="s">
        <v>11</v>
      </c>
      <c r="E1256" s="4">
        <f t="shared" ca="1" si="21"/>
        <v>1911366844.1999998</v>
      </c>
    </row>
    <row r="1257" spans="1:5" hidden="1" x14ac:dyDescent="0.25">
      <c r="A1257">
        <v>31</v>
      </c>
      <c r="B1257">
        <v>13</v>
      </c>
      <c r="C1257" t="s">
        <v>31</v>
      </c>
      <c r="D1257" t="s">
        <v>12</v>
      </c>
      <c r="E1257" s="4">
        <f t="shared" ca="1" si="21"/>
        <v>450994750.5600003</v>
      </c>
    </row>
    <row r="1258" spans="1:5" hidden="1" x14ac:dyDescent="0.25">
      <c r="A1258">
        <v>31</v>
      </c>
      <c r="B1258">
        <v>14</v>
      </c>
      <c r="C1258" t="s">
        <v>31</v>
      </c>
      <c r="D1258" t="s">
        <v>13</v>
      </c>
      <c r="E1258" s="4">
        <f t="shared" ca="1" si="21"/>
        <v>2076296935.3999984</v>
      </c>
    </row>
    <row r="1259" spans="1:5" hidden="1" x14ac:dyDescent="0.25">
      <c r="A1259">
        <v>31</v>
      </c>
      <c r="B1259">
        <v>15</v>
      </c>
      <c r="C1259" t="s">
        <v>31</v>
      </c>
      <c r="D1259" t="s">
        <v>14</v>
      </c>
      <c r="E1259" s="4">
        <f t="shared" ca="1" si="21"/>
        <v>4492053287.119997</v>
      </c>
    </row>
    <row r="1260" spans="1:5" hidden="1" x14ac:dyDescent="0.25">
      <c r="A1260">
        <v>31</v>
      </c>
      <c r="B1260">
        <v>16</v>
      </c>
      <c r="C1260" t="s">
        <v>31</v>
      </c>
      <c r="D1260" t="s">
        <v>15</v>
      </c>
      <c r="E1260" s="4">
        <f t="shared" ca="1" si="21"/>
        <v>4105966574.4000034</v>
      </c>
    </row>
    <row r="1261" spans="1:5" hidden="1" x14ac:dyDescent="0.25">
      <c r="A1261">
        <v>31</v>
      </c>
      <c r="B1261">
        <v>17</v>
      </c>
      <c r="C1261" t="s">
        <v>31</v>
      </c>
      <c r="D1261" t="s">
        <v>16</v>
      </c>
      <c r="E1261" s="4">
        <f t="shared" ca="1" si="21"/>
        <v>8089547647.1599998</v>
      </c>
    </row>
    <row r="1262" spans="1:5" hidden="1" x14ac:dyDescent="0.25">
      <c r="A1262">
        <v>31</v>
      </c>
      <c r="B1262">
        <v>18</v>
      </c>
      <c r="C1262" t="s">
        <v>31</v>
      </c>
      <c r="D1262" t="s">
        <v>17</v>
      </c>
      <c r="E1262" s="4">
        <f t="shared" ca="1" si="21"/>
        <v>2990962283.9599962</v>
      </c>
    </row>
    <row r="1263" spans="1:5" hidden="1" x14ac:dyDescent="0.25">
      <c r="A1263">
        <v>31</v>
      </c>
      <c r="B1263">
        <v>19</v>
      </c>
      <c r="C1263" t="s">
        <v>31</v>
      </c>
      <c r="D1263" t="s">
        <v>18</v>
      </c>
      <c r="E1263" s="4">
        <f t="shared" ca="1" si="21"/>
        <v>135818562.24000013</v>
      </c>
    </row>
    <row r="1264" spans="1:5" hidden="1" x14ac:dyDescent="0.25">
      <c r="A1264">
        <v>31</v>
      </c>
      <c r="B1264">
        <v>20</v>
      </c>
      <c r="C1264" t="s">
        <v>31</v>
      </c>
      <c r="D1264" t="s">
        <v>19</v>
      </c>
      <c r="E1264" s="4">
        <f t="shared" ca="1" si="21"/>
        <v>2131184658.1999996</v>
      </c>
    </row>
    <row r="1265" spans="1:5" hidden="1" x14ac:dyDescent="0.25">
      <c r="A1265">
        <v>31</v>
      </c>
      <c r="B1265">
        <v>21</v>
      </c>
      <c r="C1265" t="s">
        <v>31</v>
      </c>
      <c r="D1265" t="s">
        <v>20</v>
      </c>
      <c r="E1265" s="4">
        <f t="shared" ca="1" si="21"/>
        <v>902413931.40000021</v>
      </c>
    </row>
    <row r="1266" spans="1:5" hidden="1" x14ac:dyDescent="0.25">
      <c r="A1266">
        <v>31</v>
      </c>
      <c r="B1266">
        <v>22</v>
      </c>
      <c r="C1266" t="s">
        <v>31</v>
      </c>
      <c r="D1266" t="s">
        <v>21</v>
      </c>
      <c r="E1266" s="4">
        <f t="shared" ca="1" si="21"/>
        <v>1079878975.0399978</v>
      </c>
    </row>
    <row r="1267" spans="1:5" hidden="1" x14ac:dyDescent="0.25">
      <c r="A1267">
        <v>31</v>
      </c>
      <c r="B1267">
        <v>23</v>
      </c>
      <c r="C1267" t="s">
        <v>31</v>
      </c>
      <c r="D1267" t="s">
        <v>22</v>
      </c>
      <c r="E1267" s="4">
        <f t="shared" ca="1" si="21"/>
        <v>376460418.88000017</v>
      </c>
    </row>
    <row r="1268" spans="1:5" hidden="1" x14ac:dyDescent="0.25">
      <c r="A1268">
        <v>31</v>
      </c>
      <c r="B1268">
        <v>24</v>
      </c>
      <c r="C1268" t="s">
        <v>31</v>
      </c>
      <c r="D1268" t="s">
        <v>23</v>
      </c>
      <c r="E1268" s="4">
        <f t="shared" ca="1" si="21"/>
        <v>606079284.99999988</v>
      </c>
    </row>
    <row r="1269" spans="1:5" hidden="1" x14ac:dyDescent="0.25">
      <c r="A1269">
        <v>31</v>
      </c>
      <c r="B1269">
        <v>25</v>
      </c>
      <c r="C1269" t="s">
        <v>31</v>
      </c>
      <c r="D1269" t="s">
        <v>24</v>
      </c>
      <c r="E1269" s="4">
        <f t="shared" ca="1" si="21"/>
        <v>399576099.00000018</v>
      </c>
    </row>
    <row r="1270" spans="1:5" hidden="1" x14ac:dyDescent="0.25">
      <c r="A1270">
        <v>31</v>
      </c>
      <c r="B1270">
        <v>26</v>
      </c>
      <c r="C1270" t="s">
        <v>31</v>
      </c>
      <c r="D1270" t="s">
        <v>25</v>
      </c>
      <c r="E1270" s="4">
        <f t="shared" ca="1" si="21"/>
        <v>428944228.55999988</v>
      </c>
    </row>
    <row r="1271" spans="1:5" hidden="1" x14ac:dyDescent="0.25">
      <c r="A1271">
        <v>31</v>
      </c>
      <c r="B1271">
        <v>27</v>
      </c>
      <c r="C1271" t="s">
        <v>31</v>
      </c>
      <c r="D1271" t="s">
        <v>145</v>
      </c>
      <c r="E1271" s="4">
        <f t="shared" ca="1" si="21"/>
        <v>1987042354.6800001</v>
      </c>
    </row>
    <row r="1272" spans="1:5" hidden="1" x14ac:dyDescent="0.25">
      <c r="A1272">
        <v>31</v>
      </c>
      <c r="B1272">
        <v>28</v>
      </c>
      <c r="C1272" t="s">
        <v>31</v>
      </c>
      <c r="D1272" t="s">
        <v>147</v>
      </c>
      <c r="E1272" s="4">
        <f t="shared" ca="1" si="21"/>
        <v>1665139244.776</v>
      </c>
    </row>
    <row r="1273" spans="1:5" hidden="1" x14ac:dyDescent="0.25">
      <c r="A1273">
        <v>31</v>
      </c>
      <c r="B1273">
        <v>29</v>
      </c>
      <c r="C1273" t="s">
        <v>31</v>
      </c>
      <c r="D1273" t="s">
        <v>146</v>
      </c>
      <c r="E1273" s="4">
        <f t="shared" ca="1" si="21"/>
        <v>2084976841.0599999</v>
      </c>
    </row>
    <row r="1274" spans="1:5" hidden="1" x14ac:dyDescent="0.25">
      <c r="A1274">
        <v>31</v>
      </c>
      <c r="B1274">
        <v>30</v>
      </c>
      <c r="C1274" t="s">
        <v>31</v>
      </c>
      <c r="D1274" t="s">
        <v>30</v>
      </c>
      <c r="E1274" s="4">
        <f t="shared" ca="1" si="21"/>
        <v>31531539.621599998</v>
      </c>
    </row>
    <row r="1275" spans="1:5" hidden="1" x14ac:dyDescent="0.25">
      <c r="A1275">
        <v>31</v>
      </c>
      <c r="B1275">
        <v>31</v>
      </c>
      <c r="C1275" t="s">
        <v>31</v>
      </c>
      <c r="D1275" t="s">
        <v>31</v>
      </c>
      <c r="E1275" s="4">
        <f t="shared" ca="1" si="21"/>
        <v>0</v>
      </c>
    </row>
    <row r="1276" spans="1:5" hidden="1" x14ac:dyDescent="0.25">
      <c r="A1276">
        <v>31</v>
      </c>
      <c r="B1276">
        <v>32</v>
      </c>
      <c r="C1276" t="s">
        <v>31</v>
      </c>
      <c r="D1276" t="s">
        <v>32</v>
      </c>
      <c r="E1276" s="4">
        <f t="shared" ca="1" si="21"/>
        <v>17092997.599999998</v>
      </c>
    </row>
    <row r="1277" spans="1:5" hidden="1" x14ac:dyDescent="0.25">
      <c r="A1277">
        <v>31</v>
      </c>
      <c r="B1277">
        <v>33</v>
      </c>
      <c r="C1277" t="s">
        <v>31</v>
      </c>
      <c r="D1277" t="s">
        <v>33</v>
      </c>
      <c r="E1277" s="4">
        <f t="shared" ca="1" si="21"/>
        <v>717550819.55999959</v>
      </c>
    </row>
    <row r="1278" spans="1:5" hidden="1" x14ac:dyDescent="0.25">
      <c r="A1278">
        <v>31</v>
      </c>
      <c r="B1278">
        <v>34</v>
      </c>
      <c r="C1278" t="s">
        <v>31</v>
      </c>
      <c r="D1278" t="s">
        <v>34</v>
      </c>
      <c r="E1278" s="4">
        <f t="shared" ca="1" si="21"/>
        <v>3120943777.4400029</v>
      </c>
    </row>
    <row r="1279" spans="1:5" hidden="1" x14ac:dyDescent="0.25">
      <c r="A1279">
        <v>31</v>
      </c>
      <c r="B1279">
        <v>35</v>
      </c>
      <c r="C1279" t="s">
        <v>31</v>
      </c>
      <c r="D1279" t="s">
        <v>35</v>
      </c>
      <c r="E1279" s="4">
        <f t="shared" ca="1" si="21"/>
        <v>311630555.04000014</v>
      </c>
    </row>
    <row r="1280" spans="1:5" hidden="1" x14ac:dyDescent="0.25">
      <c r="A1280">
        <v>31</v>
      </c>
      <c r="B1280">
        <v>36</v>
      </c>
      <c r="C1280" t="s">
        <v>31</v>
      </c>
      <c r="D1280" t="s">
        <v>36</v>
      </c>
      <c r="E1280" s="4">
        <f t="shared" ca="1" si="21"/>
        <v>598101193.99999964</v>
      </c>
    </row>
    <row r="1281" spans="1:5" hidden="1" x14ac:dyDescent="0.25">
      <c r="A1281">
        <v>31</v>
      </c>
      <c r="B1281">
        <v>37</v>
      </c>
      <c r="C1281" t="s">
        <v>31</v>
      </c>
      <c r="D1281" t="s">
        <v>37</v>
      </c>
      <c r="E1281" s="4">
        <f t="shared" ca="1" si="21"/>
        <v>1596103937.2800057</v>
      </c>
    </row>
    <row r="1282" spans="1:5" hidden="1" x14ac:dyDescent="0.25">
      <c r="A1282">
        <v>31</v>
      </c>
      <c r="B1282">
        <v>38</v>
      </c>
      <c r="C1282" t="s">
        <v>31</v>
      </c>
      <c r="D1282" t="s">
        <v>38</v>
      </c>
      <c r="E1282" s="4">
        <f t="shared" ca="1" si="21"/>
        <v>218199390.00000003</v>
      </c>
    </row>
    <row r="1283" spans="1:5" hidden="1" x14ac:dyDescent="0.25">
      <c r="A1283">
        <v>31</v>
      </c>
      <c r="B1283">
        <v>39</v>
      </c>
      <c r="C1283" t="s">
        <v>31</v>
      </c>
      <c r="D1283" t="s">
        <v>39</v>
      </c>
      <c r="E1283" s="4">
        <f t="shared" ca="1" si="21"/>
        <v>618413243.40000045</v>
      </c>
    </row>
    <row r="1284" spans="1:5" hidden="1" x14ac:dyDescent="0.25">
      <c r="A1284">
        <v>31</v>
      </c>
      <c r="B1284">
        <v>40</v>
      </c>
      <c r="C1284" t="s">
        <v>31</v>
      </c>
      <c r="D1284" t="s">
        <v>40</v>
      </c>
      <c r="E1284" s="4">
        <f t="shared" ca="1" si="21"/>
        <v>1415109820.3199999</v>
      </c>
    </row>
    <row r="1285" spans="1:5" hidden="1" x14ac:dyDescent="0.25">
      <c r="A1285">
        <v>32</v>
      </c>
      <c r="B1285">
        <v>1</v>
      </c>
      <c r="C1285" t="s">
        <v>32</v>
      </c>
      <c r="D1285" t="s">
        <v>0</v>
      </c>
      <c r="E1285" s="4">
        <f t="shared" ca="1" si="21"/>
        <v>914183281.90857124</v>
      </c>
    </row>
    <row r="1286" spans="1:5" hidden="1" x14ac:dyDescent="0.25">
      <c r="A1286">
        <v>32</v>
      </c>
      <c r="B1286">
        <v>2</v>
      </c>
      <c r="C1286" t="s">
        <v>32</v>
      </c>
      <c r="D1286" t="s">
        <v>1</v>
      </c>
      <c r="E1286" s="4">
        <f t="shared" ca="1" si="21"/>
        <v>273292031.98857105</v>
      </c>
    </row>
    <row r="1287" spans="1:5" hidden="1" x14ac:dyDescent="0.25">
      <c r="A1287">
        <v>32</v>
      </c>
      <c r="B1287">
        <v>3</v>
      </c>
      <c r="C1287" t="s">
        <v>32</v>
      </c>
      <c r="D1287" t="s">
        <v>2</v>
      </c>
      <c r="E1287" s="4">
        <f t="shared" ca="1" si="21"/>
        <v>258790461.22285736</v>
      </c>
    </row>
    <row r="1288" spans="1:5" hidden="1" x14ac:dyDescent="0.25">
      <c r="A1288">
        <v>32</v>
      </c>
      <c r="B1288">
        <v>4</v>
      </c>
      <c r="C1288" t="s">
        <v>32</v>
      </c>
      <c r="D1288" t="s">
        <v>3</v>
      </c>
      <c r="E1288" s="4">
        <f t="shared" ca="1" si="21"/>
        <v>613771486.55428505</v>
      </c>
    </row>
    <row r="1289" spans="1:5" hidden="1" x14ac:dyDescent="0.25">
      <c r="A1289">
        <v>32</v>
      </c>
      <c r="B1289">
        <v>5</v>
      </c>
      <c r="C1289" t="s">
        <v>32</v>
      </c>
      <c r="D1289" t="s">
        <v>4</v>
      </c>
      <c r="E1289" s="4">
        <f t="shared" ca="1" si="21"/>
        <v>1651865362.0228581</v>
      </c>
    </row>
    <row r="1290" spans="1:5" hidden="1" x14ac:dyDescent="0.25">
      <c r="A1290">
        <v>32</v>
      </c>
      <c r="B1290">
        <v>6</v>
      </c>
      <c r="C1290" t="s">
        <v>32</v>
      </c>
      <c r="D1290" t="s">
        <v>5</v>
      </c>
      <c r="E1290" s="4">
        <f t="shared" ca="1" si="21"/>
        <v>496388708.25714231</v>
      </c>
    </row>
    <row r="1291" spans="1:5" hidden="1" x14ac:dyDescent="0.25">
      <c r="A1291">
        <v>32</v>
      </c>
      <c r="B1291">
        <v>7</v>
      </c>
      <c r="C1291" t="s">
        <v>32</v>
      </c>
      <c r="D1291" t="s">
        <v>6</v>
      </c>
      <c r="E1291" s="4">
        <f t="shared" ca="1" si="21"/>
        <v>132392814.80571418</v>
      </c>
    </row>
    <row r="1292" spans="1:5" hidden="1" x14ac:dyDescent="0.25">
      <c r="A1292">
        <v>32</v>
      </c>
      <c r="B1292">
        <v>8</v>
      </c>
      <c r="C1292" t="s">
        <v>32</v>
      </c>
      <c r="D1292" t="s">
        <v>7</v>
      </c>
      <c r="E1292" s="4">
        <f t="shared" ca="1" si="21"/>
        <v>656248758.17142785</v>
      </c>
    </row>
    <row r="1293" spans="1:5" hidden="1" x14ac:dyDescent="0.25">
      <c r="A1293">
        <v>32</v>
      </c>
      <c r="B1293">
        <v>9</v>
      </c>
      <c r="C1293" t="s">
        <v>32</v>
      </c>
      <c r="D1293" t="s">
        <v>148</v>
      </c>
      <c r="E1293" s="4">
        <f t="shared" ca="1" si="21"/>
        <v>9953536.0436363574</v>
      </c>
    </row>
    <row r="1294" spans="1:5" hidden="1" x14ac:dyDescent="0.25">
      <c r="A1294">
        <v>32</v>
      </c>
      <c r="B1294">
        <v>10</v>
      </c>
      <c r="C1294" t="s">
        <v>32</v>
      </c>
      <c r="D1294" t="s">
        <v>9</v>
      </c>
      <c r="E1294" s="4">
        <f t="shared" ca="1" si="21"/>
        <v>625369172.26857185</v>
      </c>
    </row>
    <row r="1295" spans="1:5" hidden="1" x14ac:dyDescent="0.25">
      <c r="A1295">
        <v>32</v>
      </c>
      <c r="B1295">
        <v>11</v>
      </c>
      <c r="C1295" t="s">
        <v>32</v>
      </c>
      <c r="D1295" t="s">
        <v>10</v>
      </c>
      <c r="E1295" s="4">
        <f t="shared" ca="1" si="21"/>
        <v>2299149455.9999981</v>
      </c>
    </row>
    <row r="1296" spans="1:5" hidden="1" x14ac:dyDescent="0.25">
      <c r="A1296">
        <v>32</v>
      </c>
      <c r="B1296">
        <v>12</v>
      </c>
      <c r="C1296" t="s">
        <v>32</v>
      </c>
      <c r="D1296" t="s">
        <v>11</v>
      </c>
      <c r="E1296" s="4">
        <f t="shared" ca="1" si="21"/>
        <v>1658091143.9999995</v>
      </c>
    </row>
    <row r="1297" spans="1:5" hidden="1" x14ac:dyDescent="0.25">
      <c r="A1297">
        <v>32</v>
      </c>
      <c r="B1297">
        <v>13</v>
      </c>
      <c r="C1297" t="s">
        <v>32</v>
      </c>
      <c r="D1297" t="s">
        <v>12</v>
      </c>
      <c r="E1297" s="4">
        <f t="shared" ca="1" si="21"/>
        <v>282616010.32000029</v>
      </c>
    </row>
    <row r="1298" spans="1:5" hidden="1" x14ac:dyDescent="0.25">
      <c r="A1298">
        <v>32</v>
      </c>
      <c r="B1298">
        <v>14</v>
      </c>
      <c r="C1298" t="s">
        <v>32</v>
      </c>
      <c r="D1298" t="s">
        <v>13</v>
      </c>
      <c r="E1298" s="4">
        <f t="shared" ca="1" si="21"/>
        <v>1820878063.6799984</v>
      </c>
    </row>
    <row r="1299" spans="1:5" hidden="1" x14ac:dyDescent="0.25">
      <c r="A1299">
        <v>32</v>
      </c>
      <c r="B1299">
        <v>15</v>
      </c>
      <c r="C1299" t="s">
        <v>32</v>
      </c>
      <c r="D1299" t="s">
        <v>14</v>
      </c>
      <c r="E1299" s="4">
        <f t="shared" ca="1" si="21"/>
        <v>4104303160.9599972</v>
      </c>
    </row>
    <row r="1300" spans="1:5" hidden="1" x14ac:dyDescent="0.25">
      <c r="A1300">
        <v>32</v>
      </c>
      <c r="B1300">
        <v>16</v>
      </c>
      <c r="C1300" t="s">
        <v>32</v>
      </c>
      <c r="D1300" t="s">
        <v>15</v>
      </c>
      <c r="E1300" s="4">
        <f t="shared" ca="1" si="21"/>
        <v>3743876888.0000029</v>
      </c>
    </row>
    <row r="1301" spans="1:5" hidden="1" x14ac:dyDescent="0.25">
      <c r="A1301">
        <v>32</v>
      </c>
      <c r="B1301">
        <v>17</v>
      </c>
      <c r="C1301" t="s">
        <v>32</v>
      </c>
      <c r="D1301" t="s">
        <v>16</v>
      </c>
      <c r="E1301" s="4">
        <f t="shared" ca="1" si="21"/>
        <v>7566669059.4400005</v>
      </c>
    </row>
    <row r="1302" spans="1:5" hidden="1" x14ac:dyDescent="0.25">
      <c r="A1302">
        <v>32</v>
      </c>
      <c r="B1302">
        <v>18</v>
      </c>
      <c r="C1302" t="s">
        <v>32</v>
      </c>
      <c r="D1302" t="s">
        <v>17</v>
      </c>
      <c r="E1302" s="4">
        <f t="shared" ca="1" si="21"/>
        <v>2673615237.9999967</v>
      </c>
    </row>
    <row r="1303" spans="1:5" hidden="1" x14ac:dyDescent="0.25">
      <c r="A1303">
        <v>32</v>
      </c>
      <c r="B1303">
        <v>19</v>
      </c>
      <c r="C1303" t="s">
        <v>32</v>
      </c>
      <c r="D1303" t="s">
        <v>18</v>
      </c>
      <c r="E1303" s="4">
        <f t="shared" ca="1" si="21"/>
        <v>53996599.800000124</v>
      </c>
    </row>
    <row r="1304" spans="1:5" hidden="1" x14ac:dyDescent="0.25">
      <c r="A1304">
        <v>32</v>
      </c>
      <c r="B1304">
        <v>20</v>
      </c>
      <c r="C1304" t="s">
        <v>32</v>
      </c>
      <c r="D1304" t="s">
        <v>19</v>
      </c>
      <c r="E1304" s="4">
        <f t="shared" ca="1" si="21"/>
        <v>1787113424.3199995</v>
      </c>
    </row>
    <row r="1305" spans="1:5" hidden="1" x14ac:dyDescent="0.25">
      <c r="A1305">
        <v>32</v>
      </c>
      <c r="B1305">
        <v>21</v>
      </c>
      <c r="C1305" t="s">
        <v>32</v>
      </c>
      <c r="D1305" t="s">
        <v>20</v>
      </c>
      <c r="E1305" s="4">
        <f t="shared" ca="1" si="21"/>
        <v>683766380.16000009</v>
      </c>
    </row>
    <row r="1306" spans="1:5" hidden="1" x14ac:dyDescent="0.25">
      <c r="A1306">
        <v>32</v>
      </c>
      <c r="B1306">
        <v>22</v>
      </c>
      <c r="C1306" t="s">
        <v>32</v>
      </c>
      <c r="D1306" t="s">
        <v>21</v>
      </c>
      <c r="E1306" s="4">
        <f t="shared" ca="1" si="21"/>
        <v>896296405.83999801</v>
      </c>
    </row>
    <row r="1307" spans="1:5" hidden="1" x14ac:dyDescent="0.25">
      <c r="A1307">
        <v>32</v>
      </c>
      <c r="B1307">
        <v>23</v>
      </c>
      <c r="C1307" t="s">
        <v>32</v>
      </c>
      <c r="D1307" t="s">
        <v>22</v>
      </c>
      <c r="E1307" s="4">
        <f t="shared" ca="1" si="21"/>
        <v>266124140.48000005</v>
      </c>
    </row>
    <row r="1308" spans="1:5" hidden="1" x14ac:dyDescent="0.25">
      <c r="A1308">
        <v>32</v>
      </c>
      <c r="B1308">
        <v>24</v>
      </c>
      <c r="C1308" t="s">
        <v>32</v>
      </c>
      <c r="D1308" t="s">
        <v>23</v>
      </c>
      <c r="E1308" s="4">
        <f t="shared" ca="1" si="21"/>
        <v>457722845.35999984</v>
      </c>
    </row>
    <row r="1309" spans="1:5" hidden="1" x14ac:dyDescent="0.25">
      <c r="A1309">
        <v>32</v>
      </c>
      <c r="B1309">
        <v>25</v>
      </c>
      <c r="C1309" t="s">
        <v>32</v>
      </c>
      <c r="D1309" t="s">
        <v>24</v>
      </c>
      <c r="E1309" s="4">
        <f t="shared" ca="1" si="21"/>
        <v>275960829.44000006</v>
      </c>
    </row>
    <row r="1310" spans="1:5" hidden="1" x14ac:dyDescent="0.25">
      <c r="A1310">
        <v>32</v>
      </c>
      <c r="B1310">
        <v>26</v>
      </c>
      <c r="C1310" t="s">
        <v>32</v>
      </c>
      <c r="D1310" t="s">
        <v>25</v>
      </c>
      <c r="E1310" s="4">
        <f t="shared" ca="1" si="21"/>
        <v>286584841.67999989</v>
      </c>
    </row>
    <row r="1311" spans="1:5" hidden="1" x14ac:dyDescent="0.25">
      <c r="A1311">
        <v>32</v>
      </c>
      <c r="B1311">
        <v>27</v>
      </c>
      <c r="C1311" t="s">
        <v>32</v>
      </c>
      <c r="D1311" t="s">
        <v>145</v>
      </c>
      <c r="E1311" s="4">
        <f t="shared" ca="1" si="21"/>
        <v>1646234487.3599999</v>
      </c>
    </row>
    <row r="1312" spans="1:5" hidden="1" x14ac:dyDescent="0.25">
      <c r="A1312">
        <v>32</v>
      </c>
      <c r="B1312">
        <v>28</v>
      </c>
      <c r="C1312" t="s">
        <v>32</v>
      </c>
      <c r="D1312" t="s">
        <v>147</v>
      </c>
      <c r="E1312" s="4">
        <f t="shared" ca="1" si="21"/>
        <v>1414978191.0599999</v>
      </c>
    </row>
    <row r="1313" spans="1:5" hidden="1" x14ac:dyDescent="0.25">
      <c r="A1313">
        <v>32</v>
      </c>
      <c r="B1313">
        <v>29</v>
      </c>
      <c r="C1313" t="s">
        <v>32</v>
      </c>
      <c r="D1313" t="s">
        <v>146</v>
      </c>
      <c r="E1313" s="4">
        <f t="shared" ca="1" si="21"/>
        <v>1822309239.7399995</v>
      </c>
    </row>
    <row r="1314" spans="1:5" hidden="1" x14ac:dyDescent="0.25">
      <c r="A1314">
        <v>32</v>
      </c>
      <c r="B1314">
        <v>30</v>
      </c>
      <c r="C1314" t="s">
        <v>32</v>
      </c>
      <c r="D1314" t="s">
        <v>30</v>
      </c>
      <c r="E1314" s="4">
        <f t="shared" ca="1" si="21"/>
        <v>82586407.199999988</v>
      </c>
    </row>
    <row r="1315" spans="1:5" hidden="1" x14ac:dyDescent="0.25">
      <c r="A1315">
        <v>32</v>
      </c>
      <c r="B1315">
        <v>31</v>
      </c>
      <c r="C1315" t="s">
        <v>32</v>
      </c>
      <c r="D1315" t="s">
        <v>31</v>
      </c>
      <c r="E1315" s="4">
        <f t="shared" ca="1" si="21"/>
        <v>20231512.000000007</v>
      </c>
    </row>
    <row r="1316" spans="1:5" hidden="1" x14ac:dyDescent="0.25">
      <c r="A1316">
        <v>32</v>
      </c>
      <c r="B1316">
        <v>32</v>
      </c>
      <c r="C1316" t="s">
        <v>32</v>
      </c>
      <c r="D1316" t="s">
        <v>32</v>
      </c>
      <c r="E1316" s="4">
        <f t="shared" ca="1" si="21"/>
        <v>0</v>
      </c>
    </row>
    <row r="1317" spans="1:5" hidden="1" x14ac:dyDescent="0.25">
      <c r="A1317">
        <v>32</v>
      </c>
      <c r="B1317">
        <v>33</v>
      </c>
      <c r="C1317" t="s">
        <v>32</v>
      </c>
      <c r="D1317" t="s">
        <v>33</v>
      </c>
      <c r="E1317" s="4">
        <f t="shared" ref="E1317:E1379" ca="1" si="22">OFFSET($B$2,A1317,B1317)</f>
        <v>290982098.87999988</v>
      </c>
    </row>
    <row r="1318" spans="1:5" hidden="1" x14ac:dyDescent="0.25">
      <c r="A1318">
        <v>32</v>
      </c>
      <c r="B1318">
        <v>34</v>
      </c>
      <c r="C1318" t="s">
        <v>32</v>
      </c>
      <c r="D1318" t="s">
        <v>34</v>
      </c>
      <c r="E1318" s="4">
        <f t="shared" ca="1" si="22"/>
        <v>2198523871.0800023</v>
      </c>
    </row>
    <row r="1319" spans="1:5" hidden="1" x14ac:dyDescent="0.25">
      <c r="A1319">
        <v>32</v>
      </c>
      <c r="B1319">
        <v>35</v>
      </c>
      <c r="C1319" t="s">
        <v>32</v>
      </c>
      <c r="D1319" t="s">
        <v>35</v>
      </c>
      <c r="E1319" s="4">
        <f t="shared" ca="1" si="22"/>
        <v>180353599.20000011</v>
      </c>
    </row>
    <row r="1320" spans="1:5" hidden="1" x14ac:dyDescent="0.25">
      <c r="A1320">
        <v>32</v>
      </c>
      <c r="B1320">
        <v>36</v>
      </c>
      <c r="C1320" t="s">
        <v>32</v>
      </c>
      <c r="D1320" t="s">
        <v>36</v>
      </c>
      <c r="E1320" s="4">
        <f t="shared" ca="1" si="22"/>
        <v>394141389.99999952</v>
      </c>
    </row>
    <row r="1321" spans="1:5" hidden="1" x14ac:dyDescent="0.25">
      <c r="A1321">
        <v>32</v>
      </c>
      <c r="B1321">
        <v>37</v>
      </c>
      <c r="C1321" t="s">
        <v>32</v>
      </c>
      <c r="D1321" t="s">
        <v>37</v>
      </c>
      <c r="E1321" s="4">
        <f t="shared" ca="1" si="22"/>
        <v>1317845790.1200058</v>
      </c>
    </row>
    <row r="1322" spans="1:5" hidden="1" x14ac:dyDescent="0.25">
      <c r="A1322">
        <v>32</v>
      </c>
      <c r="B1322">
        <v>38</v>
      </c>
      <c r="C1322" t="s">
        <v>32</v>
      </c>
      <c r="D1322" t="s">
        <v>38</v>
      </c>
      <c r="E1322" s="4">
        <f t="shared" ca="1" si="22"/>
        <v>23037562.679999996</v>
      </c>
    </row>
    <row r="1323" spans="1:5" hidden="1" x14ac:dyDescent="0.25">
      <c r="A1323">
        <v>32</v>
      </c>
      <c r="B1323">
        <v>39</v>
      </c>
      <c r="C1323" t="s">
        <v>32</v>
      </c>
      <c r="D1323" t="s">
        <v>39</v>
      </c>
      <c r="E1323" s="4">
        <f t="shared" ca="1" si="22"/>
        <v>389677319.28000051</v>
      </c>
    </row>
    <row r="1324" spans="1:5" hidden="1" x14ac:dyDescent="0.25">
      <c r="A1324">
        <v>32</v>
      </c>
      <c r="B1324">
        <v>40</v>
      </c>
      <c r="C1324" t="s">
        <v>32</v>
      </c>
      <c r="D1324" t="s">
        <v>40</v>
      </c>
      <c r="E1324" s="4">
        <f t="shared" ca="1" si="22"/>
        <v>1157580561.6800001</v>
      </c>
    </row>
    <row r="1325" spans="1:5" hidden="1" x14ac:dyDescent="0.25">
      <c r="A1325">
        <v>33</v>
      </c>
      <c r="B1325">
        <v>1</v>
      </c>
      <c r="C1325" t="s">
        <v>33</v>
      </c>
      <c r="D1325" t="s">
        <v>0</v>
      </c>
      <c r="E1325" s="4">
        <f t="shared" ca="1" si="22"/>
        <v>747141939.80571413</v>
      </c>
    </row>
    <row r="1326" spans="1:5" hidden="1" x14ac:dyDescent="0.25">
      <c r="A1326">
        <v>33</v>
      </c>
      <c r="B1326">
        <v>2</v>
      </c>
      <c r="C1326" t="s">
        <v>33</v>
      </c>
      <c r="D1326" t="s">
        <v>1</v>
      </c>
      <c r="E1326" s="4">
        <f t="shared" ca="1" si="22"/>
        <v>461400933.21428537</v>
      </c>
    </row>
    <row r="1327" spans="1:5" hidden="1" x14ac:dyDescent="0.25">
      <c r="A1327">
        <v>33</v>
      </c>
      <c r="B1327">
        <v>3</v>
      </c>
      <c r="C1327" t="s">
        <v>33</v>
      </c>
      <c r="D1327" t="s">
        <v>2</v>
      </c>
      <c r="E1327" s="4">
        <f t="shared" ca="1" si="22"/>
        <v>548699225.60000014</v>
      </c>
    </row>
    <row r="1328" spans="1:5" hidden="1" x14ac:dyDescent="0.25">
      <c r="A1328">
        <v>33</v>
      </c>
      <c r="B1328">
        <v>4</v>
      </c>
      <c r="C1328" t="s">
        <v>33</v>
      </c>
      <c r="D1328" t="s">
        <v>3</v>
      </c>
      <c r="E1328" s="4">
        <f t="shared" ca="1" si="22"/>
        <v>1242650568.6914279</v>
      </c>
    </row>
    <row r="1329" spans="1:5" hidden="1" x14ac:dyDescent="0.25">
      <c r="A1329">
        <v>33</v>
      </c>
      <c r="B1329">
        <v>5</v>
      </c>
      <c r="C1329" t="s">
        <v>33</v>
      </c>
      <c r="D1329" t="s">
        <v>4</v>
      </c>
      <c r="E1329" s="4">
        <f t="shared" ca="1" si="22"/>
        <v>2470617627.8142862</v>
      </c>
    </row>
    <row r="1330" spans="1:5" hidden="1" x14ac:dyDescent="0.25">
      <c r="A1330">
        <v>33</v>
      </c>
      <c r="B1330">
        <v>6</v>
      </c>
      <c r="C1330" t="s">
        <v>33</v>
      </c>
      <c r="D1330" t="s">
        <v>5</v>
      </c>
      <c r="E1330" s="4">
        <f t="shared" ca="1" si="22"/>
        <v>1641962706.4999995</v>
      </c>
    </row>
    <row r="1331" spans="1:5" hidden="1" x14ac:dyDescent="0.25">
      <c r="A1331">
        <v>33</v>
      </c>
      <c r="B1331">
        <v>7</v>
      </c>
      <c r="C1331" t="s">
        <v>33</v>
      </c>
      <c r="D1331" t="s">
        <v>6</v>
      </c>
      <c r="E1331" s="4">
        <f t="shared" ca="1" si="22"/>
        <v>940465900.71428549</v>
      </c>
    </row>
    <row r="1332" spans="1:5" hidden="1" x14ac:dyDescent="0.25">
      <c r="A1332">
        <v>33</v>
      </c>
      <c r="B1332">
        <v>8</v>
      </c>
      <c r="C1332" t="s">
        <v>33</v>
      </c>
      <c r="D1332" t="s">
        <v>7</v>
      </c>
      <c r="E1332" s="4">
        <f t="shared" ca="1" si="22"/>
        <v>1265214771.4971418</v>
      </c>
    </row>
    <row r="1333" spans="1:5" hidden="1" x14ac:dyDescent="0.25">
      <c r="A1333">
        <v>33</v>
      </c>
      <c r="B1333">
        <v>9</v>
      </c>
      <c r="C1333" t="s">
        <v>33</v>
      </c>
      <c r="D1333" t="s">
        <v>148</v>
      </c>
      <c r="E1333" s="4">
        <f t="shared" ca="1" si="22"/>
        <v>434489809.48363632</v>
      </c>
    </row>
    <row r="1334" spans="1:5" hidden="1" x14ac:dyDescent="0.25">
      <c r="A1334">
        <v>33</v>
      </c>
      <c r="B1334">
        <v>10</v>
      </c>
      <c r="C1334" t="s">
        <v>33</v>
      </c>
      <c r="D1334" t="s">
        <v>9</v>
      </c>
      <c r="E1334" s="4">
        <f t="shared" ca="1" si="22"/>
        <v>1544610060.9200003</v>
      </c>
    </row>
    <row r="1335" spans="1:5" hidden="1" x14ac:dyDescent="0.25">
      <c r="A1335">
        <v>33</v>
      </c>
      <c r="B1335">
        <v>11</v>
      </c>
      <c r="C1335" t="s">
        <v>33</v>
      </c>
      <c r="D1335" t="s">
        <v>10</v>
      </c>
      <c r="E1335" s="4">
        <f t="shared" ca="1" si="22"/>
        <v>5348181136.4799976</v>
      </c>
    </row>
    <row r="1336" spans="1:5" hidden="1" x14ac:dyDescent="0.25">
      <c r="A1336">
        <v>33</v>
      </c>
      <c r="B1336">
        <v>12</v>
      </c>
      <c r="C1336" t="s">
        <v>33</v>
      </c>
      <c r="D1336" t="s">
        <v>11</v>
      </c>
      <c r="E1336" s="4">
        <f t="shared" ca="1" si="22"/>
        <v>4202036223.0399995</v>
      </c>
    </row>
    <row r="1337" spans="1:5" hidden="1" x14ac:dyDescent="0.25">
      <c r="A1337">
        <v>33</v>
      </c>
      <c r="B1337">
        <v>13</v>
      </c>
      <c r="C1337" t="s">
        <v>33</v>
      </c>
      <c r="D1337" t="s">
        <v>12</v>
      </c>
      <c r="E1337" s="4">
        <f t="shared" ca="1" si="22"/>
        <v>2658108784.7599998</v>
      </c>
    </row>
    <row r="1338" spans="1:5" hidden="1" x14ac:dyDescent="0.25">
      <c r="A1338">
        <v>33</v>
      </c>
      <c r="B1338">
        <v>14</v>
      </c>
      <c r="C1338" t="s">
        <v>33</v>
      </c>
      <c r="D1338" t="s">
        <v>13</v>
      </c>
      <c r="E1338" s="4">
        <f t="shared" ca="1" si="22"/>
        <v>3902258268.4799991</v>
      </c>
    </row>
    <row r="1339" spans="1:5" hidden="1" x14ac:dyDescent="0.25">
      <c r="A1339">
        <v>33</v>
      </c>
      <c r="B1339">
        <v>15</v>
      </c>
      <c r="C1339" t="s">
        <v>33</v>
      </c>
      <c r="D1339" t="s">
        <v>14</v>
      </c>
      <c r="E1339" s="4">
        <f t="shared" ca="1" si="22"/>
        <v>6384513727.199996</v>
      </c>
    </row>
    <row r="1340" spans="1:5" hidden="1" x14ac:dyDescent="0.25">
      <c r="A1340">
        <v>33</v>
      </c>
      <c r="B1340">
        <v>16</v>
      </c>
      <c r="C1340" t="s">
        <v>33</v>
      </c>
      <c r="D1340" t="s">
        <v>15</v>
      </c>
      <c r="E1340" s="4">
        <f t="shared" ca="1" si="22"/>
        <v>6486956475.8400021</v>
      </c>
    </row>
    <row r="1341" spans="1:5" hidden="1" x14ac:dyDescent="0.25">
      <c r="A1341">
        <v>33</v>
      </c>
      <c r="B1341">
        <v>17</v>
      </c>
      <c r="C1341" t="s">
        <v>33</v>
      </c>
      <c r="D1341" t="s">
        <v>16</v>
      </c>
      <c r="E1341" s="4">
        <f t="shared" ca="1" si="22"/>
        <v>10744720572</v>
      </c>
    </row>
    <row r="1342" spans="1:5" hidden="1" x14ac:dyDescent="0.25">
      <c r="A1342">
        <v>33</v>
      </c>
      <c r="B1342">
        <v>18</v>
      </c>
      <c r="C1342" t="s">
        <v>33</v>
      </c>
      <c r="D1342" t="s">
        <v>17</v>
      </c>
      <c r="E1342" s="4">
        <f t="shared" ca="1" si="22"/>
        <v>5836450914.7199955</v>
      </c>
    </row>
    <row r="1343" spans="1:5" hidden="1" x14ac:dyDescent="0.25">
      <c r="A1343">
        <v>33</v>
      </c>
      <c r="B1343">
        <v>19</v>
      </c>
      <c r="C1343" t="s">
        <v>33</v>
      </c>
      <c r="D1343" t="s">
        <v>18</v>
      </c>
      <c r="E1343" s="4">
        <f t="shared" ca="1" si="22"/>
        <v>1103180062.8799999</v>
      </c>
    </row>
    <row r="1344" spans="1:5" hidden="1" x14ac:dyDescent="0.25">
      <c r="A1344">
        <v>33</v>
      </c>
      <c r="B1344">
        <v>20</v>
      </c>
      <c r="C1344" t="s">
        <v>33</v>
      </c>
      <c r="D1344" t="s">
        <v>19</v>
      </c>
      <c r="E1344" s="4">
        <f t="shared" ca="1" si="22"/>
        <v>2382913781.7599993</v>
      </c>
    </row>
    <row r="1345" spans="1:5" hidden="1" x14ac:dyDescent="0.25">
      <c r="A1345">
        <v>33</v>
      </c>
      <c r="B1345">
        <v>21</v>
      </c>
      <c r="C1345" t="s">
        <v>33</v>
      </c>
      <c r="D1345" t="s">
        <v>20</v>
      </c>
      <c r="E1345" s="4">
        <f t="shared" ca="1" si="22"/>
        <v>984967255.0400002</v>
      </c>
    </row>
    <row r="1346" spans="1:5" hidden="1" x14ac:dyDescent="0.25">
      <c r="A1346">
        <v>33</v>
      </c>
      <c r="B1346">
        <v>22</v>
      </c>
      <c r="C1346" t="s">
        <v>33</v>
      </c>
      <c r="D1346" t="s">
        <v>21</v>
      </c>
      <c r="E1346" s="4">
        <f t="shared" ca="1" si="22"/>
        <v>1938063992.3999982</v>
      </c>
    </row>
    <row r="1347" spans="1:5" hidden="1" x14ac:dyDescent="0.25">
      <c r="A1347">
        <v>33</v>
      </c>
      <c r="B1347">
        <v>23</v>
      </c>
      <c r="C1347" t="s">
        <v>33</v>
      </c>
      <c r="D1347" t="s">
        <v>22</v>
      </c>
      <c r="E1347" s="4">
        <f t="shared" ca="1" si="22"/>
        <v>1350565103.72</v>
      </c>
    </row>
    <row r="1348" spans="1:5" hidden="1" x14ac:dyDescent="0.25">
      <c r="A1348">
        <v>33</v>
      </c>
      <c r="B1348">
        <v>24</v>
      </c>
      <c r="C1348" t="s">
        <v>33</v>
      </c>
      <c r="D1348" t="s">
        <v>23</v>
      </c>
      <c r="E1348" s="4">
        <f t="shared" ca="1" si="22"/>
        <v>2109054075.5199997</v>
      </c>
    </row>
    <row r="1349" spans="1:5" hidden="1" x14ac:dyDescent="0.25">
      <c r="A1349">
        <v>33</v>
      </c>
      <c r="B1349">
        <v>25</v>
      </c>
      <c r="C1349" t="s">
        <v>33</v>
      </c>
      <c r="D1349" t="s">
        <v>24</v>
      </c>
      <c r="E1349" s="4">
        <f t="shared" ca="1" si="22"/>
        <v>1713446197.8399999</v>
      </c>
    </row>
    <row r="1350" spans="1:5" hidden="1" x14ac:dyDescent="0.25">
      <c r="A1350">
        <v>33</v>
      </c>
      <c r="B1350">
        <v>26</v>
      </c>
      <c r="C1350" t="s">
        <v>33</v>
      </c>
      <c r="D1350" t="s">
        <v>25</v>
      </c>
      <c r="E1350" s="4">
        <f t="shared" ca="1" si="22"/>
        <v>2122616888.7999995</v>
      </c>
    </row>
    <row r="1351" spans="1:5" hidden="1" x14ac:dyDescent="0.25">
      <c r="A1351">
        <v>33</v>
      </c>
      <c r="B1351">
        <v>27</v>
      </c>
      <c r="C1351" t="s">
        <v>33</v>
      </c>
      <c r="D1351" t="s">
        <v>145</v>
      </c>
      <c r="E1351" s="4">
        <f t="shared" ca="1" si="22"/>
        <v>2151521779.8399997</v>
      </c>
    </row>
    <row r="1352" spans="1:5" hidden="1" x14ac:dyDescent="0.25">
      <c r="A1352">
        <v>33</v>
      </c>
      <c r="B1352">
        <v>28</v>
      </c>
      <c r="C1352" t="s">
        <v>33</v>
      </c>
      <c r="D1352" t="s">
        <v>147</v>
      </c>
      <c r="E1352" s="4">
        <f t="shared" ca="1" si="22"/>
        <v>2333225875.8959999</v>
      </c>
    </row>
    <row r="1353" spans="1:5" hidden="1" x14ac:dyDescent="0.25">
      <c r="A1353">
        <v>33</v>
      </c>
      <c r="B1353">
        <v>29</v>
      </c>
      <c r="C1353" t="s">
        <v>33</v>
      </c>
      <c r="D1353" t="s">
        <v>146</v>
      </c>
      <c r="E1353" s="4">
        <f t="shared" ca="1" si="22"/>
        <v>3269375171.1999998</v>
      </c>
    </row>
    <row r="1354" spans="1:5" hidden="1" x14ac:dyDescent="0.25">
      <c r="A1354">
        <v>33</v>
      </c>
      <c r="B1354">
        <v>30</v>
      </c>
      <c r="C1354" t="s">
        <v>33</v>
      </c>
      <c r="D1354" t="s">
        <v>30</v>
      </c>
      <c r="E1354" s="4">
        <f t="shared" ca="1" si="22"/>
        <v>479863244.83599997</v>
      </c>
    </row>
    <row r="1355" spans="1:5" hidden="1" x14ac:dyDescent="0.25">
      <c r="A1355">
        <v>33</v>
      </c>
      <c r="B1355">
        <v>31</v>
      </c>
      <c r="C1355" t="s">
        <v>33</v>
      </c>
      <c r="D1355" t="s">
        <v>31</v>
      </c>
      <c r="E1355" s="4">
        <f t="shared" ca="1" si="22"/>
        <v>356601499.91999996</v>
      </c>
    </row>
    <row r="1356" spans="1:5" hidden="1" x14ac:dyDescent="0.25">
      <c r="A1356">
        <v>33</v>
      </c>
      <c r="B1356">
        <v>32</v>
      </c>
      <c r="C1356" t="s">
        <v>33</v>
      </c>
      <c r="D1356" t="s">
        <v>32</v>
      </c>
      <c r="E1356" s="4">
        <f t="shared" ca="1" si="22"/>
        <v>138741306.70399997</v>
      </c>
    </row>
    <row r="1357" spans="1:5" hidden="1" x14ac:dyDescent="0.25">
      <c r="A1357">
        <v>33</v>
      </c>
      <c r="B1357">
        <v>33</v>
      </c>
      <c r="C1357" t="s">
        <v>33</v>
      </c>
      <c r="D1357" t="s">
        <v>33</v>
      </c>
      <c r="E1357" s="4">
        <f t="shared" ca="1" si="22"/>
        <v>0</v>
      </c>
    </row>
    <row r="1358" spans="1:5" hidden="1" x14ac:dyDescent="0.25">
      <c r="A1358">
        <v>33</v>
      </c>
      <c r="B1358">
        <v>34</v>
      </c>
      <c r="C1358" t="s">
        <v>33</v>
      </c>
      <c r="D1358" t="s">
        <v>34</v>
      </c>
      <c r="E1358" s="4">
        <f t="shared" ca="1" si="22"/>
        <v>2094809496.0800021</v>
      </c>
    </row>
    <row r="1359" spans="1:5" hidden="1" x14ac:dyDescent="0.25">
      <c r="A1359">
        <v>33</v>
      </c>
      <c r="B1359">
        <v>35</v>
      </c>
      <c r="C1359" t="s">
        <v>33</v>
      </c>
      <c r="D1359" t="s">
        <v>35</v>
      </c>
      <c r="E1359" s="4">
        <f t="shared" ca="1" si="22"/>
        <v>299258366.12000006</v>
      </c>
    </row>
    <row r="1360" spans="1:5" hidden="1" x14ac:dyDescent="0.25">
      <c r="A1360">
        <v>33</v>
      </c>
      <c r="B1360">
        <v>36</v>
      </c>
      <c r="C1360" t="s">
        <v>33</v>
      </c>
      <c r="D1360" t="s">
        <v>36</v>
      </c>
      <c r="E1360" s="4">
        <f t="shared" ca="1" si="22"/>
        <v>3357334851.1199985</v>
      </c>
    </row>
    <row r="1361" spans="1:5" hidden="1" x14ac:dyDescent="0.25">
      <c r="A1361">
        <v>33</v>
      </c>
      <c r="B1361">
        <v>37</v>
      </c>
      <c r="C1361" t="s">
        <v>33</v>
      </c>
      <c r="D1361" t="s">
        <v>37</v>
      </c>
      <c r="E1361" s="4">
        <f t="shared" ca="1" si="22"/>
        <v>5026254395.0000048</v>
      </c>
    </row>
    <row r="1362" spans="1:5" hidden="1" x14ac:dyDescent="0.25">
      <c r="A1362">
        <v>33</v>
      </c>
      <c r="B1362">
        <v>38</v>
      </c>
      <c r="C1362" t="s">
        <v>33</v>
      </c>
      <c r="D1362" t="s">
        <v>38</v>
      </c>
      <c r="E1362" s="4">
        <f t="shared" ca="1" si="22"/>
        <v>3140743478.0799994</v>
      </c>
    </row>
    <row r="1363" spans="1:5" hidden="1" x14ac:dyDescent="0.25">
      <c r="A1363">
        <v>33</v>
      </c>
      <c r="B1363">
        <v>39</v>
      </c>
      <c r="C1363" t="s">
        <v>33</v>
      </c>
      <c r="D1363" t="s">
        <v>39</v>
      </c>
      <c r="E1363" s="4">
        <f t="shared" ca="1" si="22"/>
        <v>3827033872.48</v>
      </c>
    </row>
    <row r="1364" spans="1:5" hidden="1" x14ac:dyDescent="0.25">
      <c r="A1364">
        <v>33</v>
      </c>
      <c r="B1364">
        <v>40</v>
      </c>
      <c r="C1364" t="s">
        <v>33</v>
      </c>
      <c r="D1364" t="s">
        <v>40</v>
      </c>
      <c r="E1364" s="4">
        <f t="shared" ca="1" si="22"/>
        <v>4543009108.1999989</v>
      </c>
    </row>
    <row r="1365" spans="1:5" hidden="1" x14ac:dyDescent="0.25">
      <c r="A1365">
        <v>34</v>
      </c>
      <c r="B1365">
        <v>1</v>
      </c>
      <c r="C1365" t="s">
        <v>34</v>
      </c>
      <c r="D1365" t="s">
        <v>0</v>
      </c>
      <c r="E1365" s="4">
        <f t="shared" ca="1" si="22"/>
        <v>1425608398.9285715</v>
      </c>
    </row>
    <row r="1366" spans="1:5" hidden="1" x14ac:dyDescent="0.25">
      <c r="A1366">
        <v>34</v>
      </c>
      <c r="B1366">
        <v>2</v>
      </c>
      <c r="C1366" t="s">
        <v>34</v>
      </c>
      <c r="D1366" t="s">
        <v>1</v>
      </c>
      <c r="E1366" s="4">
        <f t="shared" ca="1" si="22"/>
        <v>1394527583.8</v>
      </c>
    </row>
    <row r="1367" spans="1:5" hidden="1" x14ac:dyDescent="0.25">
      <c r="A1367">
        <v>34</v>
      </c>
      <c r="B1367">
        <v>3</v>
      </c>
      <c r="C1367" t="s">
        <v>34</v>
      </c>
      <c r="D1367" t="s">
        <v>2</v>
      </c>
      <c r="E1367" s="4">
        <f t="shared" ca="1" si="22"/>
        <v>1749595089.371429</v>
      </c>
    </row>
    <row r="1368" spans="1:5" hidden="1" x14ac:dyDescent="0.25">
      <c r="A1368">
        <v>34</v>
      </c>
      <c r="B1368">
        <v>4</v>
      </c>
      <c r="C1368" t="s">
        <v>34</v>
      </c>
      <c r="D1368" t="s">
        <v>3</v>
      </c>
      <c r="E1368" s="4">
        <f t="shared" ca="1" si="22"/>
        <v>2823235185.0428567</v>
      </c>
    </row>
    <row r="1369" spans="1:5" hidden="1" x14ac:dyDescent="0.25">
      <c r="A1369">
        <v>34</v>
      </c>
      <c r="B1369">
        <v>5</v>
      </c>
      <c r="C1369" t="s">
        <v>34</v>
      </c>
      <c r="D1369" t="s">
        <v>4</v>
      </c>
      <c r="E1369" s="4">
        <f t="shared" ca="1" si="22"/>
        <v>4529586480.9000006</v>
      </c>
    </row>
    <row r="1370" spans="1:5" hidden="1" x14ac:dyDescent="0.25">
      <c r="A1370">
        <v>34</v>
      </c>
      <c r="B1370">
        <v>6</v>
      </c>
      <c r="C1370" t="s">
        <v>34</v>
      </c>
      <c r="D1370" t="s">
        <v>5</v>
      </c>
      <c r="E1370" s="4">
        <f t="shared" ca="1" si="22"/>
        <v>4931345175.4714279</v>
      </c>
    </row>
    <row r="1371" spans="1:5" hidden="1" x14ac:dyDescent="0.25">
      <c r="A1371">
        <v>34</v>
      </c>
      <c r="B1371">
        <v>7</v>
      </c>
      <c r="C1371" t="s">
        <v>34</v>
      </c>
      <c r="D1371" t="s">
        <v>6</v>
      </c>
      <c r="E1371" s="4">
        <f t="shared" ca="1" si="22"/>
        <v>3206586456.4714289</v>
      </c>
    </row>
    <row r="1372" spans="1:5" hidden="1" x14ac:dyDescent="0.25">
      <c r="A1372">
        <v>34</v>
      </c>
      <c r="B1372">
        <v>8</v>
      </c>
      <c r="C1372" t="s">
        <v>34</v>
      </c>
      <c r="D1372" t="s">
        <v>7</v>
      </c>
      <c r="E1372" s="4">
        <f t="shared" ca="1" si="22"/>
        <v>2768849217.8342857</v>
      </c>
    </row>
    <row r="1373" spans="1:5" hidden="1" x14ac:dyDescent="0.25">
      <c r="A1373">
        <v>34</v>
      </c>
      <c r="B1373">
        <v>9</v>
      </c>
      <c r="C1373" t="s">
        <v>34</v>
      </c>
      <c r="D1373" t="s">
        <v>148</v>
      </c>
      <c r="E1373" s="4">
        <f t="shared" ca="1" si="22"/>
        <v>1151358626.7272727</v>
      </c>
    </row>
    <row r="1374" spans="1:5" hidden="1" x14ac:dyDescent="0.25">
      <c r="A1374">
        <v>34</v>
      </c>
      <c r="B1374">
        <v>10</v>
      </c>
      <c r="C1374" t="s">
        <v>34</v>
      </c>
      <c r="D1374" t="s">
        <v>9</v>
      </c>
      <c r="E1374" s="4">
        <f t="shared" ca="1" si="22"/>
        <v>4026501961.1942859</v>
      </c>
    </row>
    <row r="1375" spans="1:5" hidden="1" x14ac:dyDescent="0.25">
      <c r="A1375">
        <v>34</v>
      </c>
      <c r="B1375">
        <v>11</v>
      </c>
      <c r="C1375" t="s">
        <v>34</v>
      </c>
      <c r="D1375" t="s">
        <v>10</v>
      </c>
      <c r="E1375" s="4">
        <f t="shared" ca="1" si="22"/>
        <v>15243151968.719999</v>
      </c>
    </row>
    <row r="1376" spans="1:5" hidden="1" x14ac:dyDescent="0.25">
      <c r="A1376">
        <v>34</v>
      </c>
      <c r="B1376">
        <v>12</v>
      </c>
      <c r="C1376" t="s">
        <v>34</v>
      </c>
      <c r="D1376" t="s">
        <v>11</v>
      </c>
      <c r="E1376" s="4">
        <f t="shared" ca="1" si="22"/>
        <v>12472509181.920002</v>
      </c>
    </row>
    <row r="1377" spans="1:5" hidden="1" x14ac:dyDescent="0.25">
      <c r="A1377">
        <v>34</v>
      </c>
      <c r="B1377">
        <v>13</v>
      </c>
      <c r="C1377" t="s">
        <v>34</v>
      </c>
      <c r="D1377" t="s">
        <v>12</v>
      </c>
      <c r="E1377" s="4">
        <f t="shared" ca="1" si="22"/>
        <v>10222389913.32</v>
      </c>
    </row>
    <row r="1378" spans="1:5" hidden="1" x14ac:dyDescent="0.25">
      <c r="A1378">
        <v>34</v>
      </c>
      <c r="B1378">
        <v>14</v>
      </c>
      <c r="C1378" t="s">
        <v>34</v>
      </c>
      <c r="D1378" t="s">
        <v>13</v>
      </c>
      <c r="E1378" s="4">
        <f t="shared" ca="1" si="22"/>
        <v>10785210809.440001</v>
      </c>
    </row>
    <row r="1379" spans="1:5" hidden="1" x14ac:dyDescent="0.25">
      <c r="A1379">
        <v>34</v>
      </c>
      <c r="B1379">
        <v>15</v>
      </c>
      <c r="C1379" t="s">
        <v>34</v>
      </c>
      <c r="D1379" t="s">
        <v>14</v>
      </c>
      <c r="E1379" s="4">
        <f t="shared" ca="1" si="22"/>
        <v>13906949529.599997</v>
      </c>
    </row>
    <row r="1380" spans="1:5" hidden="1" x14ac:dyDescent="0.25">
      <c r="A1380">
        <v>34</v>
      </c>
      <c r="B1380">
        <v>16</v>
      </c>
      <c r="C1380" t="s">
        <v>34</v>
      </c>
      <c r="D1380" t="s">
        <v>15</v>
      </c>
      <c r="E1380" s="4">
        <f t="shared" ref="E1380:E1441" ca="1" si="23">OFFSET($B$2,A1380,B1380)</f>
        <v>15467488102.560001</v>
      </c>
    </row>
    <row r="1381" spans="1:5" hidden="1" x14ac:dyDescent="0.25">
      <c r="A1381">
        <v>34</v>
      </c>
      <c r="B1381">
        <v>17</v>
      </c>
      <c r="C1381" t="s">
        <v>34</v>
      </c>
      <c r="D1381" t="s">
        <v>16</v>
      </c>
      <c r="E1381" s="4">
        <f t="shared" ca="1" si="23"/>
        <v>21556333848</v>
      </c>
    </row>
    <row r="1382" spans="1:5" hidden="1" x14ac:dyDescent="0.25">
      <c r="A1382">
        <v>34</v>
      </c>
      <c r="B1382">
        <v>18</v>
      </c>
      <c r="C1382" t="s">
        <v>34</v>
      </c>
      <c r="D1382" t="s">
        <v>17</v>
      </c>
      <c r="E1382" s="4">
        <f t="shared" ca="1" si="23"/>
        <v>15994250305.919996</v>
      </c>
    </row>
    <row r="1383" spans="1:5" hidden="1" x14ac:dyDescent="0.25">
      <c r="A1383">
        <v>34</v>
      </c>
      <c r="B1383">
        <v>19</v>
      </c>
      <c r="C1383" t="s">
        <v>34</v>
      </c>
      <c r="D1383" t="s">
        <v>18</v>
      </c>
      <c r="E1383" s="4">
        <f t="shared" ca="1" si="23"/>
        <v>4472047958.5600004</v>
      </c>
    </row>
    <row r="1384" spans="1:5" hidden="1" x14ac:dyDescent="0.25">
      <c r="A1384">
        <v>34</v>
      </c>
      <c r="B1384">
        <v>20</v>
      </c>
      <c r="C1384" t="s">
        <v>34</v>
      </c>
      <c r="D1384" t="s">
        <v>19</v>
      </c>
      <c r="E1384" s="4">
        <f t="shared" ca="1" si="23"/>
        <v>5001420777.5999994</v>
      </c>
    </row>
    <row r="1385" spans="1:5" hidden="1" x14ac:dyDescent="0.25">
      <c r="A1385">
        <v>34</v>
      </c>
      <c r="B1385">
        <v>21</v>
      </c>
      <c r="C1385" t="s">
        <v>34</v>
      </c>
      <c r="D1385" t="s">
        <v>20</v>
      </c>
      <c r="E1385" s="4">
        <f t="shared" ca="1" si="23"/>
        <v>2441519354.9599996</v>
      </c>
    </row>
    <row r="1386" spans="1:5" hidden="1" x14ac:dyDescent="0.25">
      <c r="A1386">
        <v>34</v>
      </c>
      <c r="B1386">
        <v>22</v>
      </c>
      <c r="C1386" t="s">
        <v>34</v>
      </c>
      <c r="D1386" t="s">
        <v>21</v>
      </c>
      <c r="E1386" s="4">
        <f t="shared" ca="1" si="23"/>
        <v>5536668095.999999</v>
      </c>
    </row>
    <row r="1387" spans="1:5" hidden="1" x14ac:dyDescent="0.25">
      <c r="A1387">
        <v>34</v>
      </c>
      <c r="B1387">
        <v>23</v>
      </c>
      <c r="C1387" t="s">
        <v>34</v>
      </c>
      <c r="D1387" t="s">
        <v>22</v>
      </c>
      <c r="E1387" s="4">
        <f t="shared" ca="1" si="23"/>
        <v>4984836755.3599997</v>
      </c>
    </row>
    <row r="1388" spans="1:5" hidden="1" x14ac:dyDescent="0.25">
      <c r="A1388">
        <v>34</v>
      </c>
      <c r="B1388">
        <v>24</v>
      </c>
      <c r="C1388" t="s">
        <v>34</v>
      </c>
      <c r="D1388" t="s">
        <v>23</v>
      </c>
      <c r="E1388" s="4">
        <f t="shared" ca="1" si="23"/>
        <v>7446307189.7599993</v>
      </c>
    </row>
    <row r="1389" spans="1:5" hidden="1" x14ac:dyDescent="0.25">
      <c r="A1389">
        <v>34</v>
      </c>
      <c r="B1389">
        <v>25</v>
      </c>
      <c r="C1389" t="s">
        <v>34</v>
      </c>
      <c r="D1389" t="s">
        <v>24</v>
      </c>
      <c r="E1389" s="4">
        <f t="shared" ca="1" si="23"/>
        <v>6349770502.8800011</v>
      </c>
    </row>
    <row r="1390" spans="1:5" hidden="1" x14ac:dyDescent="0.25">
      <c r="A1390">
        <v>34</v>
      </c>
      <c r="B1390">
        <v>26</v>
      </c>
      <c r="C1390" t="s">
        <v>34</v>
      </c>
      <c r="D1390" t="s">
        <v>25</v>
      </c>
      <c r="E1390" s="4">
        <f t="shared" ca="1" si="23"/>
        <v>8031603385.6000004</v>
      </c>
    </row>
    <row r="1391" spans="1:5" hidden="1" x14ac:dyDescent="0.25">
      <c r="A1391">
        <v>34</v>
      </c>
      <c r="B1391">
        <v>27</v>
      </c>
      <c r="C1391" t="s">
        <v>34</v>
      </c>
      <c r="D1391" t="s">
        <v>145</v>
      </c>
      <c r="E1391" s="4">
        <f t="shared" ca="1" si="23"/>
        <v>4497439786.8000002</v>
      </c>
    </row>
    <row r="1392" spans="1:5" hidden="1" x14ac:dyDescent="0.25">
      <c r="A1392">
        <v>34</v>
      </c>
      <c r="B1392">
        <v>28</v>
      </c>
      <c r="C1392" t="s">
        <v>34</v>
      </c>
      <c r="D1392" t="s">
        <v>147</v>
      </c>
      <c r="E1392" s="4">
        <f t="shared" ca="1" si="23"/>
        <v>5706980794.7440004</v>
      </c>
    </row>
    <row r="1393" spans="1:5" hidden="1" x14ac:dyDescent="0.25">
      <c r="A1393">
        <v>34</v>
      </c>
      <c r="B1393">
        <v>29</v>
      </c>
      <c r="C1393" t="s">
        <v>34</v>
      </c>
      <c r="D1393" t="s">
        <v>146</v>
      </c>
      <c r="E1393" s="4">
        <f t="shared" ca="1" si="23"/>
        <v>8259729500.000001</v>
      </c>
    </row>
    <row r="1394" spans="1:5" hidden="1" x14ac:dyDescent="0.25">
      <c r="A1394">
        <v>34</v>
      </c>
      <c r="B1394">
        <v>30</v>
      </c>
      <c r="C1394" t="s">
        <v>34</v>
      </c>
      <c r="D1394" t="s">
        <v>30</v>
      </c>
      <c r="E1394" s="4">
        <f t="shared" ca="1" si="23"/>
        <v>1502306394.336</v>
      </c>
    </row>
    <row r="1395" spans="1:5" hidden="1" x14ac:dyDescent="0.25">
      <c r="A1395">
        <v>34</v>
      </c>
      <c r="B1395">
        <v>31</v>
      </c>
      <c r="C1395" t="s">
        <v>34</v>
      </c>
      <c r="D1395" t="s">
        <v>31</v>
      </c>
      <c r="E1395" s="4">
        <f t="shared" ca="1" si="23"/>
        <v>1330653491.04</v>
      </c>
    </row>
    <row r="1396" spans="1:5" hidden="1" x14ac:dyDescent="0.25">
      <c r="A1396">
        <v>34</v>
      </c>
      <c r="B1396">
        <v>32</v>
      </c>
      <c r="C1396" t="s">
        <v>34</v>
      </c>
      <c r="D1396" t="s">
        <v>32</v>
      </c>
      <c r="E1396" s="4">
        <f t="shared" ca="1" si="23"/>
        <v>926865801.11999989</v>
      </c>
    </row>
    <row r="1397" spans="1:5" hidden="1" x14ac:dyDescent="0.25">
      <c r="A1397">
        <v>34</v>
      </c>
      <c r="B1397">
        <v>33</v>
      </c>
      <c r="C1397" t="s">
        <v>34</v>
      </c>
      <c r="D1397" t="s">
        <v>33</v>
      </c>
      <c r="E1397" s="4">
        <f t="shared" ca="1" si="23"/>
        <v>1209978012.3199999</v>
      </c>
    </row>
    <row r="1398" spans="1:5" hidden="1" x14ac:dyDescent="0.25">
      <c r="A1398">
        <v>34</v>
      </c>
      <c r="B1398">
        <v>34</v>
      </c>
      <c r="C1398" t="s">
        <v>34</v>
      </c>
      <c r="D1398" t="s">
        <v>34</v>
      </c>
      <c r="E1398" s="4">
        <f t="shared" ca="1" si="23"/>
        <v>0</v>
      </c>
    </row>
    <row r="1399" spans="1:5" hidden="1" x14ac:dyDescent="0.25">
      <c r="A1399">
        <v>34</v>
      </c>
      <c r="B1399">
        <v>35</v>
      </c>
      <c r="C1399" t="s">
        <v>34</v>
      </c>
      <c r="D1399" t="s">
        <v>35</v>
      </c>
      <c r="E1399" s="4">
        <f t="shared" ca="1" si="23"/>
        <v>398904891.78400004</v>
      </c>
    </row>
    <row r="1400" spans="1:5" hidden="1" x14ac:dyDescent="0.25">
      <c r="A1400">
        <v>34</v>
      </c>
      <c r="B1400">
        <v>36</v>
      </c>
      <c r="C1400" t="s">
        <v>34</v>
      </c>
      <c r="D1400" t="s">
        <v>36</v>
      </c>
      <c r="E1400" s="4">
        <f t="shared" ca="1" si="23"/>
        <v>12812042304</v>
      </c>
    </row>
    <row r="1401" spans="1:5" hidden="1" x14ac:dyDescent="0.25">
      <c r="A1401">
        <v>34</v>
      </c>
      <c r="B1401">
        <v>37</v>
      </c>
      <c r="C1401" t="s">
        <v>34</v>
      </c>
      <c r="D1401" t="s">
        <v>37</v>
      </c>
      <c r="E1401" s="4">
        <f t="shared" ca="1" si="23"/>
        <v>16907770823.520004</v>
      </c>
    </row>
    <row r="1402" spans="1:5" hidden="1" x14ac:dyDescent="0.25">
      <c r="A1402">
        <v>34</v>
      </c>
      <c r="B1402">
        <v>38</v>
      </c>
      <c r="C1402" t="s">
        <v>34</v>
      </c>
      <c r="D1402" t="s">
        <v>38</v>
      </c>
      <c r="E1402" s="4">
        <f t="shared" ca="1" si="23"/>
        <v>13034779191.719999</v>
      </c>
    </row>
    <row r="1403" spans="1:5" hidden="1" x14ac:dyDescent="0.25">
      <c r="A1403">
        <v>34</v>
      </c>
      <c r="B1403">
        <v>39</v>
      </c>
      <c r="C1403" t="s">
        <v>34</v>
      </c>
      <c r="D1403" t="s">
        <v>39</v>
      </c>
      <c r="E1403" s="4">
        <f t="shared" ca="1" si="23"/>
        <v>14758888795.839998</v>
      </c>
    </row>
    <row r="1404" spans="1:5" hidden="1" x14ac:dyDescent="0.25">
      <c r="A1404">
        <v>34</v>
      </c>
      <c r="B1404">
        <v>40</v>
      </c>
      <c r="C1404" t="s">
        <v>34</v>
      </c>
      <c r="D1404" t="s">
        <v>40</v>
      </c>
      <c r="E1404" s="4">
        <f t="shared" ca="1" si="23"/>
        <v>15394602022.200001</v>
      </c>
    </row>
    <row r="1405" spans="1:5" hidden="1" x14ac:dyDescent="0.25">
      <c r="A1405">
        <v>35</v>
      </c>
      <c r="B1405">
        <v>1</v>
      </c>
      <c r="C1405" t="s">
        <v>35</v>
      </c>
      <c r="D1405" t="s">
        <v>0</v>
      </c>
      <c r="E1405" s="4">
        <f t="shared" ca="1" si="23"/>
        <v>54828883.027999863</v>
      </c>
    </row>
    <row r="1406" spans="1:5" hidden="1" x14ac:dyDescent="0.25">
      <c r="A1406">
        <v>35</v>
      </c>
      <c r="B1406">
        <v>2</v>
      </c>
      <c r="C1406" t="s">
        <v>35</v>
      </c>
      <c r="D1406" t="s">
        <v>1</v>
      </c>
      <c r="E1406" s="4">
        <f t="shared" ca="1" si="23"/>
        <v>240677107.37142831</v>
      </c>
    </row>
    <row r="1407" spans="1:5" hidden="1" x14ac:dyDescent="0.25">
      <c r="A1407">
        <v>35</v>
      </c>
      <c r="B1407">
        <v>3</v>
      </c>
      <c r="C1407" t="s">
        <v>35</v>
      </c>
      <c r="D1407" t="s">
        <v>2</v>
      </c>
      <c r="E1407" s="4">
        <f t="shared" ca="1" si="23"/>
        <v>276876638.57142872</v>
      </c>
    </row>
    <row r="1408" spans="1:5" hidden="1" x14ac:dyDescent="0.25">
      <c r="A1408">
        <v>35</v>
      </c>
      <c r="B1408">
        <v>4</v>
      </c>
      <c r="C1408" t="s">
        <v>35</v>
      </c>
      <c r="D1408" t="s">
        <v>3</v>
      </c>
      <c r="E1408" s="4">
        <f t="shared" ca="1" si="23"/>
        <v>818101332.33428514</v>
      </c>
    </row>
    <row r="1409" spans="1:5" hidden="1" x14ac:dyDescent="0.25">
      <c r="A1409">
        <v>35</v>
      </c>
      <c r="B1409">
        <v>5</v>
      </c>
      <c r="C1409" t="s">
        <v>35</v>
      </c>
      <c r="D1409" t="s">
        <v>4</v>
      </c>
      <c r="E1409" s="4">
        <f t="shared" ca="1" si="23"/>
        <v>1924274330.5228581</v>
      </c>
    </row>
    <row r="1410" spans="1:5" hidden="1" x14ac:dyDescent="0.25">
      <c r="A1410">
        <v>35</v>
      </c>
      <c r="B1410">
        <v>6</v>
      </c>
      <c r="C1410" t="s">
        <v>35</v>
      </c>
      <c r="D1410" t="s">
        <v>5</v>
      </c>
      <c r="E1410" s="4">
        <f t="shared" ca="1" si="23"/>
        <v>864190338.55714214</v>
      </c>
    </row>
    <row r="1411" spans="1:5" hidden="1" x14ac:dyDescent="0.25">
      <c r="A1411">
        <v>35</v>
      </c>
      <c r="B1411">
        <v>7</v>
      </c>
      <c r="C1411" t="s">
        <v>35</v>
      </c>
      <c r="D1411" t="s">
        <v>6</v>
      </c>
      <c r="E1411" s="4">
        <f t="shared" ca="1" si="23"/>
        <v>385998192.85714269</v>
      </c>
    </row>
    <row r="1412" spans="1:5" hidden="1" x14ac:dyDescent="0.25">
      <c r="A1412">
        <v>35</v>
      </c>
      <c r="B1412">
        <v>8</v>
      </c>
      <c r="C1412" t="s">
        <v>35</v>
      </c>
      <c r="D1412" t="s">
        <v>7</v>
      </c>
      <c r="E1412" s="4">
        <f t="shared" ca="1" si="23"/>
        <v>854765231.81142759</v>
      </c>
    </row>
    <row r="1413" spans="1:5" hidden="1" x14ac:dyDescent="0.25">
      <c r="A1413">
        <v>35</v>
      </c>
      <c r="B1413">
        <v>9</v>
      </c>
      <c r="C1413" t="s">
        <v>35</v>
      </c>
      <c r="D1413" t="s">
        <v>148</v>
      </c>
      <c r="E1413" s="4">
        <f t="shared" ca="1" si="23"/>
        <v>104284675.72363633</v>
      </c>
    </row>
    <row r="1414" spans="1:5" hidden="1" x14ac:dyDescent="0.25">
      <c r="A1414">
        <v>35</v>
      </c>
      <c r="B1414">
        <v>10</v>
      </c>
      <c r="C1414" t="s">
        <v>35</v>
      </c>
      <c r="D1414" t="s">
        <v>9</v>
      </c>
      <c r="E1414" s="4">
        <f t="shared" ca="1" si="23"/>
        <v>935726450.89714313</v>
      </c>
    </row>
    <row r="1415" spans="1:5" hidden="1" x14ac:dyDescent="0.25">
      <c r="A1415">
        <v>35</v>
      </c>
      <c r="B1415">
        <v>11</v>
      </c>
      <c r="C1415" t="s">
        <v>35</v>
      </c>
      <c r="D1415" t="s">
        <v>10</v>
      </c>
      <c r="E1415" s="4">
        <f t="shared" ca="1" si="23"/>
        <v>3180493910.7199979</v>
      </c>
    </row>
    <row r="1416" spans="1:5" hidden="1" x14ac:dyDescent="0.25">
      <c r="A1416">
        <v>35</v>
      </c>
      <c r="B1416">
        <v>12</v>
      </c>
      <c r="C1416" t="s">
        <v>35</v>
      </c>
      <c r="D1416" t="s">
        <v>11</v>
      </c>
      <c r="E1416" s="4">
        <f t="shared" ca="1" si="23"/>
        <v>2389209410.7199998</v>
      </c>
    </row>
    <row r="1417" spans="1:5" hidden="1" x14ac:dyDescent="0.25">
      <c r="A1417">
        <v>35</v>
      </c>
      <c r="B1417">
        <v>13</v>
      </c>
      <c r="C1417" t="s">
        <v>35</v>
      </c>
      <c r="D1417" t="s">
        <v>12</v>
      </c>
      <c r="E1417" s="4">
        <f t="shared" ca="1" si="23"/>
        <v>1017601090.3200003</v>
      </c>
    </row>
    <row r="1418" spans="1:5" hidden="1" x14ac:dyDescent="0.25">
      <c r="A1418">
        <v>35</v>
      </c>
      <c r="B1418">
        <v>14</v>
      </c>
      <c r="C1418" t="s">
        <v>35</v>
      </c>
      <c r="D1418" t="s">
        <v>13</v>
      </c>
      <c r="E1418" s="4">
        <f t="shared" ca="1" si="23"/>
        <v>2381519060.6399984</v>
      </c>
    </row>
    <row r="1419" spans="1:5" hidden="1" x14ac:dyDescent="0.25">
      <c r="A1419">
        <v>35</v>
      </c>
      <c r="B1419">
        <v>15</v>
      </c>
      <c r="C1419" t="s">
        <v>35</v>
      </c>
      <c r="D1419" t="s">
        <v>14</v>
      </c>
      <c r="E1419" s="4">
        <f t="shared" ca="1" si="23"/>
        <v>4569192651.1999969</v>
      </c>
    </row>
    <row r="1420" spans="1:5" hidden="1" x14ac:dyDescent="0.25">
      <c r="A1420">
        <v>35</v>
      </c>
      <c r="B1420">
        <v>16</v>
      </c>
      <c r="C1420" t="s">
        <v>35</v>
      </c>
      <c r="D1420" t="s">
        <v>15</v>
      </c>
      <c r="E1420" s="4">
        <f t="shared" ca="1" si="23"/>
        <v>4467802419.5200033</v>
      </c>
    </row>
    <row r="1421" spans="1:5" hidden="1" x14ac:dyDescent="0.25">
      <c r="A1421">
        <v>35</v>
      </c>
      <c r="B1421">
        <v>17</v>
      </c>
      <c r="C1421" t="s">
        <v>35</v>
      </c>
      <c r="D1421" t="s">
        <v>16</v>
      </c>
      <c r="E1421" s="4">
        <f t="shared" ca="1" si="23"/>
        <v>8321699666.000001</v>
      </c>
    </row>
    <row r="1422" spans="1:5" hidden="1" x14ac:dyDescent="0.25">
      <c r="A1422">
        <v>35</v>
      </c>
      <c r="B1422">
        <v>18</v>
      </c>
      <c r="C1422" t="s">
        <v>35</v>
      </c>
      <c r="D1422" t="s">
        <v>17</v>
      </c>
      <c r="E1422" s="4">
        <f t="shared" ca="1" si="23"/>
        <v>3564329826.3199973</v>
      </c>
    </row>
    <row r="1423" spans="1:5" hidden="1" x14ac:dyDescent="0.25">
      <c r="A1423">
        <v>35</v>
      </c>
      <c r="B1423">
        <v>19</v>
      </c>
      <c r="C1423" t="s">
        <v>35</v>
      </c>
      <c r="D1423" t="s">
        <v>18</v>
      </c>
      <c r="E1423" s="4">
        <f t="shared" ca="1" si="23"/>
        <v>371403579.16000003</v>
      </c>
    </row>
    <row r="1424" spans="1:5" hidden="1" x14ac:dyDescent="0.25">
      <c r="A1424">
        <v>35</v>
      </c>
      <c r="B1424">
        <v>20</v>
      </c>
      <c r="C1424" t="s">
        <v>35</v>
      </c>
      <c r="D1424" t="s">
        <v>19</v>
      </c>
      <c r="E1424" s="4">
        <f t="shared" ca="1" si="23"/>
        <v>1737305928.7999995</v>
      </c>
    </row>
    <row r="1425" spans="1:5" hidden="1" x14ac:dyDescent="0.25">
      <c r="A1425">
        <v>35</v>
      </c>
      <c r="B1425">
        <v>21</v>
      </c>
      <c r="C1425" t="s">
        <v>35</v>
      </c>
      <c r="D1425" t="s">
        <v>20</v>
      </c>
      <c r="E1425" s="4">
        <f t="shared" ca="1" si="23"/>
        <v>622690306.56000006</v>
      </c>
    </row>
    <row r="1426" spans="1:5" hidden="1" x14ac:dyDescent="0.25">
      <c r="A1426">
        <v>35</v>
      </c>
      <c r="B1426">
        <v>22</v>
      </c>
      <c r="C1426" t="s">
        <v>35</v>
      </c>
      <c r="D1426" t="s">
        <v>21</v>
      </c>
      <c r="E1426" s="4">
        <f t="shared" ca="1" si="23"/>
        <v>1132835189.9999983</v>
      </c>
    </row>
    <row r="1427" spans="1:5" hidden="1" x14ac:dyDescent="0.25">
      <c r="A1427">
        <v>35</v>
      </c>
      <c r="B1427">
        <v>23</v>
      </c>
      <c r="C1427" t="s">
        <v>35</v>
      </c>
      <c r="D1427" t="s">
        <v>22</v>
      </c>
      <c r="E1427" s="4">
        <f t="shared" ca="1" si="23"/>
        <v>577381771.20000005</v>
      </c>
    </row>
    <row r="1428" spans="1:5" hidden="1" x14ac:dyDescent="0.25">
      <c r="A1428">
        <v>35</v>
      </c>
      <c r="B1428">
        <v>24</v>
      </c>
      <c r="C1428" t="s">
        <v>35</v>
      </c>
      <c r="D1428" t="s">
        <v>23</v>
      </c>
      <c r="E1428" s="4">
        <f t="shared" ca="1" si="23"/>
        <v>940173876.23999965</v>
      </c>
    </row>
    <row r="1429" spans="1:5" hidden="1" x14ac:dyDescent="0.25">
      <c r="A1429">
        <v>35</v>
      </c>
      <c r="B1429">
        <v>25</v>
      </c>
      <c r="C1429" t="s">
        <v>35</v>
      </c>
      <c r="D1429" t="s">
        <v>24</v>
      </c>
      <c r="E1429" s="4">
        <f t="shared" ca="1" si="23"/>
        <v>702762977.28000009</v>
      </c>
    </row>
    <row r="1430" spans="1:5" hidden="1" x14ac:dyDescent="0.25">
      <c r="A1430">
        <v>35</v>
      </c>
      <c r="B1430">
        <v>26</v>
      </c>
      <c r="C1430" t="s">
        <v>35</v>
      </c>
      <c r="D1430" t="s">
        <v>25</v>
      </c>
      <c r="E1430" s="4">
        <f t="shared" ca="1" si="23"/>
        <v>847097786.79999983</v>
      </c>
    </row>
    <row r="1431" spans="1:5" hidden="1" x14ac:dyDescent="0.25">
      <c r="A1431">
        <v>35</v>
      </c>
      <c r="B1431">
        <v>27</v>
      </c>
      <c r="C1431" t="s">
        <v>35</v>
      </c>
      <c r="D1431" t="s">
        <v>145</v>
      </c>
      <c r="E1431" s="4">
        <f t="shared" ca="1" si="23"/>
        <v>1563424409.5999997</v>
      </c>
    </row>
    <row r="1432" spans="1:5" hidden="1" x14ac:dyDescent="0.25">
      <c r="A1432">
        <v>35</v>
      </c>
      <c r="B1432">
        <v>28</v>
      </c>
      <c r="C1432" t="s">
        <v>35</v>
      </c>
      <c r="D1432" t="s">
        <v>147</v>
      </c>
      <c r="E1432" s="4">
        <f t="shared" ca="1" si="23"/>
        <v>1553592876.0839999</v>
      </c>
    </row>
    <row r="1433" spans="1:5" hidden="1" x14ac:dyDescent="0.25">
      <c r="A1433">
        <v>35</v>
      </c>
      <c r="B1433">
        <v>29</v>
      </c>
      <c r="C1433" t="s">
        <v>35</v>
      </c>
      <c r="D1433" t="s">
        <v>146</v>
      </c>
      <c r="E1433" s="4">
        <f t="shared" ca="1" si="23"/>
        <v>2145857665.4999995</v>
      </c>
    </row>
    <row r="1434" spans="1:5" hidden="1" x14ac:dyDescent="0.25">
      <c r="A1434">
        <v>35</v>
      </c>
      <c r="B1434">
        <v>30</v>
      </c>
      <c r="C1434" t="s">
        <v>35</v>
      </c>
      <c r="D1434" t="s">
        <v>30</v>
      </c>
      <c r="E1434" s="4">
        <f t="shared" ca="1" si="23"/>
        <v>249070516.31599995</v>
      </c>
    </row>
    <row r="1435" spans="1:5" hidden="1" x14ac:dyDescent="0.25">
      <c r="A1435">
        <v>35</v>
      </c>
      <c r="B1435">
        <v>31</v>
      </c>
      <c r="C1435" t="s">
        <v>35</v>
      </c>
      <c r="D1435" t="s">
        <v>31</v>
      </c>
      <c r="E1435" s="4">
        <f t="shared" ca="1" si="23"/>
        <v>154856642.07999998</v>
      </c>
    </row>
    <row r="1436" spans="1:5" hidden="1" x14ac:dyDescent="0.25">
      <c r="A1436">
        <v>35</v>
      </c>
      <c r="B1436">
        <v>32</v>
      </c>
      <c r="C1436" t="s">
        <v>35</v>
      </c>
      <c r="D1436" t="s">
        <v>32</v>
      </c>
      <c r="E1436" s="4">
        <f t="shared" ca="1" si="23"/>
        <v>79546080.959999979</v>
      </c>
    </row>
    <row r="1437" spans="1:5" hidden="1" x14ac:dyDescent="0.25">
      <c r="A1437">
        <v>35</v>
      </c>
      <c r="B1437">
        <v>33</v>
      </c>
      <c r="C1437" t="s">
        <v>35</v>
      </c>
      <c r="D1437" t="s">
        <v>33</v>
      </c>
      <c r="E1437" s="4">
        <f t="shared" ca="1" si="23"/>
        <v>415353644.31999981</v>
      </c>
    </row>
    <row r="1438" spans="1:5" hidden="1" x14ac:dyDescent="0.25">
      <c r="A1438">
        <v>35</v>
      </c>
      <c r="B1438">
        <v>34</v>
      </c>
      <c r="C1438" t="s">
        <v>35</v>
      </c>
      <c r="D1438" t="s">
        <v>34</v>
      </c>
      <c r="E1438" s="4">
        <f t="shared" ca="1" si="23"/>
        <v>827463683.33600068</v>
      </c>
    </row>
    <row r="1439" spans="1:5" hidden="1" x14ac:dyDescent="0.25">
      <c r="A1439">
        <v>35</v>
      </c>
      <c r="B1439">
        <v>35</v>
      </c>
      <c r="C1439" t="s">
        <v>35</v>
      </c>
      <c r="D1439" t="s">
        <v>35</v>
      </c>
      <c r="E1439" s="4">
        <f t="shared" ca="1" si="23"/>
        <v>0</v>
      </c>
    </row>
    <row r="1440" spans="1:5" hidden="1" x14ac:dyDescent="0.25">
      <c r="A1440">
        <v>35</v>
      </c>
      <c r="B1440">
        <v>36</v>
      </c>
      <c r="C1440" t="s">
        <v>35</v>
      </c>
      <c r="D1440" t="s">
        <v>36</v>
      </c>
      <c r="E1440" s="4">
        <f t="shared" ca="1" si="23"/>
        <v>1315275489.5999994</v>
      </c>
    </row>
    <row r="1441" spans="1:5" hidden="1" x14ac:dyDescent="0.25">
      <c r="A1441">
        <v>35</v>
      </c>
      <c r="B1441">
        <v>37</v>
      </c>
      <c r="C1441" t="s">
        <v>35</v>
      </c>
      <c r="D1441" t="s">
        <v>37</v>
      </c>
      <c r="E1441" s="4">
        <f t="shared" ca="1" si="23"/>
        <v>2451930087.5200057</v>
      </c>
    </row>
    <row r="1442" spans="1:5" hidden="1" x14ac:dyDescent="0.25">
      <c r="A1442">
        <v>35</v>
      </c>
      <c r="B1442">
        <v>38</v>
      </c>
      <c r="C1442" t="s">
        <v>35</v>
      </c>
      <c r="D1442" t="s">
        <v>38</v>
      </c>
      <c r="E1442" s="4">
        <f t="shared" ref="E1442:E1504" ca="1" si="24">OFFSET($B$2,A1442,B1442)</f>
        <v>1007877044.6399999</v>
      </c>
    </row>
    <row r="1443" spans="1:5" hidden="1" x14ac:dyDescent="0.25">
      <c r="A1443">
        <v>35</v>
      </c>
      <c r="B1443">
        <v>39</v>
      </c>
      <c r="C1443" t="s">
        <v>35</v>
      </c>
      <c r="D1443" t="s">
        <v>39</v>
      </c>
      <c r="E1443" s="4">
        <f t="shared" ca="1" si="24"/>
        <v>1464520830.2400002</v>
      </c>
    </row>
    <row r="1444" spans="1:5" hidden="1" x14ac:dyDescent="0.25">
      <c r="A1444">
        <v>35</v>
      </c>
      <c r="B1444">
        <v>40</v>
      </c>
      <c r="C1444" t="s">
        <v>35</v>
      </c>
      <c r="D1444" t="s">
        <v>40</v>
      </c>
      <c r="E1444" s="4">
        <f t="shared" ca="1" si="24"/>
        <v>2189094139.3999996</v>
      </c>
    </row>
    <row r="1445" spans="1:5" hidden="1" x14ac:dyDescent="0.25">
      <c r="A1445">
        <v>36</v>
      </c>
      <c r="B1445">
        <v>1</v>
      </c>
      <c r="C1445" t="s">
        <v>36</v>
      </c>
      <c r="D1445" t="s">
        <v>0</v>
      </c>
      <c r="E1445" s="4">
        <f t="shared" ca="1" si="24"/>
        <v>8817805295.7857113</v>
      </c>
    </row>
    <row r="1446" spans="1:5" hidden="1" x14ac:dyDescent="0.25">
      <c r="A1446">
        <v>36</v>
      </c>
      <c r="B1446">
        <v>2</v>
      </c>
      <c r="C1446" t="s">
        <v>36</v>
      </c>
      <c r="D1446" t="s">
        <v>1</v>
      </c>
      <c r="E1446" s="4">
        <f t="shared" ca="1" si="24"/>
        <v>2108482997.5685685</v>
      </c>
    </row>
    <row r="1447" spans="1:5" hidden="1" x14ac:dyDescent="0.25">
      <c r="A1447">
        <v>36</v>
      </c>
      <c r="B1447">
        <v>3</v>
      </c>
      <c r="C1447" t="s">
        <v>36</v>
      </c>
      <c r="D1447" t="s">
        <v>2</v>
      </c>
      <c r="E1447" s="4">
        <f t="shared" ca="1" si="24"/>
        <v>1664845467.0571442</v>
      </c>
    </row>
    <row r="1448" spans="1:5" hidden="1" x14ac:dyDescent="0.25">
      <c r="A1448">
        <v>36</v>
      </c>
      <c r="B1448">
        <v>4</v>
      </c>
      <c r="C1448" t="s">
        <v>36</v>
      </c>
      <c r="D1448" t="s">
        <v>3</v>
      </c>
      <c r="E1448" s="4">
        <f t="shared" ca="1" si="24"/>
        <v>3867834841.6142821</v>
      </c>
    </row>
    <row r="1449" spans="1:5" hidden="1" x14ac:dyDescent="0.25">
      <c r="A1449">
        <v>36</v>
      </c>
      <c r="B1449">
        <v>5</v>
      </c>
      <c r="C1449" t="s">
        <v>36</v>
      </c>
      <c r="D1449" t="s">
        <v>4</v>
      </c>
      <c r="E1449" s="4">
        <f t="shared" ca="1" si="24"/>
        <v>8175937888.0800037</v>
      </c>
    </row>
    <row r="1450" spans="1:5" hidden="1" x14ac:dyDescent="0.25">
      <c r="A1450">
        <v>36</v>
      </c>
      <c r="B1450">
        <v>6</v>
      </c>
      <c r="C1450" t="s">
        <v>36</v>
      </c>
      <c r="D1450" t="s">
        <v>5</v>
      </c>
      <c r="E1450" s="4">
        <f t="shared" ca="1" si="24"/>
        <v>2066091598.4599981</v>
      </c>
    </row>
    <row r="1451" spans="1:5" hidden="1" x14ac:dyDescent="0.25">
      <c r="A1451">
        <v>36</v>
      </c>
      <c r="B1451">
        <v>7</v>
      </c>
      <c r="C1451" t="s">
        <v>36</v>
      </c>
      <c r="D1451" t="s">
        <v>6</v>
      </c>
      <c r="E1451" s="4">
        <f t="shared" ca="1" si="24"/>
        <v>861345030.908571</v>
      </c>
    </row>
    <row r="1452" spans="1:5" hidden="1" x14ac:dyDescent="0.25">
      <c r="A1452">
        <v>36</v>
      </c>
      <c r="B1452">
        <v>8</v>
      </c>
      <c r="C1452" t="s">
        <v>36</v>
      </c>
      <c r="D1452" t="s">
        <v>7</v>
      </c>
      <c r="E1452" s="4">
        <f t="shared" ca="1" si="24"/>
        <v>4243558411.5314231</v>
      </c>
    </row>
    <row r="1453" spans="1:5" hidden="1" x14ac:dyDescent="0.25">
      <c r="A1453">
        <v>36</v>
      </c>
      <c r="B1453">
        <v>9</v>
      </c>
      <c r="C1453" t="s">
        <v>36</v>
      </c>
      <c r="D1453" t="s">
        <v>148</v>
      </c>
      <c r="E1453" s="4">
        <f t="shared" ca="1" si="24"/>
        <v>285199903.60363626</v>
      </c>
    </row>
    <row r="1454" spans="1:5" hidden="1" x14ac:dyDescent="0.25">
      <c r="A1454">
        <v>36</v>
      </c>
      <c r="B1454">
        <v>10</v>
      </c>
      <c r="C1454" t="s">
        <v>36</v>
      </c>
      <c r="D1454" t="s">
        <v>9</v>
      </c>
      <c r="E1454" s="4">
        <f t="shared" ca="1" si="24"/>
        <v>2926510693.6885729</v>
      </c>
    </row>
    <row r="1455" spans="1:5" hidden="1" x14ac:dyDescent="0.25">
      <c r="A1455">
        <v>36</v>
      </c>
      <c r="B1455">
        <v>11</v>
      </c>
      <c r="C1455" t="s">
        <v>36</v>
      </c>
      <c r="D1455" t="s">
        <v>10</v>
      </c>
      <c r="E1455" s="4">
        <f t="shared" ca="1" si="24"/>
        <v>279673217.75999981</v>
      </c>
    </row>
    <row r="1456" spans="1:5" hidden="1" x14ac:dyDescent="0.25">
      <c r="A1456">
        <v>36</v>
      </c>
      <c r="B1456">
        <v>12</v>
      </c>
      <c r="C1456" t="s">
        <v>36</v>
      </c>
      <c r="D1456" t="s">
        <v>11</v>
      </c>
      <c r="E1456" s="4">
        <f t="shared" ca="1" si="24"/>
        <v>426971439.99999994</v>
      </c>
    </row>
    <row r="1457" spans="1:5" hidden="1" x14ac:dyDescent="0.25">
      <c r="A1457">
        <v>36</v>
      </c>
      <c r="B1457">
        <v>13</v>
      </c>
      <c r="C1457" t="s">
        <v>36</v>
      </c>
      <c r="D1457" t="s">
        <v>12</v>
      </c>
      <c r="E1457" s="4">
        <f t="shared" ca="1" si="24"/>
        <v>139318971.76000011</v>
      </c>
    </row>
    <row r="1458" spans="1:5" hidden="1" x14ac:dyDescent="0.25">
      <c r="A1458">
        <v>36</v>
      </c>
      <c r="B1458">
        <v>14</v>
      </c>
      <c r="C1458" t="s">
        <v>36</v>
      </c>
      <c r="D1458" t="s">
        <v>13</v>
      </c>
      <c r="E1458" s="4">
        <f t="shared" ca="1" si="24"/>
        <v>735430053.67999959</v>
      </c>
    </row>
    <row r="1459" spans="1:5" hidden="1" x14ac:dyDescent="0.25">
      <c r="A1459">
        <v>36</v>
      </c>
      <c r="B1459">
        <v>15</v>
      </c>
      <c r="C1459" t="s">
        <v>36</v>
      </c>
      <c r="D1459" t="s">
        <v>14</v>
      </c>
      <c r="E1459" s="4">
        <f t="shared" ca="1" si="24"/>
        <v>3129829191.8399978</v>
      </c>
    </row>
    <row r="1460" spans="1:5" hidden="1" x14ac:dyDescent="0.25">
      <c r="A1460">
        <v>36</v>
      </c>
      <c r="B1460">
        <v>16</v>
      </c>
      <c r="C1460" t="s">
        <v>36</v>
      </c>
      <c r="D1460" t="s">
        <v>15</v>
      </c>
      <c r="E1460" s="4">
        <f t="shared" ca="1" si="24"/>
        <v>1656298571.7600009</v>
      </c>
    </row>
    <row r="1461" spans="1:5" hidden="1" x14ac:dyDescent="0.25">
      <c r="A1461">
        <v>36</v>
      </c>
      <c r="B1461">
        <v>17</v>
      </c>
      <c r="C1461" t="s">
        <v>36</v>
      </c>
      <c r="D1461" t="s">
        <v>16</v>
      </c>
      <c r="E1461" s="4">
        <f t="shared" ca="1" si="24"/>
        <v>2608541810.6400003</v>
      </c>
    </row>
    <row r="1462" spans="1:5" hidden="1" x14ac:dyDescent="0.25">
      <c r="A1462">
        <v>36</v>
      </c>
      <c r="B1462">
        <v>18</v>
      </c>
      <c r="C1462" t="s">
        <v>36</v>
      </c>
      <c r="D1462" t="s">
        <v>17</v>
      </c>
      <c r="E1462" s="4">
        <f t="shared" ca="1" si="24"/>
        <v>1145628213.5999987</v>
      </c>
    </row>
    <row r="1463" spans="1:5" hidden="1" x14ac:dyDescent="0.25">
      <c r="A1463">
        <v>36</v>
      </c>
      <c r="B1463">
        <v>19</v>
      </c>
      <c r="C1463" t="s">
        <v>36</v>
      </c>
      <c r="D1463" t="s">
        <v>18</v>
      </c>
      <c r="E1463" s="4">
        <f t="shared" ca="1" si="24"/>
        <v>257560504.00000021</v>
      </c>
    </row>
    <row r="1464" spans="1:5" hidden="1" x14ac:dyDescent="0.25">
      <c r="A1464">
        <v>36</v>
      </c>
      <c r="B1464">
        <v>20</v>
      </c>
      <c r="C1464" t="s">
        <v>36</v>
      </c>
      <c r="D1464" t="s">
        <v>19</v>
      </c>
      <c r="E1464" s="4">
        <f t="shared" ca="1" si="24"/>
        <v>4806532280.5199986</v>
      </c>
    </row>
    <row r="1465" spans="1:5" hidden="1" x14ac:dyDescent="0.25">
      <c r="A1465">
        <v>36</v>
      </c>
      <c r="B1465">
        <v>21</v>
      </c>
      <c r="C1465" t="s">
        <v>36</v>
      </c>
      <c r="D1465" t="s">
        <v>20</v>
      </c>
      <c r="E1465" s="4">
        <f t="shared" ca="1" si="24"/>
        <v>3400922132.3600011</v>
      </c>
    </row>
    <row r="1466" spans="1:5" hidden="1" x14ac:dyDescent="0.25">
      <c r="A1466">
        <v>36</v>
      </c>
      <c r="B1466">
        <v>22</v>
      </c>
      <c r="C1466" t="s">
        <v>36</v>
      </c>
      <c r="D1466" t="s">
        <v>21</v>
      </c>
      <c r="E1466" s="4">
        <f t="shared" ca="1" si="24"/>
        <v>1544612686.919997</v>
      </c>
    </row>
    <row r="1467" spans="1:5" hidden="1" x14ac:dyDescent="0.25">
      <c r="A1467">
        <v>36</v>
      </c>
      <c r="B1467">
        <v>23</v>
      </c>
      <c r="C1467" t="s">
        <v>36</v>
      </c>
      <c r="D1467" t="s">
        <v>22</v>
      </c>
      <c r="E1467" s="4">
        <f t="shared" ca="1" si="24"/>
        <v>538997028.24000013</v>
      </c>
    </row>
    <row r="1468" spans="1:5" hidden="1" x14ac:dyDescent="0.25">
      <c r="A1468">
        <v>36</v>
      </c>
      <c r="B1468">
        <v>24</v>
      </c>
      <c r="C1468" t="s">
        <v>36</v>
      </c>
      <c r="D1468" t="s">
        <v>23</v>
      </c>
      <c r="E1468" s="4">
        <f t="shared" ca="1" si="24"/>
        <v>436801382.15999985</v>
      </c>
    </row>
    <row r="1469" spans="1:5" hidden="1" x14ac:dyDescent="0.25">
      <c r="A1469">
        <v>36</v>
      </c>
      <c r="B1469">
        <v>25</v>
      </c>
      <c r="C1469" t="s">
        <v>36</v>
      </c>
      <c r="D1469" t="s">
        <v>24</v>
      </c>
      <c r="E1469" s="4">
        <f t="shared" ca="1" si="24"/>
        <v>390952658.40000015</v>
      </c>
    </row>
    <row r="1470" spans="1:5" hidden="1" x14ac:dyDescent="0.25">
      <c r="A1470">
        <v>36</v>
      </c>
      <c r="B1470">
        <v>26</v>
      </c>
      <c r="C1470" t="s">
        <v>36</v>
      </c>
      <c r="D1470" t="s">
        <v>25</v>
      </c>
      <c r="E1470" s="4">
        <f t="shared" ca="1" si="24"/>
        <v>393865967.03999984</v>
      </c>
    </row>
    <row r="1471" spans="1:5" hidden="1" x14ac:dyDescent="0.25">
      <c r="A1471">
        <v>36</v>
      </c>
      <c r="B1471">
        <v>27</v>
      </c>
      <c r="C1471" t="s">
        <v>36</v>
      </c>
      <c r="D1471" t="s">
        <v>145</v>
      </c>
      <c r="E1471" s="4">
        <f t="shared" ca="1" si="24"/>
        <v>4654911678.4399996</v>
      </c>
    </row>
    <row r="1472" spans="1:5" hidden="1" x14ac:dyDescent="0.25">
      <c r="A1472">
        <v>36</v>
      </c>
      <c r="B1472">
        <v>28</v>
      </c>
      <c r="C1472" t="s">
        <v>36</v>
      </c>
      <c r="D1472" t="s">
        <v>147</v>
      </c>
      <c r="E1472" s="4">
        <f t="shared" ca="1" si="24"/>
        <v>2649464499.7799997</v>
      </c>
    </row>
    <row r="1473" spans="1:5" hidden="1" x14ac:dyDescent="0.25">
      <c r="A1473">
        <v>36</v>
      </c>
      <c r="B1473">
        <v>29</v>
      </c>
      <c r="C1473" t="s">
        <v>36</v>
      </c>
      <c r="D1473" t="s">
        <v>146</v>
      </c>
      <c r="E1473" s="4">
        <f t="shared" ca="1" si="24"/>
        <v>1651311785.6399999</v>
      </c>
    </row>
    <row r="1474" spans="1:5" hidden="1" x14ac:dyDescent="0.25">
      <c r="A1474">
        <v>36</v>
      </c>
      <c r="B1474">
        <v>30</v>
      </c>
      <c r="C1474" t="s">
        <v>36</v>
      </c>
      <c r="D1474" t="s">
        <v>30</v>
      </c>
      <c r="E1474" s="4">
        <f t="shared" ca="1" si="24"/>
        <v>1079061980.7879999</v>
      </c>
    </row>
    <row r="1475" spans="1:5" hidden="1" x14ac:dyDescent="0.25">
      <c r="A1475">
        <v>36</v>
      </c>
      <c r="B1475">
        <v>31</v>
      </c>
      <c r="C1475" t="s">
        <v>36</v>
      </c>
      <c r="D1475" t="s">
        <v>31</v>
      </c>
      <c r="E1475" s="4">
        <f t="shared" ca="1" si="24"/>
        <v>511703370.00000018</v>
      </c>
    </row>
    <row r="1476" spans="1:5" hidden="1" x14ac:dyDescent="0.25">
      <c r="A1476">
        <v>36</v>
      </c>
      <c r="B1476">
        <v>32</v>
      </c>
      <c r="C1476" t="s">
        <v>36</v>
      </c>
      <c r="D1476" t="s">
        <v>32</v>
      </c>
      <c r="E1476" s="4">
        <f t="shared" ca="1" si="24"/>
        <v>267532876.3599999</v>
      </c>
    </row>
    <row r="1477" spans="1:5" hidden="1" x14ac:dyDescent="0.25">
      <c r="A1477">
        <v>36</v>
      </c>
      <c r="B1477">
        <v>33</v>
      </c>
      <c r="C1477" t="s">
        <v>36</v>
      </c>
      <c r="D1477" t="s">
        <v>33</v>
      </c>
      <c r="E1477" s="4">
        <f t="shared" ca="1" si="24"/>
        <v>6568199780.9999962</v>
      </c>
    </row>
    <row r="1478" spans="1:5" hidden="1" x14ac:dyDescent="0.25">
      <c r="A1478">
        <v>36</v>
      </c>
      <c r="B1478">
        <v>34</v>
      </c>
      <c r="C1478" t="s">
        <v>36</v>
      </c>
      <c r="D1478" t="s">
        <v>34</v>
      </c>
      <c r="E1478" s="4">
        <f t="shared" ca="1" si="24"/>
        <v>29825190112.000023</v>
      </c>
    </row>
    <row r="1479" spans="1:5" hidden="1" x14ac:dyDescent="0.25">
      <c r="A1479">
        <v>36</v>
      </c>
      <c r="B1479">
        <v>35</v>
      </c>
      <c r="C1479" t="s">
        <v>36</v>
      </c>
      <c r="D1479" t="s">
        <v>35</v>
      </c>
      <c r="E1479" s="4">
        <f t="shared" ca="1" si="24"/>
        <v>2462093160.0000014</v>
      </c>
    </row>
    <row r="1480" spans="1:5" hidden="1" x14ac:dyDescent="0.25">
      <c r="A1480">
        <v>36</v>
      </c>
      <c r="B1480">
        <v>36</v>
      </c>
      <c r="C1480" t="s">
        <v>36</v>
      </c>
      <c r="D1480" t="s">
        <v>36</v>
      </c>
      <c r="E1480" s="4">
        <f t="shared" ca="1" si="24"/>
        <v>0</v>
      </c>
    </row>
    <row r="1481" spans="1:5" hidden="1" x14ac:dyDescent="0.25">
      <c r="A1481">
        <v>36</v>
      </c>
      <c r="B1481">
        <v>37</v>
      </c>
      <c r="C1481" t="s">
        <v>36</v>
      </c>
      <c r="D1481" t="s">
        <v>37</v>
      </c>
      <c r="E1481" s="4">
        <f t="shared" ca="1" si="24"/>
        <v>416804279.04000151</v>
      </c>
    </row>
    <row r="1482" spans="1:5" hidden="1" x14ac:dyDescent="0.25">
      <c r="A1482">
        <v>36</v>
      </c>
      <c r="B1482">
        <v>38</v>
      </c>
      <c r="C1482" t="s">
        <v>36</v>
      </c>
      <c r="D1482" t="s">
        <v>38</v>
      </c>
      <c r="E1482" s="4">
        <f t="shared" ca="1" si="24"/>
        <v>16404492.719999997</v>
      </c>
    </row>
    <row r="1483" spans="1:5" hidden="1" x14ac:dyDescent="0.25">
      <c r="A1483">
        <v>36</v>
      </c>
      <c r="B1483">
        <v>39</v>
      </c>
      <c r="C1483" t="s">
        <v>36</v>
      </c>
      <c r="D1483" t="s">
        <v>39</v>
      </c>
      <c r="E1483" s="4">
        <f t="shared" ca="1" si="24"/>
        <v>112983411.64000008</v>
      </c>
    </row>
    <row r="1484" spans="1:5" hidden="1" x14ac:dyDescent="0.25">
      <c r="A1484">
        <v>36</v>
      </c>
      <c r="B1484">
        <v>40</v>
      </c>
      <c r="C1484" t="s">
        <v>36</v>
      </c>
      <c r="D1484" t="s">
        <v>40</v>
      </c>
      <c r="E1484" s="4">
        <f t="shared" ca="1" si="24"/>
        <v>307601236.79999995</v>
      </c>
    </row>
    <row r="1485" spans="1:5" hidden="1" x14ac:dyDescent="0.25">
      <c r="A1485">
        <v>37</v>
      </c>
      <c r="B1485">
        <v>1</v>
      </c>
      <c r="C1485" t="s">
        <v>37</v>
      </c>
      <c r="D1485" t="s">
        <v>0</v>
      </c>
      <c r="E1485" s="4">
        <f t="shared" ca="1" si="24"/>
        <v>11656748917.042854</v>
      </c>
    </row>
    <row r="1486" spans="1:5" hidden="1" x14ac:dyDescent="0.25">
      <c r="A1486">
        <v>37</v>
      </c>
      <c r="B1486">
        <v>2</v>
      </c>
      <c r="C1486" t="s">
        <v>37</v>
      </c>
      <c r="D1486" t="s">
        <v>1</v>
      </c>
      <c r="E1486" s="4">
        <f t="shared" ca="1" si="24"/>
        <v>3111129426.5057101</v>
      </c>
    </row>
    <row r="1487" spans="1:5" hidden="1" x14ac:dyDescent="0.25">
      <c r="A1487">
        <v>37</v>
      </c>
      <c r="B1487">
        <v>3</v>
      </c>
      <c r="C1487" t="s">
        <v>37</v>
      </c>
      <c r="D1487" t="s">
        <v>2</v>
      </c>
      <c r="E1487" s="4">
        <f t="shared" ca="1" si="24"/>
        <v>2543194017.068574</v>
      </c>
    </row>
    <row r="1488" spans="1:5" hidden="1" x14ac:dyDescent="0.25">
      <c r="A1488">
        <v>37</v>
      </c>
      <c r="B1488">
        <v>4</v>
      </c>
      <c r="C1488" t="s">
        <v>37</v>
      </c>
      <c r="D1488" t="s">
        <v>3</v>
      </c>
      <c r="E1488" s="4">
        <f t="shared" ca="1" si="24"/>
        <v>5215273810.0714235</v>
      </c>
    </row>
    <row r="1489" spans="1:5" hidden="1" x14ac:dyDescent="0.25">
      <c r="A1489">
        <v>37</v>
      </c>
      <c r="B1489">
        <v>5</v>
      </c>
      <c r="C1489" t="s">
        <v>37</v>
      </c>
      <c r="D1489" t="s">
        <v>4</v>
      </c>
      <c r="E1489" s="4">
        <f t="shared" ca="1" si="24"/>
        <v>10478334445.888577</v>
      </c>
    </row>
    <row r="1490" spans="1:5" hidden="1" x14ac:dyDescent="0.25">
      <c r="A1490">
        <v>37</v>
      </c>
      <c r="B1490">
        <v>6</v>
      </c>
      <c r="C1490" t="s">
        <v>37</v>
      </c>
      <c r="D1490" t="s">
        <v>5</v>
      </c>
      <c r="E1490" s="4">
        <f t="shared" ca="1" si="24"/>
        <v>3018719835.4885688</v>
      </c>
    </row>
    <row r="1491" spans="1:5" hidden="1" x14ac:dyDescent="0.25">
      <c r="A1491">
        <v>37</v>
      </c>
      <c r="B1491">
        <v>7</v>
      </c>
      <c r="C1491" t="s">
        <v>37</v>
      </c>
      <c r="D1491" t="s">
        <v>6</v>
      </c>
      <c r="E1491" s="4">
        <f t="shared" ca="1" si="24"/>
        <v>1557267902.6571419</v>
      </c>
    </row>
    <row r="1492" spans="1:5" hidden="1" x14ac:dyDescent="0.25">
      <c r="A1492">
        <v>37</v>
      </c>
      <c r="B1492">
        <v>8</v>
      </c>
      <c r="C1492" t="s">
        <v>37</v>
      </c>
      <c r="D1492" t="s">
        <v>7</v>
      </c>
      <c r="E1492" s="4">
        <f t="shared" ca="1" si="24"/>
        <v>5677156781.657136</v>
      </c>
    </row>
    <row r="1493" spans="1:5" hidden="1" x14ac:dyDescent="0.25">
      <c r="A1493">
        <v>37</v>
      </c>
      <c r="B1493">
        <v>9</v>
      </c>
      <c r="C1493" t="s">
        <v>37</v>
      </c>
      <c r="D1493" t="s">
        <v>148</v>
      </c>
      <c r="E1493" s="4">
        <f t="shared" ca="1" si="24"/>
        <v>812050718.48727262</v>
      </c>
    </row>
    <row r="1494" spans="1:5" hidden="1" x14ac:dyDescent="0.25">
      <c r="A1494">
        <v>37</v>
      </c>
      <c r="B1494">
        <v>10</v>
      </c>
      <c r="C1494" t="s">
        <v>37</v>
      </c>
      <c r="D1494" t="s">
        <v>9</v>
      </c>
      <c r="E1494" s="4">
        <f t="shared" ca="1" si="24"/>
        <v>4050566727.0600028</v>
      </c>
    </row>
    <row r="1495" spans="1:5" hidden="1" x14ac:dyDescent="0.25">
      <c r="A1495">
        <v>37</v>
      </c>
      <c r="B1495">
        <v>11</v>
      </c>
      <c r="C1495" t="s">
        <v>37</v>
      </c>
      <c r="D1495" t="s">
        <v>10</v>
      </c>
      <c r="E1495" s="4">
        <f t="shared" ca="1" si="24"/>
        <v>1105342125.4399993</v>
      </c>
    </row>
    <row r="1496" spans="1:5" hidden="1" x14ac:dyDescent="0.25">
      <c r="A1496">
        <v>37</v>
      </c>
      <c r="B1496">
        <v>12</v>
      </c>
      <c r="C1496" t="s">
        <v>37</v>
      </c>
      <c r="D1496" t="s">
        <v>11</v>
      </c>
      <c r="E1496" s="4">
        <f t="shared" ca="1" si="24"/>
        <v>1210645501.1199999</v>
      </c>
    </row>
    <row r="1497" spans="1:5" hidden="1" x14ac:dyDescent="0.25">
      <c r="A1497">
        <v>37</v>
      </c>
      <c r="B1497">
        <v>13</v>
      </c>
      <c r="C1497" t="s">
        <v>37</v>
      </c>
      <c r="D1497" t="s">
        <v>12</v>
      </c>
      <c r="E1497" s="4">
        <f t="shared" ca="1" si="24"/>
        <v>457176944.4000001</v>
      </c>
    </row>
    <row r="1498" spans="1:5" hidden="1" x14ac:dyDescent="0.25">
      <c r="A1498">
        <v>37</v>
      </c>
      <c r="B1498">
        <v>14</v>
      </c>
      <c r="C1498" t="s">
        <v>37</v>
      </c>
      <c r="D1498" t="s">
        <v>13</v>
      </c>
      <c r="E1498" s="4">
        <f t="shared" ca="1" si="24"/>
        <v>1590514023.599999</v>
      </c>
    </row>
    <row r="1499" spans="1:5" hidden="1" x14ac:dyDescent="0.25">
      <c r="A1499">
        <v>37</v>
      </c>
      <c r="B1499">
        <v>15</v>
      </c>
      <c r="C1499" t="s">
        <v>37</v>
      </c>
      <c r="D1499" t="s">
        <v>14</v>
      </c>
      <c r="E1499" s="4">
        <f t="shared" ca="1" si="24"/>
        <v>3278978319.8799977</v>
      </c>
    </row>
    <row r="1500" spans="1:5" hidden="1" x14ac:dyDescent="0.25">
      <c r="A1500">
        <v>37</v>
      </c>
      <c r="B1500">
        <v>16</v>
      </c>
      <c r="C1500" t="s">
        <v>37</v>
      </c>
      <c r="D1500" t="s">
        <v>15</v>
      </c>
      <c r="E1500" s="4">
        <f t="shared" ca="1" si="24"/>
        <v>1935791908.5200014</v>
      </c>
    </row>
    <row r="1501" spans="1:5" hidden="1" x14ac:dyDescent="0.25">
      <c r="A1501">
        <v>37</v>
      </c>
      <c r="B1501">
        <v>17</v>
      </c>
      <c r="C1501" t="s">
        <v>37</v>
      </c>
      <c r="D1501" t="s">
        <v>16</v>
      </c>
      <c r="E1501" s="4">
        <f t="shared" ca="1" si="24"/>
        <v>1207021330.2400002</v>
      </c>
    </row>
    <row r="1502" spans="1:5" hidden="1" x14ac:dyDescent="0.25">
      <c r="A1502">
        <v>37</v>
      </c>
      <c r="B1502">
        <v>18</v>
      </c>
      <c r="C1502" t="s">
        <v>37</v>
      </c>
      <c r="D1502" t="s">
        <v>17</v>
      </c>
      <c r="E1502" s="4">
        <f t="shared" ca="1" si="24"/>
        <v>1124650877.1999991</v>
      </c>
    </row>
    <row r="1503" spans="1:5" hidden="1" x14ac:dyDescent="0.25">
      <c r="A1503">
        <v>37</v>
      </c>
      <c r="B1503">
        <v>19</v>
      </c>
      <c r="C1503" t="s">
        <v>37</v>
      </c>
      <c r="D1503" t="s">
        <v>18</v>
      </c>
      <c r="E1503" s="4">
        <f t="shared" ca="1" si="24"/>
        <v>698619391.68000031</v>
      </c>
    </row>
    <row r="1504" spans="1:5" hidden="1" x14ac:dyDescent="0.25">
      <c r="A1504">
        <v>37</v>
      </c>
      <c r="B1504">
        <v>20</v>
      </c>
      <c r="C1504" t="s">
        <v>37</v>
      </c>
      <c r="D1504" t="s">
        <v>19</v>
      </c>
      <c r="E1504" s="4">
        <f t="shared" ca="1" si="24"/>
        <v>6725166854.4399996</v>
      </c>
    </row>
    <row r="1505" spans="1:5" hidden="1" x14ac:dyDescent="0.25">
      <c r="A1505">
        <v>37</v>
      </c>
      <c r="B1505">
        <v>21</v>
      </c>
      <c r="C1505" t="s">
        <v>37</v>
      </c>
      <c r="D1505" t="s">
        <v>20</v>
      </c>
      <c r="E1505" s="4">
        <f t="shared" ref="E1505:E1566" ca="1" si="25">OFFSET($B$2,A1505,B1505)</f>
        <v>4801536723.5600004</v>
      </c>
    </row>
    <row r="1506" spans="1:5" hidden="1" x14ac:dyDescent="0.25">
      <c r="A1506">
        <v>37</v>
      </c>
      <c r="B1506">
        <v>22</v>
      </c>
      <c r="C1506" t="s">
        <v>37</v>
      </c>
      <c r="D1506" t="s">
        <v>21</v>
      </c>
      <c r="E1506" s="4">
        <f t="shared" ca="1" si="25"/>
        <v>2471296591.0799952</v>
      </c>
    </row>
    <row r="1507" spans="1:5" hidden="1" x14ac:dyDescent="0.25">
      <c r="A1507">
        <v>37</v>
      </c>
      <c r="B1507">
        <v>23</v>
      </c>
      <c r="C1507" t="s">
        <v>37</v>
      </c>
      <c r="D1507" t="s">
        <v>22</v>
      </c>
      <c r="E1507" s="4">
        <f t="shared" ca="1" si="25"/>
        <v>1067498403.1200001</v>
      </c>
    </row>
    <row r="1508" spans="1:5" hidden="1" x14ac:dyDescent="0.25">
      <c r="A1508">
        <v>37</v>
      </c>
      <c r="B1508">
        <v>24</v>
      </c>
      <c r="C1508" t="s">
        <v>37</v>
      </c>
      <c r="D1508" t="s">
        <v>23</v>
      </c>
      <c r="E1508" s="4">
        <f t="shared" ca="1" si="25"/>
        <v>932569533.71999967</v>
      </c>
    </row>
    <row r="1509" spans="1:5" hidden="1" x14ac:dyDescent="0.25">
      <c r="A1509">
        <v>37</v>
      </c>
      <c r="B1509">
        <v>25</v>
      </c>
      <c r="C1509" t="s">
        <v>37</v>
      </c>
      <c r="D1509" t="s">
        <v>24</v>
      </c>
      <c r="E1509" s="4">
        <f t="shared" ca="1" si="25"/>
        <v>854319941.28000009</v>
      </c>
    </row>
    <row r="1510" spans="1:5" hidden="1" x14ac:dyDescent="0.25">
      <c r="A1510">
        <v>37</v>
      </c>
      <c r="B1510">
        <v>26</v>
      </c>
      <c r="C1510" t="s">
        <v>37</v>
      </c>
      <c r="D1510" t="s">
        <v>25</v>
      </c>
      <c r="E1510" s="4">
        <f t="shared" ca="1" si="25"/>
        <v>782419002.79999971</v>
      </c>
    </row>
    <row r="1511" spans="1:5" hidden="1" x14ac:dyDescent="0.25">
      <c r="A1511">
        <v>37</v>
      </c>
      <c r="B1511">
        <v>27</v>
      </c>
      <c r="C1511" t="s">
        <v>37</v>
      </c>
      <c r="D1511" t="s">
        <v>145</v>
      </c>
      <c r="E1511" s="4">
        <f t="shared" ca="1" si="25"/>
        <v>6586605859.3999987</v>
      </c>
    </row>
    <row r="1512" spans="1:5" hidden="1" x14ac:dyDescent="0.25">
      <c r="A1512">
        <v>37</v>
      </c>
      <c r="B1512">
        <v>28</v>
      </c>
      <c r="C1512" t="s">
        <v>37</v>
      </c>
      <c r="D1512" t="s">
        <v>147</v>
      </c>
      <c r="E1512" s="4">
        <f t="shared" ca="1" si="25"/>
        <v>3968768270.1480002</v>
      </c>
    </row>
    <row r="1513" spans="1:5" hidden="1" x14ac:dyDescent="0.25">
      <c r="A1513">
        <v>37</v>
      </c>
      <c r="B1513">
        <v>29</v>
      </c>
      <c r="C1513" t="s">
        <v>37</v>
      </c>
      <c r="D1513" t="s">
        <v>146</v>
      </c>
      <c r="E1513" s="4">
        <f t="shared" ca="1" si="25"/>
        <v>2796194182.9199991</v>
      </c>
    </row>
    <row r="1514" spans="1:5" hidden="1" x14ac:dyDescent="0.25">
      <c r="A1514">
        <v>37</v>
      </c>
      <c r="B1514">
        <v>30</v>
      </c>
      <c r="C1514" t="s">
        <v>37</v>
      </c>
      <c r="D1514" t="s">
        <v>30</v>
      </c>
      <c r="E1514" s="4">
        <f t="shared" ca="1" si="25"/>
        <v>1802967422.1960001</v>
      </c>
    </row>
    <row r="1515" spans="1:5" hidden="1" x14ac:dyDescent="0.25">
      <c r="A1515">
        <v>37</v>
      </c>
      <c r="B1515">
        <v>31</v>
      </c>
      <c r="C1515" t="s">
        <v>37</v>
      </c>
      <c r="D1515" t="s">
        <v>31</v>
      </c>
      <c r="E1515" s="4">
        <f t="shared" ca="1" si="25"/>
        <v>1098572386.3200002</v>
      </c>
    </row>
    <row r="1516" spans="1:5" hidden="1" x14ac:dyDescent="0.25">
      <c r="A1516">
        <v>37</v>
      </c>
      <c r="B1516">
        <v>32</v>
      </c>
      <c r="C1516" t="s">
        <v>37</v>
      </c>
      <c r="D1516" t="s">
        <v>32</v>
      </c>
      <c r="E1516" s="4">
        <f t="shared" ca="1" si="25"/>
        <v>782859584.99999988</v>
      </c>
    </row>
    <row r="1517" spans="1:5" hidden="1" x14ac:dyDescent="0.25">
      <c r="A1517">
        <v>37</v>
      </c>
      <c r="B1517">
        <v>33</v>
      </c>
      <c r="C1517" t="s">
        <v>37</v>
      </c>
      <c r="D1517" t="s">
        <v>33</v>
      </c>
      <c r="E1517" s="4">
        <f t="shared" ca="1" si="25"/>
        <v>8702002944.9999962</v>
      </c>
    </row>
    <row r="1518" spans="1:5" hidden="1" x14ac:dyDescent="0.25">
      <c r="A1518">
        <v>37</v>
      </c>
      <c r="B1518">
        <v>34</v>
      </c>
      <c r="C1518" t="s">
        <v>37</v>
      </c>
      <c r="D1518" t="s">
        <v>34</v>
      </c>
      <c r="E1518" s="4">
        <f t="shared" ca="1" si="25"/>
        <v>37923127647.360039</v>
      </c>
    </row>
    <row r="1519" spans="1:5" hidden="1" x14ac:dyDescent="0.25">
      <c r="A1519">
        <v>37</v>
      </c>
      <c r="B1519">
        <v>35</v>
      </c>
      <c r="C1519" t="s">
        <v>37</v>
      </c>
      <c r="D1519" t="s">
        <v>35</v>
      </c>
      <c r="E1519" s="4">
        <f t="shared" ca="1" si="25"/>
        <v>3538305075.5200024</v>
      </c>
    </row>
    <row r="1520" spans="1:5" hidden="1" x14ac:dyDescent="0.25">
      <c r="A1520">
        <v>37</v>
      </c>
      <c r="B1520">
        <v>36</v>
      </c>
      <c r="C1520" t="s">
        <v>37</v>
      </c>
      <c r="D1520" t="s">
        <v>36</v>
      </c>
      <c r="E1520" s="4">
        <f t="shared" ca="1" si="25"/>
        <v>317085088.31999981</v>
      </c>
    </row>
    <row r="1521" spans="1:5" hidden="1" x14ac:dyDescent="0.25">
      <c r="A1521">
        <v>37</v>
      </c>
      <c r="B1521">
        <v>37</v>
      </c>
      <c r="C1521" t="s">
        <v>37</v>
      </c>
      <c r="D1521" t="s">
        <v>37</v>
      </c>
      <c r="E1521" s="4">
        <f t="shared" ca="1" si="25"/>
        <v>0</v>
      </c>
    </row>
    <row r="1522" spans="1:5" hidden="1" x14ac:dyDescent="0.25">
      <c r="A1522">
        <v>37</v>
      </c>
      <c r="B1522">
        <v>38</v>
      </c>
      <c r="C1522" t="s">
        <v>37</v>
      </c>
      <c r="D1522" t="s">
        <v>38</v>
      </c>
      <c r="E1522" s="4">
        <f t="shared" ca="1" si="25"/>
        <v>50629385.039999999</v>
      </c>
    </row>
    <row r="1523" spans="1:5" hidden="1" x14ac:dyDescent="0.25">
      <c r="A1523">
        <v>37</v>
      </c>
      <c r="B1523">
        <v>39</v>
      </c>
      <c r="C1523" t="s">
        <v>37</v>
      </c>
      <c r="D1523" t="s">
        <v>39</v>
      </c>
      <c r="E1523" s="4">
        <f t="shared" ca="1" si="25"/>
        <v>247009575.36000004</v>
      </c>
    </row>
    <row r="1524" spans="1:5" hidden="1" x14ac:dyDescent="0.25">
      <c r="A1524">
        <v>37</v>
      </c>
      <c r="B1524">
        <v>40</v>
      </c>
      <c r="C1524" t="s">
        <v>37</v>
      </c>
      <c r="D1524" t="s">
        <v>40</v>
      </c>
      <c r="E1524" s="4">
        <f t="shared" ca="1" si="25"/>
        <v>135986674.71999997</v>
      </c>
    </row>
    <row r="1525" spans="1:5" hidden="1" x14ac:dyDescent="0.25">
      <c r="A1525">
        <v>37</v>
      </c>
      <c r="B1525">
        <v>1</v>
      </c>
      <c r="C1525" t="s">
        <v>38</v>
      </c>
      <c r="D1525" t="s">
        <v>0</v>
      </c>
      <c r="E1525" s="4">
        <f t="shared" ca="1" si="25"/>
        <v>11656748917.042854</v>
      </c>
    </row>
    <row r="1526" spans="1:5" hidden="1" x14ac:dyDescent="0.25">
      <c r="A1526">
        <v>37</v>
      </c>
      <c r="B1526">
        <v>2</v>
      </c>
      <c r="C1526" t="s">
        <v>38</v>
      </c>
      <c r="D1526" t="s">
        <v>1</v>
      </c>
      <c r="E1526" s="4">
        <f t="shared" ca="1" si="25"/>
        <v>3111129426.5057101</v>
      </c>
    </row>
    <row r="1527" spans="1:5" hidden="1" x14ac:dyDescent="0.25">
      <c r="A1527">
        <v>37</v>
      </c>
      <c r="B1527">
        <v>3</v>
      </c>
      <c r="C1527" t="s">
        <v>38</v>
      </c>
      <c r="D1527" t="s">
        <v>2</v>
      </c>
      <c r="E1527" s="4">
        <f t="shared" ca="1" si="25"/>
        <v>2543194017.068574</v>
      </c>
    </row>
    <row r="1528" spans="1:5" hidden="1" x14ac:dyDescent="0.25">
      <c r="A1528">
        <v>37</v>
      </c>
      <c r="B1528">
        <v>4</v>
      </c>
      <c r="C1528" t="s">
        <v>38</v>
      </c>
      <c r="D1528" t="s">
        <v>3</v>
      </c>
      <c r="E1528" s="4">
        <f t="shared" ca="1" si="25"/>
        <v>5215273810.0714235</v>
      </c>
    </row>
    <row r="1529" spans="1:5" hidden="1" x14ac:dyDescent="0.25">
      <c r="A1529">
        <v>37</v>
      </c>
      <c r="B1529">
        <v>5</v>
      </c>
      <c r="C1529" t="s">
        <v>38</v>
      </c>
      <c r="D1529" t="s">
        <v>4</v>
      </c>
      <c r="E1529" s="4">
        <f t="shared" ca="1" si="25"/>
        <v>10478334445.888577</v>
      </c>
    </row>
    <row r="1530" spans="1:5" hidden="1" x14ac:dyDescent="0.25">
      <c r="A1530">
        <v>37</v>
      </c>
      <c r="B1530">
        <v>6</v>
      </c>
      <c r="C1530" t="s">
        <v>38</v>
      </c>
      <c r="D1530" t="s">
        <v>5</v>
      </c>
      <c r="E1530" s="4">
        <f t="shared" ca="1" si="25"/>
        <v>3018719835.4885688</v>
      </c>
    </row>
    <row r="1531" spans="1:5" hidden="1" x14ac:dyDescent="0.25">
      <c r="A1531">
        <v>37</v>
      </c>
      <c r="B1531">
        <v>7</v>
      </c>
      <c r="C1531" t="s">
        <v>38</v>
      </c>
      <c r="D1531" t="s">
        <v>6</v>
      </c>
      <c r="E1531" s="4">
        <f t="shared" ca="1" si="25"/>
        <v>1557267902.6571419</v>
      </c>
    </row>
    <row r="1532" spans="1:5" hidden="1" x14ac:dyDescent="0.25">
      <c r="A1532">
        <v>37</v>
      </c>
      <c r="B1532">
        <v>8</v>
      </c>
      <c r="C1532" t="s">
        <v>38</v>
      </c>
      <c r="D1532" t="s">
        <v>7</v>
      </c>
      <c r="E1532" s="4">
        <f t="shared" ca="1" si="25"/>
        <v>5677156781.657136</v>
      </c>
    </row>
    <row r="1533" spans="1:5" hidden="1" x14ac:dyDescent="0.25">
      <c r="A1533">
        <v>37</v>
      </c>
      <c r="B1533">
        <v>9</v>
      </c>
      <c r="C1533" t="s">
        <v>38</v>
      </c>
      <c r="D1533" t="s">
        <v>148</v>
      </c>
      <c r="E1533" s="4">
        <f t="shared" ca="1" si="25"/>
        <v>812050718.48727262</v>
      </c>
    </row>
    <row r="1534" spans="1:5" hidden="1" x14ac:dyDescent="0.25">
      <c r="A1534">
        <v>37</v>
      </c>
      <c r="B1534">
        <v>10</v>
      </c>
      <c r="C1534" t="s">
        <v>38</v>
      </c>
      <c r="D1534" t="s">
        <v>9</v>
      </c>
      <c r="E1534" s="4">
        <f t="shared" ca="1" si="25"/>
        <v>4050566727.0600028</v>
      </c>
    </row>
    <row r="1535" spans="1:5" hidden="1" x14ac:dyDescent="0.25">
      <c r="A1535">
        <v>37</v>
      </c>
      <c r="B1535">
        <v>11</v>
      </c>
      <c r="C1535" t="s">
        <v>38</v>
      </c>
      <c r="D1535" t="s">
        <v>10</v>
      </c>
      <c r="E1535" s="4">
        <f t="shared" ca="1" si="25"/>
        <v>1105342125.4399993</v>
      </c>
    </row>
    <row r="1536" spans="1:5" hidden="1" x14ac:dyDescent="0.25">
      <c r="A1536">
        <v>37</v>
      </c>
      <c r="B1536">
        <v>12</v>
      </c>
      <c r="C1536" t="s">
        <v>38</v>
      </c>
      <c r="D1536" t="s">
        <v>11</v>
      </c>
      <c r="E1536" s="4">
        <f t="shared" ca="1" si="25"/>
        <v>1210645501.1199999</v>
      </c>
    </row>
    <row r="1537" spans="1:5" hidden="1" x14ac:dyDescent="0.25">
      <c r="A1537">
        <v>37</v>
      </c>
      <c r="B1537">
        <v>13</v>
      </c>
      <c r="C1537" t="s">
        <v>38</v>
      </c>
      <c r="D1537" t="s">
        <v>12</v>
      </c>
      <c r="E1537" s="4">
        <f t="shared" ca="1" si="25"/>
        <v>457176944.4000001</v>
      </c>
    </row>
    <row r="1538" spans="1:5" hidden="1" x14ac:dyDescent="0.25">
      <c r="A1538">
        <v>37</v>
      </c>
      <c r="B1538">
        <v>14</v>
      </c>
      <c r="C1538" t="s">
        <v>38</v>
      </c>
      <c r="D1538" t="s">
        <v>13</v>
      </c>
      <c r="E1538" s="4">
        <f t="shared" ca="1" si="25"/>
        <v>1590514023.599999</v>
      </c>
    </row>
    <row r="1539" spans="1:5" hidden="1" x14ac:dyDescent="0.25">
      <c r="A1539">
        <v>37</v>
      </c>
      <c r="B1539">
        <v>15</v>
      </c>
      <c r="C1539" t="s">
        <v>38</v>
      </c>
      <c r="D1539" t="s">
        <v>14</v>
      </c>
      <c r="E1539" s="4">
        <f t="shared" ca="1" si="25"/>
        <v>3278978319.8799977</v>
      </c>
    </row>
    <row r="1540" spans="1:5" hidden="1" x14ac:dyDescent="0.25">
      <c r="A1540">
        <v>37</v>
      </c>
      <c r="B1540">
        <v>16</v>
      </c>
      <c r="C1540" t="s">
        <v>38</v>
      </c>
      <c r="D1540" t="s">
        <v>15</v>
      </c>
      <c r="E1540" s="4">
        <f t="shared" ca="1" si="25"/>
        <v>1935791908.5200014</v>
      </c>
    </row>
    <row r="1541" spans="1:5" hidden="1" x14ac:dyDescent="0.25">
      <c r="A1541">
        <v>37</v>
      </c>
      <c r="B1541">
        <v>17</v>
      </c>
      <c r="C1541" t="s">
        <v>38</v>
      </c>
      <c r="D1541" t="s">
        <v>16</v>
      </c>
      <c r="E1541" s="4">
        <f t="shared" ca="1" si="25"/>
        <v>1207021330.2400002</v>
      </c>
    </row>
    <row r="1542" spans="1:5" hidden="1" x14ac:dyDescent="0.25">
      <c r="A1542">
        <v>37</v>
      </c>
      <c r="B1542">
        <v>18</v>
      </c>
      <c r="C1542" t="s">
        <v>38</v>
      </c>
      <c r="D1542" t="s">
        <v>17</v>
      </c>
      <c r="E1542" s="4">
        <f t="shared" ca="1" si="25"/>
        <v>1124650877.1999991</v>
      </c>
    </row>
    <row r="1543" spans="1:5" hidden="1" x14ac:dyDescent="0.25">
      <c r="A1543">
        <v>37</v>
      </c>
      <c r="B1543">
        <v>19</v>
      </c>
      <c r="C1543" t="s">
        <v>38</v>
      </c>
      <c r="D1543" t="s">
        <v>18</v>
      </c>
      <c r="E1543" s="4">
        <f t="shared" ca="1" si="25"/>
        <v>698619391.68000031</v>
      </c>
    </row>
    <row r="1544" spans="1:5" hidden="1" x14ac:dyDescent="0.25">
      <c r="A1544">
        <v>37</v>
      </c>
      <c r="B1544">
        <v>20</v>
      </c>
      <c r="C1544" t="s">
        <v>38</v>
      </c>
      <c r="D1544" t="s">
        <v>19</v>
      </c>
      <c r="E1544" s="4">
        <f t="shared" ca="1" si="25"/>
        <v>6725166854.4399996</v>
      </c>
    </row>
    <row r="1545" spans="1:5" hidden="1" x14ac:dyDescent="0.25">
      <c r="A1545">
        <v>37</v>
      </c>
      <c r="B1545">
        <v>21</v>
      </c>
      <c r="C1545" t="s">
        <v>38</v>
      </c>
      <c r="D1545" t="s">
        <v>20</v>
      </c>
      <c r="E1545" s="4">
        <f t="shared" ca="1" si="25"/>
        <v>4801536723.5600004</v>
      </c>
    </row>
    <row r="1546" spans="1:5" hidden="1" x14ac:dyDescent="0.25">
      <c r="A1546">
        <v>37</v>
      </c>
      <c r="B1546">
        <v>22</v>
      </c>
      <c r="C1546" t="s">
        <v>38</v>
      </c>
      <c r="D1546" t="s">
        <v>21</v>
      </c>
      <c r="E1546" s="4">
        <f t="shared" ca="1" si="25"/>
        <v>2471296591.0799952</v>
      </c>
    </row>
    <row r="1547" spans="1:5" hidden="1" x14ac:dyDescent="0.25">
      <c r="A1547">
        <v>37</v>
      </c>
      <c r="B1547">
        <v>23</v>
      </c>
      <c r="C1547" t="s">
        <v>38</v>
      </c>
      <c r="D1547" t="s">
        <v>22</v>
      </c>
      <c r="E1547" s="4">
        <f t="shared" ca="1" si="25"/>
        <v>1067498403.1200001</v>
      </c>
    </row>
    <row r="1548" spans="1:5" hidden="1" x14ac:dyDescent="0.25">
      <c r="A1548">
        <v>37</v>
      </c>
      <c r="B1548">
        <v>24</v>
      </c>
      <c r="C1548" t="s">
        <v>38</v>
      </c>
      <c r="D1548" t="s">
        <v>23</v>
      </c>
      <c r="E1548" s="4">
        <f t="shared" ca="1" si="25"/>
        <v>932569533.71999967</v>
      </c>
    </row>
    <row r="1549" spans="1:5" hidden="1" x14ac:dyDescent="0.25">
      <c r="A1549">
        <v>37</v>
      </c>
      <c r="B1549">
        <v>25</v>
      </c>
      <c r="C1549" t="s">
        <v>38</v>
      </c>
      <c r="D1549" t="s">
        <v>24</v>
      </c>
      <c r="E1549" s="4">
        <f t="shared" ca="1" si="25"/>
        <v>854319941.28000009</v>
      </c>
    </row>
    <row r="1550" spans="1:5" hidden="1" x14ac:dyDescent="0.25">
      <c r="A1550">
        <v>37</v>
      </c>
      <c r="B1550">
        <v>26</v>
      </c>
      <c r="C1550" t="s">
        <v>38</v>
      </c>
      <c r="D1550" t="s">
        <v>25</v>
      </c>
      <c r="E1550" s="4">
        <f t="shared" ca="1" si="25"/>
        <v>782419002.79999971</v>
      </c>
    </row>
    <row r="1551" spans="1:5" hidden="1" x14ac:dyDescent="0.25">
      <c r="A1551">
        <v>37</v>
      </c>
      <c r="B1551">
        <v>27</v>
      </c>
      <c r="C1551" t="s">
        <v>38</v>
      </c>
      <c r="D1551" t="s">
        <v>145</v>
      </c>
      <c r="E1551" s="4">
        <f t="shared" ca="1" si="25"/>
        <v>6586605859.3999987</v>
      </c>
    </row>
    <row r="1552" spans="1:5" hidden="1" x14ac:dyDescent="0.25">
      <c r="A1552">
        <v>37</v>
      </c>
      <c r="B1552">
        <v>28</v>
      </c>
      <c r="C1552" t="s">
        <v>38</v>
      </c>
      <c r="D1552" t="s">
        <v>147</v>
      </c>
      <c r="E1552" s="4">
        <f t="shared" ca="1" si="25"/>
        <v>3968768270.1480002</v>
      </c>
    </row>
    <row r="1553" spans="1:5" hidden="1" x14ac:dyDescent="0.25">
      <c r="A1553">
        <v>37</v>
      </c>
      <c r="B1553">
        <v>29</v>
      </c>
      <c r="C1553" t="s">
        <v>38</v>
      </c>
      <c r="D1553" t="s">
        <v>146</v>
      </c>
      <c r="E1553" s="4">
        <f t="shared" ca="1" si="25"/>
        <v>2796194182.9199991</v>
      </c>
    </row>
    <row r="1554" spans="1:5" hidden="1" x14ac:dyDescent="0.25">
      <c r="A1554">
        <v>37</v>
      </c>
      <c r="B1554">
        <v>30</v>
      </c>
      <c r="C1554" t="s">
        <v>38</v>
      </c>
      <c r="D1554" t="s">
        <v>30</v>
      </c>
      <c r="E1554" s="4">
        <f t="shared" ca="1" si="25"/>
        <v>1802967422.1960001</v>
      </c>
    </row>
    <row r="1555" spans="1:5" hidden="1" x14ac:dyDescent="0.25">
      <c r="A1555">
        <v>37</v>
      </c>
      <c r="B1555">
        <v>31</v>
      </c>
      <c r="C1555" t="s">
        <v>38</v>
      </c>
      <c r="D1555" t="s">
        <v>31</v>
      </c>
      <c r="E1555" s="4">
        <f t="shared" ca="1" si="25"/>
        <v>1098572386.3200002</v>
      </c>
    </row>
    <row r="1556" spans="1:5" hidden="1" x14ac:dyDescent="0.25">
      <c r="A1556">
        <v>37</v>
      </c>
      <c r="B1556">
        <v>32</v>
      </c>
      <c r="C1556" t="s">
        <v>38</v>
      </c>
      <c r="D1556" t="s">
        <v>32</v>
      </c>
      <c r="E1556" s="4">
        <f t="shared" ca="1" si="25"/>
        <v>782859584.99999988</v>
      </c>
    </row>
    <row r="1557" spans="1:5" hidden="1" x14ac:dyDescent="0.25">
      <c r="A1557">
        <v>37</v>
      </c>
      <c r="B1557">
        <v>33</v>
      </c>
      <c r="C1557" t="s">
        <v>38</v>
      </c>
      <c r="D1557" t="s">
        <v>33</v>
      </c>
      <c r="E1557" s="4">
        <f t="shared" ca="1" si="25"/>
        <v>8702002944.9999962</v>
      </c>
    </row>
    <row r="1558" spans="1:5" hidden="1" x14ac:dyDescent="0.25">
      <c r="A1558">
        <v>37</v>
      </c>
      <c r="B1558">
        <v>34</v>
      </c>
      <c r="C1558" t="s">
        <v>38</v>
      </c>
      <c r="D1558" t="s">
        <v>34</v>
      </c>
      <c r="E1558" s="4">
        <f t="shared" ca="1" si="25"/>
        <v>37923127647.360039</v>
      </c>
    </row>
    <row r="1559" spans="1:5" hidden="1" x14ac:dyDescent="0.25">
      <c r="A1559">
        <v>37</v>
      </c>
      <c r="B1559">
        <v>35</v>
      </c>
      <c r="C1559" t="s">
        <v>38</v>
      </c>
      <c r="D1559" t="s">
        <v>35</v>
      </c>
      <c r="E1559" s="4">
        <f t="shared" ca="1" si="25"/>
        <v>3538305075.5200024</v>
      </c>
    </row>
    <row r="1560" spans="1:5" hidden="1" x14ac:dyDescent="0.25">
      <c r="A1560">
        <v>37</v>
      </c>
      <c r="B1560">
        <v>36</v>
      </c>
      <c r="C1560" t="s">
        <v>38</v>
      </c>
      <c r="D1560" t="s">
        <v>36</v>
      </c>
      <c r="E1560" s="4">
        <f t="shared" ca="1" si="25"/>
        <v>317085088.31999981</v>
      </c>
    </row>
    <row r="1561" spans="1:5" hidden="1" x14ac:dyDescent="0.25">
      <c r="A1561">
        <v>37</v>
      </c>
      <c r="B1561">
        <v>37</v>
      </c>
      <c r="C1561" t="s">
        <v>38</v>
      </c>
      <c r="D1561" t="s">
        <v>37</v>
      </c>
      <c r="E1561" s="4">
        <f t="shared" ca="1" si="25"/>
        <v>0</v>
      </c>
    </row>
    <row r="1562" spans="1:5" hidden="1" x14ac:dyDescent="0.25">
      <c r="A1562">
        <v>37</v>
      </c>
      <c r="B1562">
        <v>38</v>
      </c>
      <c r="C1562" t="s">
        <v>38</v>
      </c>
      <c r="D1562" t="s">
        <v>38</v>
      </c>
      <c r="E1562" s="4">
        <f t="shared" ca="1" si="25"/>
        <v>50629385.039999999</v>
      </c>
    </row>
    <row r="1563" spans="1:5" hidden="1" x14ac:dyDescent="0.25">
      <c r="A1563">
        <v>37</v>
      </c>
      <c r="B1563">
        <v>39</v>
      </c>
      <c r="C1563" t="s">
        <v>38</v>
      </c>
      <c r="D1563" t="s">
        <v>39</v>
      </c>
      <c r="E1563" s="4">
        <f t="shared" ca="1" si="25"/>
        <v>247009575.36000004</v>
      </c>
    </row>
    <row r="1564" spans="1:5" hidden="1" x14ac:dyDescent="0.25">
      <c r="A1564">
        <v>37</v>
      </c>
      <c r="B1564">
        <v>40</v>
      </c>
      <c r="C1564" t="s">
        <v>38</v>
      </c>
      <c r="D1564" t="s">
        <v>40</v>
      </c>
      <c r="E1564" s="4">
        <f t="shared" ca="1" si="25"/>
        <v>135986674.71999997</v>
      </c>
    </row>
    <row r="1565" spans="1:5" hidden="1" x14ac:dyDescent="0.25">
      <c r="A1565">
        <v>38</v>
      </c>
      <c r="B1565">
        <v>1</v>
      </c>
      <c r="C1565" t="s">
        <v>39</v>
      </c>
      <c r="D1565" t="s">
        <v>0</v>
      </c>
      <c r="E1565" s="4">
        <f t="shared" ca="1" si="25"/>
        <v>9055701187.2228546</v>
      </c>
    </row>
    <row r="1566" spans="1:5" hidden="1" x14ac:dyDescent="0.25">
      <c r="A1566">
        <v>38</v>
      </c>
      <c r="B1566">
        <v>2</v>
      </c>
      <c r="C1566" t="s">
        <v>39</v>
      </c>
      <c r="D1566" t="s">
        <v>1</v>
      </c>
      <c r="E1566" s="4">
        <f t="shared" ca="1" si="25"/>
        <v>2019201739.2857113</v>
      </c>
    </row>
    <row r="1567" spans="1:5" hidden="1" x14ac:dyDescent="0.25">
      <c r="A1567">
        <v>38</v>
      </c>
      <c r="B1567">
        <v>3</v>
      </c>
      <c r="C1567" t="s">
        <v>39</v>
      </c>
      <c r="D1567" t="s">
        <v>2</v>
      </c>
      <c r="E1567" s="4">
        <f t="shared" ref="E1567:E1629" ca="1" si="26">OFFSET($B$2,A1567,B1567)</f>
        <v>1555182925.0285728</v>
      </c>
    </row>
    <row r="1568" spans="1:5" hidden="1" x14ac:dyDescent="0.25">
      <c r="A1568">
        <v>38</v>
      </c>
      <c r="B1568">
        <v>4</v>
      </c>
      <c r="C1568" t="s">
        <v>39</v>
      </c>
      <c r="D1568" t="s">
        <v>3</v>
      </c>
      <c r="E1568" s="4">
        <f t="shared" ca="1" si="26"/>
        <v>3770800108.2514248</v>
      </c>
    </row>
    <row r="1569" spans="1:5" hidden="1" x14ac:dyDescent="0.25">
      <c r="A1569">
        <v>38</v>
      </c>
      <c r="B1569">
        <v>5</v>
      </c>
      <c r="C1569" t="s">
        <v>39</v>
      </c>
      <c r="D1569" t="s">
        <v>4</v>
      </c>
      <c r="E1569" s="4">
        <f t="shared" ca="1" si="26"/>
        <v>8289415389.9885769</v>
      </c>
    </row>
    <row r="1570" spans="1:5" hidden="1" x14ac:dyDescent="0.25">
      <c r="A1570">
        <v>38</v>
      </c>
      <c r="B1570">
        <v>6</v>
      </c>
      <c r="C1570" t="s">
        <v>39</v>
      </c>
      <c r="D1570" t="s">
        <v>5</v>
      </c>
      <c r="E1570" s="4">
        <f t="shared" ca="1" si="26"/>
        <v>1846434948.4285691</v>
      </c>
    </row>
    <row r="1571" spans="1:5" hidden="1" x14ac:dyDescent="0.25">
      <c r="A1571">
        <v>38</v>
      </c>
      <c r="B1571">
        <v>7</v>
      </c>
      <c r="C1571" t="s">
        <v>39</v>
      </c>
      <c r="D1571" t="s">
        <v>6</v>
      </c>
      <c r="E1571" s="4">
        <f t="shared" ca="1" si="26"/>
        <v>629927693.57142806</v>
      </c>
    </row>
    <row r="1572" spans="1:5" hidden="1" x14ac:dyDescent="0.25">
      <c r="A1572">
        <v>38</v>
      </c>
      <c r="B1572">
        <v>8</v>
      </c>
      <c r="C1572" t="s">
        <v>39</v>
      </c>
      <c r="D1572" t="s">
        <v>7</v>
      </c>
      <c r="E1572" s="4">
        <f t="shared" ca="1" si="26"/>
        <v>4164238997.6571383</v>
      </c>
    </row>
    <row r="1573" spans="1:5" hidden="1" x14ac:dyDescent="0.25">
      <c r="A1573">
        <v>38</v>
      </c>
      <c r="B1573">
        <v>9</v>
      </c>
      <c r="C1573" t="s">
        <v>39</v>
      </c>
      <c r="D1573" t="s">
        <v>148</v>
      </c>
      <c r="E1573" s="4">
        <f t="shared" ca="1" si="26"/>
        <v>68190745.716363579</v>
      </c>
    </row>
    <row r="1574" spans="1:5" hidden="1" x14ac:dyDescent="0.25">
      <c r="A1574">
        <v>38</v>
      </c>
      <c r="B1574">
        <v>10</v>
      </c>
      <c r="C1574" t="s">
        <v>39</v>
      </c>
      <c r="D1574" t="s">
        <v>9</v>
      </c>
      <c r="E1574" s="4">
        <f t="shared" ca="1" si="26"/>
        <v>2761854429.3600016</v>
      </c>
    </row>
    <row r="1575" spans="1:5" hidden="1" x14ac:dyDescent="0.25">
      <c r="A1575">
        <v>38</v>
      </c>
      <c r="B1575">
        <v>11</v>
      </c>
      <c r="C1575" t="s">
        <v>39</v>
      </c>
      <c r="D1575" t="s">
        <v>10</v>
      </c>
      <c r="E1575" s="4">
        <f t="shared" ca="1" si="26"/>
        <v>339588696.31999969</v>
      </c>
    </row>
    <row r="1576" spans="1:5" hidden="1" x14ac:dyDescent="0.25">
      <c r="A1576">
        <v>38</v>
      </c>
      <c r="B1576">
        <v>12</v>
      </c>
      <c r="C1576" t="s">
        <v>39</v>
      </c>
      <c r="D1576" t="s">
        <v>11</v>
      </c>
      <c r="E1576" s="4">
        <f t="shared" ca="1" si="26"/>
        <v>504792093.52000004</v>
      </c>
    </row>
    <row r="1577" spans="1:5" hidden="1" x14ac:dyDescent="0.25">
      <c r="A1577">
        <v>38</v>
      </c>
      <c r="B1577">
        <v>13</v>
      </c>
      <c r="C1577" t="s">
        <v>39</v>
      </c>
      <c r="D1577" t="s">
        <v>12</v>
      </c>
      <c r="E1577" s="4">
        <f t="shared" ca="1" si="26"/>
        <v>101022381.60000013</v>
      </c>
    </row>
    <row r="1578" spans="1:5" hidden="1" x14ac:dyDescent="0.25">
      <c r="A1578">
        <v>38</v>
      </c>
      <c r="B1578">
        <v>14</v>
      </c>
      <c r="C1578" t="s">
        <v>39</v>
      </c>
      <c r="D1578" t="s">
        <v>13</v>
      </c>
      <c r="E1578" s="4">
        <f t="shared" ca="1" si="26"/>
        <v>788390753.03999937</v>
      </c>
    </row>
    <row r="1579" spans="1:5" hidden="1" x14ac:dyDescent="0.25">
      <c r="A1579">
        <v>38</v>
      </c>
      <c r="B1579">
        <v>15</v>
      </c>
      <c r="C1579" t="s">
        <v>39</v>
      </c>
      <c r="D1579" t="s">
        <v>14</v>
      </c>
      <c r="E1579" s="4">
        <f t="shared" ca="1" si="26"/>
        <v>2567521484.7999978</v>
      </c>
    </row>
    <row r="1580" spans="1:5" hidden="1" x14ac:dyDescent="0.25">
      <c r="A1580">
        <v>38</v>
      </c>
      <c r="B1580">
        <v>16</v>
      </c>
      <c r="C1580" t="s">
        <v>39</v>
      </c>
      <c r="D1580" t="s">
        <v>15</v>
      </c>
      <c r="E1580" s="4">
        <f t="shared" ca="1" si="26"/>
        <v>1627842435.8400016</v>
      </c>
    </row>
    <row r="1581" spans="1:5" hidden="1" x14ac:dyDescent="0.25">
      <c r="A1581">
        <v>38</v>
      </c>
      <c r="B1581">
        <v>17</v>
      </c>
      <c r="C1581" t="s">
        <v>39</v>
      </c>
      <c r="D1581" t="s">
        <v>16</v>
      </c>
      <c r="E1581" s="4">
        <f t="shared" ca="1" si="26"/>
        <v>2367608064</v>
      </c>
    </row>
    <row r="1582" spans="1:5" hidden="1" x14ac:dyDescent="0.25">
      <c r="A1582">
        <v>38</v>
      </c>
      <c r="B1582">
        <v>18</v>
      </c>
      <c r="C1582" t="s">
        <v>39</v>
      </c>
      <c r="D1582" t="s">
        <v>17</v>
      </c>
      <c r="E1582" s="4">
        <f t="shared" ca="1" si="26"/>
        <v>1090586429.4399986</v>
      </c>
    </row>
    <row r="1583" spans="1:5" hidden="1" x14ac:dyDescent="0.25">
      <c r="A1583">
        <v>38</v>
      </c>
      <c r="B1583">
        <v>19</v>
      </c>
      <c r="C1583" t="s">
        <v>39</v>
      </c>
      <c r="D1583" t="s">
        <v>18</v>
      </c>
      <c r="E1583" s="4">
        <f t="shared" ca="1" si="26"/>
        <v>105466046.28000025</v>
      </c>
    </row>
    <row r="1584" spans="1:5" hidden="1" x14ac:dyDescent="0.25">
      <c r="A1584">
        <v>38</v>
      </c>
      <c r="B1584">
        <v>20</v>
      </c>
      <c r="C1584" t="s">
        <v>39</v>
      </c>
      <c r="D1584" t="s">
        <v>19</v>
      </c>
      <c r="E1584" s="4">
        <f t="shared" ca="1" si="26"/>
        <v>4914333567.999999</v>
      </c>
    </row>
    <row r="1585" spans="1:5" hidden="1" x14ac:dyDescent="0.25">
      <c r="A1585">
        <v>38</v>
      </c>
      <c r="B1585">
        <v>21</v>
      </c>
      <c r="C1585" t="s">
        <v>39</v>
      </c>
      <c r="D1585" t="s">
        <v>20</v>
      </c>
      <c r="E1585" s="4">
        <f t="shared" ca="1" si="26"/>
        <v>3395374141.7600012</v>
      </c>
    </row>
    <row r="1586" spans="1:5" hidden="1" x14ac:dyDescent="0.25">
      <c r="A1586">
        <v>38</v>
      </c>
      <c r="B1586">
        <v>22</v>
      </c>
      <c r="C1586" t="s">
        <v>39</v>
      </c>
      <c r="D1586" t="s">
        <v>21</v>
      </c>
      <c r="E1586" s="4">
        <f t="shared" ca="1" si="26"/>
        <v>1511255404.7999966</v>
      </c>
    </row>
    <row r="1587" spans="1:5" hidden="1" x14ac:dyDescent="0.25">
      <c r="A1587">
        <v>38</v>
      </c>
      <c r="B1587">
        <v>23</v>
      </c>
      <c r="C1587" t="s">
        <v>39</v>
      </c>
      <c r="D1587" t="s">
        <v>22</v>
      </c>
      <c r="E1587" s="4">
        <f t="shared" ca="1" si="26"/>
        <v>437310010.08000022</v>
      </c>
    </row>
    <row r="1588" spans="1:5" hidden="1" x14ac:dyDescent="0.25">
      <c r="A1588">
        <v>38</v>
      </c>
      <c r="B1588">
        <v>24</v>
      </c>
      <c r="C1588" t="s">
        <v>39</v>
      </c>
      <c r="D1588" t="s">
        <v>23</v>
      </c>
      <c r="E1588" s="4">
        <f t="shared" ca="1" si="26"/>
        <v>378348924.95999992</v>
      </c>
    </row>
    <row r="1589" spans="1:5" hidden="1" x14ac:dyDescent="0.25">
      <c r="A1589">
        <v>38</v>
      </c>
      <c r="B1589">
        <v>25</v>
      </c>
      <c r="C1589" t="s">
        <v>39</v>
      </c>
      <c r="D1589" t="s">
        <v>24</v>
      </c>
      <c r="E1589" s="4">
        <f t="shared" ca="1" si="26"/>
        <v>303553350.72000015</v>
      </c>
    </row>
    <row r="1590" spans="1:5" hidden="1" x14ac:dyDescent="0.25">
      <c r="A1590">
        <v>38</v>
      </c>
      <c r="B1590">
        <v>26</v>
      </c>
      <c r="C1590" t="s">
        <v>39</v>
      </c>
      <c r="D1590" t="s">
        <v>25</v>
      </c>
      <c r="E1590" s="4">
        <f t="shared" ca="1" si="26"/>
        <v>285069267.99999988</v>
      </c>
    </row>
    <row r="1591" spans="1:5" hidden="1" x14ac:dyDescent="0.25">
      <c r="A1591">
        <v>38</v>
      </c>
      <c r="B1591">
        <v>27</v>
      </c>
      <c r="C1591" t="s">
        <v>39</v>
      </c>
      <c r="D1591" t="s">
        <v>145</v>
      </c>
      <c r="E1591" s="4">
        <f t="shared" ca="1" si="26"/>
        <v>4775389823.3599997</v>
      </c>
    </row>
    <row r="1592" spans="1:5" hidden="1" x14ac:dyDescent="0.25">
      <c r="A1592">
        <v>38</v>
      </c>
      <c r="B1592">
        <v>28</v>
      </c>
      <c r="C1592" t="s">
        <v>39</v>
      </c>
      <c r="D1592" t="s">
        <v>147</v>
      </c>
      <c r="E1592" s="4">
        <f t="shared" ca="1" si="26"/>
        <v>2677416985.4639997</v>
      </c>
    </row>
    <row r="1593" spans="1:5" hidden="1" x14ac:dyDescent="0.25">
      <c r="A1593">
        <v>38</v>
      </c>
      <c r="B1593">
        <v>29</v>
      </c>
      <c r="C1593" t="s">
        <v>39</v>
      </c>
      <c r="D1593" t="s">
        <v>146</v>
      </c>
      <c r="E1593" s="4">
        <f t="shared" ca="1" si="26"/>
        <v>1704505744.5</v>
      </c>
    </row>
    <row r="1594" spans="1:5" hidden="1" x14ac:dyDescent="0.25">
      <c r="A1594">
        <v>38</v>
      </c>
      <c r="B1594">
        <v>30</v>
      </c>
      <c r="C1594" t="s">
        <v>39</v>
      </c>
      <c r="D1594" t="s">
        <v>30</v>
      </c>
      <c r="E1594" s="4">
        <f t="shared" ca="1" si="26"/>
        <v>887183364.91199994</v>
      </c>
    </row>
    <row r="1595" spans="1:5" hidden="1" x14ac:dyDescent="0.25">
      <c r="A1595">
        <v>38</v>
      </c>
      <c r="B1595">
        <v>31</v>
      </c>
      <c r="C1595" t="s">
        <v>39</v>
      </c>
      <c r="D1595" t="s">
        <v>31</v>
      </c>
      <c r="E1595" s="4">
        <f t="shared" ca="1" si="26"/>
        <v>299551035.84000015</v>
      </c>
    </row>
    <row r="1596" spans="1:5" hidden="1" x14ac:dyDescent="0.25">
      <c r="A1596">
        <v>38</v>
      </c>
      <c r="B1596">
        <v>32</v>
      </c>
      <c r="C1596" t="s">
        <v>39</v>
      </c>
      <c r="D1596" t="s">
        <v>32</v>
      </c>
      <c r="E1596" s="4">
        <f t="shared" ca="1" si="26"/>
        <v>55031878.079999968</v>
      </c>
    </row>
    <row r="1597" spans="1:5" hidden="1" x14ac:dyDescent="0.25">
      <c r="A1597">
        <v>38</v>
      </c>
      <c r="B1597">
        <v>33</v>
      </c>
      <c r="C1597" t="s">
        <v>39</v>
      </c>
      <c r="D1597" t="s">
        <v>33</v>
      </c>
      <c r="E1597" s="4">
        <f t="shared" ca="1" si="26"/>
        <v>6661479660.1599951</v>
      </c>
    </row>
    <row r="1598" spans="1:5" hidden="1" x14ac:dyDescent="0.25">
      <c r="A1598">
        <v>38</v>
      </c>
      <c r="B1598">
        <v>34</v>
      </c>
      <c r="C1598" t="s">
        <v>39</v>
      </c>
      <c r="D1598" t="s">
        <v>34</v>
      </c>
      <c r="E1598" s="4">
        <f t="shared" ca="1" si="26"/>
        <v>31004332383.960022</v>
      </c>
    </row>
    <row r="1599" spans="1:5" hidden="1" x14ac:dyDescent="0.25">
      <c r="A1599">
        <v>38</v>
      </c>
      <c r="B1599">
        <v>35</v>
      </c>
      <c r="C1599" t="s">
        <v>39</v>
      </c>
      <c r="D1599" t="s">
        <v>35</v>
      </c>
      <c r="E1599" s="4">
        <f t="shared" ca="1" si="26"/>
        <v>2365139187.6800013</v>
      </c>
    </row>
    <row r="1600" spans="1:5" hidden="1" x14ac:dyDescent="0.25">
      <c r="A1600">
        <v>38</v>
      </c>
      <c r="B1600">
        <v>36</v>
      </c>
      <c r="C1600" t="s">
        <v>39</v>
      </c>
      <c r="D1600" t="s">
        <v>36</v>
      </c>
      <c r="E1600" s="4">
        <f t="shared" ca="1" si="26"/>
        <v>27709568.15999997</v>
      </c>
    </row>
    <row r="1601" spans="1:5" hidden="1" x14ac:dyDescent="0.25">
      <c r="A1601">
        <v>38</v>
      </c>
      <c r="B1601">
        <v>37</v>
      </c>
      <c r="C1601" t="s">
        <v>39</v>
      </c>
      <c r="D1601" t="s">
        <v>37</v>
      </c>
      <c r="E1601" s="4">
        <f t="shared" ca="1" si="26"/>
        <v>90186451.160000414</v>
      </c>
    </row>
    <row r="1602" spans="1:5" hidden="1" x14ac:dyDescent="0.25">
      <c r="A1602">
        <v>38</v>
      </c>
      <c r="B1602">
        <v>38</v>
      </c>
      <c r="C1602" t="s">
        <v>39</v>
      </c>
      <c r="D1602" t="s">
        <v>38</v>
      </c>
      <c r="E1602" s="4">
        <f t="shared" ca="1" si="26"/>
        <v>0</v>
      </c>
    </row>
    <row r="1603" spans="1:5" hidden="1" x14ac:dyDescent="0.25">
      <c r="A1603">
        <v>38</v>
      </c>
      <c r="B1603">
        <v>39</v>
      </c>
      <c r="C1603" t="s">
        <v>39</v>
      </c>
      <c r="D1603" t="s">
        <v>39</v>
      </c>
      <c r="E1603" s="4">
        <f t="shared" ca="1" si="26"/>
        <v>49905408.96000006</v>
      </c>
    </row>
    <row r="1604" spans="1:5" hidden="1" x14ac:dyDescent="0.25">
      <c r="A1604">
        <v>38</v>
      </c>
      <c r="B1604">
        <v>40</v>
      </c>
      <c r="C1604" t="s">
        <v>39</v>
      </c>
      <c r="D1604" t="s">
        <v>40</v>
      </c>
      <c r="E1604" s="4">
        <f t="shared" ca="1" si="26"/>
        <v>229819662.19999996</v>
      </c>
    </row>
    <row r="1605" spans="1:5" hidden="1" x14ac:dyDescent="0.25">
      <c r="A1605">
        <v>39</v>
      </c>
      <c r="B1605">
        <v>1</v>
      </c>
      <c r="C1605" t="s">
        <v>40</v>
      </c>
      <c r="D1605" t="s">
        <v>0</v>
      </c>
      <c r="E1605" s="4">
        <f t="shared" ca="1" si="26"/>
        <v>10362949536.471426</v>
      </c>
    </row>
    <row r="1606" spans="1:5" hidden="1" x14ac:dyDescent="0.25">
      <c r="A1606">
        <v>39</v>
      </c>
      <c r="B1606">
        <v>2</v>
      </c>
      <c r="C1606" t="s">
        <v>40</v>
      </c>
      <c r="D1606" t="s">
        <v>1</v>
      </c>
      <c r="E1606" s="4">
        <f t="shared" ca="1" si="26"/>
        <v>2537893965.8857107</v>
      </c>
    </row>
    <row r="1607" spans="1:5" hidden="1" x14ac:dyDescent="0.25">
      <c r="A1607">
        <v>39</v>
      </c>
      <c r="B1607">
        <v>3</v>
      </c>
      <c r="C1607" t="s">
        <v>40</v>
      </c>
      <c r="D1607" t="s">
        <v>2</v>
      </c>
      <c r="E1607" s="4">
        <f t="shared" ca="1" si="26"/>
        <v>2019395117.3485732</v>
      </c>
    </row>
    <row r="1608" spans="1:5" hidden="1" x14ac:dyDescent="0.25">
      <c r="A1608">
        <v>39</v>
      </c>
      <c r="B1608">
        <v>4</v>
      </c>
      <c r="C1608" t="s">
        <v>40</v>
      </c>
      <c r="D1608" t="s">
        <v>3</v>
      </c>
      <c r="E1608" s="4">
        <f t="shared" ca="1" si="26"/>
        <v>4466691821.4999962</v>
      </c>
    </row>
    <row r="1609" spans="1:5" hidden="1" x14ac:dyDescent="0.25">
      <c r="A1609">
        <v>39</v>
      </c>
      <c r="B1609">
        <v>5</v>
      </c>
      <c r="C1609" t="s">
        <v>40</v>
      </c>
      <c r="D1609" t="s">
        <v>4</v>
      </c>
      <c r="E1609" s="4">
        <f t="shared" ca="1" si="26"/>
        <v>9377194597.1485786</v>
      </c>
    </row>
    <row r="1610" spans="1:5" hidden="1" x14ac:dyDescent="0.25">
      <c r="A1610">
        <v>39</v>
      </c>
      <c r="B1610">
        <v>6</v>
      </c>
      <c r="C1610" t="s">
        <v>40</v>
      </c>
      <c r="D1610" t="s">
        <v>5</v>
      </c>
      <c r="E1610" s="4">
        <f t="shared" ca="1" si="26"/>
        <v>2396136178.8685689</v>
      </c>
    </row>
    <row r="1611" spans="1:5" hidden="1" x14ac:dyDescent="0.25">
      <c r="A1611">
        <v>39</v>
      </c>
      <c r="B1611">
        <v>7</v>
      </c>
      <c r="C1611" t="s">
        <v>40</v>
      </c>
      <c r="D1611" t="s">
        <v>6</v>
      </c>
      <c r="E1611" s="4">
        <f t="shared" ca="1" si="26"/>
        <v>1053719108.171428</v>
      </c>
    </row>
    <row r="1612" spans="1:5" hidden="1" x14ac:dyDescent="0.25">
      <c r="A1612">
        <v>39</v>
      </c>
      <c r="B1612">
        <v>8</v>
      </c>
      <c r="C1612" t="s">
        <v>40</v>
      </c>
      <c r="D1612" t="s">
        <v>7</v>
      </c>
      <c r="E1612" s="4">
        <f t="shared" ca="1" si="26"/>
        <v>4896158395.7999945</v>
      </c>
    </row>
    <row r="1613" spans="1:5" hidden="1" x14ac:dyDescent="0.25">
      <c r="A1613">
        <v>39</v>
      </c>
      <c r="B1613">
        <v>9</v>
      </c>
      <c r="C1613" t="s">
        <v>40</v>
      </c>
      <c r="D1613" t="s">
        <v>148</v>
      </c>
      <c r="E1613" s="4">
        <f t="shared" ca="1" si="26"/>
        <v>399712430.26909083</v>
      </c>
    </row>
    <row r="1614" spans="1:5" hidden="1" x14ac:dyDescent="0.25">
      <c r="A1614">
        <v>39</v>
      </c>
      <c r="B1614">
        <v>10</v>
      </c>
      <c r="C1614" t="s">
        <v>40</v>
      </c>
      <c r="D1614" t="s">
        <v>9</v>
      </c>
      <c r="E1614" s="4">
        <f t="shared" ca="1" si="26"/>
        <v>3375042191.3200021</v>
      </c>
    </row>
    <row r="1615" spans="1:5" hidden="1" x14ac:dyDescent="0.25">
      <c r="A1615">
        <v>39</v>
      </c>
      <c r="B1615">
        <v>11</v>
      </c>
      <c r="C1615" t="s">
        <v>40</v>
      </c>
      <c r="D1615" t="s">
        <v>10</v>
      </c>
      <c r="E1615" s="4">
        <f t="shared" ca="1" si="26"/>
        <v>683023496.87999952</v>
      </c>
    </row>
    <row r="1616" spans="1:5" hidden="1" x14ac:dyDescent="0.25">
      <c r="A1616">
        <v>39</v>
      </c>
      <c r="B1616">
        <v>12</v>
      </c>
      <c r="C1616" t="s">
        <v>40</v>
      </c>
      <c r="D1616" t="s">
        <v>11</v>
      </c>
      <c r="E1616" s="4">
        <f t="shared" ca="1" si="26"/>
        <v>871238839.12000024</v>
      </c>
    </row>
    <row r="1617" spans="1:5" hidden="1" x14ac:dyDescent="0.25">
      <c r="A1617">
        <v>39</v>
      </c>
      <c r="B1617">
        <v>13</v>
      </c>
      <c r="C1617" t="s">
        <v>40</v>
      </c>
      <c r="D1617" t="s">
        <v>12</v>
      </c>
      <c r="E1617" s="4">
        <f t="shared" ca="1" si="26"/>
        <v>248833094.00000018</v>
      </c>
    </row>
    <row r="1618" spans="1:5" hidden="1" x14ac:dyDescent="0.25">
      <c r="A1618">
        <v>39</v>
      </c>
      <c r="B1618">
        <v>14</v>
      </c>
      <c r="C1618" t="s">
        <v>40</v>
      </c>
      <c r="D1618" t="s">
        <v>13</v>
      </c>
      <c r="E1618" s="4">
        <f t="shared" ca="1" si="26"/>
        <v>1170296413.1999993</v>
      </c>
    </row>
    <row r="1619" spans="1:5" hidden="1" x14ac:dyDescent="0.25">
      <c r="A1619">
        <v>39</v>
      </c>
      <c r="B1619">
        <v>15</v>
      </c>
      <c r="C1619" t="s">
        <v>40</v>
      </c>
      <c r="D1619" t="s">
        <v>14</v>
      </c>
      <c r="E1619" s="4">
        <f t="shared" ca="1" si="26"/>
        <v>3119517495.8399978</v>
      </c>
    </row>
    <row r="1620" spans="1:5" hidden="1" x14ac:dyDescent="0.25">
      <c r="A1620">
        <v>39</v>
      </c>
      <c r="B1620">
        <v>16</v>
      </c>
      <c r="C1620" t="s">
        <v>40</v>
      </c>
      <c r="D1620" t="s">
        <v>15</v>
      </c>
      <c r="E1620" s="4">
        <f t="shared" ca="1" si="26"/>
        <v>1856086712.1600015</v>
      </c>
    </row>
    <row r="1621" spans="1:5" hidden="1" x14ac:dyDescent="0.25">
      <c r="A1621">
        <v>39</v>
      </c>
      <c r="B1621">
        <v>17</v>
      </c>
      <c r="C1621" t="s">
        <v>40</v>
      </c>
      <c r="D1621" t="s">
        <v>16</v>
      </c>
      <c r="E1621" s="4">
        <f t="shared" ca="1" si="26"/>
        <v>2010924705.6000004</v>
      </c>
    </row>
    <row r="1622" spans="1:5" hidden="1" x14ac:dyDescent="0.25">
      <c r="A1622">
        <v>39</v>
      </c>
      <c r="B1622">
        <v>18</v>
      </c>
      <c r="C1622" t="s">
        <v>40</v>
      </c>
      <c r="D1622" t="s">
        <v>17</v>
      </c>
      <c r="E1622" s="4">
        <f t="shared" ca="1" si="26"/>
        <v>1237253862.2399986</v>
      </c>
    </row>
    <row r="1623" spans="1:5" hidden="1" x14ac:dyDescent="0.25">
      <c r="A1623">
        <v>39</v>
      </c>
      <c r="B1623">
        <v>19</v>
      </c>
      <c r="C1623" t="s">
        <v>40</v>
      </c>
      <c r="D1623" t="s">
        <v>18</v>
      </c>
      <c r="E1623" s="4">
        <f t="shared" ca="1" si="26"/>
        <v>365121876.08000028</v>
      </c>
    </row>
    <row r="1624" spans="1:5" hidden="1" x14ac:dyDescent="0.25">
      <c r="A1624">
        <v>39</v>
      </c>
      <c r="B1624">
        <v>20</v>
      </c>
      <c r="C1624" t="s">
        <v>40</v>
      </c>
      <c r="D1624" t="s">
        <v>19</v>
      </c>
      <c r="E1624" s="4">
        <f t="shared" ca="1" si="26"/>
        <v>5814191613.5999985</v>
      </c>
    </row>
    <row r="1625" spans="1:5" hidden="1" x14ac:dyDescent="0.25">
      <c r="A1625">
        <v>39</v>
      </c>
      <c r="B1625">
        <v>21</v>
      </c>
      <c r="C1625" t="s">
        <v>40</v>
      </c>
      <c r="D1625" t="s">
        <v>20</v>
      </c>
      <c r="E1625" s="4">
        <f t="shared" ca="1" si="26"/>
        <v>4080491093.920001</v>
      </c>
    </row>
    <row r="1626" spans="1:5" hidden="1" x14ac:dyDescent="0.25">
      <c r="A1626">
        <v>39</v>
      </c>
      <c r="B1626">
        <v>22</v>
      </c>
      <c r="C1626" t="s">
        <v>40</v>
      </c>
      <c r="D1626" t="s">
        <v>21</v>
      </c>
      <c r="E1626" s="4">
        <f t="shared" ca="1" si="26"/>
        <v>1965743494.8799963</v>
      </c>
    </row>
    <row r="1627" spans="1:5" hidden="1" x14ac:dyDescent="0.25">
      <c r="A1627">
        <v>39</v>
      </c>
      <c r="B1627">
        <v>23</v>
      </c>
      <c r="C1627" t="s">
        <v>40</v>
      </c>
      <c r="D1627" t="s">
        <v>22</v>
      </c>
      <c r="E1627" s="4">
        <f t="shared" ca="1" si="26"/>
        <v>719874534.6400001</v>
      </c>
    </row>
    <row r="1628" spans="1:5" hidden="1" x14ac:dyDescent="0.25">
      <c r="A1628">
        <v>39</v>
      </c>
      <c r="B1628">
        <v>24</v>
      </c>
      <c r="C1628" t="s">
        <v>40</v>
      </c>
      <c r="D1628" t="s">
        <v>23</v>
      </c>
      <c r="E1628" s="4">
        <f t="shared" ca="1" si="26"/>
        <v>625156904.31999969</v>
      </c>
    </row>
    <row r="1629" spans="1:5" hidden="1" x14ac:dyDescent="0.25">
      <c r="A1629">
        <v>39</v>
      </c>
      <c r="B1629">
        <v>25</v>
      </c>
      <c r="C1629" t="s">
        <v>40</v>
      </c>
      <c r="D1629" t="s">
        <v>24</v>
      </c>
      <c r="E1629" s="4">
        <f t="shared" ca="1" si="26"/>
        <v>546337570.88000011</v>
      </c>
    </row>
    <row r="1630" spans="1:5" hidden="1" x14ac:dyDescent="0.25">
      <c r="A1630">
        <v>39</v>
      </c>
      <c r="B1630">
        <v>26</v>
      </c>
      <c r="C1630" t="s">
        <v>40</v>
      </c>
      <c r="D1630" t="s">
        <v>25</v>
      </c>
      <c r="E1630" s="4">
        <f t="shared" ref="E1630:E1644" ca="1" si="27">OFFSET($B$2,A1630,B1630)</f>
        <v>540076087.99999988</v>
      </c>
    </row>
    <row r="1631" spans="1:5" hidden="1" x14ac:dyDescent="0.25">
      <c r="A1631">
        <v>39</v>
      </c>
      <c r="B1631">
        <v>27</v>
      </c>
      <c r="C1631" t="s">
        <v>40</v>
      </c>
      <c r="D1631" t="s">
        <v>145</v>
      </c>
      <c r="E1631" s="4">
        <f t="shared" ca="1" si="27"/>
        <v>5673141356.3999996</v>
      </c>
    </row>
    <row r="1632" spans="1:5" hidden="1" x14ac:dyDescent="0.25">
      <c r="A1632">
        <v>39</v>
      </c>
      <c r="B1632">
        <v>28</v>
      </c>
      <c r="C1632" t="s">
        <v>40</v>
      </c>
      <c r="D1632" t="s">
        <v>147</v>
      </c>
      <c r="E1632" s="4">
        <f t="shared" ca="1" si="27"/>
        <v>3306604674.5440006</v>
      </c>
    </row>
    <row r="1633" spans="1:5" hidden="1" x14ac:dyDescent="0.25">
      <c r="A1633">
        <v>39</v>
      </c>
      <c r="B1633">
        <v>29</v>
      </c>
      <c r="C1633" t="s">
        <v>40</v>
      </c>
      <c r="D1633" t="s">
        <v>146</v>
      </c>
      <c r="E1633" s="4">
        <f t="shared" ca="1" si="27"/>
        <v>2232063308.7200003</v>
      </c>
    </row>
    <row r="1634" spans="1:5" hidden="1" x14ac:dyDescent="0.25">
      <c r="A1634">
        <v>39</v>
      </c>
      <c r="B1634">
        <v>30</v>
      </c>
      <c r="C1634" t="s">
        <v>40</v>
      </c>
      <c r="D1634" t="s">
        <v>30</v>
      </c>
      <c r="E1634" s="4">
        <f t="shared" ca="1" si="27"/>
        <v>1308351316.632</v>
      </c>
    </row>
    <row r="1635" spans="1:5" hidden="1" x14ac:dyDescent="0.25">
      <c r="A1635">
        <v>39</v>
      </c>
      <c r="B1635">
        <v>31</v>
      </c>
      <c r="C1635" t="s">
        <v>40</v>
      </c>
      <c r="D1635" t="s">
        <v>31</v>
      </c>
      <c r="E1635" s="4">
        <f t="shared" ca="1" si="27"/>
        <v>659704059.36000025</v>
      </c>
    </row>
    <row r="1636" spans="1:5" hidden="1" x14ac:dyDescent="0.25">
      <c r="A1636">
        <v>39</v>
      </c>
      <c r="B1636">
        <v>32</v>
      </c>
      <c r="C1636" t="s">
        <v>40</v>
      </c>
      <c r="D1636" t="s">
        <v>32</v>
      </c>
      <c r="E1636" s="4">
        <f t="shared" ca="1" si="27"/>
        <v>378743940.00000006</v>
      </c>
    </row>
    <row r="1637" spans="1:5" hidden="1" x14ac:dyDescent="0.25">
      <c r="A1637">
        <v>39</v>
      </c>
      <c r="B1637">
        <v>33</v>
      </c>
      <c r="C1637" t="s">
        <v>40</v>
      </c>
      <c r="D1637" t="s">
        <v>33</v>
      </c>
      <c r="E1637" s="4">
        <f t="shared" ca="1" si="27"/>
        <v>7677223780.6399946</v>
      </c>
    </row>
    <row r="1638" spans="1:5" hidden="1" x14ac:dyDescent="0.25">
      <c r="A1638">
        <v>39</v>
      </c>
      <c r="B1638">
        <v>34</v>
      </c>
      <c r="C1638" t="s">
        <v>40</v>
      </c>
      <c r="D1638" t="s">
        <v>34</v>
      </c>
      <c r="E1638" s="4">
        <f t="shared" ca="1" si="27"/>
        <v>34571686380.560028</v>
      </c>
    </row>
    <row r="1639" spans="1:5" hidden="1" x14ac:dyDescent="0.25">
      <c r="A1639">
        <v>39</v>
      </c>
      <c r="B1639">
        <v>35</v>
      </c>
      <c r="C1639" t="s">
        <v>40</v>
      </c>
      <c r="D1639" t="s">
        <v>35</v>
      </c>
      <c r="E1639" s="4">
        <f t="shared" ca="1" si="27"/>
        <v>2923958879.920002</v>
      </c>
    </row>
    <row r="1640" spans="1:5" hidden="1" x14ac:dyDescent="0.25">
      <c r="A1640">
        <v>39</v>
      </c>
      <c r="B1640">
        <v>36</v>
      </c>
      <c r="C1640" t="s">
        <v>40</v>
      </c>
      <c r="D1640" t="s">
        <v>36</v>
      </c>
      <c r="E1640" s="4">
        <f t="shared" ca="1" si="27"/>
        <v>137290802.87999994</v>
      </c>
    </row>
    <row r="1641" spans="1:5" hidden="1" x14ac:dyDescent="0.25">
      <c r="A1641">
        <v>39</v>
      </c>
      <c r="B1641">
        <v>37</v>
      </c>
      <c r="C1641" t="s">
        <v>40</v>
      </c>
      <c r="D1641" t="s">
        <v>37</v>
      </c>
      <c r="E1641" s="4">
        <f t="shared" ca="1" si="27"/>
        <v>361505049.92000127</v>
      </c>
    </row>
    <row r="1642" spans="1:5" hidden="1" x14ac:dyDescent="0.25">
      <c r="A1642">
        <v>39</v>
      </c>
      <c r="B1642">
        <v>38</v>
      </c>
      <c r="C1642" t="s">
        <v>40</v>
      </c>
      <c r="D1642" t="s">
        <v>38</v>
      </c>
      <c r="E1642" s="4">
        <f t="shared" ca="1" si="27"/>
        <v>43830416.519999996</v>
      </c>
    </row>
    <row r="1643" spans="1:5" hidden="1" x14ac:dyDescent="0.25">
      <c r="A1643">
        <v>39</v>
      </c>
      <c r="B1643">
        <v>39</v>
      </c>
      <c r="C1643" t="s">
        <v>40</v>
      </c>
      <c r="D1643" t="s">
        <v>39</v>
      </c>
      <c r="E1643" s="4">
        <f t="shared" ca="1" si="27"/>
        <v>0</v>
      </c>
    </row>
    <row r="1644" spans="1:5" hidden="1" x14ac:dyDescent="0.25">
      <c r="A1644">
        <v>39</v>
      </c>
      <c r="B1644">
        <v>40</v>
      </c>
      <c r="C1644" t="s">
        <v>40</v>
      </c>
      <c r="D1644" t="s">
        <v>40</v>
      </c>
      <c r="E1644" s="4">
        <f t="shared" ca="1" si="27"/>
        <v>123350827.31999999</v>
      </c>
    </row>
  </sheetData>
  <autoFilter ref="A44:E1644" xr:uid="{825DCC40-4C26-40E0-AE86-C982A66B8D9B}">
    <filterColumn colId="2">
      <filters>
        <filter val="BE23"/>
      </filters>
    </filterColumn>
  </autoFilter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208EDF-E11B-4E3F-A9BE-AF04AD9D39EA}">
  <sheetPr filterMode="1"/>
  <dimension ref="A2:AP1650"/>
  <sheetViews>
    <sheetView topLeftCell="A28" zoomScale="80" zoomScaleNormal="80" workbookViewId="0">
      <selection activeCell="AO3" sqref="AO3"/>
    </sheetView>
  </sheetViews>
  <sheetFormatPr baseColWidth="10" defaultRowHeight="15" x14ac:dyDescent="0.25"/>
  <cols>
    <col min="5" max="5" width="16.42578125" customWidth="1"/>
  </cols>
  <sheetData>
    <row r="2" spans="2:42" x14ac:dyDescent="0.25">
      <c r="C2" t="s">
        <v>0</v>
      </c>
      <c r="D2" t="s">
        <v>1</v>
      </c>
      <c r="E2" t="s">
        <v>2</v>
      </c>
      <c r="F2" t="s">
        <v>3</v>
      </c>
      <c r="G2" t="s">
        <v>4</v>
      </c>
      <c r="H2" t="s">
        <v>5</v>
      </c>
      <c r="I2" t="s">
        <v>6</v>
      </c>
      <c r="J2" t="s">
        <v>7</v>
      </c>
      <c r="K2" t="s">
        <v>148</v>
      </c>
      <c r="L2" t="s">
        <v>9</v>
      </c>
      <c r="M2" t="s">
        <v>10</v>
      </c>
      <c r="N2" t="s">
        <v>11</v>
      </c>
      <c r="O2" t="s">
        <v>12</v>
      </c>
      <c r="P2" t="s">
        <v>13</v>
      </c>
      <c r="Q2" t="s">
        <v>14</v>
      </c>
      <c r="R2" t="s">
        <v>15</v>
      </c>
      <c r="S2" t="s">
        <v>16</v>
      </c>
      <c r="T2" t="s">
        <v>17</v>
      </c>
      <c r="U2" t="s">
        <v>145</v>
      </c>
      <c r="V2" t="s">
        <v>146</v>
      </c>
      <c r="W2" t="s">
        <v>18</v>
      </c>
      <c r="X2" t="s">
        <v>19</v>
      </c>
      <c r="Y2" t="s">
        <v>20</v>
      </c>
      <c r="Z2" t="s">
        <v>21</v>
      </c>
      <c r="AA2" t="s">
        <v>22</v>
      </c>
      <c r="AB2" t="s">
        <v>23</v>
      </c>
      <c r="AC2" t="s">
        <v>24</v>
      </c>
      <c r="AD2" t="s">
        <v>25</v>
      </c>
      <c r="AE2" t="s">
        <v>147</v>
      </c>
      <c r="AF2" t="s">
        <v>30</v>
      </c>
      <c r="AG2" t="s">
        <v>31</v>
      </c>
      <c r="AH2" t="s">
        <v>32</v>
      </c>
      <c r="AI2" t="s">
        <v>33</v>
      </c>
      <c r="AJ2" t="s">
        <v>34</v>
      </c>
      <c r="AK2" t="s">
        <v>35</v>
      </c>
      <c r="AL2" t="s">
        <v>36</v>
      </c>
      <c r="AM2" t="s">
        <v>37</v>
      </c>
      <c r="AN2" t="s">
        <v>38</v>
      </c>
      <c r="AO2" t="s">
        <v>39</v>
      </c>
      <c r="AP2" t="s">
        <v>40</v>
      </c>
    </row>
    <row r="3" spans="2:42" x14ac:dyDescent="0.25">
      <c r="B3" t="s">
        <v>0</v>
      </c>
      <c r="C3">
        <v>0</v>
      </c>
      <c r="D3">
        <v>0</v>
      </c>
      <c r="E3">
        <v>1089912194.4411232</v>
      </c>
      <c r="F3">
        <v>984896664.85061002</v>
      </c>
      <c r="G3">
        <v>924782667.73708987</v>
      </c>
      <c r="H3">
        <v>1052458919.0370899</v>
      </c>
      <c r="I3">
        <v>900221537.80423272</v>
      </c>
      <c r="J3">
        <v>1023351870.3740387</v>
      </c>
      <c r="K3">
        <v>0</v>
      </c>
      <c r="L3">
        <v>997405119.77280426</v>
      </c>
      <c r="M3">
        <v>849306243.90932488</v>
      </c>
      <c r="N3">
        <v>917601763.78186345</v>
      </c>
      <c r="O3">
        <v>546931364.00451553</v>
      </c>
      <c r="P3">
        <v>633888999.49251556</v>
      </c>
      <c r="Q3">
        <v>662783378.70072949</v>
      </c>
      <c r="R3">
        <v>541058967.1773386</v>
      </c>
      <c r="S3">
        <v>1330469918.8076894</v>
      </c>
      <c r="T3">
        <v>734348959.47733867</v>
      </c>
      <c r="U3">
        <v>893784245.48448074</v>
      </c>
      <c r="V3">
        <v>989089495.65785992</v>
      </c>
      <c r="W3">
        <v>1025531526.7900378</v>
      </c>
      <c r="X3">
        <v>4614606103.975503</v>
      </c>
      <c r="Y3">
        <v>655700175.07954025</v>
      </c>
      <c r="Z3">
        <v>647352585.67954028</v>
      </c>
      <c r="AA3">
        <v>588640972.57954025</v>
      </c>
      <c r="AB3">
        <v>519395834.84872949</v>
      </c>
      <c r="AC3">
        <v>1399247178.8178599</v>
      </c>
      <c r="AD3">
        <v>4794560833.975503</v>
      </c>
      <c r="AE3">
        <v>619915673.88754022</v>
      </c>
      <c r="AF3">
        <v>889208272.16489577</v>
      </c>
      <c r="AG3">
        <v>491293364.71329337</v>
      </c>
      <c r="AH3">
        <v>570196985.0772934</v>
      </c>
      <c r="AI3">
        <v>3131810215.8905497</v>
      </c>
      <c r="AJ3">
        <v>2502075606.9625497</v>
      </c>
      <c r="AK3">
        <v>0</v>
      </c>
      <c r="AL3">
        <v>657805451.12453008</v>
      </c>
      <c r="AM3">
        <v>613476656.19860125</v>
      </c>
      <c r="AN3">
        <v>605147113.44453001</v>
      </c>
      <c r="AO3">
        <v>727836972.150262</v>
      </c>
      <c r="AP3">
        <v>770442873.15860128</v>
      </c>
    </row>
    <row r="4" spans="2:42" x14ac:dyDescent="0.25">
      <c r="B4" t="s">
        <v>1</v>
      </c>
      <c r="C4">
        <v>0</v>
      </c>
      <c r="D4">
        <v>0</v>
      </c>
      <c r="E4">
        <v>966380725.87969458</v>
      </c>
      <c r="F4">
        <v>861365196.28918147</v>
      </c>
      <c r="G4">
        <v>1580240875.3899469</v>
      </c>
      <c r="H4">
        <v>798571214.24280417</v>
      </c>
      <c r="I4">
        <v>776690069.24280417</v>
      </c>
      <c r="J4">
        <v>899820401.81261015</v>
      </c>
      <c r="K4">
        <v>0</v>
      </c>
      <c r="L4">
        <v>873873651.21137571</v>
      </c>
      <c r="M4">
        <v>725774775.34789622</v>
      </c>
      <c r="N4">
        <v>794070295.2204349</v>
      </c>
      <c r="O4">
        <v>423399895.44308698</v>
      </c>
      <c r="P4">
        <v>510357530.93108702</v>
      </c>
      <c r="Q4">
        <v>539251910.13930094</v>
      </c>
      <c r="R4">
        <v>417527498.61591011</v>
      </c>
      <c r="S4">
        <v>1206938450.2462609</v>
      </c>
      <c r="T4">
        <v>610817490.91591012</v>
      </c>
      <c r="U4">
        <v>770252776.92305219</v>
      </c>
      <c r="V4">
        <v>865558027.09643137</v>
      </c>
      <c r="W4">
        <v>902000058.22860909</v>
      </c>
      <c r="X4">
        <v>4491074635.4140739</v>
      </c>
      <c r="Y4">
        <v>532168706.51811171</v>
      </c>
      <c r="Z4">
        <v>523821117.11811173</v>
      </c>
      <c r="AA4">
        <v>465109504.01811171</v>
      </c>
      <c r="AB4">
        <v>395864366.28730094</v>
      </c>
      <c r="AC4">
        <v>1275715710.2564313</v>
      </c>
      <c r="AD4">
        <v>4671029365.4140739</v>
      </c>
      <c r="AE4">
        <v>496384205.32611167</v>
      </c>
      <c r="AF4">
        <v>765676803.60346723</v>
      </c>
      <c r="AG4">
        <v>367761896.15186483</v>
      </c>
      <c r="AH4">
        <v>446665516.51586485</v>
      </c>
      <c r="AI4">
        <v>3008278747.3291211</v>
      </c>
      <c r="AJ4">
        <v>2378544138.4011211</v>
      </c>
      <c r="AK4">
        <v>0</v>
      </c>
      <c r="AL4">
        <v>534273982.56310159</v>
      </c>
      <c r="AM4">
        <v>489945187.63717264</v>
      </c>
      <c r="AN4">
        <v>481615644.88310158</v>
      </c>
      <c r="AO4">
        <v>604305503.58883333</v>
      </c>
      <c r="AP4">
        <v>646911404.59717262</v>
      </c>
    </row>
    <row r="5" spans="2:42" x14ac:dyDescent="0.25">
      <c r="B5" t="s">
        <v>2</v>
      </c>
      <c r="C5">
        <v>1089912194.4411232</v>
      </c>
      <c r="D5">
        <v>966380725.87969458</v>
      </c>
      <c r="E5">
        <v>0</v>
      </c>
      <c r="F5">
        <v>553816592.89154589</v>
      </c>
      <c r="G5">
        <v>1406215713.6767361</v>
      </c>
      <c r="H5">
        <v>624546052.52959323</v>
      </c>
      <c r="I5">
        <v>602664907.52959323</v>
      </c>
      <c r="J5">
        <v>592271798.41497445</v>
      </c>
      <c r="K5">
        <v>0</v>
      </c>
      <c r="L5">
        <v>699848489.49816465</v>
      </c>
      <c r="M5">
        <v>593255865.6074543</v>
      </c>
      <c r="N5">
        <v>785819830.45220244</v>
      </c>
      <c r="O5">
        <v>264319152.18995339</v>
      </c>
      <c r="P5">
        <v>351276787.67795336</v>
      </c>
      <c r="Q5">
        <v>885700288.83611095</v>
      </c>
      <c r="R5">
        <v>611777640.32015967</v>
      </c>
      <c r="S5">
        <v>1328261680.1155157</v>
      </c>
      <c r="T5">
        <v>805067632.62015963</v>
      </c>
      <c r="U5">
        <v>309062565.07384074</v>
      </c>
      <c r="V5">
        <v>980189357.80333602</v>
      </c>
      <c r="W5">
        <v>584854501.82747746</v>
      </c>
      <c r="X5">
        <v>654613213.79361737</v>
      </c>
      <c r="Y5">
        <v>523448954.33684283</v>
      </c>
      <c r="Z5">
        <v>515101364.9368428</v>
      </c>
      <c r="AA5">
        <v>456389751.83684283</v>
      </c>
      <c r="AB5">
        <v>742312744.98411095</v>
      </c>
      <c r="AC5">
        <v>1390347040.963336</v>
      </c>
      <c r="AD5">
        <v>834567943.79361737</v>
      </c>
      <c r="AE5">
        <v>487664453.14484286</v>
      </c>
      <c r="AF5">
        <v>458128200.20583165</v>
      </c>
      <c r="AG5">
        <v>207222305.37340337</v>
      </c>
      <c r="AH5">
        <v>286125925.73740339</v>
      </c>
      <c r="AI5">
        <v>4187174249.4731255</v>
      </c>
      <c r="AJ5">
        <v>3557439640.5451255</v>
      </c>
      <c r="AK5">
        <v>0</v>
      </c>
      <c r="AL5">
        <v>632711690.55923593</v>
      </c>
      <c r="AM5">
        <v>228270751.64191073</v>
      </c>
      <c r="AN5">
        <v>580053352.87923586</v>
      </c>
      <c r="AO5">
        <v>801586773.67050898</v>
      </c>
      <c r="AP5">
        <v>385236968.60191071</v>
      </c>
    </row>
    <row r="6" spans="2:42" x14ac:dyDescent="0.25">
      <c r="B6" t="s">
        <v>3</v>
      </c>
      <c r="C6">
        <v>984896664.85061002</v>
      </c>
      <c r="D6">
        <v>861365196.28918147</v>
      </c>
      <c r="E6">
        <v>553816592.89154589</v>
      </c>
      <c r="F6">
        <v>0</v>
      </c>
      <c r="G6">
        <v>15888960135.436863</v>
      </c>
      <c r="H6">
        <v>15107290474.289719</v>
      </c>
      <c r="I6">
        <v>15085409329.289719</v>
      </c>
      <c r="J6">
        <v>274586903.70057142</v>
      </c>
      <c r="K6">
        <v>840024704.78762317</v>
      </c>
      <c r="L6">
        <v>15182592911.258291</v>
      </c>
      <c r="M6">
        <v>662348015.38250303</v>
      </c>
      <c r="N6">
        <v>753697170.61151385</v>
      </c>
      <c r="O6">
        <v>367577756.35432869</v>
      </c>
      <c r="P6">
        <v>454535391.84232867</v>
      </c>
      <c r="Q6">
        <v>784706269.96030819</v>
      </c>
      <c r="R6">
        <v>627716642.69897509</v>
      </c>
      <c r="S6">
        <v>1286218830.054142</v>
      </c>
      <c r="T6">
        <v>821006634.99897516</v>
      </c>
      <c r="U6">
        <v>467830484.49790776</v>
      </c>
      <c r="V6">
        <v>949252578.90999544</v>
      </c>
      <c r="W6">
        <v>326925874.49606782</v>
      </c>
      <c r="X6">
        <v>2976503483.6880198</v>
      </c>
      <c r="Y6">
        <v>468898710.35713232</v>
      </c>
      <c r="Z6">
        <v>460551120.95713234</v>
      </c>
      <c r="AA6">
        <v>401839507.85713232</v>
      </c>
      <c r="AB6">
        <v>641318726.1083082</v>
      </c>
      <c r="AC6">
        <v>1359410262.0699954</v>
      </c>
      <c r="AD6">
        <v>3156458213.6880198</v>
      </c>
      <c r="AE6">
        <v>433114209.16513228</v>
      </c>
      <c r="AF6">
        <v>140443305.49142858</v>
      </c>
      <c r="AG6">
        <v>315370728.09038025</v>
      </c>
      <c r="AH6">
        <v>394274348.45438027</v>
      </c>
      <c r="AI6">
        <v>2818199504.2585206</v>
      </c>
      <c r="AJ6">
        <v>2188464895.3305206</v>
      </c>
      <c r="AK6">
        <v>850236633.75889587</v>
      </c>
      <c r="AL6">
        <v>409163525.0713802</v>
      </c>
      <c r="AM6">
        <v>361459420.56774008</v>
      </c>
      <c r="AN6">
        <v>356505187.39138019</v>
      </c>
      <c r="AO6">
        <v>413446894.86839873</v>
      </c>
      <c r="AP6">
        <v>518425637.52774012</v>
      </c>
    </row>
    <row r="7" spans="2:42" x14ac:dyDescent="0.25">
      <c r="B7" t="s">
        <v>4</v>
      </c>
      <c r="C7">
        <v>924782667.73708987</v>
      </c>
      <c r="D7">
        <v>1580240875.3899469</v>
      </c>
      <c r="E7">
        <v>1406215713.6767361</v>
      </c>
      <c r="F7">
        <v>15888960135.436863</v>
      </c>
      <c r="G7">
        <v>0</v>
      </c>
      <c r="H7">
        <v>0</v>
      </c>
      <c r="I7">
        <v>0</v>
      </c>
      <c r="J7">
        <v>15143044750.654577</v>
      </c>
      <c r="K7">
        <v>774529793.58267438</v>
      </c>
      <c r="L7">
        <v>136991849.37285715</v>
      </c>
      <c r="M7">
        <v>611398864.31233716</v>
      </c>
      <c r="N7">
        <v>693728566.40237808</v>
      </c>
      <c r="O7">
        <v>325433473.11194879</v>
      </c>
      <c r="P7">
        <v>412391108.59994876</v>
      </c>
      <c r="Q7">
        <v>614654764.10761237</v>
      </c>
      <c r="R7">
        <v>525781329.67286134</v>
      </c>
      <c r="S7">
        <v>1157917952.2419538</v>
      </c>
      <c r="T7">
        <v>719071321.97286129</v>
      </c>
      <c r="U7">
        <v>593072965.67800093</v>
      </c>
      <c r="V7">
        <v>731431609.73789644</v>
      </c>
      <c r="W7">
        <v>449485085.56137317</v>
      </c>
      <c r="X7">
        <v>2338005303.8041797</v>
      </c>
      <c r="Y7">
        <v>412782357.97914523</v>
      </c>
      <c r="Z7">
        <v>404434768.57914519</v>
      </c>
      <c r="AA7">
        <v>345723155.47914523</v>
      </c>
      <c r="AB7">
        <v>471267220.25561237</v>
      </c>
      <c r="AC7">
        <v>1141589292.8978963</v>
      </c>
      <c r="AD7">
        <v>2517960033.8041797</v>
      </c>
      <c r="AE7">
        <v>376997856.78714526</v>
      </c>
      <c r="AF7">
        <v>15008901152.445435</v>
      </c>
      <c r="AG7">
        <v>322320698.12772495</v>
      </c>
      <c r="AH7">
        <v>401224318.49172497</v>
      </c>
      <c r="AI7">
        <v>3196057914.0632415</v>
      </c>
      <c r="AJ7">
        <v>2566323305.1352415</v>
      </c>
      <c r="AK7">
        <v>784741722.55394709</v>
      </c>
      <c r="AL7">
        <v>424627234.21190143</v>
      </c>
      <c r="AM7">
        <v>340813824.21482909</v>
      </c>
      <c r="AN7">
        <v>371968896.53190142</v>
      </c>
      <c r="AO7">
        <v>411996550.34181863</v>
      </c>
      <c r="AP7">
        <v>497780041.17482913</v>
      </c>
    </row>
    <row r="8" spans="2:42" x14ac:dyDescent="0.25">
      <c r="B8" t="s">
        <v>5</v>
      </c>
      <c r="C8">
        <v>1052458919.0370899</v>
      </c>
      <c r="D8">
        <v>798571214.24280417</v>
      </c>
      <c r="E8">
        <v>624546052.52959323</v>
      </c>
      <c r="F8">
        <v>15107290474.289719</v>
      </c>
      <c r="G8">
        <v>0</v>
      </c>
      <c r="H8">
        <v>0</v>
      </c>
      <c r="I8">
        <v>0</v>
      </c>
      <c r="J8">
        <v>15262501524.417435</v>
      </c>
      <c r="K8">
        <v>893986567.34553146</v>
      </c>
      <c r="L8">
        <v>256448623.13571426</v>
      </c>
      <c r="M8">
        <v>730855638.07519436</v>
      </c>
      <c r="N8">
        <v>813185340.16523516</v>
      </c>
      <c r="O8">
        <v>444890246.87480587</v>
      </c>
      <c r="P8">
        <v>531847882.36280584</v>
      </c>
      <c r="Q8">
        <v>734111537.87046957</v>
      </c>
      <c r="R8">
        <v>645238103.43571842</v>
      </c>
      <c r="S8">
        <v>1277374726.0048108</v>
      </c>
      <c r="T8">
        <v>838528095.73571849</v>
      </c>
      <c r="U8">
        <v>712529739.44085801</v>
      </c>
      <c r="V8">
        <v>850888383.50075352</v>
      </c>
      <c r="W8">
        <v>568941859.32423031</v>
      </c>
      <c r="X8">
        <v>2457462077.5670371</v>
      </c>
      <c r="Y8">
        <v>532239131.74200237</v>
      </c>
      <c r="Z8">
        <v>523891542.34200239</v>
      </c>
      <c r="AA8">
        <v>465179929.24200237</v>
      </c>
      <c r="AB8">
        <v>590723994.01846957</v>
      </c>
      <c r="AC8">
        <v>1261046066.6607535</v>
      </c>
      <c r="AD8">
        <v>2637416807.5670371</v>
      </c>
      <c r="AE8">
        <v>496454630.55000234</v>
      </c>
      <c r="AF8">
        <v>15128357926.208292</v>
      </c>
      <c r="AG8">
        <v>441777471.89058208</v>
      </c>
      <c r="AH8">
        <v>520681092.25458211</v>
      </c>
      <c r="AI8">
        <v>3315514687.8260989</v>
      </c>
      <c r="AJ8">
        <v>2685780078.8980989</v>
      </c>
      <c r="AK8">
        <v>904198496.31680417</v>
      </c>
      <c r="AL8">
        <v>544084007.97475851</v>
      </c>
      <c r="AM8">
        <v>460270597.97768617</v>
      </c>
      <c r="AN8">
        <v>491425670.2947585</v>
      </c>
      <c r="AO8">
        <v>531453324.10467577</v>
      </c>
      <c r="AP8">
        <v>617236814.9376862</v>
      </c>
    </row>
    <row r="9" spans="2:42" x14ac:dyDescent="0.25">
      <c r="B9" t="s">
        <v>6</v>
      </c>
      <c r="C9">
        <v>900221537.80423272</v>
      </c>
      <c r="D9">
        <v>776690069.24280417</v>
      </c>
      <c r="E9">
        <v>602664907.52959323</v>
      </c>
      <c r="F9">
        <v>15085409329.289719</v>
      </c>
      <c r="G9">
        <v>0</v>
      </c>
      <c r="H9">
        <v>0</v>
      </c>
      <c r="I9">
        <v>0</v>
      </c>
      <c r="J9">
        <v>166783072.46342856</v>
      </c>
      <c r="K9">
        <v>755297569.8112458</v>
      </c>
      <c r="L9">
        <v>117759625.60142858</v>
      </c>
      <c r="M9">
        <v>592166640.54090858</v>
      </c>
      <c r="N9">
        <v>674496342.6309495</v>
      </c>
      <c r="O9">
        <v>306201249.3405202</v>
      </c>
      <c r="P9">
        <v>393158884.82852018</v>
      </c>
      <c r="Q9">
        <v>595422540.33618379</v>
      </c>
      <c r="R9">
        <v>506549105.90143275</v>
      </c>
      <c r="S9">
        <v>1138685728.4705253</v>
      </c>
      <c r="T9">
        <v>699839098.2014327</v>
      </c>
      <c r="U9">
        <v>573840741.90657234</v>
      </c>
      <c r="V9">
        <v>712199385.96646786</v>
      </c>
      <c r="W9">
        <v>430252861.78994459</v>
      </c>
      <c r="X9">
        <v>2318773080.0327516</v>
      </c>
      <c r="Y9">
        <v>393550134.20771664</v>
      </c>
      <c r="Z9">
        <v>385202544.80771661</v>
      </c>
      <c r="AA9">
        <v>326490931.70771664</v>
      </c>
      <c r="AB9">
        <v>452034996.48418379</v>
      </c>
      <c r="AC9">
        <v>1122357069.1264677</v>
      </c>
      <c r="AD9">
        <v>2498727810.0327516</v>
      </c>
      <c r="AE9">
        <v>357765633.01571667</v>
      </c>
      <c r="AF9">
        <v>39661012182.422585</v>
      </c>
      <c r="AG9">
        <v>303088474.35629636</v>
      </c>
      <c r="AH9">
        <v>381992094.72029638</v>
      </c>
      <c r="AI9">
        <v>3176825690.2918129</v>
      </c>
      <c r="AJ9">
        <v>2547091081.3638129</v>
      </c>
      <c r="AK9">
        <v>765509498.78251851</v>
      </c>
      <c r="AL9">
        <v>405395010.44047284</v>
      </c>
      <c r="AM9">
        <v>321581600.4434005</v>
      </c>
      <c r="AN9">
        <v>352736672.76047283</v>
      </c>
      <c r="AO9">
        <v>392764326.57039005</v>
      </c>
      <c r="AP9">
        <v>478547817.40340054</v>
      </c>
    </row>
    <row r="10" spans="2:42" x14ac:dyDescent="0.25">
      <c r="B10" t="s">
        <v>7</v>
      </c>
      <c r="C10">
        <v>1023351870.3740387</v>
      </c>
      <c r="D10">
        <v>899820401.81261015</v>
      </c>
      <c r="E10">
        <v>592271798.41497445</v>
      </c>
      <c r="F10">
        <v>274586903.70057142</v>
      </c>
      <c r="G10">
        <v>15143044750.654577</v>
      </c>
      <c r="H10">
        <v>15262501524.417435</v>
      </c>
      <c r="I10">
        <v>166783072.46342856</v>
      </c>
      <c r="J10">
        <v>0</v>
      </c>
      <c r="K10">
        <v>757088517.33105171</v>
      </c>
      <c r="L10">
        <v>15099656723.80172</v>
      </c>
      <c r="M10">
        <v>579411827.92593169</v>
      </c>
      <c r="N10">
        <v>670760983.15494251</v>
      </c>
      <c r="O10">
        <v>284641568.89775723</v>
      </c>
      <c r="P10">
        <v>371599204.38575721</v>
      </c>
      <c r="Q10">
        <v>701770082.50373673</v>
      </c>
      <c r="R10">
        <v>544780455.24240375</v>
      </c>
      <c r="S10">
        <v>1203282642.5975704</v>
      </c>
      <c r="T10">
        <v>738070447.5424037</v>
      </c>
      <c r="U10">
        <v>384894297.04133636</v>
      </c>
      <c r="V10">
        <v>866316391.45342398</v>
      </c>
      <c r="W10">
        <v>243989687.03949636</v>
      </c>
      <c r="X10">
        <v>2893567296.2314482</v>
      </c>
      <c r="Y10">
        <v>385962522.90056092</v>
      </c>
      <c r="Z10">
        <v>377614933.50056088</v>
      </c>
      <c r="AA10">
        <v>318903320.40056092</v>
      </c>
      <c r="AB10">
        <v>558382538.65173674</v>
      </c>
      <c r="AC10">
        <v>1276474074.6134238</v>
      </c>
      <c r="AD10">
        <v>3073522026.2314482</v>
      </c>
      <c r="AE10">
        <v>350178021.70856094</v>
      </c>
      <c r="AF10">
        <v>57507118.034857139</v>
      </c>
      <c r="AG10">
        <v>232434540.63380882</v>
      </c>
      <c r="AH10">
        <v>311338160.99780881</v>
      </c>
      <c r="AI10">
        <v>2735263316.801949</v>
      </c>
      <c r="AJ10">
        <v>2105528707.8739491</v>
      </c>
      <c r="AK10">
        <v>767300446.30232441</v>
      </c>
      <c r="AL10">
        <v>326227337.61480874</v>
      </c>
      <c r="AM10">
        <v>278523233.11116862</v>
      </c>
      <c r="AN10">
        <v>273568999.93480873</v>
      </c>
      <c r="AO10">
        <v>330510707.41182733</v>
      </c>
      <c r="AP10">
        <v>435489450.07116866</v>
      </c>
    </row>
    <row r="11" spans="2:42" x14ac:dyDescent="0.25">
      <c r="B11" t="s">
        <v>152</v>
      </c>
      <c r="C11">
        <v>0</v>
      </c>
      <c r="D11">
        <v>0</v>
      </c>
      <c r="E11">
        <v>0</v>
      </c>
      <c r="F11">
        <v>840024704.78762317</v>
      </c>
      <c r="G11">
        <v>774529793.58267438</v>
      </c>
      <c r="H11">
        <v>893986567.34553146</v>
      </c>
      <c r="I11">
        <v>755297569.8112458</v>
      </c>
      <c r="J11">
        <v>757088517.33105171</v>
      </c>
      <c r="K11">
        <v>0</v>
      </c>
      <c r="L11">
        <v>864744493.51137567</v>
      </c>
      <c r="M11">
        <v>716645617.64789629</v>
      </c>
      <c r="N11">
        <v>784941137.52043486</v>
      </c>
      <c r="O11">
        <v>414270737.74308693</v>
      </c>
      <c r="P11">
        <v>501228373.23108697</v>
      </c>
      <c r="Q11">
        <v>530122752.43930089</v>
      </c>
      <c r="R11">
        <v>408398340.91591007</v>
      </c>
      <c r="S11">
        <v>1197809292.5462608</v>
      </c>
      <c r="T11">
        <v>601688333.21591008</v>
      </c>
      <c r="U11">
        <v>761123619.22305226</v>
      </c>
      <c r="V11">
        <v>856428869.39643145</v>
      </c>
      <c r="W11">
        <v>892870900.52860916</v>
      </c>
      <c r="X11">
        <v>4481945477.7140741</v>
      </c>
      <c r="Y11">
        <v>523039548.81811166</v>
      </c>
      <c r="Z11">
        <v>514691959.41811168</v>
      </c>
      <c r="AA11">
        <v>455980346.31811166</v>
      </c>
      <c r="AB11">
        <v>386735208.5873009</v>
      </c>
      <c r="AC11">
        <v>1266586552.5564313</v>
      </c>
      <c r="AD11">
        <v>4661900207.7140741</v>
      </c>
      <c r="AE11">
        <v>487255047.62611163</v>
      </c>
      <c r="AF11">
        <v>756547645.9034673</v>
      </c>
      <c r="AG11">
        <v>358632738.45186478</v>
      </c>
      <c r="AH11">
        <v>437536358.8158648</v>
      </c>
      <c r="AI11">
        <v>2999149589.6291213</v>
      </c>
      <c r="AJ11">
        <v>2369414980.7011213</v>
      </c>
      <c r="AK11">
        <v>0</v>
      </c>
      <c r="AL11">
        <v>525144824.86310154</v>
      </c>
      <c r="AM11">
        <v>480816029.93717259</v>
      </c>
      <c r="AN11">
        <v>472486487.18310153</v>
      </c>
      <c r="AO11">
        <v>595176345.8888334</v>
      </c>
      <c r="AP11">
        <v>637782246.89717257</v>
      </c>
    </row>
    <row r="12" spans="2:42" x14ac:dyDescent="0.25">
      <c r="B12" t="s">
        <v>9</v>
      </c>
      <c r="C12">
        <v>997405119.77280426</v>
      </c>
      <c r="D12">
        <v>873873651.21137571</v>
      </c>
      <c r="E12">
        <v>699848489.49816465</v>
      </c>
      <c r="F12">
        <v>15182592911.258291</v>
      </c>
      <c r="G12">
        <v>136991849.37285715</v>
      </c>
      <c r="H12">
        <v>256448623.13571426</v>
      </c>
      <c r="I12">
        <v>117759625.60142858</v>
      </c>
      <c r="J12">
        <v>15099656723.80172</v>
      </c>
      <c r="K12">
        <v>864744493.51137567</v>
      </c>
      <c r="L12">
        <v>0</v>
      </c>
      <c r="M12">
        <v>658734641.37233722</v>
      </c>
      <c r="N12">
        <v>741064343.46237803</v>
      </c>
      <c r="O12">
        <v>372769250.17194879</v>
      </c>
      <c r="P12">
        <v>459726885.65994883</v>
      </c>
      <c r="Q12">
        <v>661990541.16761243</v>
      </c>
      <c r="R12">
        <v>573117106.73286128</v>
      </c>
      <c r="S12">
        <v>1205253729.3019538</v>
      </c>
      <c r="T12">
        <v>766407099.03286135</v>
      </c>
      <c r="U12">
        <v>640408742.73800099</v>
      </c>
      <c r="V12">
        <v>778767386.7978965</v>
      </c>
      <c r="W12">
        <v>496820862.62137318</v>
      </c>
      <c r="X12">
        <v>2385341080.8641796</v>
      </c>
      <c r="Y12">
        <v>460118135.03914523</v>
      </c>
      <c r="Z12">
        <v>451770545.63914526</v>
      </c>
      <c r="AA12">
        <v>393058932.53914523</v>
      </c>
      <c r="AB12">
        <v>518602997.31561244</v>
      </c>
      <c r="AC12">
        <v>1188925069.9578965</v>
      </c>
      <c r="AD12">
        <v>2565295810.8641796</v>
      </c>
      <c r="AE12">
        <v>424333633.8471452</v>
      </c>
      <c r="AF12">
        <v>15056236929.505434</v>
      </c>
      <c r="AG12">
        <v>369656475.18772495</v>
      </c>
      <c r="AH12">
        <v>448560095.55172497</v>
      </c>
      <c r="AI12">
        <v>3243393691.1232414</v>
      </c>
      <c r="AJ12">
        <v>2613659082.1952415</v>
      </c>
      <c r="AK12">
        <v>832077499.61394703</v>
      </c>
      <c r="AL12">
        <v>471963011.27190143</v>
      </c>
      <c r="AM12">
        <v>388149601.27482909</v>
      </c>
      <c r="AN12">
        <v>419304673.59190142</v>
      </c>
      <c r="AO12">
        <v>459332327.40181863</v>
      </c>
      <c r="AP12">
        <v>545115818.23482907</v>
      </c>
    </row>
    <row r="13" spans="2:42" x14ac:dyDescent="0.25">
      <c r="B13" t="s">
        <v>10</v>
      </c>
      <c r="C13">
        <v>849306243.90932488</v>
      </c>
      <c r="D13">
        <v>725774775.34789622</v>
      </c>
      <c r="E13">
        <v>593255865.6074543</v>
      </c>
      <c r="F13">
        <v>662348015.38250303</v>
      </c>
      <c r="G13">
        <v>611398864.31233716</v>
      </c>
      <c r="H13">
        <v>730855638.07519436</v>
      </c>
      <c r="I13">
        <v>592166640.54090858</v>
      </c>
      <c r="J13">
        <v>579411827.92593169</v>
      </c>
      <c r="K13">
        <v>716645617.64789629</v>
      </c>
      <c r="L13">
        <v>658734641.37233722</v>
      </c>
      <c r="M13">
        <v>0</v>
      </c>
      <c r="N13">
        <v>555722512.06324506</v>
      </c>
      <c r="O13">
        <v>177265349.74480408</v>
      </c>
      <c r="P13">
        <v>264222985.23280406</v>
      </c>
      <c r="Q13">
        <v>2105192143.4396071</v>
      </c>
      <c r="R13">
        <v>419537536.66761851</v>
      </c>
      <c r="S13">
        <v>831747668.62437344</v>
      </c>
      <c r="T13">
        <v>612827528.96761847</v>
      </c>
      <c r="U13">
        <v>203087647.56916228</v>
      </c>
      <c r="V13">
        <v>730350690.22021306</v>
      </c>
      <c r="W13">
        <v>380517805.52891582</v>
      </c>
      <c r="X13">
        <v>653091164.24556112</v>
      </c>
      <c r="Y13">
        <v>251121407.07488561</v>
      </c>
      <c r="Z13">
        <v>242773817.6748856</v>
      </c>
      <c r="AA13">
        <v>184062204.57488561</v>
      </c>
      <c r="AB13">
        <v>1961804599.5876071</v>
      </c>
      <c r="AC13">
        <v>1140508373.380213</v>
      </c>
      <c r="AD13">
        <v>833045894.24556112</v>
      </c>
      <c r="AE13">
        <v>215336905.88288561</v>
      </c>
      <c r="AF13">
        <v>503324135.81107444</v>
      </c>
      <c r="AG13">
        <v>138250241.39300808</v>
      </c>
      <c r="AH13">
        <v>217153861.75700808</v>
      </c>
      <c r="AI13">
        <v>3149739412.1962776</v>
      </c>
      <c r="AJ13">
        <v>2520004803.2682776</v>
      </c>
      <c r="AK13">
        <v>651310725.93189621</v>
      </c>
      <c r="AL13">
        <v>141574974.02849257</v>
      </c>
      <c r="AM13">
        <v>149804250.81197733</v>
      </c>
      <c r="AN13">
        <v>88916636.348492563</v>
      </c>
      <c r="AO13">
        <v>245158608.35347027</v>
      </c>
      <c r="AP13">
        <v>306770467.77197731</v>
      </c>
    </row>
    <row r="14" spans="2:42" x14ac:dyDescent="0.25">
      <c r="B14" t="s">
        <v>11</v>
      </c>
      <c r="C14">
        <v>917601763.78186345</v>
      </c>
      <c r="D14">
        <v>794070295.2204349</v>
      </c>
      <c r="E14">
        <v>785819830.45220244</v>
      </c>
      <c r="F14">
        <v>753697170.61151385</v>
      </c>
      <c r="G14">
        <v>693728566.40237808</v>
      </c>
      <c r="H14">
        <v>813185340.16523516</v>
      </c>
      <c r="I14">
        <v>674496342.6309495</v>
      </c>
      <c r="J14">
        <v>670760983.15494251</v>
      </c>
      <c r="K14">
        <v>784941137.52043486</v>
      </c>
      <c r="L14">
        <v>741064343.46237803</v>
      </c>
      <c r="M14">
        <v>555722512.06324506</v>
      </c>
      <c r="N14">
        <v>0</v>
      </c>
      <c r="O14">
        <v>152054175.8873077</v>
      </c>
      <c r="P14">
        <v>239011811.37530771</v>
      </c>
      <c r="Q14">
        <v>608760395.84968972</v>
      </c>
      <c r="R14">
        <v>507870763.09514827</v>
      </c>
      <c r="S14">
        <v>912127994.68753684</v>
      </c>
      <c r="T14">
        <v>701160755.39514828</v>
      </c>
      <c r="U14">
        <v>153633659.07187271</v>
      </c>
      <c r="V14">
        <v>594868432.80570829</v>
      </c>
      <c r="W14">
        <v>337191211.23469025</v>
      </c>
      <c r="X14">
        <v>1166278737.3432894</v>
      </c>
      <c r="Y14">
        <v>229299373.33802012</v>
      </c>
      <c r="Z14">
        <v>220951783.93802011</v>
      </c>
      <c r="AA14">
        <v>162240170.83802012</v>
      </c>
      <c r="AB14">
        <v>465372851.99768972</v>
      </c>
      <c r="AC14">
        <v>1005026115.9657083</v>
      </c>
      <c r="AD14">
        <v>1346233467.3432894</v>
      </c>
      <c r="AE14">
        <v>193514872.14602011</v>
      </c>
      <c r="AF14">
        <v>472485507.00008535</v>
      </c>
      <c r="AG14">
        <v>449161332.79494345</v>
      </c>
      <c r="AH14">
        <v>528064953.15894347</v>
      </c>
      <c r="AI14">
        <v>3035828446.8012538</v>
      </c>
      <c r="AJ14">
        <v>2406093837.8732538</v>
      </c>
      <c r="AK14">
        <v>597418461.76443493</v>
      </c>
      <c r="AL14">
        <v>243746663.817936</v>
      </c>
      <c r="AM14">
        <v>119565089.88541269</v>
      </c>
      <c r="AN14">
        <v>191088326.137936</v>
      </c>
      <c r="AO14">
        <v>122386154.51936096</v>
      </c>
      <c r="AP14">
        <v>330794442.44465077</v>
      </c>
    </row>
    <row r="15" spans="2:42" x14ac:dyDescent="0.25">
      <c r="B15" t="s">
        <v>12</v>
      </c>
      <c r="C15">
        <v>546931364.00451553</v>
      </c>
      <c r="D15">
        <v>423399895.44308698</v>
      </c>
      <c r="E15">
        <v>264319152.18995339</v>
      </c>
      <c r="F15">
        <v>367577756.35432869</v>
      </c>
      <c r="G15">
        <v>325433473.11194879</v>
      </c>
      <c r="H15">
        <v>444890246.87480587</v>
      </c>
      <c r="I15">
        <v>306201249.3405202</v>
      </c>
      <c r="J15">
        <v>284641568.89775723</v>
      </c>
      <c r="K15">
        <v>414270737.74308693</v>
      </c>
      <c r="L15">
        <v>372769250.17194879</v>
      </c>
      <c r="M15">
        <v>177265349.74480408</v>
      </c>
      <c r="N15">
        <v>152054175.8873077</v>
      </c>
      <c r="O15">
        <v>0</v>
      </c>
      <c r="P15">
        <v>0</v>
      </c>
      <c r="Q15">
        <v>491465223.55535555</v>
      </c>
      <c r="R15">
        <v>370470833.72026014</v>
      </c>
      <c r="S15">
        <v>824551682.21480703</v>
      </c>
      <c r="T15">
        <v>563760826.0202601</v>
      </c>
      <c r="U15">
        <v>46492190.670509227</v>
      </c>
      <c r="V15">
        <v>547207077.70335746</v>
      </c>
      <c r="W15">
        <v>225890124.54641587</v>
      </c>
      <c r="X15">
        <v>463284793.11674011</v>
      </c>
      <c r="Y15">
        <v>107034191.64022188</v>
      </c>
      <c r="Z15">
        <v>98686602.240221873</v>
      </c>
      <c r="AA15">
        <v>39974989.140221886</v>
      </c>
      <c r="AB15">
        <v>348077679.70335555</v>
      </c>
      <c r="AC15">
        <v>957364760.86335754</v>
      </c>
      <c r="AD15">
        <v>621631359.29664469</v>
      </c>
      <c r="AE15">
        <v>71249690.448221877</v>
      </c>
      <c r="AF15">
        <v>268161369.98290011</v>
      </c>
      <c r="AG15">
        <v>326373966.14511794</v>
      </c>
      <c r="AH15">
        <v>405277586.50911796</v>
      </c>
      <c r="AI15">
        <v>2743546601.4030242</v>
      </c>
      <c r="AJ15">
        <v>2113811992.4750245</v>
      </c>
      <c r="AK15">
        <v>408543339.22708696</v>
      </c>
      <c r="AL15">
        <v>131851221.73526356</v>
      </c>
      <c r="AM15">
        <v>25112733.203740384</v>
      </c>
      <c r="AN15">
        <v>79192884.055263549</v>
      </c>
      <c r="AO15">
        <v>78993427.953550577</v>
      </c>
      <c r="AP15">
        <v>182078950.1637404</v>
      </c>
    </row>
    <row r="16" spans="2:42" x14ac:dyDescent="0.25">
      <c r="B16" t="s">
        <v>13</v>
      </c>
      <c r="C16">
        <v>633888999.49251556</v>
      </c>
      <c r="D16">
        <v>510357530.93108702</v>
      </c>
      <c r="E16">
        <v>351276787.67795336</v>
      </c>
      <c r="F16">
        <v>454535391.84232867</v>
      </c>
      <c r="G16">
        <v>412391108.59994876</v>
      </c>
      <c r="H16">
        <v>531847882.36280584</v>
      </c>
      <c r="I16">
        <v>393158884.82852018</v>
      </c>
      <c r="J16">
        <v>371599204.38575721</v>
      </c>
      <c r="K16">
        <v>501228373.23108697</v>
      </c>
      <c r="L16">
        <v>459726885.65994883</v>
      </c>
      <c r="M16">
        <v>264222985.23280406</v>
      </c>
      <c r="N16">
        <v>239011811.37530771</v>
      </c>
      <c r="O16">
        <v>0</v>
      </c>
      <c r="P16">
        <v>0</v>
      </c>
      <c r="Q16">
        <v>531588098.94735563</v>
      </c>
      <c r="R16">
        <v>410593709.11226016</v>
      </c>
      <c r="S16">
        <v>864674557.60680699</v>
      </c>
      <c r="T16">
        <v>603883701.41226017</v>
      </c>
      <c r="U16">
        <v>86615066.062509224</v>
      </c>
      <c r="V16">
        <v>587329953.09535754</v>
      </c>
      <c r="W16">
        <v>266012999.93841586</v>
      </c>
      <c r="X16">
        <v>503407668.50874007</v>
      </c>
      <c r="Y16">
        <v>147157067.03222188</v>
      </c>
      <c r="Z16">
        <v>138809477.63222188</v>
      </c>
      <c r="AA16">
        <v>80097864.532221884</v>
      </c>
      <c r="AB16">
        <v>388200555.09535563</v>
      </c>
      <c r="AC16">
        <v>997487636.2553575</v>
      </c>
      <c r="AD16">
        <v>661754234.68864465</v>
      </c>
      <c r="AE16">
        <v>111372565.84022188</v>
      </c>
      <c r="AF16">
        <v>308284245.3749001</v>
      </c>
      <c r="AG16">
        <v>366496841.53711796</v>
      </c>
      <c r="AH16">
        <v>445400461.90111798</v>
      </c>
      <c r="AI16">
        <v>2783669476.7950244</v>
      </c>
      <c r="AJ16">
        <v>2153934867.8670244</v>
      </c>
      <c r="AK16">
        <v>448666214.61908698</v>
      </c>
      <c r="AL16">
        <v>171974097.12726355</v>
      </c>
      <c r="AM16">
        <v>65235608.595740393</v>
      </c>
      <c r="AN16">
        <v>119315759.44726355</v>
      </c>
      <c r="AO16">
        <v>119116303.3455506</v>
      </c>
      <c r="AP16">
        <v>222201825.55574042</v>
      </c>
    </row>
    <row r="17" spans="2:42" x14ac:dyDescent="0.25">
      <c r="B17" t="s">
        <v>14</v>
      </c>
      <c r="C17">
        <v>662783378.70072949</v>
      </c>
      <c r="D17">
        <v>539251910.13930094</v>
      </c>
      <c r="E17">
        <v>885700288.83611095</v>
      </c>
      <c r="F17">
        <v>784706269.96030819</v>
      </c>
      <c r="G17">
        <v>614654764.10761237</v>
      </c>
      <c r="H17">
        <v>734111537.87046957</v>
      </c>
      <c r="I17">
        <v>595422540.33618379</v>
      </c>
      <c r="J17">
        <v>701770082.50373673</v>
      </c>
      <c r="K17">
        <v>530122752.43930089</v>
      </c>
      <c r="L17">
        <v>661990541.16761243</v>
      </c>
      <c r="M17">
        <v>2105192143.4396071</v>
      </c>
      <c r="N17">
        <v>608760395.84968972</v>
      </c>
      <c r="O17">
        <v>491465223.55535555</v>
      </c>
      <c r="P17">
        <v>531588098.94735563</v>
      </c>
      <c r="Q17">
        <v>0</v>
      </c>
      <c r="R17">
        <v>213878119.13999999</v>
      </c>
      <c r="S17">
        <v>800108644.02667975</v>
      </c>
      <c r="T17">
        <v>407168111.44</v>
      </c>
      <c r="U17">
        <v>388398317.97092253</v>
      </c>
      <c r="V17">
        <v>101836461703.58255</v>
      </c>
      <c r="W17">
        <v>482254155.26582718</v>
      </c>
      <c r="X17">
        <v>611223995.95107543</v>
      </c>
      <c r="Y17">
        <v>479780110.52647257</v>
      </c>
      <c r="Z17">
        <v>471432521.12647259</v>
      </c>
      <c r="AA17">
        <v>412720908.02647257</v>
      </c>
      <c r="AB17">
        <v>191159423.56</v>
      </c>
      <c r="AC17">
        <v>102246619386.74255</v>
      </c>
      <c r="AD17">
        <v>791178725.95107543</v>
      </c>
      <c r="AE17">
        <v>443995609.33447254</v>
      </c>
      <c r="AF17">
        <v>598053794.73687959</v>
      </c>
      <c r="AG17">
        <v>577417693.85236645</v>
      </c>
      <c r="AH17">
        <v>656321314.21636653</v>
      </c>
      <c r="AI17">
        <v>3047261321.434907</v>
      </c>
      <c r="AJ17">
        <v>2417526712.506907</v>
      </c>
      <c r="AK17">
        <v>437159265.07130092</v>
      </c>
      <c r="AL17">
        <v>390986963.14406753</v>
      </c>
      <c r="AM17">
        <v>289141805.37415379</v>
      </c>
      <c r="AN17">
        <v>338328625.46406752</v>
      </c>
      <c r="AO17">
        <v>389612202.94063109</v>
      </c>
      <c r="AP17">
        <v>446108022.33415377</v>
      </c>
    </row>
    <row r="18" spans="2:42" x14ac:dyDescent="0.25">
      <c r="B18" t="s">
        <v>15</v>
      </c>
      <c r="C18">
        <v>541058967.1773386</v>
      </c>
      <c r="D18">
        <v>417527498.61591011</v>
      </c>
      <c r="E18">
        <v>611777640.32015967</v>
      </c>
      <c r="F18">
        <v>627716642.69897509</v>
      </c>
      <c r="G18">
        <v>525781329.67286134</v>
      </c>
      <c r="H18">
        <v>645238103.43571842</v>
      </c>
      <c r="I18">
        <v>506549105.90143275</v>
      </c>
      <c r="J18">
        <v>544780455.24240375</v>
      </c>
      <c r="K18">
        <v>408398340.91591007</v>
      </c>
      <c r="L18">
        <v>573117106.73286128</v>
      </c>
      <c r="M18">
        <v>419537536.66761851</v>
      </c>
      <c r="N18">
        <v>507870763.09514827</v>
      </c>
      <c r="O18">
        <v>370470833.72026014</v>
      </c>
      <c r="P18">
        <v>410593709.11226016</v>
      </c>
      <c r="Q18">
        <v>213878119.13999999</v>
      </c>
      <c r="R18">
        <v>0</v>
      </c>
      <c r="S18">
        <v>1015656745.6067374</v>
      </c>
      <c r="T18">
        <v>377784566.45200002</v>
      </c>
      <c r="U18">
        <v>408878488.12619632</v>
      </c>
      <c r="V18">
        <v>1126335073.1352983</v>
      </c>
      <c r="W18">
        <v>428605444.51321155</v>
      </c>
      <c r="X18">
        <v>906760104.54598665</v>
      </c>
      <c r="Y18">
        <v>293432094.50628465</v>
      </c>
      <c r="Z18">
        <v>39726310802.614586</v>
      </c>
      <c r="AA18">
        <v>39667599189.514587</v>
      </c>
      <c r="AB18">
        <v>161775878.57199997</v>
      </c>
      <c r="AC18">
        <v>1536623247.7158813</v>
      </c>
      <c r="AD18">
        <v>1086829363.9781609</v>
      </c>
      <c r="AE18">
        <v>39698873890.822586</v>
      </c>
      <c r="AF18">
        <v>532349470.75954652</v>
      </c>
      <c r="AG18">
        <v>237535711.86288118</v>
      </c>
      <c r="AH18">
        <v>316439332.22688121</v>
      </c>
      <c r="AI18">
        <v>2813847900.9825859</v>
      </c>
      <c r="AJ18">
        <v>2184113292.0545859</v>
      </c>
      <c r="AK18">
        <v>446158941.40542221</v>
      </c>
      <c r="AL18">
        <v>368885308.50296628</v>
      </c>
      <c r="AM18">
        <v>281544732.37646675</v>
      </c>
      <c r="AN18">
        <v>316226970.82296628</v>
      </c>
      <c r="AO18">
        <v>385033659.15949833</v>
      </c>
      <c r="AP18">
        <v>438510949.33646679</v>
      </c>
    </row>
    <row r="19" spans="2:42" x14ac:dyDescent="0.25">
      <c r="B19" t="s">
        <v>16</v>
      </c>
      <c r="C19">
        <v>1330469918.8076894</v>
      </c>
      <c r="D19">
        <v>1206938450.2462609</v>
      </c>
      <c r="E19">
        <v>1328261680.1155157</v>
      </c>
      <c r="F19">
        <v>1286218830.054142</v>
      </c>
      <c r="G19">
        <v>1157917952.2419538</v>
      </c>
      <c r="H19">
        <v>1277374726.0048108</v>
      </c>
      <c r="I19">
        <v>1138685728.4705253</v>
      </c>
      <c r="J19">
        <v>1203282642.5975704</v>
      </c>
      <c r="K19">
        <v>1197809292.5462608</v>
      </c>
      <c r="L19">
        <v>1205253729.3019538</v>
      </c>
      <c r="M19">
        <v>831747668.62437344</v>
      </c>
      <c r="N19">
        <v>912127994.68753684</v>
      </c>
      <c r="O19">
        <v>824551682.21480703</v>
      </c>
      <c r="P19">
        <v>864674557.60680699</v>
      </c>
      <c r="Q19">
        <v>800108644.02667975</v>
      </c>
      <c r="R19">
        <v>1015656745.6067374</v>
      </c>
      <c r="S19">
        <v>0</v>
      </c>
      <c r="T19">
        <v>1146194869.0747375</v>
      </c>
      <c r="U19">
        <v>944524729.03307569</v>
      </c>
      <c r="V19">
        <v>1067801284.4175502</v>
      </c>
      <c r="W19">
        <v>923778687.37454462</v>
      </c>
      <c r="X19">
        <v>1379306086.2355127</v>
      </c>
      <c r="Y19">
        <v>771507908.68415344</v>
      </c>
      <c r="Z19">
        <v>763160319.28415346</v>
      </c>
      <c r="AA19">
        <v>704448706.18415344</v>
      </c>
      <c r="AB19">
        <v>685254534.62667978</v>
      </c>
      <c r="AC19">
        <v>1477958967.5775502</v>
      </c>
      <c r="AD19">
        <v>1559260816.2355127</v>
      </c>
      <c r="AE19">
        <v>735723407.49215341</v>
      </c>
      <c r="AF19">
        <v>1128099789.2827132</v>
      </c>
      <c r="AG19">
        <v>665600803.62568665</v>
      </c>
      <c r="AH19">
        <v>744504423.98968673</v>
      </c>
      <c r="AI19">
        <v>3736170009.9619079</v>
      </c>
      <c r="AJ19">
        <v>3106435401.0339079</v>
      </c>
      <c r="AK19">
        <v>1133379239.6302609</v>
      </c>
      <c r="AL19">
        <v>822338623.31363153</v>
      </c>
      <c r="AM19">
        <v>745099834.00380421</v>
      </c>
      <c r="AN19">
        <v>769680285.63363147</v>
      </c>
      <c r="AO19">
        <v>885818929.85196042</v>
      </c>
      <c r="AP19">
        <v>902066050.96380424</v>
      </c>
    </row>
    <row r="20" spans="2:42" x14ac:dyDescent="0.25">
      <c r="B20" t="s">
        <v>17</v>
      </c>
      <c r="C20">
        <v>734348959.47733867</v>
      </c>
      <c r="D20">
        <v>610817490.91591012</v>
      </c>
      <c r="E20">
        <v>805067632.62015963</v>
      </c>
      <c r="F20">
        <v>821006634.99897516</v>
      </c>
      <c r="G20">
        <v>719071321.97286129</v>
      </c>
      <c r="H20">
        <v>838528095.73571849</v>
      </c>
      <c r="I20">
        <v>699839098.2014327</v>
      </c>
      <c r="J20">
        <v>738070447.5424037</v>
      </c>
      <c r="K20">
        <v>601688333.21591008</v>
      </c>
      <c r="L20">
        <v>766407099.03286135</v>
      </c>
      <c r="M20">
        <v>612827528.96761847</v>
      </c>
      <c r="N20">
        <v>701160755.39514828</v>
      </c>
      <c r="O20">
        <v>563760826.0202601</v>
      </c>
      <c r="P20">
        <v>603883701.41226017</v>
      </c>
      <c r="Q20">
        <v>407168111.44</v>
      </c>
      <c r="R20">
        <v>377784566.45200002</v>
      </c>
      <c r="S20">
        <v>1146194869.0747375</v>
      </c>
      <c r="T20">
        <v>0</v>
      </c>
      <c r="U20">
        <v>402291481.03419638</v>
      </c>
      <c r="V20">
        <v>1119748066.0432982</v>
      </c>
      <c r="W20">
        <v>422018437.4212116</v>
      </c>
      <c r="X20">
        <v>900173097.45398664</v>
      </c>
      <c r="Y20">
        <v>286845087.41428471</v>
      </c>
      <c r="Z20">
        <v>39719723795.522583</v>
      </c>
      <c r="AA20">
        <v>39661012182.422585</v>
      </c>
      <c r="AB20">
        <v>155188871.47999999</v>
      </c>
      <c r="AC20">
        <v>1530036240.6238813</v>
      </c>
      <c r="AD20">
        <v>1080242356.8861609</v>
      </c>
      <c r="AE20">
        <v>39692286883.730583</v>
      </c>
      <c r="AF20">
        <v>525762463.66754657</v>
      </c>
      <c r="AG20">
        <v>230948704.77088121</v>
      </c>
      <c r="AH20">
        <v>309852325.1348812</v>
      </c>
      <c r="AI20">
        <v>2807260893.8905859</v>
      </c>
      <c r="AJ20">
        <v>2177526284.9625859</v>
      </c>
      <c r="AK20">
        <v>439571934.31342226</v>
      </c>
      <c r="AL20">
        <v>362298301.41096634</v>
      </c>
      <c r="AM20">
        <v>274957725.2844668</v>
      </c>
      <c r="AN20">
        <v>309639963.73096633</v>
      </c>
      <c r="AO20">
        <v>378446652.06749839</v>
      </c>
      <c r="AP20">
        <v>431923942.24446678</v>
      </c>
    </row>
    <row r="21" spans="2:42" x14ac:dyDescent="0.25">
      <c r="B21" t="s">
        <v>145</v>
      </c>
      <c r="C21">
        <v>893784245.48448074</v>
      </c>
      <c r="D21">
        <v>770252776.92305219</v>
      </c>
      <c r="E21">
        <v>309062565.07384074</v>
      </c>
      <c r="F21">
        <v>467830484.49790776</v>
      </c>
      <c r="G21">
        <v>593072965.67800093</v>
      </c>
      <c r="H21">
        <v>712529739.44085801</v>
      </c>
      <c r="I21">
        <v>573840741.90657234</v>
      </c>
      <c r="J21">
        <v>384894297.04133636</v>
      </c>
      <c r="K21">
        <v>761123619.22305226</v>
      </c>
      <c r="L21">
        <v>640408742.73800099</v>
      </c>
      <c r="M21">
        <v>203087647.56916228</v>
      </c>
      <c r="N21">
        <v>153633659.07187271</v>
      </c>
      <c r="O21">
        <v>46492190.670509227</v>
      </c>
      <c r="P21">
        <v>86615066.062509224</v>
      </c>
      <c r="Q21">
        <v>388398317.97092253</v>
      </c>
      <c r="R21">
        <v>408878488.12619632</v>
      </c>
      <c r="S21">
        <v>944524729.03307569</v>
      </c>
      <c r="T21">
        <v>402291481.03419638</v>
      </c>
      <c r="U21">
        <v>0</v>
      </c>
      <c r="V21">
        <v>798547764.60138226</v>
      </c>
      <c r="W21">
        <v>569630375.8013823</v>
      </c>
      <c r="X21">
        <v>228000476.70017338</v>
      </c>
      <c r="Y21">
        <v>178707544.17828614</v>
      </c>
      <c r="Z21">
        <v>170359954.77828616</v>
      </c>
      <c r="AA21">
        <v>111648341.67828615</v>
      </c>
      <c r="AB21">
        <v>343051144.85892248</v>
      </c>
      <c r="AC21">
        <v>1208705447.7613821</v>
      </c>
      <c r="AD21">
        <v>746296743.16290188</v>
      </c>
      <c r="AE21">
        <v>142923042.98628616</v>
      </c>
      <c r="AF21">
        <v>379218380.01447916</v>
      </c>
      <c r="AG21">
        <v>8135358.5051007289</v>
      </c>
      <c r="AH21">
        <v>87038978.869100735</v>
      </c>
      <c r="AI21">
        <v>3448912976.4735155</v>
      </c>
      <c r="AJ21">
        <v>2819178367.5455155</v>
      </c>
      <c r="AK21">
        <v>766200502.59505224</v>
      </c>
      <c r="AL21">
        <v>191012019.55714834</v>
      </c>
      <c r="AM21">
        <v>26096331.723872628</v>
      </c>
      <c r="AN21">
        <v>138353681.87714833</v>
      </c>
      <c r="AO21">
        <v>143960164.63494378</v>
      </c>
      <c r="AP21">
        <v>183062548.68387264</v>
      </c>
    </row>
    <row r="22" spans="2:42" x14ac:dyDescent="0.25">
      <c r="B22" t="s">
        <v>146</v>
      </c>
      <c r="C22">
        <v>989089495.65785992</v>
      </c>
      <c r="D22">
        <v>865558027.09643137</v>
      </c>
      <c r="E22">
        <v>980189357.80333602</v>
      </c>
      <c r="F22">
        <v>949252578.90999544</v>
      </c>
      <c r="G22">
        <v>731431609.73789644</v>
      </c>
      <c r="H22">
        <v>850888383.50075352</v>
      </c>
      <c r="I22">
        <v>712199385.96646786</v>
      </c>
      <c r="J22">
        <v>866316391.45342398</v>
      </c>
      <c r="K22">
        <v>856428869.39643145</v>
      </c>
      <c r="L22">
        <v>778767386.7978965</v>
      </c>
      <c r="M22">
        <v>730350690.22021306</v>
      </c>
      <c r="N22">
        <v>594868432.80570829</v>
      </c>
      <c r="O22">
        <v>547207077.70335746</v>
      </c>
      <c r="P22">
        <v>587329953.09535754</v>
      </c>
      <c r="Q22">
        <v>101836461703.58255</v>
      </c>
      <c r="R22">
        <v>1126335073.1352983</v>
      </c>
      <c r="S22">
        <v>1067801284.4175502</v>
      </c>
      <c r="T22">
        <v>1119748066.0432982</v>
      </c>
      <c r="U22">
        <v>798547764.60138226</v>
      </c>
      <c r="V22">
        <v>0</v>
      </c>
      <c r="W22">
        <v>302759213.44172782</v>
      </c>
      <c r="X22">
        <v>653970143.12344241</v>
      </c>
      <c r="Y22">
        <v>522821710.12542826</v>
      </c>
      <c r="Z22">
        <v>514474120.72542822</v>
      </c>
      <c r="AA22">
        <v>455762507.62542826</v>
      </c>
      <c r="AB22">
        <v>1002976312.5710614</v>
      </c>
      <c r="AC22">
        <v>774912205.27199996</v>
      </c>
      <c r="AD22">
        <v>833924873.12344241</v>
      </c>
      <c r="AE22">
        <v>487037208.93342829</v>
      </c>
      <c r="AF22">
        <v>752670462.81056678</v>
      </c>
      <c r="AG22">
        <v>281879353.74776113</v>
      </c>
      <c r="AH22">
        <v>211142220.63599998</v>
      </c>
      <c r="AI22">
        <v>3019405349.3079367</v>
      </c>
      <c r="AJ22">
        <v>2389670740.3799367</v>
      </c>
      <c r="AK22">
        <v>753535741.15243137</v>
      </c>
      <c r="AL22">
        <v>420211749.07125843</v>
      </c>
      <c r="AM22">
        <v>326218076.56172609</v>
      </c>
      <c r="AN22">
        <v>367553411.39125842</v>
      </c>
      <c r="AO22">
        <v>554977844.46318543</v>
      </c>
      <c r="AP22">
        <v>483184293.52172613</v>
      </c>
    </row>
    <row r="23" spans="2:42" x14ac:dyDescent="0.25">
      <c r="B23" t="s">
        <v>18</v>
      </c>
      <c r="C23">
        <v>1025531526.7900378</v>
      </c>
      <c r="D23">
        <v>902000058.22860909</v>
      </c>
      <c r="E23">
        <v>584854501.82747746</v>
      </c>
      <c r="F23">
        <v>326925874.49606782</v>
      </c>
      <c r="G23">
        <v>449485085.56137317</v>
      </c>
      <c r="H23">
        <v>568941859.32423031</v>
      </c>
      <c r="I23">
        <v>430252861.78994459</v>
      </c>
      <c r="J23">
        <v>243989687.03949636</v>
      </c>
      <c r="K23">
        <v>892870900.52860916</v>
      </c>
      <c r="L23">
        <v>496820862.62137318</v>
      </c>
      <c r="M23">
        <v>380517805.52891582</v>
      </c>
      <c r="N23">
        <v>337191211.23469025</v>
      </c>
      <c r="O23">
        <v>225890124.54641587</v>
      </c>
      <c r="P23">
        <v>266012999.93841586</v>
      </c>
      <c r="Q23">
        <v>482254155.26582718</v>
      </c>
      <c r="R23">
        <v>428605444.51321155</v>
      </c>
      <c r="S23">
        <v>923778687.37454462</v>
      </c>
      <c r="T23">
        <v>422018437.4212116</v>
      </c>
      <c r="U23">
        <v>569630375.8013823</v>
      </c>
      <c r="V23">
        <v>302759213.44172782</v>
      </c>
      <c r="W23">
        <v>0</v>
      </c>
      <c r="X23">
        <v>797223554.1047883</v>
      </c>
      <c r="Y23">
        <v>383797861.3770107</v>
      </c>
      <c r="Z23">
        <v>375450271.97701073</v>
      </c>
      <c r="AA23">
        <v>316738658.8770107</v>
      </c>
      <c r="AB23">
        <v>555715079.14582717</v>
      </c>
      <c r="AC23">
        <v>939695005.20972776</v>
      </c>
      <c r="AD23">
        <v>977178284.1047883</v>
      </c>
      <c r="AE23">
        <v>348013360.18501067</v>
      </c>
      <c r="AF23">
        <v>357121867.00463921</v>
      </c>
      <c r="AG23">
        <v>247151224.76765832</v>
      </c>
      <c r="AH23">
        <v>326054845.13165832</v>
      </c>
      <c r="AI23">
        <v>3073596918.9834104</v>
      </c>
      <c r="AJ23">
        <v>2443862310.0554104</v>
      </c>
      <c r="AK23">
        <v>413808167.2626276</v>
      </c>
      <c r="AL23">
        <v>297494142.01950121</v>
      </c>
      <c r="AM23">
        <v>278701413.58029974</v>
      </c>
      <c r="AN23">
        <v>244835804.3395012</v>
      </c>
      <c r="AO23">
        <v>441894696.80872822</v>
      </c>
      <c r="AP23">
        <v>435667630.54029977</v>
      </c>
    </row>
    <row r="24" spans="2:42" x14ac:dyDescent="0.25">
      <c r="B24" t="s">
        <v>19</v>
      </c>
      <c r="C24">
        <v>4614606103.975503</v>
      </c>
      <c r="D24">
        <v>4491074635.4140739</v>
      </c>
      <c r="E24">
        <v>654613213.79361737</v>
      </c>
      <c r="F24">
        <v>2976503483.6880198</v>
      </c>
      <c r="G24">
        <v>2338005303.8041797</v>
      </c>
      <c r="H24">
        <v>2457462077.5670371</v>
      </c>
      <c r="I24">
        <v>2318773080.0327516</v>
      </c>
      <c r="J24">
        <v>2893567296.2314482</v>
      </c>
      <c r="K24">
        <v>4481945477.7140741</v>
      </c>
      <c r="L24">
        <v>2385341080.8641796</v>
      </c>
      <c r="M24">
        <v>653091164.24556112</v>
      </c>
      <c r="N24">
        <v>1166278737.3432894</v>
      </c>
      <c r="O24">
        <v>463284793.11674011</v>
      </c>
      <c r="P24">
        <v>503407668.50874007</v>
      </c>
      <c r="Q24">
        <v>611223995.95107543</v>
      </c>
      <c r="R24">
        <v>906760104.54598665</v>
      </c>
      <c r="S24">
        <v>1379306086.2355127</v>
      </c>
      <c r="T24">
        <v>900173097.45398664</v>
      </c>
      <c r="U24">
        <v>228000476.70017338</v>
      </c>
      <c r="V24">
        <v>653970143.12344241</v>
      </c>
      <c r="W24">
        <v>797223554.1047883</v>
      </c>
      <c r="X24">
        <v>0</v>
      </c>
      <c r="Y24">
        <v>331747937.26722229</v>
      </c>
      <c r="Z24">
        <v>323400347.86722231</v>
      </c>
      <c r="AA24">
        <v>264688734.76722229</v>
      </c>
      <c r="AB24">
        <v>756680293.9888202</v>
      </c>
      <c r="AC24">
        <v>737020573.29744613</v>
      </c>
      <c r="AD24">
        <v>492979375.91999996</v>
      </c>
      <c r="AE24">
        <v>295963436.07522225</v>
      </c>
      <c r="AF24">
        <v>2753825033.1798224</v>
      </c>
      <c r="AG24">
        <v>175395513.35304803</v>
      </c>
      <c r="AH24">
        <v>254299133.71704805</v>
      </c>
      <c r="AI24">
        <v>4148090877.3243937</v>
      </c>
      <c r="AJ24">
        <v>3518356268.3963938</v>
      </c>
      <c r="AK24">
        <v>4352595582.0780735</v>
      </c>
      <c r="AL24">
        <v>744476074.41087353</v>
      </c>
      <c r="AM24">
        <v>692563310.63464367</v>
      </c>
      <c r="AN24">
        <v>691817736.73087347</v>
      </c>
      <c r="AO24">
        <v>695426567.29357946</v>
      </c>
      <c r="AP24">
        <v>849529527.59464371</v>
      </c>
    </row>
    <row r="25" spans="2:42" x14ac:dyDescent="0.25">
      <c r="B25" t="s">
        <v>20</v>
      </c>
      <c r="C25">
        <v>655700175.07954025</v>
      </c>
      <c r="D25">
        <v>532168706.51811171</v>
      </c>
      <c r="E25">
        <v>523448954.33684283</v>
      </c>
      <c r="F25">
        <v>468898710.35713232</v>
      </c>
      <c r="G25">
        <v>412782357.97914523</v>
      </c>
      <c r="H25">
        <v>532239131.74200237</v>
      </c>
      <c r="I25">
        <v>393550134.20771664</v>
      </c>
      <c r="J25">
        <v>385962522.90056092</v>
      </c>
      <c r="K25">
        <v>523039548.81811166</v>
      </c>
      <c r="L25">
        <v>460118135.03914523</v>
      </c>
      <c r="M25">
        <v>251121407.07488561</v>
      </c>
      <c r="N25">
        <v>229299373.33802012</v>
      </c>
      <c r="O25">
        <v>107034191.64022188</v>
      </c>
      <c r="P25">
        <v>147157067.03222188</v>
      </c>
      <c r="Q25">
        <v>479780110.52647257</v>
      </c>
      <c r="R25">
        <v>293432094.50628465</v>
      </c>
      <c r="S25">
        <v>771507908.68415344</v>
      </c>
      <c r="T25">
        <v>286845087.41428471</v>
      </c>
      <c r="U25">
        <v>178707544.17828614</v>
      </c>
      <c r="V25">
        <v>522821710.12542826</v>
      </c>
      <c r="W25">
        <v>383797861.3770107</v>
      </c>
      <c r="X25">
        <v>331747937.26722229</v>
      </c>
      <c r="Y25">
        <v>0</v>
      </c>
      <c r="Z25">
        <v>0</v>
      </c>
      <c r="AA25">
        <v>0</v>
      </c>
      <c r="AB25">
        <v>354420465.92647254</v>
      </c>
      <c r="AC25">
        <v>960936933.41342831</v>
      </c>
      <c r="AD25">
        <v>566221340.87467563</v>
      </c>
      <c r="AE25">
        <v>68627278.807999998</v>
      </c>
      <c r="AF25">
        <v>300274134.38570374</v>
      </c>
      <c r="AG25">
        <v>16222540.826557327</v>
      </c>
      <c r="AH25">
        <v>95126161.190557331</v>
      </c>
      <c r="AI25">
        <v>2906444944.0857267</v>
      </c>
      <c r="AJ25">
        <v>2276710335.1577268</v>
      </c>
      <c r="AK25">
        <v>448103960.70211166</v>
      </c>
      <c r="AL25">
        <v>151434828.86104873</v>
      </c>
      <c r="AM25">
        <v>19134844.385523349</v>
      </c>
      <c r="AN25">
        <v>98909482.638902575</v>
      </c>
      <c r="AO25">
        <v>97551699.154128015</v>
      </c>
      <c r="AP25">
        <v>176101061.34552336</v>
      </c>
    </row>
    <row r="26" spans="2:42" x14ac:dyDescent="0.25">
      <c r="B26" t="s">
        <v>21</v>
      </c>
      <c r="C26">
        <v>647352585.67954028</v>
      </c>
      <c r="D26">
        <v>523821117.11811173</v>
      </c>
      <c r="E26">
        <v>515101364.9368428</v>
      </c>
      <c r="F26">
        <v>460551120.95713234</v>
      </c>
      <c r="G26">
        <v>404434768.57914519</v>
      </c>
      <c r="H26">
        <v>523891542.34200239</v>
      </c>
      <c r="I26">
        <v>385202544.80771661</v>
      </c>
      <c r="J26">
        <v>377614933.50056088</v>
      </c>
      <c r="K26">
        <v>514691959.41811168</v>
      </c>
      <c r="L26">
        <v>451770545.63914526</v>
      </c>
      <c r="M26">
        <v>242773817.6748856</v>
      </c>
      <c r="N26">
        <v>220951783.93802011</v>
      </c>
      <c r="O26">
        <v>98686602.240221873</v>
      </c>
      <c r="P26">
        <v>138809477.63222188</v>
      </c>
      <c r="Q26">
        <v>471432521.12647259</v>
      </c>
      <c r="R26">
        <v>39726310802.614586</v>
      </c>
      <c r="S26">
        <v>763160319.28415346</v>
      </c>
      <c r="T26">
        <v>39719723795.522583</v>
      </c>
      <c r="U26">
        <v>170359954.77828616</v>
      </c>
      <c r="V26">
        <v>514474120.72542822</v>
      </c>
      <c r="W26">
        <v>375450271.97701073</v>
      </c>
      <c r="X26">
        <v>323400347.86722231</v>
      </c>
      <c r="Y26">
        <v>0</v>
      </c>
      <c r="Z26">
        <v>0</v>
      </c>
      <c r="AA26">
        <v>0</v>
      </c>
      <c r="AB26">
        <v>383840557.96647263</v>
      </c>
      <c r="AC26">
        <v>990357025.45342827</v>
      </c>
      <c r="AD26">
        <v>595641432.91467559</v>
      </c>
      <c r="AE26">
        <v>98047370.84799999</v>
      </c>
      <c r="AF26">
        <v>329694226.42570376</v>
      </c>
      <c r="AG26">
        <v>45642632.86655733</v>
      </c>
      <c r="AH26">
        <v>124546253.23055734</v>
      </c>
      <c r="AI26">
        <v>2935865036.1257267</v>
      </c>
      <c r="AJ26">
        <v>2306130427.1977267</v>
      </c>
      <c r="AK26">
        <v>477524052.74211168</v>
      </c>
      <c r="AL26">
        <v>180854920.90104872</v>
      </c>
      <c r="AM26">
        <v>48554936.425523348</v>
      </c>
      <c r="AN26">
        <v>128329574.67890258</v>
      </c>
      <c r="AO26">
        <v>126971791.19412801</v>
      </c>
      <c r="AP26">
        <v>205521153.38552335</v>
      </c>
    </row>
    <row r="27" spans="2:42" x14ac:dyDescent="0.25">
      <c r="B27" t="s">
        <v>22</v>
      </c>
      <c r="C27">
        <v>588640972.57954025</v>
      </c>
      <c r="D27">
        <v>465109504.01811171</v>
      </c>
      <c r="E27">
        <v>456389751.83684283</v>
      </c>
      <c r="F27">
        <v>401839507.85713232</v>
      </c>
      <c r="G27">
        <v>345723155.47914523</v>
      </c>
      <c r="H27">
        <v>465179929.24200237</v>
      </c>
      <c r="I27">
        <v>326490931.70771664</v>
      </c>
      <c r="J27">
        <v>318903320.40056092</v>
      </c>
      <c r="K27">
        <v>455980346.31811166</v>
      </c>
      <c r="L27">
        <v>393058932.53914523</v>
      </c>
      <c r="M27">
        <v>184062204.57488561</v>
      </c>
      <c r="N27">
        <v>162240170.83802012</v>
      </c>
      <c r="O27">
        <v>39974989.140221886</v>
      </c>
      <c r="P27">
        <v>80097864.532221884</v>
      </c>
      <c r="Q27">
        <v>412720908.02647257</v>
      </c>
      <c r="R27">
        <v>39667599189.514587</v>
      </c>
      <c r="S27">
        <v>704448706.18415344</v>
      </c>
      <c r="T27">
        <v>39661012182.422585</v>
      </c>
      <c r="U27">
        <v>111648341.67828615</v>
      </c>
      <c r="V27">
        <v>455762507.62542826</v>
      </c>
      <c r="W27">
        <v>316738658.8770107</v>
      </c>
      <c r="X27">
        <v>264688734.76722229</v>
      </c>
      <c r="Y27">
        <v>0</v>
      </c>
      <c r="Z27">
        <v>0</v>
      </c>
      <c r="AA27">
        <v>0</v>
      </c>
      <c r="AB27">
        <v>359322591.82647252</v>
      </c>
      <c r="AC27">
        <v>965839059.31342816</v>
      </c>
      <c r="AD27">
        <v>571123466.77467561</v>
      </c>
      <c r="AE27">
        <v>73529404.708000004</v>
      </c>
      <c r="AF27">
        <v>305176260.28570372</v>
      </c>
      <c r="AG27">
        <v>21124666.726557329</v>
      </c>
      <c r="AH27">
        <v>100028287.09055734</v>
      </c>
      <c r="AI27">
        <v>2911347069.9857268</v>
      </c>
      <c r="AJ27">
        <v>2281612461.0577269</v>
      </c>
      <c r="AK27">
        <v>453006086.60211164</v>
      </c>
      <c r="AL27">
        <v>156336954.76104873</v>
      </c>
      <c r="AM27">
        <v>24036970.285523348</v>
      </c>
      <c r="AN27">
        <v>103811608.53890257</v>
      </c>
      <c r="AO27">
        <v>102453825.05412802</v>
      </c>
      <c r="AP27">
        <v>181003187.24552336</v>
      </c>
    </row>
    <row r="28" spans="2:42" x14ac:dyDescent="0.25">
      <c r="B28" t="s">
        <v>23</v>
      </c>
      <c r="C28">
        <v>519395834.84872949</v>
      </c>
      <c r="D28">
        <v>395864366.28730094</v>
      </c>
      <c r="E28">
        <v>742312744.98411095</v>
      </c>
      <c r="F28">
        <v>641318726.1083082</v>
      </c>
      <c r="G28">
        <v>471267220.25561237</v>
      </c>
      <c r="H28">
        <v>590723994.01846957</v>
      </c>
      <c r="I28">
        <v>452034996.48418379</v>
      </c>
      <c r="J28">
        <v>558382538.65173674</v>
      </c>
      <c r="K28">
        <v>386735208.5873009</v>
      </c>
      <c r="L28">
        <v>518602997.31561244</v>
      </c>
      <c r="M28">
        <v>1961804599.5876071</v>
      </c>
      <c r="N28">
        <v>465372851.99768972</v>
      </c>
      <c r="O28">
        <v>348077679.70335555</v>
      </c>
      <c r="P28">
        <v>388200555.09535563</v>
      </c>
      <c r="Q28">
        <v>191159423.56</v>
      </c>
      <c r="R28">
        <v>161775878.57199997</v>
      </c>
      <c r="S28">
        <v>685254534.62667978</v>
      </c>
      <c r="T28">
        <v>155188871.47999999</v>
      </c>
      <c r="U28">
        <v>343051144.85892248</v>
      </c>
      <c r="V28">
        <v>1002976312.5710614</v>
      </c>
      <c r="W28">
        <v>555715079.14582717</v>
      </c>
      <c r="X28">
        <v>756680293.9888202</v>
      </c>
      <c r="Y28">
        <v>354420465.92647254</v>
      </c>
      <c r="Z28">
        <v>383840557.96647263</v>
      </c>
      <c r="AA28">
        <v>359322591.82647252</v>
      </c>
      <c r="AB28">
        <v>0</v>
      </c>
      <c r="AC28">
        <v>933659276.84498</v>
      </c>
      <c r="AD28">
        <v>693984268.59107542</v>
      </c>
      <c r="AE28">
        <v>346801151.97447264</v>
      </c>
      <c r="AF28">
        <v>500859337.37687963</v>
      </c>
      <c r="AG28">
        <v>480223236.49236643</v>
      </c>
      <c r="AH28">
        <v>559126856.85636652</v>
      </c>
      <c r="AI28">
        <v>2950066864.0749068</v>
      </c>
      <c r="AJ28">
        <v>2320332255.1469069</v>
      </c>
      <c r="AK28">
        <v>339964807.71130097</v>
      </c>
      <c r="AL28">
        <v>293792505.78406751</v>
      </c>
      <c r="AM28">
        <v>191947348.01415378</v>
      </c>
      <c r="AN28">
        <v>242919560.29198879</v>
      </c>
      <c r="AO28">
        <v>292417745.58063108</v>
      </c>
      <c r="AP28">
        <v>348913564.97415376</v>
      </c>
    </row>
    <row r="29" spans="2:42" x14ac:dyDescent="0.25">
      <c r="B29" t="s">
        <v>24</v>
      </c>
      <c r="C29">
        <v>1399247178.8178599</v>
      </c>
      <c r="D29">
        <v>1275715710.2564313</v>
      </c>
      <c r="E29">
        <v>1390347040.963336</v>
      </c>
      <c r="F29">
        <v>1359410262.0699954</v>
      </c>
      <c r="G29">
        <v>1141589292.8978963</v>
      </c>
      <c r="H29">
        <v>1261046066.6607535</v>
      </c>
      <c r="I29">
        <v>1122357069.1264677</v>
      </c>
      <c r="J29">
        <v>1276474074.6134238</v>
      </c>
      <c r="K29">
        <v>1266586552.5564313</v>
      </c>
      <c r="L29">
        <v>1188925069.9578965</v>
      </c>
      <c r="M29">
        <v>1140508373.380213</v>
      </c>
      <c r="N29">
        <v>1005026115.9657083</v>
      </c>
      <c r="O29">
        <v>957364760.86335754</v>
      </c>
      <c r="P29">
        <v>997487636.2553575</v>
      </c>
      <c r="Q29">
        <v>102246619386.74255</v>
      </c>
      <c r="R29">
        <v>1536623247.7158813</v>
      </c>
      <c r="S29">
        <v>1477958967.5775502</v>
      </c>
      <c r="T29">
        <v>1530036240.6238813</v>
      </c>
      <c r="U29">
        <v>1208705447.7613821</v>
      </c>
      <c r="V29">
        <v>774912205.27199996</v>
      </c>
      <c r="W29">
        <v>939695005.20972776</v>
      </c>
      <c r="X29">
        <v>737020573.29744613</v>
      </c>
      <c r="Y29">
        <v>960936933.41342831</v>
      </c>
      <c r="Z29">
        <v>990357025.45342827</v>
      </c>
      <c r="AA29">
        <v>965839059.31342816</v>
      </c>
      <c r="AB29">
        <v>933659276.84498</v>
      </c>
      <c r="AC29">
        <v>0</v>
      </c>
      <c r="AD29">
        <v>424436042.08065534</v>
      </c>
      <c r="AE29">
        <v>378535879.54542828</v>
      </c>
      <c r="AF29">
        <v>644169133.42256677</v>
      </c>
      <c r="AG29">
        <v>173378024.35976115</v>
      </c>
      <c r="AH29">
        <v>252281644.72376114</v>
      </c>
      <c r="AI29">
        <v>2910904019.9199371</v>
      </c>
      <c r="AJ29">
        <v>2281169410.9919372</v>
      </c>
      <c r="AK29">
        <v>645034411.76443136</v>
      </c>
      <c r="AL29">
        <v>311710419.68325841</v>
      </c>
      <c r="AM29">
        <v>217716747.17372608</v>
      </c>
      <c r="AN29">
        <v>259052082.00325841</v>
      </c>
      <c r="AO29">
        <v>446476515.07518536</v>
      </c>
      <c r="AP29">
        <v>374682964.13372612</v>
      </c>
    </row>
    <row r="30" spans="2:42" x14ac:dyDescent="0.25">
      <c r="B30" t="s">
        <v>25</v>
      </c>
      <c r="C30">
        <v>4794560833.975503</v>
      </c>
      <c r="D30">
        <v>4671029365.4140739</v>
      </c>
      <c r="E30">
        <v>834567943.79361737</v>
      </c>
      <c r="F30">
        <v>3156458213.6880198</v>
      </c>
      <c r="G30">
        <v>2517960033.8041797</v>
      </c>
      <c r="H30">
        <v>2637416807.5670371</v>
      </c>
      <c r="I30">
        <v>2498727810.0327516</v>
      </c>
      <c r="J30">
        <v>3073522026.2314482</v>
      </c>
      <c r="K30">
        <v>4661900207.7140741</v>
      </c>
      <c r="L30">
        <v>2565295810.8641796</v>
      </c>
      <c r="M30">
        <v>833045894.24556112</v>
      </c>
      <c r="N30">
        <v>1346233467.3432894</v>
      </c>
      <c r="O30">
        <v>621631359.29664469</v>
      </c>
      <c r="P30">
        <v>661754234.68864465</v>
      </c>
      <c r="Q30">
        <v>791178725.95107543</v>
      </c>
      <c r="R30">
        <v>1086829363.9781609</v>
      </c>
      <c r="S30">
        <v>1559260816.2355127</v>
      </c>
      <c r="T30">
        <v>1080242356.8861609</v>
      </c>
      <c r="U30">
        <v>746296743.16290188</v>
      </c>
      <c r="V30">
        <v>833924873.12344241</v>
      </c>
      <c r="W30">
        <v>977178284.1047883</v>
      </c>
      <c r="X30">
        <v>492979375.91999996</v>
      </c>
      <c r="Y30">
        <v>566221340.87467563</v>
      </c>
      <c r="Z30">
        <v>595641432.91467559</v>
      </c>
      <c r="AA30">
        <v>571123466.77467561</v>
      </c>
      <c r="AB30">
        <v>693984268.59107542</v>
      </c>
      <c r="AC30">
        <v>424436042.08065534</v>
      </c>
      <c r="AD30">
        <v>0</v>
      </c>
      <c r="AE30">
        <v>217493244.28322232</v>
      </c>
      <c r="AF30">
        <v>2675354841.3878226</v>
      </c>
      <c r="AG30">
        <v>96925321.561048061</v>
      </c>
      <c r="AH30">
        <v>175828941.92504805</v>
      </c>
      <c r="AI30">
        <v>4069620685.5323939</v>
      </c>
      <c r="AJ30">
        <v>3439886076.604394</v>
      </c>
      <c r="AK30">
        <v>4274125390.2860737</v>
      </c>
      <c r="AL30">
        <v>666005882.6188736</v>
      </c>
      <c r="AM30">
        <v>614093118.84264374</v>
      </c>
      <c r="AN30">
        <v>613347544.93887353</v>
      </c>
      <c r="AO30">
        <v>616956375.50157952</v>
      </c>
      <c r="AP30">
        <v>771059335.80264378</v>
      </c>
    </row>
    <row r="31" spans="2:42" x14ac:dyDescent="0.25">
      <c r="B31" t="s">
        <v>147</v>
      </c>
      <c r="C31">
        <v>619915673.88754022</v>
      </c>
      <c r="D31">
        <v>496384205.32611167</v>
      </c>
      <c r="E31">
        <v>487664453.14484286</v>
      </c>
      <c r="F31">
        <v>433114209.16513228</v>
      </c>
      <c r="G31">
        <v>376997856.78714526</v>
      </c>
      <c r="H31">
        <v>496454630.55000234</v>
      </c>
      <c r="I31">
        <v>357765633.01571667</v>
      </c>
      <c r="J31">
        <v>350178021.70856094</v>
      </c>
      <c r="K31">
        <v>487255047.62611163</v>
      </c>
      <c r="L31">
        <v>424333633.8471452</v>
      </c>
      <c r="M31">
        <v>215336905.88288561</v>
      </c>
      <c r="N31">
        <v>193514872.14602011</v>
      </c>
      <c r="O31">
        <v>71249690.448221877</v>
      </c>
      <c r="P31">
        <v>111372565.84022188</v>
      </c>
      <c r="Q31">
        <v>443995609.33447254</v>
      </c>
      <c r="R31">
        <v>39698873890.822586</v>
      </c>
      <c r="S31">
        <v>735723407.49215341</v>
      </c>
      <c r="T31">
        <v>39692286883.730583</v>
      </c>
      <c r="U31">
        <v>142923042.98628616</v>
      </c>
      <c r="V31">
        <v>487037208.93342829</v>
      </c>
      <c r="W31">
        <v>348013360.18501067</v>
      </c>
      <c r="X31">
        <v>295963436.07522225</v>
      </c>
      <c r="Y31">
        <v>68627278.807999998</v>
      </c>
      <c r="Z31">
        <v>98047370.84799999</v>
      </c>
      <c r="AA31">
        <v>73529404.708000004</v>
      </c>
      <c r="AB31">
        <v>346801151.97447264</v>
      </c>
      <c r="AC31">
        <v>378535879.54542828</v>
      </c>
      <c r="AD31">
        <v>217493244.28322232</v>
      </c>
      <c r="AE31">
        <v>0</v>
      </c>
      <c r="AF31">
        <v>302708299.02570373</v>
      </c>
      <c r="AG31">
        <v>18656705.466557331</v>
      </c>
      <c r="AH31">
        <v>97560325.830557346</v>
      </c>
      <c r="AI31">
        <v>2908879108.7257266</v>
      </c>
      <c r="AJ31">
        <v>2279144499.7977266</v>
      </c>
      <c r="AK31">
        <v>450538125.34211165</v>
      </c>
      <c r="AL31">
        <v>153868993.50104874</v>
      </c>
      <c r="AM31">
        <v>21569009.025523353</v>
      </c>
      <c r="AN31">
        <v>101210655.82104872</v>
      </c>
      <c r="AO31">
        <v>99985863.794128016</v>
      </c>
      <c r="AP31">
        <v>178535225.98552337</v>
      </c>
    </row>
    <row r="32" spans="2:42" x14ac:dyDescent="0.25">
      <c r="B32" t="s">
        <v>30</v>
      </c>
      <c r="C32">
        <v>889208272.16489577</v>
      </c>
      <c r="D32">
        <v>765676803.60346723</v>
      </c>
      <c r="E32">
        <v>458128200.20583165</v>
      </c>
      <c r="F32">
        <v>140443305.49142858</v>
      </c>
      <c r="G32">
        <v>15008901152.445435</v>
      </c>
      <c r="H32">
        <v>15128357926.208292</v>
      </c>
      <c r="I32">
        <v>14989668928.674006</v>
      </c>
      <c r="J32">
        <v>57507118.034857139</v>
      </c>
      <c r="K32">
        <v>756547645.9034673</v>
      </c>
      <c r="L32">
        <v>15056236929.505434</v>
      </c>
      <c r="M32">
        <v>503324135.81107444</v>
      </c>
      <c r="N32">
        <v>472485507.00008535</v>
      </c>
      <c r="O32">
        <v>268161369.98290011</v>
      </c>
      <c r="P32">
        <v>308284245.3749001</v>
      </c>
      <c r="Q32">
        <v>598053794.73687959</v>
      </c>
      <c r="R32">
        <v>532349470.75954652</v>
      </c>
      <c r="S32">
        <v>1128099789.2827132</v>
      </c>
      <c r="T32">
        <v>525762463.66754657</v>
      </c>
      <c r="U32">
        <v>379218380.01447916</v>
      </c>
      <c r="V32">
        <v>752670462.81056678</v>
      </c>
      <c r="W32">
        <v>357121867.00463921</v>
      </c>
      <c r="X32">
        <v>2753825033.1798224</v>
      </c>
      <c r="Y32">
        <v>300274134.38570374</v>
      </c>
      <c r="Z32">
        <v>329694226.42570376</v>
      </c>
      <c r="AA32">
        <v>305176260.28570372</v>
      </c>
      <c r="AB32">
        <v>500859337.37687963</v>
      </c>
      <c r="AC32">
        <v>644169133.42256677</v>
      </c>
      <c r="AD32">
        <v>2675354841.3878226</v>
      </c>
      <c r="AE32">
        <v>302708299.02570373</v>
      </c>
      <c r="AF32">
        <v>0</v>
      </c>
      <c r="AG32">
        <v>497074671.31895161</v>
      </c>
      <c r="AH32">
        <v>575978291.68295169</v>
      </c>
      <c r="AI32">
        <v>2999903447.4870915</v>
      </c>
      <c r="AJ32">
        <v>2370168838.5590916</v>
      </c>
      <c r="AK32">
        <v>1031940576.9874672</v>
      </c>
      <c r="AL32">
        <v>590867468.29995155</v>
      </c>
      <c r="AM32">
        <v>543163363.79631138</v>
      </c>
      <c r="AN32">
        <v>538209130.61995149</v>
      </c>
      <c r="AO32">
        <v>595150838.09697008</v>
      </c>
      <c r="AP32">
        <v>700129580.75631142</v>
      </c>
    </row>
    <row r="33" spans="1:42" x14ac:dyDescent="0.25">
      <c r="B33" t="s">
        <v>31</v>
      </c>
      <c r="C33">
        <v>491293364.71329337</v>
      </c>
      <c r="D33">
        <v>367761896.15186483</v>
      </c>
      <c r="E33">
        <v>207222305.37340337</v>
      </c>
      <c r="F33">
        <v>315370728.09038025</v>
      </c>
      <c r="G33">
        <v>322320698.12772495</v>
      </c>
      <c r="H33">
        <v>441777471.89058208</v>
      </c>
      <c r="I33">
        <v>303088474.35629636</v>
      </c>
      <c r="J33">
        <v>232434540.63380882</v>
      </c>
      <c r="K33">
        <v>358632738.45186478</v>
      </c>
      <c r="L33">
        <v>369656475.18772495</v>
      </c>
      <c r="M33">
        <v>138250241.39300808</v>
      </c>
      <c r="N33">
        <v>449161332.79494345</v>
      </c>
      <c r="O33">
        <v>326373966.14511794</v>
      </c>
      <c r="P33">
        <v>366496841.53711796</v>
      </c>
      <c r="Q33">
        <v>577417693.85236645</v>
      </c>
      <c r="R33">
        <v>237535711.86288118</v>
      </c>
      <c r="S33">
        <v>665600803.62568665</v>
      </c>
      <c r="T33">
        <v>230948704.77088121</v>
      </c>
      <c r="U33">
        <v>8135358.5051007289</v>
      </c>
      <c r="V33">
        <v>281879353.74776113</v>
      </c>
      <c r="W33">
        <v>247151224.76765832</v>
      </c>
      <c r="X33">
        <v>175395513.35304803</v>
      </c>
      <c r="Y33">
        <v>16222540.826557327</v>
      </c>
      <c r="Z33">
        <v>45642632.86655733</v>
      </c>
      <c r="AA33">
        <v>21124666.726557329</v>
      </c>
      <c r="AB33">
        <v>480223236.49236643</v>
      </c>
      <c r="AC33">
        <v>173378024.35976115</v>
      </c>
      <c r="AD33">
        <v>96925321.561048061</v>
      </c>
      <c r="AE33">
        <v>18656705.466557331</v>
      </c>
      <c r="AF33">
        <v>497074671.31895161</v>
      </c>
      <c r="AG33">
        <v>0</v>
      </c>
      <c r="AH33">
        <v>0</v>
      </c>
      <c r="AI33">
        <v>3312995188.2218103</v>
      </c>
      <c r="AJ33">
        <v>2683260579.2938104</v>
      </c>
      <c r="AK33">
        <v>1289456249.2158649</v>
      </c>
      <c r="AL33">
        <v>1114154395.3570375</v>
      </c>
      <c r="AM33">
        <v>931733519.04679763</v>
      </c>
      <c r="AN33">
        <v>1061496057.6770375</v>
      </c>
      <c r="AO33">
        <v>1071372063.9714243</v>
      </c>
      <c r="AP33">
        <v>1088699736.0067976</v>
      </c>
    </row>
    <row r="34" spans="1:42" x14ac:dyDescent="0.25">
      <c r="B34" t="s">
        <v>32</v>
      </c>
      <c r="C34">
        <v>570196985.0772934</v>
      </c>
      <c r="D34">
        <v>446665516.51586485</v>
      </c>
      <c r="E34">
        <v>286125925.73740339</v>
      </c>
      <c r="F34">
        <v>394274348.45438027</v>
      </c>
      <c r="G34">
        <v>401224318.49172497</v>
      </c>
      <c r="H34">
        <v>520681092.25458211</v>
      </c>
      <c r="I34">
        <v>381992094.72029638</v>
      </c>
      <c r="J34">
        <v>311338160.99780881</v>
      </c>
      <c r="K34">
        <v>437536358.8158648</v>
      </c>
      <c r="L34">
        <v>448560095.55172497</v>
      </c>
      <c r="M34">
        <v>217153861.75700808</v>
      </c>
      <c r="N34">
        <v>528064953.15894347</v>
      </c>
      <c r="O34">
        <v>405277586.50911796</v>
      </c>
      <c r="P34">
        <v>445400461.90111798</v>
      </c>
      <c r="Q34">
        <v>656321314.21636653</v>
      </c>
      <c r="R34">
        <v>316439332.22688121</v>
      </c>
      <c r="S34">
        <v>744504423.98968673</v>
      </c>
      <c r="T34">
        <v>309852325.1348812</v>
      </c>
      <c r="U34">
        <v>87038978.869100735</v>
      </c>
      <c r="V34">
        <v>211142220.63599998</v>
      </c>
      <c r="W34">
        <v>326054845.13165832</v>
      </c>
      <c r="X34">
        <v>254299133.71704805</v>
      </c>
      <c r="Y34">
        <v>95126161.190557331</v>
      </c>
      <c r="Z34">
        <v>124546253.23055734</v>
      </c>
      <c r="AA34">
        <v>100028287.09055734</v>
      </c>
      <c r="AB34">
        <v>559126856.85636652</v>
      </c>
      <c r="AC34">
        <v>252281644.72376114</v>
      </c>
      <c r="AD34">
        <v>175828941.92504805</v>
      </c>
      <c r="AE34">
        <v>97560325.830557346</v>
      </c>
      <c r="AF34">
        <v>575978291.68295169</v>
      </c>
      <c r="AG34">
        <v>0</v>
      </c>
      <c r="AH34">
        <v>0</v>
      </c>
      <c r="AI34">
        <v>2385234791.3178105</v>
      </c>
      <c r="AJ34">
        <v>1755500182.3898108</v>
      </c>
      <c r="AK34">
        <v>361695852.31186479</v>
      </c>
      <c r="AL34">
        <v>186393998.45303762</v>
      </c>
      <c r="AM34">
        <v>3973122.1427977597</v>
      </c>
      <c r="AN34">
        <v>133735660.77303761</v>
      </c>
      <c r="AO34">
        <v>143611667.06742454</v>
      </c>
      <c r="AP34">
        <v>160939339.10279778</v>
      </c>
    </row>
    <row r="35" spans="1:42" x14ac:dyDescent="0.25">
      <c r="B35" t="s">
        <v>33</v>
      </c>
      <c r="C35">
        <v>3131810215.8905497</v>
      </c>
      <c r="D35">
        <v>3008278747.3291211</v>
      </c>
      <c r="E35">
        <v>4187174249.4731255</v>
      </c>
      <c r="F35">
        <v>2818199504.2585206</v>
      </c>
      <c r="G35">
        <v>3196057914.0632415</v>
      </c>
      <c r="H35">
        <v>3315514687.8260989</v>
      </c>
      <c r="I35">
        <v>3176825690.2918129</v>
      </c>
      <c r="J35">
        <v>2735263316.801949</v>
      </c>
      <c r="K35">
        <v>2999149589.6291213</v>
      </c>
      <c r="L35">
        <v>3243393691.1232414</v>
      </c>
      <c r="M35">
        <v>3149739412.1962776</v>
      </c>
      <c r="N35">
        <v>3035828446.8012538</v>
      </c>
      <c r="O35">
        <v>2743546601.4030242</v>
      </c>
      <c r="P35">
        <v>2783669476.7950244</v>
      </c>
      <c r="Q35">
        <v>3047261321.434907</v>
      </c>
      <c r="R35">
        <v>2813847900.9825859</v>
      </c>
      <c r="S35">
        <v>3736170009.9619079</v>
      </c>
      <c r="T35">
        <v>2807260893.8905859</v>
      </c>
      <c r="U35">
        <v>3448912976.4735155</v>
      </c>
      <c r="V35">
        <v>3019405349.3079367</v>
      </c>
      <c r="W35">
        <v>3073596918.9834104</v>
      </c>
      <c r="X35">
        <v>4148090877.3243937</v>
      </c>
      <c r="Y35">
        <v>2906444944.0857267</v>
      </c>
      <c r="Z35">
        <v>2935865036.1257267</v>
      </c>
      <c r="AA35">
        <v>2911347069.9857268</v>
      </c>
      <c r="AB35">
        <v>2950066864.0749068</v>
      </c>
      <c r="AC35">
        <v>2910904019.9199371</v>
      </c>
      <c r="AD35">
        <v>4069620685.5323939</v>
      </c>
      <c r="AE35">
        <v>2908879108.7257266</v>
      </c>
      <c r="AF35">
        <v>2999903447.4870915</v>
      </c>
      <c r="AG35">
        <v>3312995188.2218103</v>
      </c>
      <c r="AH35">
        <v>2385234791.3178105</v>
      </c>
      <c r="AI35">
        <v>0</v>
      </c>
      <c r="AJ35">
        <v>0</v>
      </c>
      <c r="AK35">
        <v>2216626453.0011215</v>
      </c>
      <c r="AL35">
        <v>798878981.74924898</v>
      </c>
      <c r="AM35">
        <v>856544431.30206549</v>
      </c>
      <c r="AN35">
        <v>746220644.06924891</v>
      </c>
      <c r="AO35">
        <v>859592694.14437628</v>
      </c>
      <c r="AP35">
        <v>1013510648.2620655</v>
      </c>
    </row>
    <row r="36" spans="1:42" x14ac:dyDescent="0.25">
      <c r="B36" t="s">
        <v>34</v>
      </c>
      <c r="C36">
        <v>2502075606.9625497</v>
      </c>
      <c r="D36">
        <v>2378544138.4011211</v>
      </c>
      <c r="E36">
        <v>3557439640.5451255</v>
      </c>
      <c r="F36">
        <v>2188464895.3305206</v>
      </c>
      <c r="G36">
        <v>2566323305.1352415</v>
      </c>
      <c r="H36">
        <v>2685780078.8980989</v>
      </c>
      <c r="I36">
        <v>2547091081.3638129</v>
      </c>
      <c r="J36">
        <v>2105528707.8739491</v>
      </c>
      <c r="K36">
        <v>2369414980.7011213</v>
      </c>
      <c r="L36">
        <v>2613659082.1952415</v>
      </c>
      <c r="M36">
        <v>2520004803.2682776</v>
      </c>
      <c r="N36">
        <v>2406093837.8732538</v>
      </c>
      <c r="O36">
        <v>2113811992.4750245</v>
      </c>
      <c r="P36">
        <v>2153934867.8670244</v>
      </c>
      <c r="Q36">
        <v>2417526712.506907</v>
      </c>
      <c r="R36">
        <v>2184113292.0545859</v>
      </c>
      <c r="S36">
        <v>3106435401.0339079</v>
      </c>
      <c r="T36">
        <v>2177526284.9625859</v>
      </c>
      <c r="U36">
        <v>2819178367.5455155</v>
      </c>
      <c r="V36">
        <v>2389670740.3799367</v>
      </c>
      <c r="W36">
        <v>2443862310.0554104</v>
      </c>
      <c r="X36">
        <v>3518356268.3963938</v>
      </c>
      <c r="Y36">
        <v>2276710335.1577268</v>
      </c>
      <c r="Z36">
        <v>2306130427.1977267</v>
      </c>
      <c r="AA36">
        <v>2281612461.0577269</v>
      </c>
      <c r="AB36">
        <v>2320332255.1469069</v>
      </c>
      <c r="AC36">
        <v>2281169410.9919372</v>
      </c>
      <c r="AD36">
        <v>3439886076.604394</v>
      </c>
      <c r="AE36">
        <v>2279144499.7977266</v>
      </c>
      <c r="AF36">
        <v>2370168838.5590916</v>
      </c>
      <c r="AG36">
        <v>2683260579.2938104</v>
      </c>
      <c r="AH36">
        <v>1755500182.3898108</v>
      </c>
      <c r="AI36">
        <v>0</v>
      </c>
      <c r="AJ36">
        <v>0</v>
      </c>
      <c r="AK36">
        <v>2409110005.1451216</v>
      </c>
      <c r="AL36">
        <v>991362533.89324892</v>
      </c>
      <c r="AM36">
        <v>1049027983.4460654</v>
      </c>
      <c r="AN36">
        <v>938704196.21324885</v>
      </c>
      <c r="AO36">
        <v>1052076246.2883762</v>
      </c>
      <c r="AP36">
        <v>1205994200.4060655</v>
      </c>
    </row>
    <row r="37" spans="1:42" x14ac:dyDescent="0.25">
      <c r="B37" t="s">
        <v>35</v>
      </c>
      <c r="C37">
        <v>0</v>
      </c>
      <c r="D37">
        <v>0</v>
      </c>
      <c r="E37">
        <v>0</v>
      </c>
      <c r="F37">
        <v>850236633.75889587</v>
      </c>
      <c r="G37">
        <v>784741722.55394709</v>
      </c>
      <c r="H37">
        <v>904198496.31680417</v>
      </c>
      <c r="I37">
        <v>765509498.78251851</v>
      </c>
      <c r="J37">
        <v>767300446.30232441</v>
      </c>
      <c r="K37">
        <v>0</v>
      </c>
      <c r="L37">
        <v>832077499.61394703</v>
      </c>
      <c r="M37">
        <v>651310725.93189621</v>
      </c>
      <c r="N37">
        <v>597418461.76443493</v>
      </c>
      <c r="O37">
        <v>408543339.22708696</v>
      </c>
      <c r="P37">
        <v>448666214.61908698</v>
      </c>
      <c r="Q37">
        <v>437159265.07130092</v>
      </c>
      <c r="R37">
        <v>446158941.40542221</v>
      </c>
      <c r="S37">
        <v>1133379239.6302609</v>
      </c>
      <c r="T37">
        <v>439571934.31342226</v>
      </c>
      <c r="U37">
        <v>766200502.59505224</v>
      </c>
      <c r="V37">
        <v>753535741.15243137</v>
      </c>
      <c r="W37">
        <v>413808167.2626276</v>
      </c>
      <c r="X37">
        <v>4352595582.0780735</v>
      </c>
      <c r="Y37">
        <v>448103960.70211166</v>
      </c>
      <c r="Z37">
        <v>477524052.74211168</v>
      </c>
      <c r="AA37">
        <v>453006086.60211164</v>
      </c>
      <c r="AB37">
        <v>339964807.71130097</v>
      </c>
      <c r="AC37">
        <v>645034411.76443136</v>
      </c>
      <c r="AD37">
        <v>4274125390.2860737</v>
      </c>
      <c r="AE37">
        <v>450538125.34211165</v>
      </c>
      <c r="AF37">
        <v>1031940576.9874672</v>
      </c>
      <c r="AG37">
        <v>1289456249.2158649</v>
      </c>
      <c r="AH37">
        <v>361695852.31186479</v>
      </c>
      <c r="AI37">
        <v>2216626453.0011215</v>
      </c>
      <c r="AJ37">
        <v>2409110005.1451216</v>
      </c>
      <c r="AK37">
        <v>0</v>
      </c>
      <c r="AL37">
        <v>512076152.46710157</v>
      </c>
      <c r="AM37">
        <v>467747357.54117262</v>
      </c>
      <c r="AN37">
        <v>459417814.78710157</v>
      </c>
      <c r="AO37">
        <v>582107673.49283338</v>
      </c>
      <c r="AP37">
        <v>624713574.50117266</v>
      </c>
    </row>
    <row r="38" spans="1:42" x14ac:dyDescent="0.25">
      <c r="B38" t="s">
        <v>36</v>
      </c>
      <c r="C38">
        <v>657805451.12453008</v>
      </c>
      <c r="D38">
        <v>534273982.56310159</v>
      </c>
      <c r="E38">
        <v>632711690.55923593</v>
      </c>
      <c r="F38">
        <v>409163525.0713802</v>
      </c>
      <c r="G38">
        <v>424627234.21190143</v>
      </c>
      <c r="H38">
        <v>544084007.97475851</v>
      </c>
      <c r="I38">
        <v>405395010.44047284</v>
      </c>
      <c r="J38">
        <v>326227337.61480874</v>
      </c>
      <c r="K38">
        <v>525144824.86310154</v>
      </c>
      <c r="L38">
        <v>471963011.27190143</v>
      </c>
      <c r="M38">
        <v>141574974.02849257</v>
      </c>
      <c r="N38">
        <v>243746663.817936</v>
      </c>
      <c r="O38">
        <v>131851221.73526356</v>
      </c>
      <c r="P38">
        <v>171974097.12726355</v>
      </c>
      <c r="Q38">
        <v>390986963.14406753</v>
      </c>
      <c r="R38">
        <v>368885308.50296628</v>
      </c>
      <c r="S38">
        <v>822338623.31363153</v>
      </c>
      <c r="T38">
        <v>362298301.41096634</v>
      </c>
      <c r="U38">
        <v>191012019.55714834</v>
      </c>
      <c r="V38">
        <v>420211749.07125843</v>
      </c>
      <c r="W38">
        <v>297494142.01950121</v>
      </c>
      <c r="X38">
        <v>744476074.41087353</v>
      </c>
      <c r="Y38">
        <v>151434828.86104873</v>
      </c>
      <c r="Z38">
        <v>180854920.90104872</v>
      </c>
      <c r="AA38">
        <v>156336954.76104873</v>
      </c>
      <c r="AB38">
        <v>293792505.78406751</v>
      </c>
      <c r="AC38">
        <v>311710419.68325841</v>
      </c>
      <c r="AD38">
        <v>666005882.6188736</v>
      </c>
      <c r="AE38">
        <v>153868993.50104874</v>
      </c>
      <c r="AF38">
        <v>590867468.29995155</v>
      </c>
      <c r="AG38">
        <v>1114154395.3570375</v>
      </c>
      <c r="AH38">
        <v>186393998.45303762</v>
      </c>
      <c r="AI38">
        <v>798878981.74924898</v>
      </c>
      <c r="AJ38">
        <v>991362533.89324892</v>
      </c>
      <c r="AK38">
        <v>512076152.46710157</v>
      </c>
      <c r="AL38">
        <v>0</v>
      </c>
      <c r="AM38">
        <v>168979402.61462909</v>
      </c>
      <c r="AN38">
        <v>0</v>
      </c>
      <c r="AO38">
        <v>171784175.07336694</v>
      </c>
      <c r="AP38">
        <v>325945619.57462907</v>
      </c>
    </row>
    <row r="39" spans="1:42" x14ac:dyDescent="0.25">
      <c r="B39" t="s">
        <v>37</v>
      </c>
      <c r="C39">
        <v>613476656.19860125</v>
      </c>
      <c r="D39">
        <v>489945187.63717264</v>
      </c>
      <c r="E39">
        <v>228270751.64191073</v>
      </c>
      <c r="F39">
        <v>361459420.56774008</v>
      </c>
      <c r="G39">
        <v>340813824.21482909</v>
      </c>
      <c r="H39">
        <v>460270597.97768617</v>
      </c>
      <c r="I39">
        <v>321581600.4434005</v>
      </c>
      <c r="J39">
        <v>278523233.11116862</v>
      </c>
      <c r="K39">
        <v>480816029.93717259</v>
      </c>
      <c r="L39">
        <v>388149601.27482909</v>
      </c>
      <c r="M39">
        <v>149804250.81197733</v>
      </c>
      <c r="N39">
        <v>119565089.88541269</v>
      </c>
      <c r="O39">
        <v>25112733.203740384</v>
      </c>
      <c r="P39">
        <v>65235608.595740393</v>
      </c>
      <c r="Q39">
        <v>289141805.37415379</v>
      </c>
      <c r="R39">
        <v>281544732.37646675</v>
      </c>
      <c r="S39">
        <v>745099834.00380421</v>
      </c>
      <c r="T39">
        <v>274957725.2844668</v>
      </c>
      <c r="U39">
        <v>26096331.723872628</v>
      </c>
      <c r="V39">
        <v>326218076.56172609</v>
      </c>
      <c r="W39">
        <v>278701413.58029974</v>
      </c>
      <c r="X39">
        <v>692563310.63464367</v>
      </c>
      <c r="Y39">
        <v>19134844.385523349</v>
      </c>
      <c r="Z39">
        <v>48554936.425523348</v>
      </c>
      <c r="AA39">
        <v>24036970.285523348</v>
      </c>
      <c r="AB39">
        <v>191947348.01415378</v>
      </c>
      <c r="AC39">
        <v>217716747.17372608</v>
      </c>
      <c r="AD39">
        <v>614093118.84264374</v>
      </c>
      <c r="AE39">
        <v>21569009.025523353</v>
      </c>
      <c r="AF39">
        <v>543163363.79631138</v>
      </c>
      <c r="AG39">
        <v>931733519.04679763</v>
      </c>
      <c r="AH39">
        <v>3973122.1427977597</v>
      </c>
      <c r="AI39">
        <v>856544431.30206549</v>
      </c>
      <c r="AJ39">
        <v>1049027983.4460654</v>
      </c>
      <c r="AK39">
        <v>467747357.54117262</v>
      </c>
      <c r="AL39">
        <v>168979402.61462909</v>
      </c>
      <c r="AM39">
        <v>0</v>
      </c>
      <c r="AN39">
        <v>214172318.3270098</v>
      </c>
      <c r="AO39">
        <v>121279066.03200001</v>
      </c>
      <c r="AP39">
        <v>0</v>
      </c>
    </row>
    <row r="40" spans="1:42" x14ac:dyDescent="0.25">
      <c r="B40" t="s">
        <v>38</v>
      </c>
      <c r="C40">
        <v>605147113.44453001</v>
      </c>
      <c r="D40">
        <v>481615644.88310158</v>
      </c>
      <c r="E40">
        <v>580053352.87923586</v>
      </c>
      <c r="F40">
        <v>356505187.39138019</v>
      </c>
      <c r="G40">
        <v>371968896.53190142</v>
      </c>
      <c r="H40">
        <v>491425670.2947585</v>
      </c>
      <c r="I40">
        <v>352736672.76047283</v>
      </c>
      <c r="J40">
        <v>273568999.93480873</v>
      </c>
      <c r="K40">
        <v>472486487.18310153</v>
      </c>
      <c r="L40">
        <v>419304673.59190142</v>
      </c>
      <c r="M40">
        <v>88916636.348492563</v>
      </c>
      <c r="N40">
        <v>191088326.137936</v>
      </c>
      <c r="O40">
        <v>79192884.055263549</v>
      </c>
      <c r="P40">
        <v>119315759.44726355</v>
      </c>
      <c r="Q40">
        <v>338328625.46406752</v>
      </c>
      <c r="R40">
        <v>316226970.82296628</v>
      </c>
      <c r="S40">
        <v>769680285.63363147</v>
      </c>
      <c r="T40">
        <v>309639963.73096633</v>
      </c>
      <c r="U40">
        <v>138353681.87714833</v>
      </c>
      <c r="V40">
        <v>367553411.39125842</v>
      </c>
      <c r="W40">
        <v>244835804.3395012</v>
      </c>
      <c r="X40">
        <v>691817736.73087347</v>
      </c>
      <c r="Y40">
        <v>98909482.638902575</v>
      </c>
      <c r="Z40">
        <v>128329574.67890258</v>
      </c>
      <c r="AA40">
        <v>103811608.53890257</v>
      </c>
      <c r="AB40">
        <v>242919560.29198879</v>
      </c>
      <c r="AC40">
        <v>259052082.00325841</v>
      </c>
      <c r="AD40">
        <v>613347544.93887353</v>
      </c>
      <c r="AE40">
        <v>101210655.82104872</v>
      </c>
      <c r="AF40">
        <v>538209130.61995149</v>
      </c>
      <c r="AG40">
        <v>1061496057.6770375</v>
      </c>
      <c r="AH40">
        <v>133735660.77303761</v>
      </c>
      <c r="AI40">
        <v>746220644.06924891</v>
      </c>
      <c r="AJ40">
        <v>938704196.21324885</v>
      </c>
      <c r="AK40">
        <v>459417814.78710157</v>
      </c>
      <c r="AL40">
        <v>0</v>
      </c>
      <c r="AM40">
        <v>214172318.3270098</v>
      </c>
      <c r="AN40">
        <v>0</v>
      </c>
      <c r="AO40">
        <v>2828407.2319999998</v>
      </c>
      <c r="AP40">
        <v>156966216.96000001</v>
      </c>
    </row>
    <row r="41" spans="1:42" x14ac:dyDescent="0.25">
      <c r="B41" t="s">
        <v>39</v>
      </c>
      <c r="C41">
        <v>727836972.150262</v>
      </c>
      <c r="D41">
        <v>604305503.58883333</v>
      </c>
      <c r="E41">
        <v>801586773.67050898</v>
      </c>
      <c r="F41">
        <v>413446894.86839873</v>
      </c>
      <c r="G41">
        <v>411996550.34181863</v>
      </c>
      <c r="H41">
        <v>531453324.10467577</v>
      </c>
      <c r="I41">
        <v>392764326.57039005</v>
      </c>
      <c r="J41">
        <v>330510707.41182733</v>
      </c>
      <c r="K41">
        <v>595176345.8888334</v>
      </c>
      <c r="L41">
        <v>459332327.40181863</v>
      </c>
      <c r="M41">
        <v>245158608.35347027</v>
      </c>
      <c r="N41">
        <v>122386154.51936096</v>
      </c>
      <c r="O41">
        <v>78993427.953550577</v>
      </c>
      <c r="P41">
        <v>119116303.3455506</v>
      </c>
      <c r="Q41">
        <v>389612202.94063109</v>
      </c>
      <c r="R41">
        <v>385033659.15949833</v>
      </c>
      <c r="S41">
        <v>885818929.85196042</v>
      </c>
      <c r="T41">
        <v>378446652.06749839</v>
      </c>
      <c r="U41">
        <v>143960164.63494378</v>
      </c>
      <c r="V41">
        <v>554977844.46318543</v>
      </c>
      <c r="W41">
        <v>441894696.80872822</v>
      </c>
      <c r="X41">
        <v>695426567.29357946</v>
      </c>
      <c r="Y41">
        <v>97551699.154128015</v>
      </c>
      <c r="Z41">
        <v>126971791.19412801</v>
      </c>
      <c r="AA41">
        <v>102453825.05412802</v>
      </c>
      <c r="AB41">
        <v>292417745.58063108</v>
      </c>
      <c r="AC41">
        <v>446476515.07518536</v>
      </c>
      <c r="AD41">
        <v>616956375.50157952</v>
      </c>
      <c r="AE41">
        <v>99985863.794128016</v>
      </c>
      <c r="AF41">
        <v>595150838.09697008</v>
      </c>
      <c r="AG41">
        <v>1071372063.9714243</v>
      </c>
      <c r="AH41">
        <v>143611667.06742454</v>
      </c>
      <c r="AI41">
        <v>859592694.14437628</v>
      </c>
      <c r="AJ41">
        <v>1052076246.2883762</v>
      </c>
      <c r="AK41">
        <v>582107673.49283338</v>
      </c>
      <c r="AL41">
        <v>171784175.07336694</v>
      </c>
      <c r="AM41">
        <v>121279066.03200001</v>
      </c>
      <c r="AN41">
        <v>2828407.2319999998</v>
      </c>
      <c r="AO41">
        <v>0</v>
      </c>
      <c r="AP41">
        <v>156966216.96000001</v>
      </c>
    </row>
    <row r="42" spans="1:42" x14ac:dyDescent="0.25">
      <c r="B42" t="s">
        <v>40</v>
      </c>
      <c r="C42">
        <v>770442873.15860128</v>
      </c>
      <c r="D42">
        <v>646911404.59717262</v>
      </c>
      <c r="E42">
        <v>385236968.60191071</v>
      </c>
      <c r="F42">
        <v>518425637.52774012</v>
      </c>
      <c r="G42">
        <v>497780041.17482913</v>
      </c>
      <c r="H42">
        <v>617236814.9376862</v>
      </c>
      <c r="I42">
        <v>478547817.40340054</v>
      </c>
      <c r="J42">
        <v>435489450.07116866</v>
      </c>
      <c r="K42">
        <v>637782246.89717257</v>
      </c>
      <c r="L42">
        <v>545115818.23482907</v>
      </c>
      <c r="M42">
        <v>306770467.77197731</v>
      </c>
      <c r="N42">
        <v>330794442.44465077</v>
      </c>
      <c r="O42">
        <v>182078950.1637404</v>
      </c>
      <c r="P42">
        <v>222201825.55574042</v>
      </c>
      <c r="Q42">
        <v>446108022.33415377</v>
      </c>
      <c r="R42">
        <v>438510949.33646679</v>
      </c>
      <c r="S42">
        <v>902066050.96380424</v>
      </c>
      <c r="T42">
        <v>431923942.24446678</v>
      </c>
      <c r="U42">
        <v>183062548.68387264</v>
      </c>
      <c r="V42">
        <v>483184293.52172613</v>
      </c>
      <c r="W42">
        <v>435667630.54029977</v>
      </c>
      <c r="X42">
        <v>849529527.59464371</v>
      </c>
      <c r="Y42">
        <v>176101061.34552336</v>
      </c>
      <c r="Z42">
        <v>205521153.38552335</v>
      </c>
      <c r="AA42">
        <v>181003187.24552336</v>
      </c>
      <c r="AB42">
        <v>348913564.97415376</v>
      </c>
      <c r="AC42">
        <v>374682964.13372612</v>
      </c>
      <c r="AD42">
        <v>771059335.80264378</v>
      </c>
      <c r="AE42">
        <v>178535225.98552337</v>
      </c>
      <c r="AF42">
        <v>700129580.75631142</v>
      </c>
      <c r="AG42">
        <v>1088699736.0067976</v>
      </c>
      <c r="AH42">
        <v>160939339.10279778</v>
      </c>
      <c r="AI42">
        <v>1013510648.2620655</v>
      </c>
      <c r="AJ42">
        <v>1205994200.4060655</v>
      </c>
      <c r="AK42">
        <v>624713574.50117266</v>
      </c>
      <c r="AL42">
        <v>325945619.57462907</v>
      </c>
      <c r="AM42">
        <v>0</v>
      </c>
      <c r="AN42">
        <v>156966216.96000001</v>
      </c>
      <c r="AO42">
        <v>156966216.96000001</v>
      </c>
      <c r="AP42">
        <v>0</v>
      </c>
    </row>
    <row r="45" spans="1:42" x14ac:dyDescent="0.25">
      <c r="A45" t="s">
        <v>117</v>
      </c>
      <c r="B45" t="s">
        <v>118</v>
      </c>
      <c r="C45" t="s">
        <v>119</v>
      </c>
      <c r="D45" t="s">
        <v>120</v>
      </c>
      <c r="E45" t="s">
        <v>125</v>
      </c>
    </row>
    <row r="46" spans="1:42" hidden="1" x14ac:dyDescent="0.25">
      <c r="A46">
        <v>1</v>
      </c>
      <c r="B46">
        <v>1</v>
      </c>
      <c r="C46" t="s">
        <v>0</v>
      </c>
      <c r="D46" t="s">
        <v>0</v>
      </c>
      <c r="E46">
        <v>0</v>
      </c>
    </row>
    <row r="47" spans="1:42" hidden="1" x14ac:dyDescent="0.25">
      <c r="A47">
        <v>1</v>
      </c>
      <c r="B47">
        <v>2</v>
      </c>
      <c r="C47" t="s">
        <v>0</v>
      </c>
      <c r="D47" t="s">
        <v>1</v>
      </c>
      <c r="E47">
        <f ca="1">OFFSET($B$2,A47,B47)</f>
        <v>0</v>
      </c>
    </row>
    <row r="48" spans="1:42" hidden="1" x14ac:dyDescent="0.25">
      <c r="A48">
        <v>1</v>
      </c>
      <c r="B48">
        <v>3</v>
      </c>
      <c r="C48" t="s">
        <v>0</v>
      </c>
      <c r="D48" t="s">
        <v>2</v>
      </c>
      <c r="E48">
        <f ca="1">OFFSET($B$2,A48,B48)</f>
        <v>1089912194.4411232</v>
      </c>
    </row>
    <row r="49" spans="1:5" hidden="1" x14ac:dyDescent="0.25">
      <c r="A49">
        <v>1</v>
      </c>
      <c r="B49">
        <v>4</v>
      </c>
      <c r="C49" t="s">
        <v>0</v>
      </c>
      <c r="D49" t="s">
        <v>3</v>
      </c>
      <c r="E49">
        <f ca="1">OFFSET($B$2,A49,B49)</f>
        <v>984896664.85061002</v>
      </c>
    </row>
    <row r="50" spans="1:5" hidden="1" x14ac:dyDescent="0.25">
      <c r="A50">
        <v>1</v>
      </c>
      <c r="B50">
        <v>5</v>
      </c>
      <c r="C50" t="s">
        <v>0</v>
      </c>
      <c r="D50" t="s">
        <v>4</v>
      </c>
      <c r="E50">
        <f t="shared" ref="E50:E109" ca="1" si="0">OFFSET($B$2,A50,B50)</f>
        <v>924782667.73708987</v>
      </c>
    </row>
    <row r="51" spans="1:5" hidden="1" x14ac:dyDescent="0.25">
      <c r="A51">
        <v>1</v>
      </c>
      <c r="B51">
        <v>6</v>
      </c>
      <c r="C51" t="s">
        <v>0</v>
      </c>
      <c r="D51" t="s">
        <v>5</v>
      </c>
      <c r="E51">
        <f t="shared" ca="1" si="0"/>
        <v>1052458919.0370899</v>
      </c>
    </row>
    <row r="52" spans="1:5" hidden="1" x14ac:dyDescent="0.25">
      <c r="A52">
        <v>1</v>
      </c>
      <c r="B52">
        <v>7</v>
      </c>
      <c r="C52" t="s">
        <v>0</v>
      </c>
      <c r="D52" t="s">
        <v>6</v>
      </c>
      <c r="E52">
        <f t="shared" ca="1" si="0"/>
        <v>900221537.80423272</v>
      </c>
    </row>
    <row r="53" spans="1:5" hidden="1" x14ac:dyDescent="0.25">
      <c r="A53">
        <v>1</v>
      </c>
      <c r="B53">
        <v>8</v>
      </c>
      <c r="C53" t="s">
        <v>0</v>
      </c>
      <c r="D53" t="s">
        <v>7</v>
      </c>
      <c r="E53">
        <f t="shared" ca="1" si="0"/>
        <v>1023351870.3740387</v>
      </c>
    </row>
    <row r="54" spans="1:5" hidden="1" x14ac:dyDescent="0.25">
      <c r="A54">
        <v>1</v>
      </c>
      <c r="B54">
        <v>9</v>
      </c>
      <c r="C54" t="s">
        <v>0</v>
      </c>
      <c r="D54" t="s">
        <v>148</v>
      </c>
      <c r="E54">
        <f t="shared" ca="1" si="0"/>
        <v>0</v>
      </c>
    </row>
    <row r="55" spans="1:5" hidden="1" x14ac:dyDescent="0.25">
      <c r="A55">
        <v>1</v>
      </c>
      <c r="B55">
        <v>10</v>
      </c>
      <c r="C55" t="s">
        <v>0</v>
      </c>
      <c r="D55" t="s">
        <v>9</v>
      </c>
      <c r="E55">
        <f t="shared" ca="1" si="0"/>
        <v>997405119.77280426</v>
      </c>
    </row>
    <row r="56" spans="1:5" hidden="1" x14ac:dyDescent="0.25">
      <c r="A56">
        <v>1</v>
      </c>
      <c r="B56">
        <v>11</v>
      </c>
      <c r="C56" t="s">
        <v>0</v>
      </c>
      <c r="D56" t="s">
        <v>10</v>
      </c>
      <c r="E56">
        <f t="shared" ca="1" si="0"/>
        <v>849306243.90932488</v>
      </c>
    </row>
    <row r="57" spans="1:5" hidden="1" x14ac:dyDescent="0.25">
      <c r="A57">
        <v>1</v>
      </c>
      <c r="B57">
        <v>12</v>
      </c>
      <c r="C57" t="s">
        <v>0</v>
      </c>
      <c r="D57" t="s">
        <v>11</v>
      </c>
      <c r="E57">
        <f t="shared" ca="1" si="0"/>
        <v>917601763.78186345</v>
      </c>
    </row>
    <row r="58" spans="1:5" hidden="1" x14ac:dyDescent="0.25">
      <c r="A58">
        <v>1</v>
      </c>
      <c r="B58">
        <v>13</v>
      </c>
      <c r="C58" t="s">
        <v>0</v>
      </c>
      <c r="D58" t="s">
        <v>12</v>
      </c>
      <c r="E58">
        <f t="shared" ca="1" si="0"/>
        <v>546931364.00451553</v>
      </c>
    </row>
    <row r="59" spans="1:5" hidden="1" x14ac:dyDescent="0.25">
      <c r="A59">
        <v>1</v>
      </c>
      <c r="B59">
        <v>14</v>
      </c>
      <c r="C59" t="s">
        <v>0</v>
      </c>
      <c r="D59" t="s">
        <v>13</v>
      </c>
      <c r="E59">
        <f t="shared" ca="1" si="0"/>
        <v>633888999.49251556</v>
      </c>
    </row>
    <row r="60" spans="1:5" hidden="1" x14ac:dyDescent="0.25">
      <c r="A60">
        <v>1</v>
      </c>
      <c r="B60">
        <v>15</v>
      </c>
      <c r="C60" t="s">
        <v>0</v>
      </c>
      <c r="D60" t="s">
        <v>14</v>
      </c>
      <c r="E60">
        <f t="shared" ca="1" si="0"/>
        <v>662783378.70072949</v>
      </c>
    </row>
    <row r="61" spans="1:5" hidden="1" x14ac:dyDescent="0.25">
      <c r="A61">
        <v>1</v>
      </c>
      <c r="B61">
        <v>16</v>
      </c>
      <c r="C61" t="s">
        <v>0</v>
      </c>
      <c r="D61" t="s">
        <v>15</v>
      </c>
      <c r="E61">
        <f t="shared" ca="1" si="0"/>
        <v>541058967.1773386</v>
      </c>
    </row>
    <row r="62" spans="1:5" hidden="1" x14ac:dyDescent="0.25">
      <c r="A62">
        <v>1</v>
      </c>
      <c r="B62">
        <v>17</v>
      </c>
      <c r="C62" t="s">
        <v>0</v>
      </c>
      <c r="D62" t="s">
        <v>16</v>
      </c>
      <c r="E62">
        <f t="shared" ca="1" si="0"/>
        <v>1330469918.8076894</v>
      </c>
    </row>
    <row r="63" spans="1:5" hidden="1" x14ac:dyDescent="0.25">
      <c r="A63">
        <v>1</v>
      </c>
      <c r="B63">
        <v>18</v>
      </c>
      <c r="C63" t="s">
        <v>0</v>
      </c>
      <c r="D63" t="s">
        <v>17</v>
      </c>
      <c r="E63">
        <f t="shared" ca="1" si="0"/>
        <v>734348959.47733867</v>
      </c>
    </row>
    <row r="64" spans="1:5" hidden="1" x14ac:dyDescent="0.25">
      <c r="A64">
        <v>1</v>
      </c>
      <c r="B64">
        <v>19</v>
      </c>
      <c r="C64" t="s">
        <v>0</v>
      </c>
      <c r="D64" t="s">
        <v>18</v>
      </c>
      <c r="E64">
        <f t="shared" ca="1" si="0"/>
        <v>893784245.48448074</v>
      </c>
    </row>
    <row r="65" spans="1:5" hidden="1" x14ac:dyDescent="0.25">
      <c r="A65">
        <v>1</v>
      </c>
      <c r="B65">
        <v>20</v>
      </c>
      <c r="C65" t="s">
        <v>0</v>
      </c>
      <c r="D65" t="s">
        <v>19</v>
      </c>
      <c r="E65">
        <f t="shared" ca="1" si="0"/>
        <v>989089495.65785992</v>
      </c>
    </row>
    <row r="66" spans="1:5" hidden="1" x14ac:dyDescent="0.25">
      <c r="A66">
        <v>1</v>
      </c>
      <c r="B66">
        <v>21</v>
      </c>
      <c r="C66" t="s">
        <v>0</v>
      </c>
      <c r="D66" t="s">
        <v>20</v>
      </c>
      <c r="E66">
        <f t="shared" ca="1" si="0"/>
        <v>1025531526.7900378</v>
      </c>
    </row>
    <row r="67" spans="1:5" hidden="1" x14ac:dyDescent="0.25">
      <c r="A67">
        <v>1</v>
      </c>
      <c r="B67">
        <v>22</v>
      </c>
      <c r="C67" t="s">
        <v>0</v>
      </c>
      <c r="D67" t="s">
        <v>21</v>
      </c>
      <c r="E67">
        <f t="shared" ca="1" si="0"/>
        <v>4614606103.975503</v>
      </c>
    </row>
    <row r="68" spans="1:5" hidden="1" x14ac:dyDescent="0.25">
      <c r="A68">
        <v>1</v>
      </c>
      <c r="B68">
        <v>23</v>
      </c>
      <c r="C68" t="s">
        <v>0</v>
      </c>
      <c r="D68" t="s">
        <v>22</v>
      </c>
      <c r="E68">
        <f t="shared" ca="1" si="0"/>
        <v>655700175.07954025</v>
      </c>
    </row>
    <row r="69" spans="1:5" hidden="1" x14ac:dyDescent="0.25">
      <c r="A69">
        <v>1</v>
      </c>
      <c r="B69">
        <v>24</v>
      </c>
      <c r="C69" t="s">
        <v>0</v>
      </c>
      <c r="D69" t="s">
        <v>23</v>
      </c>
      <c r="E69">
        <f t="shared" ca="1" si="0"/>
        <v>647352585.67954028</v>
      </c>
    </row>
    <row r="70" spans="1:5" hidden="1" x14ac:dyDescent="0.25">
      <c r="A70">
        <v>1</v>
      </c>
      <c r="B70">
        <v>25</v>
      </c>
      <c r="C70" t="s">
        <v>0</v>
      </c>
      <c r="D70" t="s">
        <v>24</v>
      </c>
      <c r="E70">
        <f t="shared" ca="1" si="0"/>
        <v>588640972.57954025</v>
      </c>
    </row>
    <row r="71" spans="1:5" hidden="1" x14ac:dyDescent="0.25">
      <c r="A71">
        <v>1</v>
      </c>
      <c r="B71">
        <v>26</v>
      </c>
      <c r="C71" t="s">
        <v>0</v>
      </c>
      <c r="D71" t="s">
        <v>25</v>
      </c>
      <c r="E71">
        <f t="shared" ca="1" si="0"/>
        <v>519395834.84872949</v>
      </c>
    </row>
    <row r="72" spans="1:5" hidden="1" x14ac:dyDescent="0.25">
      <c r="A72">
        <v>1</v>
      </c>
      <c r="B72">
        <v>27</v>
      </c>
      <c r="C72" t="s">
        <v>0</v>
      </c>
      <c r="D72" t="s">
        <v>145</v>
      </c>
      <c r="E72">
        <f t="shared" ca="1" si="0"/>
        <v>1399247178.8178599</v>
      </c>
    </row>
    <row r="73" spans="1:5" hidden="1" x14ac:dyDescent="0.25">
      <c r="A73">
        <v>1</v>
      </c>
      <c r="B73">
        <v>28</v>
      </c>
      <c r="C73" t="s">
        <v>0</v>
      </c>
      <c r="D73" t="s">
        <v>147</v>
      </c>
      <c r="E73">
        <f t="shared" ca="1" si="0"/>
        <v>4794560833.975503</v>
      </c>
    </row>
    <row r="74" spans="1:5" hidden="1" x14ac:dyDescent="0.25">
      <c r="A74">
        <v>1</v>
      </c>
      <c r="B74">
        <v>29</v>
      </c>
      <c r="C74" t="s">
        <v>0</v>
      </c>
      <c r="D74" t="s">
        <v>146</v>
      </c>
      <c r="E74">
        <f t="shared" ca="1" si="0"/>
        <v>619915673.88754022</v>
      </c>
    </row>
    <row r="75" spans="1:5" hidden="1" x14ac:dyDescent="0.25">
      <c r="A75">
        <v>1</v>
      </c>
      <c r="B75">
        <v>30</v>
      </c>
      <c r="C75" t="s">
        <v>0</v>
      </c>
      <c r="D75" t="s">
        <v>30</v>
      </c>
      <c r="E75">
        <f t="shared" ca="1" si="0"/>
        <v>889208272.16489577</v>
      </c>
    </row>
    <row r="76" spans="1:5" hidden="1" x14ac:dyDescent="0.25">
      <c r="A76">
        <v>1</v>
      </c>
      <c r="B76">
        <v>31</v>
      </c>
      <c r="C76" t="s">
        <v>0</v>
      </c>
      <c r="D76" t="s">
        <v>31</v>
      </c>
      <c r="E76">
        <f t="shared" ca="1" si="0"/>
        <v>491293364.71329337</v>
      </c>
    </row>
    <row r="77" spans="1:5" hidden="1" x14ac:dyDescent="0.25">
      <c r="A77">
        <v>1</v>
      </c>
      <c r="B77">
        <v>32</v>
      </c>
      <c r="C77" t="s">
        <v>0</v>
      </c>
      <c r="D77" t="s">
        <v>32</v>
      </c>
      <c r="E77">
        <f t="shared" ca="1" si="0"/>
        <v>570196985.0772934</v>
      </c>
    </row>
    <row r="78" spans="1:5" hidden="1" x14ac:dyDescent="0.25">
      <c r="A78">
        <v>1</v>
      </c>
      <c r="B78">
        <v>33</v>
      </c>
      <c r="C78" t="s">
        <v>0</v>
      </c>
      <c r="D78" t="s">
        <v>33</v>
      </c>
      <c r="E78">
        <f t="shared" ca="1" si="0"/>
        <v>3131810215.8905497</v>
      </c>
    </row>
    <row r="79" spans="1:5" hidden="1" x14ac:dyDescent="0.25">
      <c r="A79">
        <v>1</v>
      </c>
      <c r="B79">
        <v>34</v>
      </c>
      <c r="C79" t="s">
        <v>0</v>
      </c>
      <c r="D79" t="s">
        <v>34</v>
      </c>
      <c r="E79">
        <f t="shared" ca="1" si="0"/>
        <v>2502075606.9625497</v>
      </c>
    </row>
    <row r="80" spans="1:5" hidden="1" x14ac:dyDescent="0.25">
      <c r="A80">
        <v>1</v>
      </c>
      <c r="B80">
        <v>35</v>
      </c>
      <c r="C80" t="s">
        <v>0</v>
      </c>
      <c r="D80" t="s">
        <v>35</v>
      </c>
      <c r="E80">
        <f t="shared" ca="1" si="0"/>
        <v>0</v>
      </c>
    </row>
    <row r="81" spans="1:5" hidden="1" x14ac:dyDescent="0.25">
      <c r="A81">
        <v>1</v>
      </c>
      <c r="B81">
        <v>36</v>
      </c>
      <c r="C81" t="s">
        <v>0</v>
      </c>
      <c r="D81" t="s">
        <v>36</v>
      </c>
      <c r="E81">
        <f t="shared" ca="1" si="0"/>
        <v>657805451.12453008</v>
      </c>
    </row>
    <row r="82" spans="1:5" hidden="1" x14ac:dyDescent="0.25">
      <c r="A82">
        <v>1</v>
      </c>
      <c r="B82">
        <v>37</v>
      </c>
      <c r="C82" t="s">
        <v>0</v>
      </c>
      <c r="D82" t="s">
        <v>37</v>
      </c>
      <c r="E82">
        <f t="shared" ca="1" si="0"/>
        <v>613476656.19860125</v>
      </c>
    </row>
    <row r="83" spans="1:5" hidden="1" x14ac:dyDescent="0.25">
      <c r="A83">
        <v>1</v>
      </c>
      <c r="B83">
        <v>38</v>
      </c>
      <c r="C83" t="s">
        <v>0</v>
      </c>
      <c r="D83" t="s">
        <v>38</v>
      </c>
      <c r="E83">
        <f t="shared" ca="1" si="0"/>
        <v>605147113.44453001</v>
      </c>
    </row>
    <row r="84" spans="1:5" hidden="1" x14ac:dyDescent="0.25">
      <c r="A84">
        <v>1</v>
      </c>
      <c r="B84">
        <v>39</v>
      </c>
      <c r="C84" t="s">
        <v>0</v>
      </c>
      <c r="D84" t="s">
        <v>39</v>
      </c>
      <c r="E84">
        <f t="shared" ca="1" si="0"/>
        <v>727836972.150262</v>
      </c>
    </row>
    <row r="85" spans="1:5" hidden="1" x14ac:dyDescent="0.25">
      <c r="A85">
        <v>1</v>
      </c>
      <c r="B85">
        <v>40</v>
      </c>
      <c r="C85" t="s">
        <v>0</v>
      </c>
      <c r="D85" t="s">
        <v>40</v>
      </c>
      <c r="E85">
        <f t="shared" ca="1" si="0"/>
        <v>770442873.15860128</v>
      </c>
    </row>
    <row r="86" spans="1:5" hidden="1" x14ac:dyDescent="0.25">
      <c r="A86">
        <v>2</v>
      </c>
      <c r="B86">
        <v>1</v>
      </c>
      <c r="C86" t="s">
        <v>1</v>
      </c>
      <c r="D86" t="s">
        <v>0</v>
      </c>
      <c r="E86">
        <f t="shared" ca="1" si="0"/>
        <v>0</v>
      </c>
    </row>
    <row r="87" spans="1:5" hidden="1" x14ac:dyDescent="0.25">
      <c r="A87">
        <v>2</v>
      </c>
      <c r="B87">
        <v>2</v>
      </c>
      <c r="C87" t="s">
        <v>1</v>
      </c>
      <c r="D87" t="s">
        <v>1</v>
      </c>
      <c r="E87">
        <f t="shared" ca="1" si="0"/>
        <v>0</v>
      </c>
    </row>
    <row r="88" spans="1:5" hidden="1" x14ac:dyDescent="0.25">
      <c r="A88">
        <v>2</v>
      </c>
      <c r="B88">
        <v>3</v>
      </c>
      <c r="C88" t="s">
        <v>1</v>
      </c>
      <c r="D88" t="s">
        <v>2</v>
      </c>
      <c r="E88">
        <f t="shared" ca="1" si="0"/>
        <v>966380725.87969458</v>
      </c>
    </row>
    <row r="89" spans="1:5" hidden="1" x14ac:dyDescent="0.25">
      <c r="A89">
        <v>2</v>
      </c>
      <c r="B89">
        <v>4</v>
      </c>
      <c r="C89" t="s">
        <v>1</v>
      </c>
      <c r="D89" t="s">
        <v>3</v>
      </c>
      <c r="E89">
        <f t="shared" ca="1" si="0"/>
        <v>861365196.28918147</v>
      </c>
    </row>
    <row r="90" spans="1:5" hidden="1" x14ac:dyDescent="0.25">
      <c r="A90">
        <v>2</v>
      </c>
      <c r="B90">
        <v>5</v>
      </c>
      <c r="C90" t="s">
        <v>1</v>
      </c>
      <c r="D90" t="s">
        <v>4</v>
      </c>
      <c r="E90">
        <f t="shared" ca="1" si="0"/>
        <v>1580240875.3899469</v>
      </c>
    </row>
    <row r="91" spans="1:5" hidden="1" x14ac:dyDescent="0.25">
      <c r="A91">
        <v>2</v>
      </c>
      <c r="B91">
        <v>6</v>
      </c>
      <c r="C91" t="s">
        <v>1</v>
      </c>
      <c r="D91" t="s">
        <v>5</v>
      </c>
      <c r="E91">
        <f t="shared" ca="1" si="0"/>
        <v>798571214.24280417</v>
      </c>
    </row>
    <row r="92" spans="1:5" hidden="1" x14ac:dyDescent="0.25">
      <c r="A92">
        <v>2</v>
      </c>
      <c r="B92">
        <v>7</v>
      </c>
      <c r="C92" t="s">
        <v>1</v>
      </c>
      <c r="D92" t="s">
        <v>6</v>
      </c>
      <c r="E92">
        <f t="shared" ca="1" si="0"/>
        <v>776690069.24280417</v>
      </c>
    </row>
    <row r="93" spans="1:5" hidden="1" x14ac:dyDescent="0.25">
      <c r="A93">
        <v>2</v>
      </c>
      <c r="B93">
        <v>8</v>
      </c>
      <c r="C93" t="s">
        <v>1</v>
      </c>
      <c r="D93" t="s">
        <v>7</v>
      </c>
      <c r="E93">
        <f t="shared" ca="1" si="0"/>
        <v>899820401.81261015</v>
      </c>
    </row>
    <row r="94" spans="1:5" hidden="1" x14ac:dyDescent="0.25">
      <c r="A94">
        <v>2</v>
      </c>
      <c r="B94">
        <v>9</v>
      </c>
      <c r="C94" t="s">
        <v>1</v>
      </c>
      <c r="D94" t="s">
        <v>148</v>
      </c>
      <c r="E94">
        <f t="shared" ca="1" si="0"/>
        <v>0</v>
      </c>
    </row>
    <row r="95" spans="1:5" hidden="1" x14ac:dyDescent="0.25">
      <c r="A95">
        <v>2</v>
      </c>
      <c r="B95">
        <v>10</v>
      </c>
      <c r="C95" t="s">
        <v>1</v>
      </c>
      <c r="D95" t="s">
        <v>9</v>
      </c>
      <c r="E95">
        <f t="shared" ca="1" si="0"/>
        <v>873873651.21137571</v>
      </c>
    </row>
    <row r="96" spans="1:5" hidden="1" x14ac:dyDescent="0.25">
      <c r="A96">
        <v>2</v>
      </c>
      <c r="B96">
        <v>11</v>
      </c>
      <c r="C96" t="s">
        <v>1</v>
      </c>
      <c r="D96" t="s">
        <v>10</v>
      </c>
      <c r="E96">
        <f t="shared" ca="1" si="0"/>
        <v>725774775.34789622</v>
      </c>
    </row>
    <row r="97" spans="1:5" hidden="1" x14ac:dyDescent="0.25">
      <c r="A97">
        <v>2</v>
      </c>
      <c r="B97">
        <v>12</v>
      </c>
      <c r="C97" t="s">
        <v>1</v>
      </c>
      <c r="D97" t="s">
        <v>11</v>
      </c>
      <c r="E97">
        <f t="shared" ca="1" si="0"/>
        <v>794070295.2204349</v>
      </c>
    </row>
    <row r="98" spans="1:5" hidden="1" x14ac:dyDescent="0.25">
      <c r="A98">
        <v>2</v>
      </c>
      <c r="B98">
        <v>13</v>
      </c>
      <c r="C98" t="s">
        <v>1</v>
      </c>
      <c r="D98" t="s">
        <v>12</v>
      </c>
      <c r="E98">
        <f t="shared" ca="1" si="0"/>
        <v>423399895.44308698</v>
      </c>
    </row>
    <row r="99" spans="1:5" hidden="1" x14ac:dyDescent="0.25">
      <c r="A99">
        <v>2</v>
      </c>
      <c r="B99">
        <v>14</v>
      </c>
      <c r="C99" t="s">
        <v>1</v>
      </c>
      <c r="D99" t="s">
        <v>13</v>
      </c>
      <c r="E99">
        <f t="shared" ca="1" si="0"/>
        <v>510357530.93108702</v>
      </c>
    </row>
    <row r="100" spans="1:5" hidden="1" x14ac:dyDescent="0.25">
      <c r="A100">
        <v>2</v>
      </c>
      <c r="B100">
        <v>15</v>
      </c>
      <c r="C100" t="s">
        <v>1</v>
      </c>
      <c r="D100" t="s">
        <v>14</v>
      </c>
      <c r="E100">
        <f t="shared" ca="1" si="0"/>
        <v>539251910.13930094</v>
      </c>
    </row>
    <row r="101" spans="1:5" hidden="1" x14ac:dyDescent="0.25">
      <c r="A101">
        <v>2</v>
      </c>
      <c r="B101">
        <v>16</v>
      </c>
      <c r="C101" t="s">
        <v>1</v>
      </c>
      <c r="D101" t="s">
        <v>15</v>
      </c>
      <c r="E101">
        <f t="shared" ca="1" si="0"/>
        <v>417527498.61591011</v>
      </c>
    </row>
    <row r="102" spans="1:5" hidden="1" x14ac:dyDescent="0.25">
      <c r="A102">
        <v>2</v>
      </c>
      <c r="B102">
        <v>17</v>
      </c>
      <c r="C102" t="s">
        <v>1</v>
      </c>
      <c r="D102" t="s">
        <v>16</v>
      </c>
      <c r="E102">
        <f t="shared" ca="1" si="0"/>
        <v>1206938450.2462609</v>
      </c>
    </row>
    <row r="103" spans="1:5" hidden="1" x14ac:dyDescent="0.25">
      <c r="A103">
        <v>2</v>
      </c>
      <c r="B103">
        <v>18</v>
      </c>
      <c r="C103" t="s">
        <v>1</v>
      </c>
      <c r="D103" t="s">
        <v>17</v>
      </c>
      <c r="E103">
        <f t="shared" ca="1" si="0"/>
        <v>610817490.91591012</v>
      </c>
    </row>
    <row r="104" spans="1:5" hidden="1" x14ac:dyDescent="0.25">
      <c r="A104">
        <v>2</v>
      </c>
      <c r="B104">
        <v>19</v>
      </c>
      <c r="C104" t="s">
        <v>1</v>
      </c>
      <c r="D104" t="s">
        <v>18</v>
      </c>
      <c r="E104">
        <f t="shared" ca="1" si="0"/>
        <v>770252776.92305219</v>
      </c>
    </row>
    <row r="105" spans="1:5" hidden="1" x14ac:dyDescent="0.25">
      <c r="A105">
        <v>2</v>
      </c>
      <c r="B105">
        <v>20</v>
      </c>
      <c r="C105" t="s">
        <v>1</v>
      </c>
      <c r="D105" t="s">
        <v>19</v>
      </c>
      <c r="E105">
        <f t="shared" ca="1" si="0"/>
        <v>865558027.09643137</v>
      </c>
    </row>
    <row r="106" spans="1:5" hidden="1" x14ac:dyDescent="0.25">
      <c r="A106">
        <v>2</v>
      </c>
      <c r="B106">
        <v>21</v>
      </c>
      <c r="C106" t="s">
        <v>1</v>
      </c>
      <c r="D106" t="s">
        <v>20</v>
      </c>
      <c r="E106">
        <f t="shared" ca="1" si="0"/>
        <v>902000058.22860909</v>
      </c>
    </row>
    <row r="107" spans="1:5" hidden="1" x14ac:dyDescent="0.25">
      <c r="A107">
        <v>2</v>
      </c>
      <c r="B107">
        <v>22</v>
      </c>
      <c r="C107" t="s">
        <v>1</v>
      </c>
      <c r="D107" t="s">
        <v>21</v>
      </c>
      <c r="E107">
        <f t="shared" ca="1" si="0"/>
        <v>4491074635.4140739</v>
      </c>
    </row>
    <row r="108" spans="1:5" hidden="1" x14ac:dyDescent="0.25">
      <c r="A108">
        <v>2</v>
      </c>
      <c r="B108">
        <v>23</v>
      </c>
      <c r="C108" t="s">
        <v>1</v>
      </c>
      <c r="D108" t="s">
        <v>22</v>
      </c>
      <c r="E108">
        <f t="shared" ca="1" si="0"/>
        <v>532168706.51811171</v>
      </c>
    </row>
    <row r="109" spans="1:5" hidden="1" x14ac:dyDescent="0.25">
      <c r="A109">
        <v>2</v>
      </c>
      <c r="B109">
        <v>24</v>
      </c>
      <c r="C109" t="s">
        <v>1</v>
      </c>
      <c r="D109" t="s">
        <v>23</v>
      </c>
      <c r="E109">
        <f t="shared" ca="1" si="0"/>
        <v>523821117.11811173</v>
      </c>
    </row>
    <row r="110" spans="1:5" hidden="1" x14ac:dyDescent="0.25">
      <c r="A110">
        <v>2</v>
      </c>
      <c r="B110">
        <v>25</v>
      </c>
      <c r="C110" t="s">
        <v>1</v>
      </c>
      <c r="D110" t="s">
        <v>24</v>
      </c>
      <c r="E110">
        <f t="shared" ref="E110:E171" ca="1" si="1">OFFSET($B$2,A110,B110)</f>
        <v>465109504.01811171</v>
      </c>
    </row>
    <row r="111" spans="1:5" hidden="1" x14ac:dyDescent="0.25">
      <c r="A111">
        <v>2</v>
      </c>
      <c r="B111">
        <v>26</v>
      </c>
      <c r="C111" t="s">
        <v>1</v>
      </c>
      <c r="D111" t="s">
        <v>25</v>
      </c>
      <c r="E111">
        <f t="shared" ca="1" si="1"/>
        <v>395864366.28730094</v>
      </c>
    </row>
    <row r="112" spans="1:5" hidden="1" x14ac:dyDescent="0.25">
      <c r="A112">
        <v>2</v>
      </c>
      <c r="B112">
        <v>27</v>
      </c>
      <c r="C112" t="s">
        <v>1</v>
      </c>
      <c r="D112" t="s">
        <v>145</v>
      </c>
      <c r="E112">
        <f t="shared" ca="1" si="1"/>
        <v>1275715710.2564313</v>
      </c>
    </row>
    <row r="113" spans="1:5" hidden="1" x14ac:dyDescent="0.25">
      <c r="A113">
        <v>2</v>
      </c>
      <c r="B113">
        <v>28</v>
      </c>
      <c r="C113" t="s">
        <v>1</v>
      </c>
      <c r="D113" t="s">
        <v>147</v>
      </c>
      <c r="E113">
        <f t="shared" ca="1" si="1"/>
        <v>4671029365.4140739</v>
      </c>
    </row>
    <row r="114" spans="1:5" hidden="1" x14ac:dyDescent="0.25">
      <c r="A114">
        <v>2</v>
      </c>
      <c r="B114">
        <v>29</v>
      </c>
      <c r="C114" t="s">
        <v>1</v>
      </c>
      <c r="D114" t="s">
        <v>146</v>
      </c>
      <c r="E114">
        <f t="shared" ca="1" si="1"/>
        <v>496384205.32611167</v>
      </c>
    </row>
    <row r="115" spans="1:5" hidden="1" x14ac:dyDescent="0.25">
      <c r="A115">
        <v>2</v>
      </c>
      <c r="B115">
        <v>30</v>
      </c>
      <c r="C115" t="s">
        <v>1</v>
      </c>
      <c r="D115" t="s">
        <v>30</v>
      </c>
      <c r="E115">
        <f t="shared" ca="1" si="1"/>
        <v>765676803.60346723</v>
      </c>
    </row>
    <row r="116" spans="1:5" hidden="1" x14ac:dyDescent="0.25">
      <c r="A116">
        <v>2</v>
      </c>
      <c r="B116">
        <v>31</v>
      </c>
      <c r="C116" t="s">
        <v>1</v>
      </c>
      <c r="D116" t="s">
        <v>31</v>
      </c>
      <c r="E116">
        <f t="shared" ca="1" si="1"/>
        <v>367761896.15186483</v>
      </c>
    </row>
    <row r="117" spans="1:5" hidden="1" x14ac:dyDescent="0.25">
      <c r="A117">
        <v>2</v>
      </c>
      <c r="B117">
        <v>32</v>
      </c>
      <c r="C117" t="s">
        <v>1</v>
      </c>
      <c r="D117" t="s">
        <v>32</v>
      </c>
      <c r="E117">
        <f t="shared" ca="1" si="1"/>
        <v>446665516.51586485</v>
      </c>
    </row>
    <row r="118" spans="1:5" hidden="1" x14ac:dyDescent="0.25">
      <c r="A118">
        <v>2</v>
      </c>
      <c r="B118">
        <v>33</v>
      </c>
      <c r="C118" t="s">
        <v>1</v>
      </c>
      <c r="D118" t="s">
        <v>33</v>
      </c>
      <c r="E118">
        <f t="shared" ca="1" si="1"/>
        <v>3008278747.3291211</v>
      </c>
    </row>
    <row r="119" spans="1:5" hidden="1" x14ac:dyDescent="0.25">
      <c r="A119">
        <v>2</v>
      </c>
      <c r="B119">
        <v>34</v>
      </c>
      <c r="C119" t="s">
        <v>1</v>
      </c>
      <c r="D119" t="s">
        <v>34</v>
      </c>
      <c r="E119">
        <f t="shared" ca="1" si="1"/>
        <v>2378544138.4011211</v>
      </c>
    </row>
    <row r="120" spans="1:5" hidden="1" x14ac:dyDescent="0.25">
      <c r="A120">
        <v>2</v>
      </c>
      <c r="B120">
        <v>35</v>
      </c>
      <c r="C120" t="s">
        <v>1</v>
      </c>
      <c r="D120" t="s">
        <v>35</v>
      </c>
      <c r="E120">
        <f t="shared" ca="1" si="1"/>
        <v>0</v>
      </c>
    </row>
    <row r="121" spans="1:5" hidden="1" x14ac:dyDescent="0.25">
      <c r="A121">
        <v>2</v>
      </c>
      <c r="B121">
        <v>36</v>
      </c>
      <c r="C121" t="s">
        <v>1</v>
      </c>
      <c r="D121" t="s">
        <v>36</v>
      </c>
      <c r="E121">
        <f t="shared" ca="1" si="1"/>
        <v>534273982.56310159</v>
      </c>
    </row>
    <row r="122" spans="1:5" hidden="1" x14ac:dyDescent="0.25">
      <c r="A122">
        <v>2</v>
      </c>
      <c r="B122">
        <v>37</v>
      </c>
      <c r="C122" t="s">
        <v>1</v>
      </c>
      <c r="D122" t="s">
        <v>37</v>
      </c>
      <c r="E122">
        <f t="shared" ca="1" si="1"/>
        <v>489945187.63717264</v>
      </c>
    </row>
    <row r="123" spans="1:5" hidden="1" x14ac:dyDescent="0.25">
      <c r="A123">
        <v>2</v>
      </c>
      <c r="B123">
        <v>38</v>
      </c>
      <c r="C123" t="s">
        <v>1</v>
      </c>
      <c r="D123" t="s">
        <v>38</v>
      </c>
      <c r="E123">
        <f t="shared" ca="1" si="1"/>
        <v>481615644.88310158</v>
      </c>
    </row>
    <row r="124" spans="1:5" hidden="1" x14ac:dyDescent="0.25">
      <c r="A124">
        <v>2</v>
      </c>
      <c r="B124">
        <v>39</v>
      </c>
      <c r="C124" t="s">
        <v>1</v>
      </c>
      <c r="D124" t="s">
        <v>39</v>
      </c>
      <c r="E124">
        <f t="shared" ca="1" si="1"/>
        <v>604305503.58883333</v>
      </c>
    </row>
    <row r="125" spans="1:5" hidden="1" x14ac:dyDescent="0.25">
      <c r="A125">
        <v>2</v>
      </c>
      <c r="B125">
        <v>40</v>
      </c>
      <c r="C125" t="s">
        <v>1</v>
      </c>
      <c r="D125" t="s">
        <v>40</v>
      </c>
      <c r="E125">
        <f t="shared" ca="1" si="1"/>
        <v>646911404.59717262</v>
      </c>
    </row>
    <row r="126" spans="1:5" x14ac:dyDescent="0.25">
      <c r="A126">
        <v>3</v>
      </c>
      <c r="B126">
        <v>1</v>
      </c>
      <c r="C126" t="s">
        <v>2</v>
      </c>
      <c r="D126" t="s">
        <v>0</v>
      </c>
      <c r="E126">
        <f t="shared" ca="1" si="1"/>
        <v>1089912194.4411232</v>
      </c>
    </row>
    <row r="127" spans="1:5" x14ac:dyDescent="0.25">
      <c r="A127">
        <v>3</v>
      </c>
      <c r="B127">
        <v>2</v>
      </c>
      <c r="C127" t="s">
        <v>2</v>
      </c>
      <c r="D127" t="s">
        <v>1</v>
      </c>
      <c r="E127">
        <f t="shared" ca="1" si="1"/>
        <v>966380725.87969458</v>
      </c>
    </row>
    <row r="128" spans="1:5" x14ac:dyDescent="0.25">
      <c r="A128">
        <v>3</v>
      </c>
      <c r="B128">
        <v>3</v>
      </c>
      <c r="C128" t="s">
        <v>2</v>
      </c>
      <c r="D128" t="s">
        <v>2</v>
      </c>
      <c r="E128">
        <f t="shared" ca="1" si="1"/>
        <v>0</v>
      </c>
    </row>
    <row r="129" spans="1:5" x14ac:dyDescent="0.25">
      <c r="A129">
        <v>3</v>
      </c>
      <c r="B129">
        <v>4</v>
      </c>
      <c r="C129" t="s">
        <v>2</v>
      </c>
      <c r="D129" t="s">
        <v>3</v>
      </c>
      <c r="E129">
        <f t="shared" ca="1" si="1"/>
        <v>553816592.89154589</v>
      </c>
    </row>
    <row r="130" spans="1:5" x14ac:dyDescent="0.25">
      <c r="A130">
        <v>3</v>
      </c>
      <c r="B130">
        <v>5</v>
      </c>
      <c r="C130" t="s">
        <v>2</v>
      </c>
      <c r="D130" t="s">
        <v>4</v>
      </c>
      <c r="E130">
        <f t="shared" ca="1" si="1"/>
        <v>1406215713.6767361</v>
      </c>
    </row>
    <row r="131" spans="1:5" x14ac:dyDescent="0.25">
      <c r="A131">
        <v>3</v>
      </c>
      <c r="B131">
        <v>6</v>
      </c>
      <c r="C131" t="s">
        <v>2</v>
      </c>
      <c r="D131" t="s">
        <v>5</v>
      </c>
      <c r="E131">
        <f t="shared" ca="1" si="1"/>
        <v>624546052.52959323</v>
      </c>
    </row>
    <row r="132" spans="1:5" x14ac:dyDescent="0.25">
      <c r="A132">
        <v>3</v>
      </c>
      <c r="B132">
        <v>7</v>
      </c>
      <c r="C132" t="s">
        <v>2</v>
      </c>
      <c r="D132" t="s">
        <v>6</v>
      </c>
      <c r="E132">
        <f t="shared" ca="1" si="1"/>
        <v>602664907.52959323</v>
      </c>
    </row>
    <row r="133" spans="1:5" x14ac:dyDescent="0.25">
      <c r="A133">
        <v>3</v>
      </c>
      <c r="B133">
        <v>8</v>
      </c>
      <c r="C133" t="s">
        <v>2</v>
      </c>
      <c r="D133" t="s">
        <v>7</v>
      </c>
      <c r="E133">
        <f t="shared" ca="1" si="1"/>
        <v>592271798.41497445</v>
      </c>
    </row>
    <row r="134" spans="1:5" x14ac:dyDescent="0.25">
      <c r="A134">
        <v>3</v>
      </c>
      <c r="B134">
        <v>9</v>
      </c>
      <c r="C134" t="s">
        <v>2</v>
      </c>
      <c r="D134" t="s">
        <v>148</v>
      </c>
      <c r="E134">
        <f t="shared" ca="1" si="1"/>
        <v>0</v>
      </c>
    </row>
    <row r="135" spans="1:5" x14ac:dyDescent="0.25">
      <c r="A135">
        <v>3</v>
      </c>
      <c r="B135">
        <v>10</v>
      </c>
      <c r="C135" t="s">
        <v>2</v>
      </c>
      <c r="D135" t="s">
        <v>9</v>
      </c>
      <c r="E135">
        <f t="shared" ca="1" si="1"/>
        <v>699848489.49816465</v>
      </c>
    </row>
    <row r="136" spans="1:5" x14ac:dyDescent="0.25">
      <c r="A136">
        <v>3</v>
      </c>
      <c r="B136">
        <v>11</v>
      </c>
      <c r="C136" t="s">
        <v>2</v>
      </c>
      <c r="D136" t="s">
        <v>10</v>
      </c>
      <c r="E136">
        <f t="shared" ca="1" si="1"/>
        <v>593255865.6074543</v>
      </c>
    </row>
    <row r="137" spans="1:5" x14ac:dyDescent="0.25">
      <c r="A137">
        <v>3</v>
      </c>
      <c r="B137">
        <v>12</v>
      </c>
      <c r="C137" t="s">
        <v>2</v>
      </c>
      <c r="D137" t="s">
        <v>11</v>
      </c>
      <c r="E137">
        <f t="shared" ca="1" si="1"/>
        <v>785819830.45220244</v>
      </c>
    </row>
    <row r="138" spans="1:5" x14ac:dyDescent="0.25">
      <c r="A138">
        <v>3</v>
      </c>
      <c r="B138">
        <v>13</v>
      </c>
      <c r="C138" t="s">
        <v>2</v>
      </c>
      <c r="D138" t="s">
        <v>12</v>
      </c>
      <c r="E138">
        <f t="shared" ca="1" si="1"/>
        <v>264319152.18995339</v>
      </c>
    </row>
    <row r="139" spans="1:5" x14ac:dyDescent="0.25">
      <c r="A139">
        <v>3</v>
      </c>
      <c r="B139">
        <v>14</v>
      </c>
      <c r="C139" t="s">
        <v>2</v>
      </c>
      <c r="D139" t="s">
        <v>13</v>
      </c>
      <c r="E139">
        <f t="shared" ca="1" si="1"/>
        <v>351276787.67795336</v>
      </c>
    </row>
    <row r="140" spans="1:5" x14ac:dyDescent="0.25">
      <c r="A140">
        <v>3</v>
      </c>
      <c r="B140">
        <v>15</v>
      </c>
      <c r="C140" t="s">
        <v>2</v>
      </c>
      <c r="D140" t="s">
        <v>14</v>
      </c>
      <c r="E140">
        <f t="shared" ca="1" si="1"/>
        <v>885700288.83611095</v>
      </c>
    </row>
    <row r="141" spans="1:5" x14ac:dyDescent="0.25">
      <c r="A141">
        <v>3</v>
      </c>
      <c r="B141">
        <v>16</v>
      </c>
      <c r="C141" t="s">
        <v>2</v>
      </c>
      <c r="D141" t="s">
        <v>15</v>
      </c>
      <c r="E141">
        <f t="shared" ca="1" si="1"/>
        <v>611777640.32015967</v>
      </c>
    </row>
    <row r="142" spans="1:5" x14ac:dyDescent="0.25">
      <c r="A142">
        <v>3</v>
      </c>
      <c r="B142">
        <v>17</v>
      </c>
      <c r="C142" t="s">
        <v>2</v>
      </c>
      <c r="D142" t="s">
        <v>16</v>
      </c>
      <c r="E142">
        <f t="shared" ca="1" si="1"/>
        <v>1328261680.1155157</v>
      </c>
    </row>
    <row r="143" spans="1:5" x14ac:dyDescent="0.25">
      <c r="A143">
        <v>3</v>
      </c>
      <c r="B143">
        <v>18</v>
      </c>
      <c r="C143" t="s">
        <v>2</v>
      </c>
      <c r="D143" t="s">
        <v>17</v>
      </c>
      <c r="E143">
        <f t="shared" ca="1" si="1"/>
        <v>805067632.62015963</v>
      </c>
    </row>
    <row r="144" spans="1:5" x14ac:dyDescent="0.25">
      <c r="A144">
        <v>3</v>
      </c>
      <c r="B144">
        <v>19</v>
      </c>
      <c r="C144" t="s">
        <v>2</v>
      </c>
      <c r="D144" t="s">
        <v>18</v>
      </c>
      <c r="E144">
        <f t="shared" ca="1" si="1"/>
        <v>309062565.07384074</v>
      </c>
    </row>
    <row r="145" spans="1:5" x14ac:dyDescent="0.25">
      <c r="A145">
        <v>3</v>
      </c>
      <c r="B145">
        <v>20</v>
      </c>
      <c r="C145" t="s">
        <v>2</v>
      </c>
      <c r="D145" t="s">
        <v>19</v>
      </c>
      <c r="E145">
        <f t="shared" ca="1" si="1"/>
        <v>980189357.80333602</v>
      </c>
    </row>
    <row r="146" spans="1:5" x14ac:dyDescent="0.25">
      <c r="A146">
        <v>3</v>
      </c>
      <c r="B146">
        <v>21</v>
      </c>
      <c r="C146" t="s">
        <v>2</v>
      </c>
      <c r="D146" t="s">
        <v>20</v>
      </c>
      <c r="E146">
        <f t="shared" ca="1" si="1"/>
        <v>584854501.82747746</v>
      </c>
    </row>
    <row r="147" spans="1:5" x14ac:dyDescent="0.25">
      <c r="A147">
        <v>3</v>
      </c>
      <c r="B147">
        <v>22</v>
      </c>
      <c r="C147" t="s">
        <v>2</v>
      </c>
      <c r="D147" t="s">
        <v>21</v>
      </c>
      <c r="E147">
        <f t="shared" ca="1" si="1"/>
        <v>654613213.79361737</v>
      </c>
    </row>
    <row r="148" spans="1:5" x14ac:dyDescent="0.25">
      <c r="A148">
        <v>3</v>
      </c>
      <c r="B148">
        <v>23</v>
      </c>
      <c r="C148" t="s">
        <v>2</v>
      </c>
      <c r="D148" t="s">
        <v>22</v>
      </c>
      <c r="E148">
        <f t="shared" ca="1" si="1"/>
        <v>523448954.33684283</v>
      </c>
    </row>
    <row r="149" spans="1:5" x14ac:dyDescent="0.25">
      <c r="A149">
        <v>3</v>
      </c>
      <c r="B149">
        <v>24</v>
      </c>
      <c r="C149" t="s">
        <v>2</v>
      </c>
      <c r="D149" t="s">
        <v>23</v>
      </c>
      <c r="E149">
        <f t="shared" ca="1" si="1"/>
        <v>515101364.9368428</v>
      </c>
    </row>
    <row r="150" spans="1:5" x14ac:dyDescent="0.25">
      <c r="A150">
        <v>3</v>
      </c>
      <c r="B150">
        <v>25</v>
      </c>
      <c r="C150" t="s">
        <v>2</v>
      </c>
      <c r="D150" t="s">
        <v>24</v>
      </c>
      <c r="E150">
        <f t="shared" ca="1" si="1"/>
        <v>456389751.83684283</v>
      </c>
    </row>
    <row r="151" spans="1:5" x14ac:dyDescent="0.25">
      <c r="A151">
        <v>3</v>
      </c>
      <c r="B151">
        <v>26</v>
      </c>
      <c r="C151" t="s">
        <v>2</v>
      </c>
      <c r="D151" t="s">
        <v>25</v>
      </c>
      <c r="E151">
        <f t="shared" ca="1" si="1"/>
        <v>742312744.98411095</v>
      </c>
    </row>
    <row r="152" spans="1:5" x14ac:dyDescent="0.25">
      <c r="A152">
        <v>3</v>
      </c>
      <c r="B152">
        <v>27</v>
      </c>
      <c r="C152" t="s">
        <v>2</v>
      </c>
      <c r="D152" t="s">
        <v>145</v>
      </c>
      <c r="E152">
        <f t="shared" ca="1" si="1"/>
        <v>1390347040.963336</v>
      </c>
    </row>
    <row r="153" spans="1:5" x14ac:dyDescent="0.25">
      <c r="A153">
        <v>3</v>
      </c>
      <c r="B153">
        <v>28</v>
      </c>
      <c r="C153" t="s">
        <v>2</v>
      </c>
      <c r="D153" t="s">
        <v>147</v>
      </c>
      <c r="E153">
        <f t="shared" ca="1" si="1"/>
        <v>834567943.79361737</v>
      </c>
    </row>
    <row r="154" spans="1:5" x14ac:dyDescent="0.25">
      <c r="A154">
        <v>3</v>
      </c>
      <c r="B154">
        <v>29</v>
      </c>
      <c r="C154" t="s">
        <v>2</v>
      </c>
      <c r="D154" t="s">
        <v>146</v>
      </c>
      <c r="E154">
        <f t="shared" ca="1" si="1"/>
        <v>487664453.14484286</v>
      </c>
    </row>
    <row r="155" spans="1:5" x14ac:dyDescent="0.25">
      <c r="A155">
        <v>3</v>
      </c>
      <c r="B155">
        <v>30</v>
      </c>
      <c r="C155" t="s">
        <v>2</v>
      </c>
      <c r="D155" t="s">
        <v>30</v>
      </c>
      <c r="E155">
        <f t="shared" ca="1" si="1"/>
        <v>458128200.20583165</v>
      </c>
    </row>
    <row r="156" spans="1:5" x14ac:dyDescent="0.25">
      <c r="A156">
        <v>3</v>
      </c>
      <c r="B156">
        <v>31</v>
      </c>
      <c r="C156" t="s">
        <v>2</v>
      </c>
      <c r="D156" t="s">
        <v>31</v>
      </c>
      <c r="E156">
        <f t="shared" ca="1" si="1"/>
        <v>207222305.37340337</v>
      </c>
    </row>
    <row r="157" spans="1:5" x14ac:dyDescent="0.25">
      <c r="A157">
        <v>3</v>
      </c>
      <c r="B157">
        <v>32</v>
      </c>
      <c r="C157" t="s">
        <v>2</v>
      </c>
      <c r="D157" t="s">
        <v>32</v>
      </c>
      <c r="E157">
        <f t="shared" ca="1" si="1"/>
        <v>286125925.73740339</v>
      </c>
    </row>
    <row r="158" spans="1:5" x14ac:dyDescent="0.25">
      <c r="A158">
        <v>3</v>
      </c>
      <c r="B158">
        <v>33</v>
      </c>
      <c r="C158" t="s">
        <v>2</v>
      </c>
      <c r="D158" t="s">
        <v>33</v>
      </c>
      <c r="E158">
        <f t="shared" ca="1" si="1"/>
        <v>4187174249.4731255</v>
      </c>
    </row>
    <row r="159" spans="1:5" x14ac:dyDescent="0.25">
      <c r="A159">
        <v>3</v>
      </c>
      <c r="B159">
        <v>34</v>
      </c>
      <c r="C159" t="s">
        <v>2</v>
      </c>
      <c r="D159" t="s">
        <v>34</v>
      </c>
      <c r="E159">
        <f t="shared" ca="1" si="1"/>
        <v>3557439640.5451255</v>
      </c>
    </row>
    <row r="160" spans="1:5" x14ac:dyDescent="0.25">
      <c r="A160">
        <v>3</v>
      </c>
      <c r="B160">
        <v>35</v>
      </c>
      <c r="C160" t="s">
        <v>2</v>
      </c>
      <c r="D160" t="s">
        <v>35</v>
      </c>
      <c r="E160">
        <f t="shared" ca="1" si="1"/>
        <v>0</v>
      </c>
    </row>
    <row r="161" spans="1:5" x14ac:dyDescent="0.25">
      <c r="A161">
        <v>3</v>
      </c>
      <c r="B161">
        <v>36</v>
      </c>
      <c r="C161" t="s">
        <v>2</v>
      </c>
      <c r="D161" t="s">
        <v>36</v>
      </c>
      <c r="E161">
        <f t="shared" ca="1" si="1"/>
        <v>632711690.55923593</v>
      </c>
    </row>
    <row r="162" spans="1:5" x14ac:dyDescent="0.25">
      <c r="A162">
        <v>3</v>
      </c>
      <c r="B162">
        <v>37</v>
      </c>
      <c r="C162" t="s">
        <v>2</v>
      </c>
      <c r="D162" t="s">
        <v>37</v>
      </c>
      <c r="E162">
        <f t="shared" ca="1" si="1"/>
        <v>228270751.64191073</v>
      </c>
    </row>
    <row r="163" spans="1:5" x14ac:dyDescent="0.25">
      <c r="A163">
        <v>3</v>
      </c>
      <c r="B163">
        <v>38</v>
      </c>
      <c r="C163" t="s">
        <v>2</v>
      </c>
      <c r="D163" t="s">
        <v>38</v>
      </c>
      <c r="E163">
        <f t="shared" ca="1" si="1"/>
        <v>580053352.87923586</v>
      </c>
    </row>
    <row r="164" spans="1:5" x14ac:dyDescent="0.25">
      <c r="A164">
        <v>3</v>
      </c>
      <c r="B164">
        <v>39</v>
      </c>
      <c r="C164" t="s">
        <v>2</v>
      </c>
      <c r="D164" t="s">
        <v>39</v>
      </c>
      <c r="E164">
        <f t="shared" ca="1" si="1"/>
        <v>801586773.67050898</v>
      </c>
    </row>
    <row r="165" spans="1:5" x14ac:dyDescent="0.25">
      <c r="A165">
        <v>3</v>
      </c>
      <c r="B165">
        <v>40</v>
      </c>
      <c r="C165" t="s">
        <v>2</v>
      </c>
      <c r="D165" t="s">
        <v>40</v>
      </c>
      <c r="E165">
        <f t="shared" ca="1" si="1"/>
        <v>385236968.60191071</v>
      </c>
    </row>
    <row r="166" spans="1:5" hidden="1" x14ac:dyDescent="0.25">
      <c r="A166">
        <v>4</v>
      </c>
      <c r="B166">
        <v>1</v>
      </c>
      <c r="C166" t="s">
        <v>3</v>
      </c>
      <c r="D166" t="s">
        <v>0</v>
      </c>
      <c r="E166">
        <f t="shared" ca="1" si="1"/>
        <v>984896664.85061002</v>
      </c>
    </row>
    <row r="167" spans="1:5" hidden="1" x14ac:dyDescent="0.25">
      <c r="A167">
        <v>4</v>
      </c>
      <c r="B167">
        <v>2</v>
      </c>
      <c r="C167" t="s">
        <v>3</v>
      </c>
      <c r="D167" t="s">
        <v>1</v>
      </c>
      <c r="E167">
        <f t="shared" ca="1" si="1"/>
        <v>861365196.28918147</v>
      </c>
    </row>
    <row r="168" spans="1:5" hidden="1" x14ac:dyDescent="0.25">
      <c r="A168">
        <v>4</v>
      </c>
      <c r="B168">
        <v>3</v>
      </c>
      <c r="C168" t="s">
        <v>3</v>
      </c>
      <c r="D168" t="s">
        <v>2</v>
      </c>
      <c r="E168">
        <f t="shared" ca="1" si="1"/>
        <v>553816592.89154589</v>
      </c>
    </row>
    <row r="169" spans="1:5" hidden="1" x14ac:dyDescent="0.25">
      <c r="A169">
        <v>4</v>
      </c>
      <c r="B169">
        <v>4</v>
      </c>
      <c r="C169" t="s">
        <v>3</v>
      </c>
      <c r="D169" t="s">
        <v>3</v>
      </c>
      <c r="E169">
        <f t="shared" ca="1" si="1"/>
        <v>0</v>
      </c>
    </row>
    <row r="170" spans="1:5" hidden="1" x14ac:dyDescent="0.25">
      <c r="A170">
        <v>4</v>
      </c>
      <c r="B170">
        <v>5</v>
      </c>
      <c r="C170" t="s">
        <v>3</v>
      </c>
      <c r="D170" t="s">
        <v>4</v>
      </c>
      <c r="E170">
        <f t="shared" ca="1" si="1"/>
        <v>15888960135.436863</v>
      </c>
    </row>
    <row r="171" spans="1:5" hidden="1" x14ac:dyDescent="0.25">
      <c r="A171">
        <v>4</v>
      </c>
      <c r="B171">
        <v>6</v>
      </c>
      <c r="C171" t="s">
        <v>3</v>
      </c>
      <c r="D171" t="s">
        <v>5</v>
      </c>
      <c r="E171">
        <f t="shared" ca="1" si="1"/>
        <v>15107290474.289719</v>
      </c>
    </row>
    <row r="172" spans="1:5" hidden="1" x14ac:dyDescent="0.25">
      <c r="A172">
        <v>4</v>
      </c>
      <c r="B172">
        <v>7</v>
      </c>
      <c r="C172" t="s">
        <v>3</v>
      </c>
      <c r="D172" t="s">
        <v>6</v>
      </c>
      <c r="E172">
        <f t="shared" ref="E172:E233" ca="1" si="2">OFFSET($B$2,A172,B172)</f>
        <v>15085409329.289719</v>
      </c>
    </row>
    <row r="173" spans="1:5" hidden="1" x14ac:dyDescent="0.25">
      <c r="A173">
        <v>4</v>
      </c>
      <c r="B173">
        <v>8</v>
      </c>
      <c r="C173" t="s">
        <v>3</v>
      </c>
      <c r="D173" t="s">
        <v>7</v>
      </c>
      <c r="E173">
        <f t="shared" ca="1" si="2"/>
        <v>274586903.70057142</v>
      </c>
    </row>
    <row r="174" spans="1:5" hidden="1" x14ac:dyDescent="0.25">
      <c r="A174">
        <v>4</v>
      </c>
      <c r="B174">
        <v>9</v>
      </c>
      <c r="C174" t="s">
        <v>3</v>
      </c>
      <c r="D174" t="s">
        <v>148</v>
      </c>
      <c r="E174">
        <f t="shared" ca="1" si="2"/>
        <v>840024704.78762317</v>
      </c>
    </row>
    <row r="175" spans="1:5" hidden="1" x14ac:dyDescent="0.25">
      <c r="A175">
        <v>4</v>
      </c>
      <c r="B175">
        <v>10</v>
      </c>
      <c r="C175" t="s">
        <v>3</v>
      </c>
      <c r="D175" t="s">
        <v>9</v>
      </c>
      <c r="E175">
        <f t="shared" ca="1" si="2"/>
        <v>15182592911.258291</v>
      </c>
    </row>
    <row r="176" spans="1:5" hidden="1" x14ac:dyDescent="0.25">
      <c r="A176">
        <v>4</v>
      </c>
      <c r="B176">
        <v>11</v>
      </c>
      <c r="C176" t="s">
        <v>3</v>
      </c>
      <c r="D176" t="s">
        <v>10</v>
      </c>
      <c r="E176">
        <f t="shared" ca="1" si="2"/>
        <v>662348015.38250303</v>
      </c>
    </row>
    <row r="177" spans="1:5" hidden="1" x14ac:dyDescent="0.25">
      <c r="A177">
        <v>4</v>
      </c>
      <c r="B177">
        <v>12</v>
      </c>
      <c r="C177" t="s">
        <v>3</v>
      </c>
      <c r="D177" t="s">
        <v>11</v>
      </c>
      <c r="E177">
        <f t="shared" ca="1" si="2"/>
        <v>753697170.61151385</v>
      </c>
    </row>
    <row r="178" spans="1:5" hidden="1" x14ac:dyDescent="0.25">
      <c r="A178">
        <v>4</v>
      </c>
      <c r="B178">
        <v>13</v>
      </c>
      <c r="C178" t="s">
        <v>3</v>
      </c>
      <c r="D178" t="s">
        <v>12</v>
      </c>
      <c r="E178">
        <f t="shared" ca="1" si="2"/>
        <v>367577756.35432869</v>
      </c>
    </row>
    <row r="179" spans="1:5" hidden="1" x14ac:dyDescent="0.25">
      <c r="A179">
        <v>4</v>
      </c>
      <c r="B179">
        <v>14</v>
      </c>
      <c r="C179" t="s">
        <v>3</v>
      </c>
      <c r="D179" t="s">
        <v>13</v>
      </c>
      <c r="E179">
        <f t="shared" ca="1" si="2"/>
        <v>454535391.84232867</v>
      </c>
    </row>
    <row r="180" spans="1:5" hidden="1" x14ac:dyDescent="0.25">
      <c r="A180">
        <v>4</v>
      </c>
      <c r="B180">
        <v>15</v>
      </c>
      <c r="C180" t="s">
        <v>3</v>
      </c>
      <c r="D180" t="s">
        <v>14</v>
      </c>
      <c r="E180">
        <f t="shared" ca="1" si="2"/>
        <v>784706269.96030819</v>
      </c>
    </row>
    <row r="181" spans="1:5" hidden="1" x14ac:dyDescent="0.25">
      <c r="A181">
        <v>4</v>
      </c>
      <c r="B181">
        <v>16</v>
      </c>
      <c r="C181" t="s">
        <v>3</v>
      </c>
      <c r="D181" t="s">
        <v>15</v>
      </c>
      <c r="E181">
        <f t="shared" ca="1" si="2"/>
        <v>627716642.69897509</v>
      </c>
    </row>
    <row r="182" spans="1:5" hidden="1" x14ac:dyDescent="0.25">
      <c r="A182">
        <v>4</v>
      </c>
      <c r="B182">
        <v>17</v>
      </c>
      <c r="C182" t="s">
        <v>3</v>
      </c>
      <c r="D182" t="s">
        <v>16</v>
      </c>
      <c r="E182">
        <f t="shared" ca="1" si="2"/>
        <v>1286218830.054142</v>
      </c>
    </row>
    <row r="183" spans="1:5" hidden="1" x14ac:dyDescent="0.25">
      <c r="A183">
        <v>4</v>
      </c>
      <c r="B183">
        <v>18</v>
      </c>
      <c r="C183" t="s">
        <v>3</v>
      </c>
      <c r="D183" t="s">
        <v>17</v>
      </c>
      <c r="E183">
        <f t="shared" ca="1" si="2"/>
        <v>821006634.99897516</v>
      </c>
    </row>
    <row r="184" spans="1:5" hidden="1" x14ac:dyDescent="0.25">
      <c r="A184">
        <v>4</v>
      </c>
      <c r="B184">
        <v>19</v>
      </c>
      <c r="C184" t="s">
        <v>3</v>
      </c>
      <c r="D184" t="s">
        <v>18</v>
      </c>
      <c r="E184">
        <f t="shared" ca="1" si="2"/>
        <v>467830484.49790776</v>
      </c>
    </row>
    <row r="185" spans="1:5" hidden="1" x14ac:dyDescent="0.25">
      <c r="A185">
        <v>4</v>
      </c>
      <c r="B185">
        <v>20</v>
      </c>
      <c r="C185" t="s">
        <v>3</v>
      </c>
      <c r="D185" t="s">
        <v>19</v>
      </c>
      <c r="E185">
        <f t="shared" ca="1" si="2"/>
        <v>949252578.90999544</v>
      </c>
    </row>
    <row r="186" spans="1:5" hidden="1" x14ac:dyDescent="0.25">
      <c r="A186">
        <v>4</v>
      </c>
      <c r="B186">
        <v>21</v>
      </c>
      <c r="C186" t="s">
        <v>3</v>
      </c>
      <c r="D186" t="s">
        <v>20</v>
      </c>
      <c r="E186">
        <f t="shared" ca="1" si="2"/>
        <v>326925874.49606782</v>
      </c>
    </row>
    <row r="187" spans="1:5" hidden="1" x14ac:dyDescent="0.25">
      <c r="A187">
        <v>4</v>
      </c>
      <c r="B187">
        <v>22</v>
      </c>
      <c r="C187" t="s">
        <v>3</v>
      </c>
      <c r="D187" t="s">
        <v>21</v>
      </c>
      <c r="E187">
        <f t="shared" ca="1" si="2"/>
        <v>2976503483.6880198</v>
      </c>
    </row>
    <row r="188" spans="1:5" hidden="1" x14ac:dyDescent="0.25">
      <c r="A188">
        <v>4</v>
      </c>
      <c r="B188">
        <v>23</v>
      </c>
      <c r="C188" t="s">
        <v>3</v>
      </c>
      <c r="D188" t="s">
        <v>22</v>
      </c>
      <c r="E188">
        <f t="shared" ca="1" si="2"/>
        <v>468898710.35713232</v>
      </c>
    </row>
    <row r="189" spans="1:5" hidden="1" x14ac:dyDescent="0.25">
      <c r="A189">
        <v>4</v>
      </c>
      <c r="B189">
        <v>24</v>
      </c>
      <c r="C189" t="s">
        <v>3</v>
      </c>
      <c r="D189" t="s">
        <v>23</v>
      </c>
      <c r="E189">
        <f t="shared" ca="1" si="2"/>
        <v>460551120.95713234</v>
      </c>
    </row>
    <row r="190" spans="1:5" hidden="1" x14ac:dyDescent="0.25">
      <c r="A190">
        <v>4</v>
      </c>
      <c r="B190">
        <v>25</v>
      </c>
      <c r="C190" t="s">
        <v>3</v>
      </c>
      <c r="D190" t="s">
        <v>24</v>
      </c>
      <c r="E190">
        <f t="shared" ca="1" si="2"/>
        <v>401839507.85713232</v>
      </c>
    </row>
    <row r="191" spans="1:5" hidden="1" x14ac:dyDescent="0.25">
      <c r="A191">
        <v>4</v>
      </c>
      <c r="B191">
        <v>26</v>
      </c>
      <c r="C191" t="s">
        <v>3</v>
      </c>
      <c r="D191" t="s">
        <v>25</v>
      </c>
      <c r="E191">
        <f t="shared" ca="1" si="2"/>
        <v>641318726.1083082</v>
      </c>
    </row>
    <row r="192" spans="1:5" hidden="1" x14ac:dyDescent="0.25">
      <c r="A192">
        <v>4</v>
      </c>
      <c r="B192">
        <v>27</v>
      </c>
      <c r="C192" t="s">
        <v>3</v>
      </c>
      <c r="D192" t="s">
        <v>145</v>
      </c>
      <c r="E192">
        <f t="shared" ca="1" si="2"/>
        <v>1359410262.0699954</v>
      </c>
    </row>
    <row r="193" spans="1:5" hidden="1" x14ac:dyDescent="0.25">
      <c r="A193">
        <v>4</v>
      </c>
      <c r="B193">
        <v>28</v>
      </c>
      <c r="C193" t="s">
        <v>3</v>
      </c>
      <c r="D193" t="s">
        <v>147</v>
      </c>
      <c r="E193">
        <f t="shared" ca="1" si="2"/>
        <v>3156458213.6880198</v>
      </c>
    </row>
    <row r="194" spans="1:5" hidden="1" x14ac:dyDescent="0.25">
      <c r="A194">
        <v>4</v>
      </c>
      <c r="B194">
        <v>29</v>
      </c>
      <c r="C194" t="s">
        <v>3</v>
      </c>
      <c r="D194" t="s">
        <v>146</v>
      </c>
      <c r="E194">
        <f t="shared" ca="1" si="2"/>
        <v>433114209.16513228</v>
      </c>
    </row>
    <row r="195" spans="1:5" hidden="1" x14ac:dyDescent="0.25">
      <c r="A195">
        <v>4</v>
      </c>
      <c r="B195">
        <v>30</v>
      </c>
      <c r="C195" t="s">
        <v>3</v>
      </c>
      <c r="D195" t="s">
        <v>30</v>
      </c>
      <c r="E195">
        <f t="shared" ca="1" si="2"/>
        <v>140443305.49142858</v>
      </c>
    </row>
    <row r="196" spans="1:5" hidden="1" x14ac:dyDescent="0.25">
      <c r="A196">
        <v>4</v>
      </c>
      <c r="B196">
        <v>31</v>
      </c>
      <c r="C196" t="s">
        <v>3</v>
      </c>
      <c r="D196" t="s">
        <v>31</v>
      </c>
      <c r="E196">
        <f t="shared" ca="1" si="2"/>
        <v>315370728.09038025</v>
      </c>
    </row>
    <row r="197" spans="1:5" hidden="1" x14ac:dyDescent="0.25">
      <c r="A197">
        <v>4</v>
      </c>
      <c r="B197">
        <v>32</v>
      </c>
      <c r="C197" t="s">
        <v>3</v>
      </c>
      <c r="D197" t="s">
        <v>32</v>
      </c>
      <c r="E197">
        <f t="shared" ca="1" si="2"/>
        <v>394274348.45438027</v>
      </c>
    </row>
    <row r="198" spans="1:5" hidden="1" x14ac:dyDescent="0.25">
      <c r="A198">
        <v>4</v>
      </c>
      <c r="B198">
        <v>33</v>
      </c>
      <c r="C198" t="s">
        <v>3</v>
      </c>
      <c r="D198" t="s">
        <v>33</v>
      </c>
      <c r="E198">
        <f t="shared" ca="1" si="2"/>
        <v>2818199504.2585206</v>
      </c>
    </row>
    <row r="199" spans="1:5" hidden="1" x14ac:dyDescent="0.25">
      <c r="A199">
        <v>4</v>
      </c>
      <c r="B199">
        <v>34</v>
      </c>
      <c r="C199" t="s">
        <v>3</v>
      </c>
      <c r="D199" t="s">
        <v>34</v>
      </c>
      <c r="E199">
        <f t="shared" ca="1" si="2"/>
        <v>2188464895.3305206</v>
      </c>
    </row>
    <row r="200" spans="1:5" hidden="1" x14ac:dyDescent="0.25">
      <c r="A200">
        <v>4</v>
      </c>
      <c r="B200">
        <v>35</v>
      </c>
      <c r="C200" t="s">
        <v>3</v>
      </c>
      <c r="D200" t="s">
        <v>35</v>
      </c>
      <c r="E200">
        <f t="shared" ca="1" si="2"/>
        <v>850236633.75889587</v>
      </c>
    </row>
    <row r="201" spans="1:5" hidden="1" x14ac:dyDescent="0.25">
      <c r="A201">
        <v>4</v>
      </c>
      <c r="B201">
        <v>36</v>
      </c>
      <c r="C201" t="s">
        <v>3</v>
      </c>
      <c r="D201" t="s">
        <v>36</v>
      </c>
      <c r="E201">
        <f t="shared" ca="1" si="2"/>
        <v>409163525.0713802</v>
      </c>
    </row>
    <row r="202" spans="1:5" hidden="1" x14ac:dyDescent="0.25">
      <c r="A202">
        <v>4</v>
      </c>
      <c r="B202">
        <v>37</v>
      </c>
      <c r="C202" t="s">
        <v>3</v>
      </c>
      <c r="D202" t="s">
        <v>37</v>
      </c>
      <c r="E202">
        <f t="shared" ca="1" si="2"/>
        <v>361459420.56774008</v>
      </c>
    </row>
    <row r="203" spans="1:5" hidden="1" x14ac:dyDescent="0.25">
      <c r="A203">
        <v>4</v>
      </c>
      <c r="B203">
        <v>38</v>
      </c>
      <c r="C203" t="s">
        <v>3</v>
      </c>
      <c r="D203" t="s">
        <v>38</v>
      </c>
      <c r="E203">
        <f t="shared" ca="1" si="2"/>
        <v>356505187.39138019</v>
      </c>
    </row>
    <row r="204" spans="1:5" hidden="1" x14ac:dyDescent="0.25">
      <c r="A204">
        <v>4</v>
      </c>
      <c r="B204">
        <v>39</v>
      </c>
      <c r="C204" t="s">
        <v>3</v>
      </c>
      <c r="D204" t="s">
        <v>39</v>
      </c>
      <c r="E204">
        <f t="shared" ca="1" si="2"/>
        <v>413446894.86839873</v>
      </c>
    </row>
    <row r="205" spans="1:5" hidden="1" x14ac:dyDescent="0.25">
      <c r="A205">
        <v>4</v>
      </c>
      <c r="B205">
        <v>40</v>
      </c>
      <c r="C205" t="s">
        <v>3</v>
      </c>
      <c r="D205" t="s">
        <v>40</v>
      </c>
      <c r="E205">
        <f t="shared" ca="1" si="2"/>
        <v>518425637.52774012</v>
      </c>
    </row>
    <row r="206" spans="1:5" hidden="1" x14ac:dyDescent="0.25">
      <c r="A206">
        <v>5</v>
      </c>
      <c r="B206">
        <v>1</v>
      </c>
      <c r="C206" t="s">
        <v>4</v>
      </c>
      <c r="D206" t="s">
        <v>0</v>
      </c>
      <c r="E206">
        <f t="shared" ca="1" si="2"/>
        <v>924782667.73708987</v>
      </c>
    </row>
    <row r="207" spans="1:5" hidden="1" x14ac:dyDescent="0.25">
      <c r="A207">
        <v>5</v>
      </c>
      <c r="B207">
        <v>2</v>
      </c>
      <c r="C207" t="s">
        <v>4</v>
      </c>
      <c r="D207" t="s">
        <v>1</v>
      </c>
      <c r="E207">
        <f t="shared" ca="1" si="2"/>
        <v>1580240875.3899469</v>
      </c>
    </row>
    <row r="208" spans="1:5" hidden="1" x14ac:dyDescent="0.25">
      <c r="A208">
        <v>5</v>
      </c>
      <c r="B208">
        <v>3</v>
      </c>
      <c r="C208" t="s">
        <v>4</v>
      </c>
      <c r="D208" t="s">
        <v>2</v>
      </c>
      <c r="E208">
        <f t="shared" ca="1" si="2"/>
        <v>1406215713.6767361</v>
      </c>
    </row>
    <row r="209" spans="1:5" hidden="1" x14ac:dyDescent="0.25">
      <c r="A209">
        <v>5</v>
      </c>
      <c r="B209">
        <v>4</v>
      </c>
      <c r="C209" t="s">
        <v>4</v>
      </c>
      <c r="D209" t="s">
        <v>3</v>
      </c>
      <c r="E209">
        <f t="shared" ca="1" si="2"/>
        <v>15888960135.436863</v>
      </c>
    </row>
    <row r="210" spans="1:5" hidden="1" x14ac:dyDescent="0.25">
      <c r="A210">
        <v>5</v>
      </c>
      <c r="B210">
        <v>5</v>
      </c>
      <c r="C210" t="s">
        <v>4</v>
      </c>
      <c r="D210" t="s">
        <v>4</v>
      </c>
      <c r="E210">
        <f t="shared" ca="1" si="2"/>
        <v>0</v>
      </c>
    </row>
    <row r="211" spans="1:5" hidden="1" x14ac:dyDescent="0.25">
      <c r="A211">
        <v>5</v>
      </c>
      <c r="B211">
        <v>6</v>
      </c>
      <c r="C211" t="s">
        <v>4</v>
      </c>
      <c r="D211" t="s">
        <v>5</v>
      </c>
      <c r="E211">
        <f t="shared" ca="1" si="2"/>
        <v>0</v>
      </c>
    </row>
    <row r="212" spans="1:5" hidden="1" x14ac:dyDescent="0.25">
      <c r="A212">
        <v>5</v>
      </c>
      <c r="B212">
        <v>7</v>
      </c>
      <c r="C212" t="s">
        <v>4</v>
      </c>
      <c r="D212" t="s">
        <v>6</v>
      </c>
      <c r="E212">
        <f t="shared" ca="1" si="2"/>
        <v>0</v>
      </c>
    </row>
    <row r="213" spans="1:5" hidden="1" x14ac:dyDescent="0.25">
      <c r="A213">
        <v>5</v>
      </c>
      <c r="B213">
        <v>8</v>
      </c>
      <c r="C213" t="s">
        <v>4</v>
      </c>
      <c r="D213" t="s">
        <v>7</v>
      </c>
      <c r="E213">
        <f t="shared" ca="1" si="2"/>
        <v>15143044750.654577</v>
      </c>
    </row>
    <row r="214" spans="1:5" hidden="1" x14ac:dyDescent="0.25">
      <c r="A214">
        <v>5</v>
      </c>
      <c r="B214">
        <v>9</v>
      </c>
      <c r="C214" t="s">
        <v>4</v>
      </c>
      <c r="D214" t="s">
        <v>148</v>
      </c>
      <c r="E214">
        <f t="shared" ca="1" si="2"/>
        <v>774529793.58267438</v>
      </c>
    </row>
    <row r="215" spans="1:5" hidden="1" x14ac:dyDescent="0.25">
      <c r="A215">
        <v>5</v>
      </c>
      <c r="B215">
        <v>10</v>
      </c>
      <c r="C215" t="s">
        <v>4</v>
      </c>
      <c r="D215" t="s">
        <v>9</v>
      </c>
      <c r="E215">
        <f t="shared" ca="1" si="2"/>
        <v>136991849.37285715</v>
      </c>
    </row>
    <row r="216" spans="1:5" hidden="1" x14ac:dyDescent="0.25">
      <c r="A216">
        <v>5</v>
      </c>
      <c r="B216">
        <v>11</v>
      </c>
      <c r="C216" t="s">
        <v>4</v>
      </c>
      <c r="D216" t="s">
        <v>10</v>
      </c>
      <c r="E216">
        <f t="shared" ca="1" si="2"/>
        <v>611398864.31233716</v>
      </c>
    </row>
    <row r="217" spans="1:5" hidden="1" x14ac:dyDescent="0.25">
      <c r="A217">
        <v>5</v>
      </c>
      <c r="B217">
        <v>12</v>
      </c>
      <c r="C217" t="s">
        <v>4</v>
      </c>
      <c r="D217" t="s">
        <v>11</v>
      </c>
      <c r="E217">
        <f t="shared" ca="1" si="2"/>
        <v>693728566.40237808</v>
      </c>
    </row>
    <row r="218" spans="1:5" hidden="1" x14ac:dyDescent="0.25">
      <c r="A218">
        <v>5</v>
      </c>
      <c r="B218">
        <v>13</v>
      </c>
      <c r="C218" t="s">
        <v>4</v>
      </c>
      <c r="D218" t="s">
        <v>12</v>
      </c>
      <c r="E218">
        <f t="shared" ca="1" si="2"/>
        <v>325433473.11194879</v>
      </c>
    </row>
    <row r="219" spans="1:5" hidden="1" x14ac:dyDescent="0.25">
      <c r="A219">
        <v>5</v>
      </c>
      <c r="B219">
        <v>14</v>
      </c>
      <c r="C219" t="s">
        <v>4</v>
      </c>
      <c r="D219" t="s">
        <v>13</v>
      </c>
      <c r="E219">
        <f t="shared" ca="1" si="2"/>
        <v>412391108.59994876</v>
      </c>
    </row>
    <row r="220" spans="1:5" hidden="1" x14ac:dyDescent="0.25">
      <c r="A220">
        <v>5</v>
      </c>
      <c r="B220">
        <v>15</v>
      </c>
      <c r="C220" t="s">
        <v>4</v>
      </c>
      <c r="D220" t="s">
        <v>14</v>
      </c>
      <c r="E220">
        <f t="shared" ca="1" si="2"/>
        <v>614654764.10761237</v>
      </c>
    </row>
    <row r="221" spans="1:5" hidden="1" x14ac:dyDescent="0.25">
      <c r="A221">
        <v>5</v>
      </c>
      <c r="B221">
        <v>16</v>
      </c>
      <c r="C221" t="s">
        <v>4</v>
      </c>
      <c r="D221" t="s">
        <v>15</v>
      </c>
      <c r="E221">
        <f t="shared" ca="1" si="2"/>
        <v>525781329.67286134</v>
      </c>
    </row>
    <row r="222" spans="1:5" hidden="1" x14ac:dyDescent="0.25">
      <c r="A222">
        <v>5</v>
      </c>
      <c r="B222">
        <v>17</v>
      </c>
      <c r="C222" t="s">
        <v>4</v>
      </c>
      <c r="D222" t="s">
        <v>16</v>
      </c>
      <c r="E222">
        <f t="shared" ca="1" si="2"/>
        <v>1157917952.2419538</v>
      </c>
    </row>
    <row r="223" spans="1:5" hidden="1" x14ac:dyDescent="0.25">
      <c r="A223">
        <v>5</v>
      </c>
      <c r="B223">
        <v>18</v>
      </c>
      <c r="C223" t="s">
        <v>4</v>
      </c>
      <c r="D223" t="s">
        <v>17</v>
      </c>
      <c r="E223">
        <f t="shared" ca="1" si="2"/>
        <v>719071321.97286129</v>
      </c>
    </row>
    <row r="224" spans="1:5" hidden="1" x14ac:dyDescent="0.25">
      <c r="A224">
        <v>5</v>
      </c>
      <c r="B224">
        <v>19</v>
      </c>
      <c r="C224" t="s">
        <v>4</v>
      </c>
      <c r="D224" t="s">
        <v>18</v>
      </c>
      <c r="E224">
        <f t="shared" ca="1" si="2"/>
        <v>593072965.67800093</v>
      </c>
    </row>
    <row r="225" spans="1:5" hidden="1" x14ac:dyDescent="0.25">
      <c r="A225">
        <v>5</v>
      </c>
      <c r="B225">
        <v>20</v>
      </c>
      <c r="C225" t="s">
        <v>4</v>
      </c>
      <c r="D225" t="s">
        <v>19</v>
      </c>
      <c r="E225">
        <f t="shared" ca="1" si="2"/>
        <v>731431609.73789644</v>
      </c>
    </row>
    <row r="226" spans="1:5" hidden="1" x14ac:dyDescent="0.25">
      <c r="A226">
        <v>5</v>
      </c>
      <c r="B226">
        <v>21</v>
      </c>
      <c r="C226" t="s">
        <v>4</v>
      </c>
      <c r="D226" t="s">
        <v>20</v>
      </c>
      <c r="E226">
        <f t="shared" ca="1" si="2"/>
        <v>449485085.56137317</v>
      </c>
    </row>
    <row r="227" spans="1:5" hidden="1" x14ac:dyDescent="0.25">
      <c r="A227">
        <v>5</v>
      </c>
      <c r="B227">
        <v>22</v>
      </c>
      <c r="C227" t="s">
        <v>4</v>
      </c>
      <c r="D227" t="s">
        <v>21</v>
      </c>
      <c r="E227">
        <f t="shared" ca="1" si="2"/>
        <v>2338005303.8041797</v>
      </c>
    </row>
    <row r="228" spans="1:5" hidden="1" x14ac:dyDescent="0.25">
      <c r="A228">
        <v>5</v>
      </c>
      <c r="B228">
        <v>23</v>
      </c>
      <c r="C228" t="s">
        <v>4</v>
      </c>
      <c r="D228" t="s">
        <v>22</v>
      </c>
      <c r="E228">
        <f t="shared" ca="1" si="2"/>
        <v>412782357.97914523</v>
      </c>
    </row>
    <row r="229" spans="1:5" hidden="1" x14ac:dyDescent="0.25">
      <c r="A229">
        <v>5</v>
      </c>
      <c r="B229">
        <v>24</v>
      </c>
      <c r="C229" t="s">
        <v>4</v>
      </c>
      <c r="D229" t="s">
        <v>23</v>
      </c>
      <c r="E229">
        <f t="shared" ca="1" si="2"/>
        <v>404434768.57914519</v>
      </c>
    </row>
    <row r="230" spans="1:5" hidden="1" x14ac:dyDescent="0.25">
      <c r="A230">
        <v>5</v>
      </c>
      <c r="B230">
        <v>25</v>
      </c>
      <c r="C230" t="s">
        <v>4</v>
      </c>
      <c r="D230" t="s">
        <v>24</v>
      </c>
      <c r="E230">
        <f t="shared" ca="1" si="2"/>
        <v>345723155.47914523</v>
      </c>
    </row>
    <row r="231" spans="1:5" hidden="1" x14ac:dyDescent="0.25">
      <c r="A231">
        <v>5</v>
      </c>
      <c r="B231">
        <v>26</v>
      </c>
      <c r="C231" t="s">
        <v>4</v>
      </c>
      <c r="D231" t="s">
        <v>25</v>
      </c>
      <c r="E231">
        <f t="shared" ca="1" si="2"/>
        <v>471267220.25561237</v>
      </c>
    </row>
    <row r="232" spans="1:5" hidden="1" x14ac:dyDescent="0.25">
      <c r="A232">
        <v>5</v>
      </c>
      <c r="B232">
        <v>27</v>
      </c>
      <c r="C232" t="s">
        <v>4</v>
      </c>
      <c r="D232" t="s">
        <v>145</v>
      </c>
      <c r="E232">
        <f t="shared" ca="1" si="2"/>
        <v>1141589292.8978963</v>
      </c>
    </row>
    <row r="233" spans="1:5" hidden="1" x14ac:dyDescent="0.25">
      <c r="A233">
        <v>5</v>
      </c>
      <c r="B233">
        <v>28</v>
      </c>
      <c r="C233" t="s">
        <v>4</v>
      </c>
      <c r="D233" t="s">
        <v>147</v>
      </c>
      <c r="E233">
        <f t="shared" ca="1" si="2"/>
        <v>2517960033.8041797</v>
      </c>
    </row>
    <row r="234" spans="1:5" hidden="1" x14ac:dyDescent="0.25">
      <c r="A234">
        <v>5</v>
      </c>
      <c r="B234">
        <v>29</v>
      </c>
      <c r="C234" t="s">
        <v>4</v>
      </c>
      <c r="D234" t="s">
        <v>146</v>
      </c>
      <c r="E234">
        <f t="shared" ref="E234:E296" ca="1" si="3">OFFSET($B$2,A234,B234)</f>
        <v>376997856.78714526</v>
      </c>
    </row>
    <row r="235" spans="1:5" hidden="1" x14ac:dyDescent="0.25">
      <c r="A235">
        <v>5</v>
      </c>
      <c r="B235">
        <v>30</v>
      </c>
      <c r="C235" t="s">
        <v>4</v>
      </c>
      <c r="D235" t="s">
        <v>30</v>
      </c>
      <c r="E235">
        <f t="shared" ca="1" si="3"/>
        <v>15008901152.445435</v>
      </c>
    </row>
    <row r="236" spans="1:5" hidden="1" x14ac:dyDescent="0.25">
      <c r="A236">
        <v>5</v>
      </c>
      <c r="B236">
        <v>31</v>
      </c>
      <c r="C236" t="s">
        <v>4</v>
      </c>
      <c r="D236" t="s">
        <v>31</v>
      </c>
      <c r="E236">
        <f t="shared" ca="1" si="3"/>
        <v>322320698.12772495</v>
      </c>
    </row>
    <row r="237" spans="1:5" hidden="1" x14ac:dyDescent="0.25">
      <c r="A237">
        <v>5</v>
      </c>
      <c r="B237">
        <v>32</v>
      </c>
      <c r="C237" t="s">
        <v>4</v>
      </c>
      <c r="D237" t="s">
        <v>32</v>
      </c>
      <c r="E237">
        <f t="shared" ca="1" si="3"/>
        <v>401224318.49172497</v>
      </c>
    </row>
    <row r="238" spans="1:5" hidden="1" x14ac:dyDescent="0.25">
      <c r="A238">
        <v>5</v>
      </c>
      <c r="B238">
        <v>33</v>
      </c>
      <c r="C238" t="s">
        <v>4</v>
      </c>
      <c r="D238" t="s">
        <v>33</v>
      </c>
      <c r="E238">
        <f t="shared" ca="1" si="3"/>
        <v>3196057914.0632415</v>
      </c>
    </row>
    <row r="239" spans="1:5" hidden="1" x14ac:dyDescent="0.25">
      <c r="A239">
        <v>5</v>
      </c>
      <c r="B239">
        <v>34</v>
      </c>
      <c r="C239" t="s">
        <v>4</v>
      </c>
      <c r="D239" t="s">
        <v>34</v>
      </c>
      <c r="E239">
        <f t="shared" ca="1" si="3"/>
        <v>2566323305.1352415</v>
      </c>
    </row>
    <row r="240" spans="1:5" hidden="1" x14ac:dyDescent="0.25">
      <c r="A240">
        <v>5</v>
      </c>
      <c r="B240">
        <v>35</v>
      </c>
      <c r="C240" t="s">
        <v>4</v>
      </c>
      <c r="D240" t="s">
        <v>35</v>
      </c>
      <c r="E240">
        <f t="shared" ca="1" si="3"/>
        <v>784741722.55394709</v>
      </c>
    </row>
    <row r="241" spans="1:5" hidden="1" x14ac:dyDescent="0.25">
      <c r="A241">
        <v>5</v>
      </c>
      <c r="B241">
        <v>36</v>
      </c>
      <c r="C241" t="s">
        <v>4</v>
      </c>
      <c r="D241" t="s">
        <v>36</v>
      </c>
      <c r="E241">
        <f t="shared" ca="1" si="3"/>
        <v>424627234.21190143</v>
      </c>
    </row>
    <row r="242" spans="1:5" hidden="1" x14ac:dyDescent="0.25">
      <c r="A242">
        <v>5</v>
      </c>
      <c r="B242">
        <v>37</v>
      </c>
      <c r="C242" t="s">
        <v>4</v>
      </c>
      <c r="D242" t="s">
        <v>37</v>
      </c>
      <c r="E242">
        <f t="shared" ca="1" si="3"/>
        <v>340813824.21482909</v>
      </c>
    </row>
    <row r="243" spans="1:5" hidden="1" x14ac:dyDescent="0.25">
      <c r="A243">
        <v>5</v>
      </c>
      <c r="B243">
        <v>38</v>
      </c>
      <c r="C243" t="s">
        <v>4</v>
      </c>
      <c r="D243" t="s">
        <v>38</v>
      </c>
      <c r="E243">
        <f t="shared" ca="1" si="3"/>
        <v>371968896.53190142</v>
      </c>
    </row>
    <row r="244" spans="1:5" hidden="1" x14ac:dyDescent="0.25">
      <c r="A244">
        <v>5</v>
      </c>
      <c r="B244">
        <v>39</v>
      </c>
      <c r="C244" t="s">
        <v>4</v>
      </c>
      <c r="D244" t="s">
        <v>39</v>
      </c>
      <c r="E244">
        <f t="shared" ca="1" si="3"/>
        <v>411996550.34181863</v>
      </c>
    </row>
    <row r="245" spans="1:5" hidden="1" x14ac:dyDescent="0.25">
      <c r="A245">
        <v>5</v>
      </c>
      <c r="B245">
        <v>40</v>
      </c>
      <c r="C245" t="s">
        <v>4</v>
      </c>
      <c r="D245" t="s">
        <v>40</v>
      </c>
      <c r="E245">
        <f t="shared" ca="1" si="3"/>
        <v>497780041.17482913</v>
      </c>
    </row>
    <row r="246" spans="1:5" hidden="1" x14ac:dyDescent="0.25">
      <c r="A246">
        <v>6</v>
      </c>
      <c r="B246">
        <v>1</v>
      </c>
      <c r="C246" t="s">
        <v>5</v>
      </c>
      <c r="D246" t="s">
        <v>0</v>
      </c>
      <c r="E246">
        <f t="shared" ca="1" si="3"/>
        <v>1052458919.0370899</v>
      </c>
    </row>
    <row r="247" spans="1:5" hidden="1" x14ac:dyDescent="0.25">
      <c r="A247">
        <v>6</v>
      </c>
      <c r="B247">
        <v>2</v>
      </c>
      <c r="C247" t="s">
        <v>5</v>
      </c>
      <c r="D247" t="s">
        <v>1</v>
      </c>
      <c r="E247">
        <f t="shared" ca="1" si="3"/>
        <v>798571214.24280417</v>
      </c>
    </row>
    <row r="248" spans="1:5" hidden="1" x14ac:dyDescent="0.25">
      <c r="A248">
        <v>6</v>
      </c>
      <c r="B248">
        <v>3</v>
      </c>
      <c r="C248" t="s">
        <v>5</v>
      </c>
      <c r="D248" t="s">
        <v>2</v>
      </c>
      <c r="E248">
        <f t="shared" ca="1" si="3"/>
        <v>624546052.52959323</v>
      </c>
    </row>
    <row r="249" spans="1:5" hidden="1" x14ac:dyDescent="0.25">
      <c r="A249">
        <v>6</v>
      </c>
      <c r="B249">
        <v>4</v>
      </c>
      <c r="C249" t="s">
        <v>5</v>
      </c>
      <c r="D249" t="s">
        <v>3</v>
      </c>
      <c r="E249">
        <f t="shared" ca="1" si="3"/>
        <v>15107290474.289719</v>
      </c>
    </row>
    <row r="250" spans="1:5" hidden="1" x14ac:dyDescent="0.25">
      <c r="A250">
        <v>6</v>
      </c>
      <c r="B250">
        <v>5</v>
      </c>
      <c r="C250" t="s">
        <v>5</v>
      </c>
      <c r="D250" t="s">
        <v>4</v>
      </c>
      <c r="E250">
        <f t="shared" ca="1" si="3"/>
        <v>0</v>
      </c>
    </row>
    <row r="251" spans="1:5" hidden="1" x14ac:dyDescent="0.25">
      <c r="A251">
        <v>6</v>
      </c>
      <c r="B251">
        <v>6</v>
      </c>
      <c r="C251" t="s">
        <v>5</v>
      </c>
      <c r="D251" t="s">
        <v>5</v>
      </c>
      <c r="E251">
        <f t="shared" ca="1" si="3"/>
        <v>0</v>
      </c>
    </row>
    <row r="252" spans="1:5" hidden="1" x14ac:dyDescent="0.25">
      <c r="A252">
        <v>6</v>
      </c>
      <c r="B252">
        <v>7</v>
      </c>
      <c r="C252" t="s">
        <v>5</v>
      </c>
      <c r="D252" t="s">
        <v>6</v>
      </c>
      <c r="E252">
        <f t="shared" ca="1" si="3"/>
        <v>0</v>
      </c>
    </row>
    <row r="253" spans="1:5" hidden="1" x14ac:dyDescent="0.25">
      <c r="A253">
        <v>6</v>
      </c>
      <c r="B253">
        <v>8</v>
      </c>
      <c r="C253" t="s">
        <v>5</v>
      </c>
      <c r="D253" t="s">
        <v>7</v>
      </c>
      <c r="E253">
        <f t="shared" ca="1" si="3"/>
        <v>15262501524.417435</v>
      </c>
    </row>
    <row r="254" spans="1:5" hidden="1" x14ac:dyDescent="0.25">
      <c r="A254">
        <v>6</v>
      </c>
      <c r="B254">
        <v>9</v>
      </c>
      <c r="C254" t="s">
        <v>5</v>
      </c>
      <c r="D254" t="s">
        <v>148</v>
      </c>
      <c r="E254">
        <f t="shared" ca="1" si="3"/>
        <v>893986567.34553146</v>
      </c>
    </row>
    <row r="255" spans="1:5" hidden="1" x14ac:dyDescent="0.25">
      <c r="A255">
        <v>6</v>
      </c>
      <c r="B255">
        <v>10</v>
      </c>
      <c r="C255" t="s">
        <v>5</v>
      </c>
      <c r="D255" t="s">
        <v>9</v>
      </c>
      <c r="E255">
        <f t="shared" ca="1" si="3"/>
        <v>256448623.13571426</v>
      </c>
    </row>
    <row r="256" spans="1:5" hidden="1" x14ac:dyDescent="0.25">
      <c r="A256">
        <v>6</v>
      </c>
      <c r="B256">
        <v>11</v>
      </c>
      <c r="C256" t="s">
        <v>5</v>
      </c>
      <c r="D256" t="s">
        <v>10</v>
      </c>
      <c r="E256">
        <f t="shared" ca="1" si="3"/>
        <v>730855638.07519436</v>
      </c>
    </row>
    <row r="257" spans="1:5" hidden="1" x14ac:dyDescent="0.25">
      <c r="A257">
        <v>6</v>
      </c>
      <c r="B257">
        <v>12</v>
      </c>
      <c r="C257" t="s">
        <v>5</v>
      </c>
      <c r="D257" t="s">
        <v>11</v>
      </c>
      <c r="E257">
        <f t="shared" ca="1" si="3"/>
        <v>813185340.16523516</v>
      </c>
    </row>
    <row r="258" spans="1:5" hidden="1" x14ac:dyDescent="0.25">
      <c r="A258">
        <v>6</v>
      </c>
      <c r="B258">
        <v>13</v>
      </c>
      <c r="C258" t="s">
        <v>5</v>
      </c>
      <c r="D258" t="s">
        <v>12</v>
      </c>
      <c r="E258">
        <f t="shared" ca="1" si="3"/>
        <v>444890246.87480587</v>
      </c>
    </row>
    <row r="259" spans="1:5" hidden="1" x14ac:dyDescent="0.25">
      <c r="A259">
        <v>6</v>
      </c>
      <c r="B259">
        <v>14</v>
      </c>
      <c r="C259" t="s">
        <v>5</v>
      </c>
      <c r="D259" t="s">
        <v>13</v>
      </c>
      <c r="E259">
        <f t="shared" ca="1" si="3"/>
        <v>531847882.36280584</v>
      </c>
    </row>
    <row r="260" spans="1:5" hidden="1" x14ac:dyDescent="0.25">
      <c r="A260">
        <v>6</v>
      </c>
      <c r="B260">
        <v>15</v>
      </c>
      <c r="C260" t="s">
        <v>5</v>
      </c>
      <c r="D260" t="s">
        <v>14</v>
      </c>
      <c r="E260">
        <f t="shared" ca="1" si="3"/>
        <v>734111537.87046957</v>
      </c>
    </row>
    <row r="261" spans="1:5" hidden="1" x14ac:dyDescent="0.25">
      <c r="A261">
        <v>6</v>
      </c>
      <c r="B261">
        <v>16</v>
      </c>
      <c r="C261" t="s">
        <v>5</v>
      </c>
      <c r="D261" t="s">
        <v>15</v>
      </c>
      <c r="E261">
        <f t="shared" ca="1" si="3"/>
        <v>645238103.43571842</v>
      </c>
    </row>
    <row r="262" spans="1:5" hidden="1" x14ac:dyDescent="0.25">
      <c r="A262">
        <v>6</v>
      </c>
      <c r="B262">
        <v>17</v>
      </c>
      <c r="C262" t="s">
        <v>5</v>
      </c>
      <c r="D262" t="s">
        <v>16</v>
      </c>
      <c r="E262">
        <f t="shared" ca="1" si="3"/>
        <v>1277374726.0048108</v>
      </c>
    </row>
    <row r="263" spans="1:5" hidden="1" x14ac:dyDescent="0.25">
      <c r="A263">
        <v>6</v>
      </c>
      <c r="B263">
        <v>18</v>
      </c>
      <c r="C263" t="s">
        <v>5</v>
      </c>
      <c r="D263" t="s">
        <v>17</v>
      </c>
      <c r="E263">
        <f t="shared" ca="1" si="3"/>
        <v>838528095.73571849</v>
      </c>
    </row>
    <row r="264" spans="1:5" hidden="1" x14ac:dyDescent="0.25">
      <c r="A264">
        <v>6</v>
      </c>
      <c r="B264">
        <v>19</v>
      </c>
      <c r="C264" t="s">
        <v>5</v>
      </c>
      <c r="D264" t="s">
        <v>18</v>
      </c>
      <c r="E264">
        <f t="shared" ca="1" si="3"/>
        <v>712529739.44085801</v>
      </c>
    </row>
    <row r="265" spans="1:5" hidden="1" x14ac:dyDescent="0.25">
      <c r="A265">
        <v>6</v>
      </c>
      <c r="B265">
        <v>20</v>
      </c>
      <c r="C265" t="s">
        <v>5</v>
      </c>
      <c r="D265" t="s">
        <v>19</v>
      </c>
      <c r="E265">
        <f t="shared" ca="1" si="3"/>
        <v>850888383.50075352</v>
      </c>
    </row>
    <row r="266" spans="1:5" hidden="1" x14ac:dyDescent="0.25">
      <c r="A266">
        <v>6</v>
      </c>
      <c r="B266">
        <v>21</v>
      </c>
      <c r="C266" t="s">
        <v>5</v>
      </c>
      <c r="D266" t="s">
        <v>20</v>
      </c>
      <c r="E266">
        <f t="shared" ca="1" si="3"/>
        <v>568941859.32423031</v>
      </c>
    </row>
    <row r="267" spans="1:5" hidden="1" x14ac:dyDescent="0.25">
      <c r="A267">
        <v>6</v>
      </c>
      <c r="B267">
        <v>22</v>
      </c>
      <c r="C267" t="s">
        <v>5</v>
      </c>
      <c r="D267" t="s">
        <v>21</v>
      </c>
      <c r="E267">
        <f t="shared" ca="1" si="3"/>
        <v>2457462077.5670371</v>
      </c>
    </row>
    <row r="268" spans="1:5" hidden="1" x14ac:dyDescent="0.25">
      <c r="A268">
        <v>6</v>
      </c>
      <c r="B268">
        <v>23</v>
      </c>
      <c r="C268" t="s">
        <v>5</v>
      </c>
      <c r="D268" t="s">
        <v>22</v>
      </c>
      <c r="E268">
        <f t="shared" ca="1" si="3"/>
        <v>532239131.74200237</v>
      </c>
    </row>
    <row r="269" spans="1:5" hidden="1" x14ac:dyDescent="0.25">
      <c r="A269">
        <v>6</v>
      </c>
      <c r="B269">
        <v>24</v>
      </c>
      <c r="C269" t="s">
        <v>5</v>
      </c>
      <c r="D269" t="s">
        <v>23</v>
      </c>
      <c r="E269">
        <f t="shared" ca="1" si="3"/>
        <v>523891542.34200239</v>
      </c>
    </row>
    <row r="270" spans="1:5" hidden="1" x14ac:dyDescent="0.25">
      <c r="A270">
        <v>6</v>
      </c>
      <c r="B270">
        <v>25</v>
      </c>
      <c r="C270" t="s">
        <v>5</v>
      </c>
      <c r="D270" t="s">
        <v>24</v>
      </c>
      <c r="E270">
        <f t="shared" ca="1" si="3"/>
        <v>465179929.24200237</v>
      </c>
    </row>
    <row r="271" spans="1:5" hidden="1" x14ac:dyDescent="0.25">
      <c r="A271">
        <v>6</v>
      </c>
      <c r="B271">
        <v>26</v>
      </c>
      <c r="C271" t="s">
        <v>5</v>
      </c>
      <c r="D271" t="s">
        <v>25</v>
      </c>
      <c r="E271">
        <f t="shared" ca="1" si="3"/>
        <v>590723994.01846957</v>
      </c>
    </row>
    <row r="272" spans="1:5" hidden="1" x14ac:dyDescent="0.25">
      <c r="A272">
        <v>6</v>
      </c>
      <c r="B272">
        <v>27</v>
      </c>
      <c r="C272" t="s">
        <v>5</v>
      </c>
      <c r="D272" t="s">
        <v>145</v>
      </c>
      <c r="E272">
        <f t="shared" ca="1" si="3"/>
        <v>1261046066.6607535</v>
      </c>
    </row>
    <row r="273" spans="1:5" hidden="1" x14ac:dyDescent="0.25">
      <c r="A273">
        <v>6</v>
      </c>
      <c r="B273">
        <v>28</v>
      </c>
      <c r="C273" t="s">
        <v>5</v>
      </c>
      <c r="D273" t="s">
        <v>147</v>
      </c>
      <c r="E273">
        <f t="shared" ca="1" si="3"/>
        <v>2637416807.5670371</v>
      </c>
    </row>
    <row r="274" spans="1:5" hidden="1" x14ac:dyDescent="0.25">
      <c r="A274">
        <v>6</v>
      </c>
      <c r="B274">
        <v>29</v>
      </c>
      <c r="C274" t="s">
        <v>5</v>
      </c>
      <c r="D274" t="s">
        <v>146</v>
      </c>
      <c r="E274">
        <f t="shared" ca="1" si="3"/>
        <v>496454630.55000234</v>
      </c>
    </row>
    <row r="275" spans="1:5" hidden="1" x14ac:dyDescent="0.25">
      <c r="A275">
        <v>6</v>
      </c>
      <c r="B275">
        <v>30</v>
      </c>
      <c r="C275" t="s">
        <v>5</v>
      </c>
      <c r="D275" t="s">
        <v>30</v>
      </c>
      <c r="E275">
        <f t="shared" ca="1" si="3"/>
        <v>15128357926.208292</v>
      </c>
    </row>
    <row r="276" spans="1:5" hidden="1" x14ac:dyDescent="0.25">
      <c r="A276">
        <v>6</v>
      </c>
      <c r="B276">
        <v>31</v>
      </c>
      <c r="C276" t="s">
        <v>5</v>
      </c>
      <c r="D276" t="s">
        <v>31</v>
      </c>
      <c r="E276">
        <f t="shared" ca="1" si="3"/>
        <v>441777471.89058208</v>
      </c>
    </row>
    <row r="277" spans="1:5" hidden="1" x14ac:dyDescent="0.25">
      <c r="A277">
        <v>6</v>
      </c>
      <c r="B277">
        <v>32</v>
      </c>
      <c r="C277" t="s">
        <v>5</v>
      </c>
      <c r="D277" t="s">
        <v>32</v>
      </c>
      <c r="E277">
        <f t="shared" ca="1" si="3"/>
        <v>520681092.25458211</v>
      </c>
    </row>
    <row r="278" spans="1:5" hidden="1" x14ac:dyDescent="0.25">
      <c r="A278">
        <v>6</v>
      </c>
      <c r="B278">
        <v>33</v>
      </c>
      <c r="C278" t="s">
        <v>5</v>
      </c>
      <c r="D278" t="s">
        <v>33</v>
      </c>
      <c r="E278">
        <f t="shared" ca="1" si="3"/>
        <v>3315514687.8260989</v>
      </c>
    </row>
    <row r="279" spans="1:5" hidden="1" x14ac:dyDescent="0.25">
      <c r="A279">
        <v>6</v>
      </c>
      <c r="B279">
        <v>34</v>
      </c>
      <c r="C279" t="s">
        <v>5</v>
      </c>
      <c r="D279" t="s">
        <v>34</v>
      </c>
      <c r="E279">
        <f t="shared" ca="1" si="3"/>
        <v>2685780078.8980989</v>
      </c>
    </row>
    <row r="280" spans="1:5" hidden="1" x14ac:dyDescent="0.25">
      <c r="A280">
        <v>6</v>
      </c>
      <c r="B280">
        <v>35</v>
      </c>
      <c r="C280" t="s">
        <v>5</v>
      </c>
      <c r="D280" t="s">
        <v>35</v>
      </c>
      <c r="E280">
        <f t="shared" ca="1" si="3"/>
        <v>904198496.31680417</v>
      </c>
    </row>
    <row r="281" spans="1:5" hidden="1" x14ac:dyDescent="0.25">
      <c r="A281">
        <v>6</v>
      </c>
      <c r="B281">
        <v>36</v>
      </c>
      <c r="C281" t="s">
        <v>5</v>
      </c>
      <c r="D281" t="s">
        <v>36</v>
      </c>
      <c r="E281">
        <f t="shared" ca="1" si="3"/>
        <v>544084007.97475851</v>
      </c>
    </row>
    <row r="282" spans="1:5" hidden="1" x14ac:dyDescent="0.25">
      <c r="A282">
        <v>6</v>
      </c>
      <c r="B282">
        <v>37</v>
      </c>
      <c r="C282" t="s">
        <v>5</v>
      </c>
      <c r="D282" t="s">
        <v>37</v>
      </c>
      <c r="E282">
        <f t="shared" ca="1" si="3"/>
        <v>460270597.97768617</v>
      </c>
    </row>
    <row r="283" spans="1:5" hidden="1" x14ac:dyDescent="0.25">
      <c r="A283">
        <v>6</v>
      </c>
      <c r="B283">
        <v>38</v>
      </c>
      <c r="C283" t="s">
        <v>5</v>
      </c>
      <c r="D283" t="s">
        <v>38</v>
      </c>
      <c r="E283">
        <f t="shared" ca="1" si="3"/>
        <v>491425670.2947585</v>
      </c>
    </row>
    <row r="284" spans="1:5" hidden="1" x14ac:dyDescent="0.25">
      <c r="A284">
        <v>6</v>
      </c>
      <c r="B284">
        <v>39</v>
      </c>
      <c r="C284" t="s">
        <v>5</v>
      </c>
      <c r="D284" t="s">
        <v>39</v>
      </c>
      <c r="E284">
        <f t="shared" ca="1" si="3"/>
        <v>531453324.10467577</v>
      </c>
    </row>
    <row r="285" spans="1:5" hidden="1" x14ac:dyDescent="0.25">
      <c r="A285">
        <v>6</v>
      </c>
      <c r="B285">
        <v>40</v>
      </c>
      <c r="C285" t="s">
        <v>5</v>
      </c>
      <c r="D285" t="s">
        <v>40</v>
      </c>
      <c r="E285">
        <f t="shared" ca="1" si="3"/>
        <v>617236814.9376862</v>
      </c>
    </row>
    <row r="286" spans="1:5" hidden="1" x14ac:dyDescent="0.25">
      <c r="A286">
        <v>7</v>
      </c>
      <c r="B286">
        <v>1</v>
      </c>
      <c r="C286" t="s">
        <v>6</v>
      </c>
      <c r="D286" t="s">
        <v>0</v>
      </c>
      <c r="E286">
        <f t="shared" ca="1" si="3"/>
        <v>900221537.80423272</v>
      </c>
    </row>
    <row r="287" spans="1:5" hidden="1" x14ac:dyDescent="0.25">
      <c r="A287">
        <v>7</v>
      </c>
      <c r="B287">
        <v>2</v>
      </c>
      <c r="C287" t="s">
        <v>6</v>
      </c>
      <c r="D287" t="s">
        <v>1</v>
      </c>
      <c r="E287">
        <f t="shared" ca="1" si="3"/>
        <v>776690069.24280417</v>
      </c>
    </row>
    <row r="288" spans="1:5" hidden="1" x14ac:dyDescent="0.25">
      <c r="A288">
        <v>7</v>
      </c>
      <c r="B288">
        <v>3</v>
      </c>
      <c r="C288" t="s">
        <v>6</v>
      </c>
      <c r="D288" t="s">
        <v>2</v>
      </c>
      <c r="E288">
        <f t="shared" ca="1" si="3"/>
        <v>602664907.52959323</v>
      </c>
    </row>
    <row r="289" spans="1:5" hidden="1" x14ac:dyDescent="0.25">
      <c r="A289">
        <v>7</v>
      </c>
      <c r="B289">
        <v>4</v>
      </c>
      <c r="C289" t="s">
        <v>6</v>
      </c>
      <c r="D289" t="s">
        <v>3</v>
      </c>
      <c r="E289">
        <f t="shared" ca="1" si="3"/>
        <v>15085409329.289719</v>
      </c>
    </row>
    <row r="290" spans="1:5" hidden="1" x14ac:dyDescent="0.25">
      <c r="A290">
        <v>7</v>
      </c>
      <c r="B290">
        <v>5</v>
      </c>
      <c r="C290" t="s">
        <v>6</v>
      </c>
      <c r="D290" t="s">
        <v>4</v>
      </c>
      <c r="E290">
        <f t="shared" ca="1" si="3"/>
        <v>0</v>
      </c>
    </row>
    <row r="291" spans="1:5" hidden="1" x14ac:dyDescent="0.25">
      <c r="A291">
        <v>7</v>
      </c>
      <c r="B291">
        <v>6</v>
      </c>
      <c r="C291" t="s">
        <v>6</v>
      </c>
      <c r="D291" t="s">
        <v>5</v>
      </c>
      <c r="E291">
        <f t="shared" ca="1" si="3"/>
        <v>0</v>
      </c>
    </row>
    <row r="292" spans="1:5" hidden="1" x14ac:dyDescent="0.25">
      <c r="A292">
        <v>7</v>
      </c>
      <c r="B292">
        <v>7</v>
      </c>
      <c r="C292" t="s">
        <v>6</v>
      </c>
      <c r="D292" t="s">
        <v>6</v>
      </c>
      <c r="E292">
        <f t="shared" ca="1" si="3"/>
        <v>0</v>
      </c>
    </row>
    <row r="293" spans="1:5" hidden="1" x14ac:dyDescent="0.25">
      <c r="A293">
        <v>7</v>
      </c>
      <c r="B293">
        <v>8</v>
      </c>
      <c r="C293" t="s">
        <v>6</v>
      </c>
      <c r="D293" t="s">
        <v>7</v>
      </c>
      <c r="E293">
        <f t="shared" ca="1" si="3"/>
        <v>166783072.46342856</v>
      </c>
    </row>
    <row r="294" spans="1:5" hidden="1" x14ac:dyDescent="0.25">
      <c r="A294">
        <v>7</v>
      </c>
      <c r="B294">
        <v>9</v>
      </c>
      <c r="C294" t="s">
        <v>6</v>
      </c>
      <c r="D294" t="s">
        <v>148</v>
      </c>
      <c r="E294">
        <f t="shared" ca="1" si="3"/>
        <v>755297569.8112458</v>
      </c>
    </row>
    <row r="295" spans="1:5" hidden="1" x14ac:dyDescent="0.25">
      <c r="A295">
        <v>7</v>
      </c>
      <c r="B295">
        <v>10</v>
      </c>
      <c r="C295" t="s">
        <v>6</v>
      </c>
      <c r="D295" t="s">
        <v>9</v>
      </c>
      <c r="E295">
        <f t="shared" ca="1" si="3"/>
        <v>117759625.60142858</v>
      </c>
    </row>
    <row r="296" spans="1:5" hidden="1" x14ac:dyDescent="0.25">
      <c r="A296">
        <v>7</v>
      </c>
      <c r="B296">
        <v>11</v>
      </c>
      <c r="C296" t="s">
        <v>6</v>
      </c>
      <c r="D296" t="s">
        <v>10</v>
      </c>
      <c r="E296">
        <f t="shared" ca="1" si="3"/>
        <v>592166640.54090858</v>
      </c>
    </row>
    <row r="297" spans="1:5" hidden="1" x14ac:dyDescent="0.25">
      <c r="A297">
        <v>7</v>
      </c>
      <c r="B297">
        <v>12</v>
      </c>
      <c r="C297" t="s">
        <v>6</v>
      </c>
      <c r="D297" t="s">
        <v>11</v>
      </c>
      <c r="E297">
        <f t="shared" ref="E297:E358" ca="1" si="4">OFFSET($B$2,A297,B297)</f>
        <v>674496342.6309495</v>
      </c>
    </row>
    <row r="298" spans="1:5" hidden="1" x14ac:dyDescent="0.25">
      <c r="A298">
        <v>7</v>
      </c>
      <c r="B298">
        <v>13</v>
      </c>
      <c r="C298" t="s">
        <v>6</v>
      </c>
      <c r="D298" t="s">
        <v>12</v>
      </c>
      <c r="E298">
        <f t="shared" ca="1" si="4"/>
        <v>306201249.3405202</v>
      </c>
    </row>
    <row r="299" spans="1:5" hidden="1" x14ac:dyDescent="0.25">
      <c r="A299">
        <v>7</v>
      </c>
      <c r="B299">
        <v>14</v>
      </c>
      <c r="C299" t="s">
        <v>6</v>
      </c>
      <c r="D299" t="s">
        <v>13</v>
      </c>
      <c r="E299">
        <f t="shared" ca="1" si="4"/>
        <v>393158884.82852018</v>
      </c>
    </row>
    <row r="300" spans="1:5" hidden="1" x14ac:dyDescent="0.25">
      <c r="A300">
        <v>7</v>
      </c>
      <c r="B300">
        <v>15</v>
      </c>
      <c r="C300" t="s">
        <v>6</v>
      </c>
      <c r="D300" t="s">
        <v>14</v>
      </c>
      <c r="E300">
        <f t="shared" ca="1" si="4"/>
        <v>595422540.33618379</v>
      </c>
    </row>
    <row r="301" spans="1:5" hidden="1" x14ac:dyDescent="0.25">
      <c r="A301">
        <v>7</v>
      </c>
      <c r="B301">
        <v>16</v>
      </c>
      <c r="C301" t="s">
        <v>6</v>
      </c>
      <c r="D301" t="s">
        <v>15</v>
      </c>
      <c r="E301">
        <f t="shared" ca="1" si="4"/>
        <v>506549105.90143275</v>
      </c>
    </row>
    <row r="302" spans="1:5" hidden="1" x14ac:dyDescent="0.25">
      <c r="A302">
        <v>7</v>
      </c>
      <c r="B302">
        <v>17</v>
      </c>
      <c r="C302" t="s">
        <v>6</v>
      </c>
      <c r="D302" t="s">
        <v>16</v>
      </c>
      <c r="E302">
        <f t="shared" ca="1" si="4"/>
        <v>1138685728.4705253</v>
      </c>
    </row>
    <row r="303" spans="1:5" hidden="1" x14ac:dyDescent="0.25">
      <c r="A303">
        <v>7</v>
      </c>
      <c r="B303">
        <v>18</v>
      </c>
      <c r="C303" t="s">
        <v>6</v>
      </c>
      <c r="D303" t="s">
        <v>17</v>
      </c>
      <c r="E303">
        <f t="shared" ca="1" si="4"/>
        <v>699839098.2014327</v>
      </c>
    </row>
    <row r="304" spans="1:5" hidden="1" x14ac:dyDescent="0.25">
      <c r="A304">
        <v>7</v>
      </c>
      <c r="B304">
        <v>19</v>
      </c>
      <c r="C304" t="s">
        <v>6</v>
      </c>
      <c r="D304" t="s">
        <v>18</v>
      </c>
      <c r="E304">
        <f t="shared" ca="1" si="4"/>
        <v>573840741.90657234</v>
      </c>
    </row>
    <row r="305" spans="1:5" hidden="1" x14ac:dyDescent="0.25">
      <c r="A305">
        <v>7</v>
      </c>
      <c r="B305">
        <v>20</v>
      </c>
      <c r="C305" t="s">
        <v>6</v>
      </c>
      <c r="D305" t="s">
        <v>19</v>
      </c>
      <c r="E305">
        <f t="shared" ca="1" si="4"/>
        <v>712199385.96646786</v>
      </c>
    </row>
    <row r="306" spans="1:5" hidden="1" x14ac:dyDescent="0.25">
      <c r="A306">
        <v>7</v>
      </c>
      <c r="B306">
        <v>21</v>
      </c>
      <c r="C306" t="s">
        <v>6</v>
      </c>
      <c r="D306" t="s">
        <v>20</v>
      </c>
      <c r="E306">
        <f t="shared" ca="1" si="4"/>
        <v>430252861.78994459</v>
      </c>
    </row>
    <row r="307" spans="1:5" hidden="1" x14ac:dyDescent="0.25">
      <c r="A307">
        <v>7</v>
      </c>
      <c r="B307">
        <v>22</v>
      </c>
      <c r="C307" t="s">
        <v>6</v>
      </c>
      <c r="D307" t="s">
        <v>21</v>
      </c>
      <c r="E307">
        <f t="shared" ca="1" si="4"/>
        <v>2318773080.0327516</v>
      </c>
    </row>
    <row r="308" spans="1:5" hidden="1" x14ac:dyDescent="0.25">
      <c r="A308">
        <v>7</v>
      </c>
      <c r="B308">
        <v>23</v>
      </c>
      <c r="C308" t="s">
        <v>6</v>
      </c>
      <c r="D308" t="s">
        <v>22</v>
      </c>
      <c r="E308">
        <f t="shared" ca="1" si="4"/>
        <v>393550134.20771664</v>
      </c>
    </row>
    <row r="309" spans="1:5" hidden="1" x14ac:dyDescent="0.25">
      <c r="A309">
        <v>7</v>
      </c>
      <c r="B309">
        <v>24</v>
      </c>
      <c r="C309" t="s">
        <v>6</v>
      </c>
      <c r="D309" t="s">
        <v>23</v>
      </c>
      <c r="E309">
        <f t="shared" ca="1" si="4"/>
        <v>385202544.80771661</v>
      </c>
    </row>
    <row r="310" spans="1:5" hidden="1" x14ac:dyDescent="0.25">
      <c r="A310">
        <v>7</v>
      </c>
      <c r="B310">
        <v>25</v>
      </c>
      <c r="C310" t="s">
        <v>6</v>
      </c>
      <c r="D310" t="s">
        <v>24</v>
      </c>
      <c r="E310">
        <f t="shared" ca="1" si="4"/>
        <v>326490931.70771664</v>
      </c>
    </row>
    <row r="311" spans="1:5" hidden="1" x14ac:dyDescent="0.25">
      <c r="A311">
        <v>7</v>
      </c>
      <c r="B311">
        <v>26</v>
      </c>
      <c r="C311" t="s">
        <v>6</v>
      </c>
      <c r="D311" t="s">
        <v>25</v>
      </c>
      <c r="E311">
        <f t="shared" ca="1" si="4"/>
        <v>452034996.48418379</v>
      </c>
    </row>
    <row r="312" spans="1:5" hidden="1" x14ac:dyDescent="0.25">
      <c r="A312">
        <v>7</v>
      </c>
      <c r="B312">
        <v>27</v>
      </c>
      <c r="C312" t="s">
        <v>6</v>
      </c>
      <c r="D312" t="s">
        <v>145</v>
      </c>
      <c r="E312">
        <f t="shared" ca="1" si="4"/>
        <v>1122357069.1264677</v>
      </c>
    </row>
    <row r="313" spans="1:5" hidden="1" x14ac:dyDescent="0.25">
      <c r="A313">
        <v>7</v>
      </c>
      <c r="B313">
        <v>28</v>
      </c>
      <c r="C313" t="s">
        <v>6</v>
      </c>
      <c r="D313" t="s">
        <v>147</v>
      </c>
      <c r="E313">
        <f t="shared" ca="1" si="4"/>
        <v>2498727810.0327516</v>
      </c>
    </row>
    <row r="314" spans="1:5" hidden="1" x14ac:dyDescent="0.25">
      <c r="A314">
        <v>7</v>
      </c>
      <c r="B314">
        <v>29</v>
      </c>
      <c r="C314" t="s">
        <v>6</v>
      </c>
      <c r="D314" t="s">
        <v>146</v>
      </c>
      <c r="E314">
        <f t="shared" ca="1" si="4"/>
        <v>357765633.01571667</v>
      </c>
    </row>
    <row r="315" spans="1:5" hidden="1" x14ac:dyDescent="0.25">
      <c r="A315">
        <v>7</v>
      </c>
      <c r="B315">
        <v>30</v>
      </c>
      <c r="C315" t="s">
        <v>6</v>
      </c>
      <c r="D315" t="s">
        <v>30</v>
      </c>
      <c r="E315">
        <f t="shared" ca="1" si="4"/>
        <v>39661012182.422585</v>
      </c>
    </row>
    <row r="316" spans="1:5" hidden="1" x14ac:dyDescent="0.25">
      <c r="A316">
        <v>7</v>
      </c>
      <c r="B316">
        <v>31</v>
      </c>
      <c r="C316" t="s">
        <v>6</v>
      </c>
      <c r="D316" t="s">
        <v>31</v>
      </c>
      <c r="E316">
        <f t="shared" ca="1" si="4"/>
        <v>303088474.35629636</v>
      </c>
    </row>
    <row r="317" spans="1:5" hidden="1" x14ac:dyDescent="0.25">
      <c r="A317">
        <v>7</v>
      </c>
      <c r="B317">
        <v>32</v>
      </c>
      <c r="C317" t="s">
        <v>6</v>
      </c>
      <c r="D317" t="s">
        <v>32</v>
      </c>
      <c r="E317">
        <f t="shared" ca="1" si="4"/>
        <v>381992094.72029638</v>
      </c>
    </row>
    <row r="318" spans="1:5" hidden="1" x14ac:dyDescent="0.25">
      <c r="A318">
        <v>7</v>
      </c>
      <c r="B318">
        <v>33</v>
      </c>
      <c r="C318" t="s">
        <v>6</v>
      </c>
      <c r="D318" t="s">
        <v>33</v>
      </c>
      <c r="E318">
        <f t="shared" ca="1" si="4"/>
        <v>3176825690.2918129</v>
      </c>
    </row>
    <row r="319" spans="1:5" hidden="1" x14ac:dyDescent="0.25">
      <c r="A319">
        <v>7</v>
      </c>
      <c r="B319">
        <v>34</v>
      </c>
      <c r="C319" t="s">
        <v>6</v>
      </c>
      <c r="D319" t="s">
        <v>34</v>
      </c>
      <c r="E319">
        <f t="shared" ca="1" si="4"/>
        <v>2547091081.3638129</v>
      </c>
    </row>
    <row r="320" spans="1:5" hidden="1" x14ac:dyDescent="0.25">
      <c r="A320">
        <v>7</v>
      </c>
      <c r="B320">
        <v>35</v>
      </c>
      <c r="C320" t="s">
        <v>6</v>
      </c>
      <c r="D320" t="s">
        <v>35</v>
      </c>
      <c r="E320">
        <f t="shared" ca="1" si="4"/>
        <v>765509498.78251851</v>
      </c>
    </row>
    <row r="321" spans="1:5" hidden="1" x14ac:dyDescent="0.25">
      <c r="A321">
        <v>7</v>
      </c>
      <c r="B321">
        <v>36</v>
      </c>
      <c r="C321" t="s">
        <v>6</v>
      </c>
      <c r="D321" t="s">
        <v>36</v>
      </c>
      <c r="E321">
        <f t="shared" ca="1" si="4"/>
        <v>405395010.44047284</v>
      </c>
    </row>
    <row r="322" spans="1:5" hidden="1" x14ac:dyDescent="0.25">
      <c r="A322">
        <v>7</v>
      </c>
      <c r="B322">
        <v>37</v>
      </c>
      <c r="C322" t="s">
        <v>6</v>
      </c>
      <c r="D322" t="s">
        <v>37</v>
      </c>
      <c r="E322">
        <f t="shared" ca="1" si="4"/>
        <v>321581600.4434005</v>
      </c>
    </row>
    <row r="323" spans="1:5" hidden="1" x14ac:dyDescent="0.25">
      <c r="A323">
        <v>7</v>
      </c>
      <c r="B323">
        <v>38</v>
      </c>
      <c r="C323" t="s">
        <v>6</v>
      </c>
      <c r="D323" t="s">
        <v>38</v>
      </c>
      <c r="E323">
        <f t="shared" ca="1" si="4"/>
        <v>352736672.76047283</v>
      </c>
    </row>
    <row r="324" spans="1:5" hidden="1" x14ac:dyDescent="0.25">
      <c r="A324">
        <v>7</v>
      </c>
      <c r="B324">
        <v>39</v>
      </c>
      <c r="C324" t="s">
        <v>6</v>
      </c>
      <c r="D324" t="s">
        <v>39</v>
      </c>
      <c r="E324">
        <f t="shared" ca="1" si="4"/>
        <v>392764326.57039005</v>
      </c>
    </row>
    <row r="325" spans="1:5" hidden="1" x14ac:dyDescent="0.25">
      <c r="A325">
        <v>7</v>
      </c>
      <c r="B325">
        <v>40</v>
      </c>
      <c r="C325" t="s">
        <v>6</v>
      </c>
      <c r="D325" t="s">
        <v>40</v>
      </c>
      <c r="E325">
        <f t="shared" ca="1" si="4"/>
        <v>478547817.40340054</v>
      </c>
    </row>
    <row r="326" spans="1:5" hidden="1" x14ac:dyDescent="0.25">
      <c r="A326">
        <v>8</v>
      </c>
      <c r="B326">
        <v>1</v>
      </c>
      <c r="C326" t="s">
        <v>7</v>
      </c>
      <c r="D326" t="s">
        <v>0</v>
      </c>
      <c r="E326">
        <f t="shared" ca="1" si="4"/>
        <v>1023351870.3740387</v>
      </c>
    </row>
    <row r="327" spans="1:5" hidden="1" x14ac:dyDescent="0.25">
      <c r="A327">
        <v>8</v>
      </c>
      <c r="B327">
        <v>2</v>
      </c>
      <c r="C327" t="s">
        <v>7</v>
      </c>
      <c r="D327" t="s">
        <v>1</v>
      </c>
      <c r="E327">
        <f t="shared" ca="1" si="4"/>
        <v>899820401.81261015</v>
      </c>
    </row>
    <row r="328" spans="1:5" hidden="1" x14ac:dyDescent="0.25">
      <c r="A328">
        <v>8</v>
      </c>
      <c r="B328">
        <v>3</v>
      </c>
      <c r="C328" t="s">
        <v>7</v>
      </c>
      <c r="D328" t="s">
        <v>2</v>
      </c>
      <c r="E328">
        <f t="shared" ca="1" si="4"/>
        <v>592271798.41497445</v>
      </c>
    </row>
    <row r="329" spans="1:5" hidden="1" x14ac:dyDescent="0.25">
      <c r="A329">
        <v>8</v>
      </c>
      <c r="B329">
        <v>4</v>
      </c>
      <c r="C329" t="s">
        <v>7</v>
      </c>
      <c r="D329" t="s">
        <v>3</v>
      </c>
      <c r="E329">
        <f t="shared" ca="1" si="4"/>
        <v>274586903.70057142</v>
      </c>
    </row>
    <row r="330" spans="1:5" hidden="1" x14ac:dyDescent="0.25">
      <c r="A330">
        <v>8</v>
      </c>
      <c r="B330">
        <v>5</v>
      </c>
      <c r="C330" t="s">
        <v>7</v>
      </c>
      <c r="D330" t="s">
        <v>4</v>
      </c>
      <c r="E330">
        <f t="shared" ca="1" si="4"/>
        <v>15143044750.654577</v>
      </c>
    </row>
    <row r="331" spans="1:5" hidden="1" x14ac:dyDescent="0.25">
      <c r="A331">
        <v>8</v>
      </c>
      <c r="B331">
        <v>6</v>
      </c>
      <c r="C331" t="s">
        <v>7</v>
      </c>
      <c r="D331" t="s">
        <v>5</v>
      </c>
      <c r="E331">
        <f t="shared" ca="1" si="4"/>
        <v>15262501524.417435</v>
      </c>
    </row>
    <row r="332" spans="1:5" hidden="1" x14ac:dyDescent="0.25">
      <c r="A332">
        <v>8</v>
      </c>
      <c r="B332">
        <v>7</v>
      </c>
      <c r="C332" t="s">
        <v>7</v>
      </c>
      <c r="D332" t="s">
        <v>6</v>
      </c>
      <c r="E332">
        <f t="shared" ca="1" si="4"/>
        <v>166783072.46342856</v>
      </c>
    </row>
    <row r="333" spans="1:5" hidden="1" x14ac:dyDescent="0.25">
      <c r="A333">
        <v>8</v>
      </c>
      <c r="B333">
        <v>8</v>
      </c>
      <c r="C333" t="s">
        <v>7</v>
      </c>
      <c r="D333" t="s">
        <v>7</v>
      </c>
      <c r="E333">
        <f t="shared" ca="1" si="4"/>
        <v>0</v>
      </c>
    </row>
    <row r="334" spans="1:5" hidden="1" x14ac:dyDescent="0.25">
      <c r="A334">
        <v>8</v>
      </c>
      <c r="B334">
        <v>9</v>
      </c>
      <c r="C334" t="s">
        <v>7</v>
      </c>
      <c r="D334" t="s">
        <v>148</v>
      </c>
      <c r="E334">
        <f t="shared" ca="1" si="4"/>
        <v>757088517.33105171</v>
      </c>
    </row>
    <row r="335" spans="1:5" hidden="1" x14ac:dyDescent="0.25">
      <c r="A335">
        <v>8</v>
      </c>
      <c r="B335">
        <v>10</v>
      </c>
      <c r="C335" t="s">
        <v>7</v>
      </c>
      <c r="D335" t="s">
        <v>9</v>
      </c>
      <c r="E335">
        <f t="shared" ca="1" si="4"/>
        <v>15099656723.80172</v>
      </c>
    </row>
    <row r="336" spans="1:5" hidden="1" x14ac:dyDescent="0.25">
      <c r="A336">
        <v>8</v>
      </c>
      <c r="B336">
        <v>11</v>
      </c>
      <c r="C336" t="s">
        <v>7</v>
      </c>
      <c r="D336" t="s">
        <v>10</v>
      </c>
      <c r="E336">
        <f t="shared" ca="1" si="4"/>
        <v>579411827.92593169</v>
      </c>
    </row>
    <row r="337" spans="1:5" hidden="1" x14ac:dyDescent="0.25">
      <c r="A337">
        <v>8</v>
      </c>
      <c r="B337">
        <v>12</v>
      </c>
      <c r="C337" t="s">
        <v>7</v>
      </c>
      <c r="D337" t="s">
        <v>11</v>
      </c>
      <c r="E337">
        <f t="shared" ca="1" si="4"/>
        <v>670760983.15494251</v>
      </c>
    </row>
    <row r="338" spans="1:5" hidden="1" x14ac:dyDescent="0.25">
      <c r="A338">
        <v>8</v>
      </c>
      <c r="B338">
        <v>13</v>
      </c>
      <c r="C338" t="s">
        <v>7</v>
      </c>
      <c r="D338" t="s">
        <v>12</v>
      </c>
      <c r="E338">
        <f t="shared" ca="1" si="4"/>
        <v>284641568.89775723</v>
      </c>
    </row>
    <row r="339" spans="1:5" hidden="1" x14ac:dyDescent="0.25">
      <c r="A339">
        <v>8</v>
      </c>
      <c r="B339">
        <v>14</v>
      </c>
      <c r="C339" t="s">
        <v>7</v>
      </c>
      <c r="D339" t="s">
        <v>13</v>
      </c>
      <c r="E339">
        <f t="shared" ca="1" si="4"/>
        <v>371599204.38575721</v>
      </c>
    </row>
    <row r="340" spans="1:5" hidden="1" x14ac:dyDescent="0.25">
      <c r="A340">
        <v>8</v>
      </c>
      <c r="B340">
        <v>15</v>
      </c>
      <c r="C340" t="s">
        <v>7</v>
      </c>
      <c r="D340" t="s">
        <v>14</v>
      </c>
      <c r="E340">
        <f t="shared" ca="1" si="4"/>
        <v>701770082.50373673</v>
      </c>
    </row>
    <row r="341" spans="1:5" hidden="1" x14ac:dyDescent="0.25">
      <c r="A341">
        <v>8</v>
      </c>
      <c r="B341">
        <v>16</v>
      </c>
      <c r="C341" t="s">
        <v>7</v>
      </c>
      <c r="D341" t="s">
        <v>15</v>
      </c>
      <c r="E341">
        <f t="shared" ca="1" si="4"/>
        <v>544780455.24240375</v>
      </c>
    </row>
    <row r="342" spans="1:5" hidden="1" x14ac:dyDescent="0.25">
      <c r="A342">
        <v>8</v>
      </c>
      <c r="B342">
        <v>17</v>
      </c>
      <c r="C342" t="s">
        <v>7</v>
      </c>
      <c r="D342" t="s">
        <v>16</v>
      </c>
      <c r="E342">
        <f t="shared" ca="1" si="4"/>
        <v>1203282642.5975704</v>
      </c>
    </row>
    <row r="343" spans="1:5" hidden="1" x14ac:dyDescent="0.25">
      <c r="A343">
        <v>8</v>
      </c>
      <c r="B343">
        <v>18</v>
      </c>
      <c r="C343" t="s">
        <v>7</v>
      </c>
      <c r="D343" t="s">
        <v>17</v>
      </c>
      <c r="E343">
        <f t="shared" ca="1" si="4"/>
        <v>738070447.5424037</v>
      </c>
    </row>
    <row r="344" spans="1:5" hidden="1" x14ac:dyDescent="0.25">
      <c r="A344">
        <v>8</v>
      </c>
      <c r="B344">
        <v>19</v>
      </c>
      <c r="C344" t="s">
        <v>7</v>
      </c>
      <c r="D344" t="s">
        <v>18</v>
      </c>
      <c r="E344">
        <f t="shared" ca="1" si="4"/>
        <v>384894297.04133636</v>
      </c>
    </row>
    <row r="345" spans="1:5" hidden="1" x14ac:dyDescent="0.25">
      <c r="A345">
        <v>8</v>
      </c>
      <c r="B345">
        <v>20</v>
      </c>
      <c r="C345" t="s">
        <v>7</v>
      </c>
      <c r="D345" t="s">
        <v>19</v>
      </c>
      <c r="E345">
        <f t="shared" ca="1" si="4"/>
        <v>866316391.45342398</v>
      </c>
    </row>
    <row r="346" spans="1:5" hidden="1" x14ac:dyDescent="0.25">
      <c r="A346">
        <v>8</v>
      </c>
      <c r="B346">
        <v>21</v>
      </c>
      <c r="C346" t="s">
        <v>7</v>
      </c>
      <c r="D346" t="s">
        <v>20</v>
      </c>
      <c r="E346">
        <f t="shared" ca="1" si="4"/>
        <v>243989687.03949636</v>
      </c>
    </row>
    <row r="347" spans="1:5" hidden="1" x14ac:dyDescent="0.25">
      <c r="A347">
        <v>8</v>
      </c>
      <c r="B347">
        <v>22</v>
      </c>
      <c r="C347" t="s">
        <v>7</v>
      </c>
      <c r="D347" t="s">
        <v>21</v>
      </c>
      <c r="E347">
        <f t="shared" ca="1" si="4"/>
        <v>2893567296.2314482</v>
      </c>
    </row>
    <row r="348" spans="1:5" hidden="1" x14ac:dyDescent="0.25">
      <c r="A348">
        <v>8</v>
      </c>
      <c r="B348">
        <v>23</v>
      </c>
      <c r="C348" t="s">
        <v>7</v>
      </c>
      <c r="D348" t="s">
        <v>22</v>
      </c>
      <c r="E348">
        <f t="shared" ca="1" si="4"/>
        <v>385962522.90056092</v>
      </c>
    </row>
    <row r="349" spans="1:5" hidden="1" x14ac:dyDescent="0.25">
      <c r="A349">
        <v>8</v>
      </c>
      <c r="B349">
        <v>24</v>
      </c>
      <c r="C349" t="s">
        <v>7</v>
      </c>
      <c r="D349" t="s">
        <v>23</v>
      </c>
      <c r="E349">
        <f t="shared" ca="1" si="4"/>
        <v>377614933.50056088</v>
      </c>
    </row>
    <row r="350" spans="1:5" hidden="1" x14ac:dyDescent="0.25">
      <c r="A350">
        <v>8</v>
      </c>
      <c r="B350">
        <v>25</v>
      </c>
      <c r="C350" t="s">
        <v>7</v>
      </c>
      <c r="D350" t="s">
        <v>24</v>
      </c>
      <c r="E350">
        <f t="shared" ca="1" si="4"/>
        <v>318903320.40056092</v>
      </c>
    </row>
    <row r="351" spans="1:5" hidden="1" x14ac:dyDescent="0.25">
      <c r="A351">
        <v>8</v>
      </c>
      <c r="B351">
        <v>26</v>
      </c>
      <c r="C351" t="s">
        <v>7</v>
      </c>
      <c r="D351" t="s">
        <v>25</v>
      </c>
      <c r="E351">
        <f t="shared" ca="1" si="4"/>
        <v>558382538.65173674</v>
      </c>
    </row>
    <row r="352" spans="1:5" hidden="1" x14ac:dyDescent="0.25">
      <c r="A352">
        <v>8</v>
      </c>
      <c r="B352">
        <v>27</v>
      </c>
      <c r="C352" t="s">
        <v>7</v>
      </c>
      <c r="D352" t="s">
        <v>145</v>
      </c>
      <c r="E352">
        <f t="shared" ca="1" si="4"/>
        <v>1276474074.6134238</v>
      </c>
    </row>
    <row r="353" spans="1:5" hidden="1" x14ac:dyDescent="0.25">
      <c r="A353">
        <v>8</v>
      </c>
      <c r="B353">
        <v>28</v>
      </c>
      <c r="C353" t="s">
        <v>7</v>
      </c>
      <c r="D353" t="s">
        <v>147</v>
      </c>
      <c r="E353">
        <f t="shared" ca="1" si="4"/>
        <v>3073522026.2314482</v>
      </c>
    </row>
    <row r="354" spans="1:5" hidden="1" x14ac:dyDescent="0.25">
      <c r="A354">
        <v>8</v>
      </c>
      <c r="B354">
        <v>29</v>
      </c>
      <c r="C354" t="s">
        <v>7</v>
      </c>
      <c r="D354" t="s">
        <v>146</v>
      </c>
      <c r="E354">
        <f t="shared" ca="1" si="4"/>
        <v>350178021.70856094</v>
      </c>
    </row>
    <row r="355" spans="1:5" hidden="1" x14ac:dyDescent="0.25">
      <c r="A355">
        <v>8</v>
      </c>
      <c r="B355">
        <v>30</v>
      </c>
      <c r="C355" t="s">
        <v>7</v>
      </c>
      <c r="D355" t="s">
        <v>30</v>
      </c>
      <c r="E355">
        <f t="shared" ca="1" si="4"/>
        <v>57507118.034857139</v>
      </c>
    </row>
    <row r="356" spans="1:5" hidden="1" x14ac:dyDescent="0.25">
      <c r="A356">
        <v>8</v>
      </c>
      <c r="B356">
        <v>31</v>
      </c>
      <c r="C356" t="s">
        <v>7</v>
      </c>
      <c r="D356" t="s">
        <v>31</v>
      </c>
      <c r="E356">
        <f t="shared" ca="1" si="4"/>
        <v>232434540.63380882</v>
      </c>
    </row>
    <row r="357" spans="1:5" hidden="1" x14ac:dyDescent="0.25">
      <c r="A357">
        <v>8</v>
      </c>
      <c r="B357">
        <v>32</v>
      </c>
      <c r="C357" t="s">
        <v>7</v>
      </c>
      <c r="D357" t="s">
        <v>32</v>
      </c>
      <c r="E357">
        <f t="shared" ca="1" si="4"/>
        <v>311338160.99780881</v>
      </c>
    </row>
    <row r="358" spans="1:5" hidden="1" x14ac:dyDescent="0.25">
      <c r="A358">
        <v>8</v>
      </c>
      <c r="B358">
        <v>33</v>
      </c>
      <c r="C358" t="s">
        <v>7</v>
      </c>
      <c r="D358" t="s">
        <v>33</v>
      </c>
      <c r="E358">
        <f t="shared" ca="1" si="4"/>
        <v>2735263316.801949</v>
      </c>
    </row>
    <row r="359" spans="1:5" hidden="1" x14ac:dyDescent="0.25">
      <c r="A359">
        <v>8</v>
      </c>
      <c r="B359">
        <v>34</v>
      </c>
      <c r="C359" t="s">
        <v>7</v>
      </c>
      <c r="D359" t="s">
        <v>34</v>
      </c>
      <c r="E359">
        <f t="shared" ref="E359:E421" ca="1" si="5">OFFSET($B$2,A359,B359)</f>
        <v>2105528707.8739491</v>
      </c>
    </row>
    <row r="360" spans="1:5" hidden="1" x14ac:dyDescent="0.25">
      <c r="A360">
        <v>8</v>
      </c>
      <c r="B360">
        <v>35</v>
      </c>
      <c r="C360" t="s">
        <v>7</v>
      </c>
      <c r="D360" t="s">
        <v>35</v>
      </c>
      <c r="E360">
        <f t="shared" ca="1" si="5"/>
        <v>767300446.30232441</v>
      </c>
    </row>
    <row r="361" spans="1:5" hidden="1" x14ac:dyDescent="0.25">
      <c r="A361">
        <v>8</v>
      </c>
      <c r="B361">
        <v>36</v>
      </c>
      <c r="C361" t="s">
        <v>7</v>
      </c>
      <c r="D361" t="s">
        <v>36</v>
      </c>
      <c r="E361">
        <f t="shared" ca="1" si="5"/>
        <v>326227337.61480874</v>
      </c>
    </row>
    <row r="362" spans="1:5" hidden="1" x14ac:dyDescent="0.25">
      <c r="A362">
        <v>8</v>
      </c>
      <c r="B362">
        <v>37</v>
      </c>
      <c r="C362" t="s">
        <v>7</v>
      </c>
      <c r="D362" t="s">
        <v>37</v>
      </c>
      <c r="E362">
        <f t="shared" ca="1" si="5"/>
        <v>278523233.11116862</v>
      </c>
    </row>
    <row r="363" spans="1:5" hidden="1" x14ac:dyDescent="0.25">
      <c r="A363">
        <v>8</v>
      </c>
      <c r="B363">
        <v>38</v>
      </c>
      <c r="C363" t="s">
        <v>7</v>
      </c>
      <c r="D363" t="s">
        <v>38</v>
      </c>
      <c r="E363">
        <f t="shared" ca="1" si="5"/>
        <v>273568999.93480873</v>
      </c>
    </row>
    <row r="364" spans="1:5" hidden="1" x14ac:dyDescent="0.25">
      <c r="A364">
        <v>8</v>
      </c>
      <c r="B364">
        <v>39</v>
      </c>
      <c r="C364" t="s">
        <v>7</v>
      </c>
      <c r="D364" t="s">
        <v>39</v>
      </c>
      <c r="E364">
        <f t="shared" ca="1" si="5"/>
        <v>330510707.41182733</v>
      </c>
    </row>
    <row r="365" spans="1:5" hidden="1" x14ac:dyDescent="0.25">
      <c r="A365">
        <v>8</v>
      </c>
      <c r="B365">
        <v>40</v>
      </c>
      <c r="C365" t="s">
        <v>7</v>
      </c>
      <c r="D365" t="s">
        <v>40</v>
      </c>
      <c r="E365">
        <f t="shared" ca="1" si="5"/>
        <v>435489450.07116866</v>
      </c>
    </row>
    <row r="366" spans="1:5" hidden="1" x14ac:dyDescent="0.25">
      <c r="A366">
        <v>9</v>
      </c>
      <c r="B366">
        <v>1</v>
      </c>
      <c r="C366" t="s">
        <v>148</v>
      </c>
      <c r="D366" t="s">
        <v>0</v>
      </c>
      <c r="E366">
        <f t="shared" ca="1" si="5"/>
        <v>0</v>
      </c>
    </row>
    <row r="367" spans="1:5" hidden="1" x14ac:dyDescent="0.25">
      <c r="A367">
        <v>9</v>
      </c>
      <c r="B367">
        <v>2</v>
      </c>
      <c r="C367" t="s">
        <v>148</v>
      </c>
      <c r="D367" t="s">
        <v>1</v>
      </c>
      <c r="E367">
        <f t="shared" ca="1" si="5"/>
        <v>0</v>
      </c>
    </row>
    <row r="368" spans="1:5" hidden="1" x14ac:dyDescent="0.25">
      <c r="A368">
        <v>9</v>
      </c>
      <c r="B368">
        <v>3</v>
      </c>
      <c r="C368" t="s">
        <v>148</v>
      </c>
      <c r="D368" t="s">
        <v>2</v>
      </c>
      <c r="E368">
        <f t="shared" ca="1" si="5"/>
        <v>0</v>
      </c>
    </row>
    <row r="369" spans="1:5" hidden="1" x14ac:dyDescent="0.25">
      <c r="A369">
        <v>9</v>
      </c>
      <c r="B369">
        <v>4</v>
      </c>
      <c r="C369" t="s">
        <v>148</v>
      </c>
      <c r="D369" t="s">
        <v>3</v>
      </c>
      <c r="E369">
        <f t="shared" ca="1" si="5"/>
        <v>840024704.78762317</v>
      </c>
    </row>
    <row r="370" spans="1:5" hidden="1" x14ac:dyDescent="0.25">
      <c r="A370">
        <v>9</v>
      </c>
      <c r="B370">
        <v>5</v>
      </c>
      <c r="C370" t="s">
        <v>148</v>
      </c>
      <c r="D370" t="s">
        <v>4</v>
      </c>
      <c r="E370">
        <f t="shared" ca="1" si="5"/>
        <v>774529793.58267438</v>
      </c>
    </row>
    <row r="371" spans="1:5" hidden="1" x14ac:dyDescent="0.25">
      <c r="A371">
        <v>9</v>
      </c>
      <c r="B371">
        <v>6</v>
      </c>
      <c r="C371" t="s">
        <v>148</v>
      </c>
      <c r="D371" t="s">
        <v>5</v>
      </c>
      <c r="E371">
        <f t="shared" ca="1" si="5"/>
        <v>893986567.34553146</v>
      </c>
    </row>
    <row r="372" spans="1:5" hidden="1" x14ac:dyDescent="0.25">
      <c r="A372">
        <v>9</v>
      </c>
      <c r="B372">
        <v>7</v>
      </c>
      <c r="C372" t="s">
        <v>148</v>
      </c>
      <c r="D372" t="s">
        <v>6</v>
      </c>
      <c r="E372">
        <f t="shared" ca="1" si="5"/>
        <v>755297569.8112458</v>
      </c>
    </row>
    <row r="373" spans="1:5" hidden="1" x14ac:dyDescent="0.25">
      <c r="A373">
        <v>9</v>
      </c>
      <c r="B373">
        <v>8</v>
      </c>
      <c r="C373" t="s">
        <v>148</v>
      </c>
      <c r="D373" t="s">
        <v>7</v>
      </c>
      <c r="E373">
        <f t="shared" ca="1" si="5"/>
        <v>757088517.33105171</v>
      </c>
    </row>
    <row r="374" spans="1:5" hidden="1" x14ac:dyDescent="0.25">
      <c r="A374">
        <v>9</v>
      </c>
      <c r="B374">
        <v>9</v>
      </c>
      <c r="C374" t="s">
        <v>148</v>
      </c>
      <c r="D374" t="s">
        <v>148</v>
      </c>
      <c r="E374">
        <f t="shared" ca="1" si="5"/>
        <v>0</v>
      </c>
    </row>
    <row r="375" spans="1:5" hidden="1" x14ac:dyDescent="0.25">
      <c r="A375">
        <v>9</v>
      </c>
      <c r="B375">
        <v>10</v>
      </c>
      <c r="C375" t="s">
        <v>148</v>
      </c>
      <c r="D375" t="s">
        <v>9</v>
      </c>
      <c r="E375">
        <f t="shared" ca="1" si="5"/>
        <v>864744493.51137567</v>
      </c>
    </row>
    <row r="376" spans="1:5" hidden="1" x14ac:dyDescent="0.25">
      <c r="A376">
        <v>9</v>
      </c>
      <c r="B376">
        <v>11</v>
      </c>
      <c r="C376" t="s">
        <v>148</v>
      </c>
      <c r="D376" t="s">
        <v>10</v>
      </c>
      <c r="E376">
        <f t="shared" ca="1" si="5"/>
        <v>716645617.64789629</v>
      </c>
    </row>
    <row r="377" spans="1:5" hidden="1" x14ac:dyDescent="0.25">
      <c r="A377">
        <v>9</v>
      </c>
      <c r="B377">
        <v>12</v>
      </c>
      <c r="C377" t="s">
        <v>148</v>
      </c>
      <c r="D377" t="s">
        <v>11</v>
      </c>
      <c r="E377">
        <f t="shared" ca="1" si="5"/>
        <v>784941137.52043486</v>
      </c>
    </row>
    <row r="378" spans="1:5" hidden="1" x14ac:dyDescent="0.25">
      <c r="A378">
        <v>9</v>
      </c>
      <c r="B378">
        <v>13</v>
      </c>
      <c r="C378" t="s">
        <v>148</v>
      </c>
      <c r="D378" t="s">
        <v>12</v>
      </c>
      <c r="E378">
        <f t="shared" ca="1" si="5"/>
        <v>414270737.74308693</v>
      </c>
    </row>
    <row r="379" spans="1:5" hidden="1" x14ac:dyDescent="0.25">
      <c r="A379">
        <v>9</v>
      </c>
      <c r="B379">
        <v>14</v>
      </c>
      <c r="C379" t="s">
        <v>148</v>
      </c>
      <c r="D379" t="s">
        <v>13</v>
      </c>
      <c r="E379">
        <f t="shared" ca="1" si="5"/>
        <v>501228373.23108697</v>
      </c>
    </row>
    <row r="380" spans="1:5" hidden="1" x14ac:dyDescent="0.25">
      <c r="A380">
        <v>9</v>
      </c>
      <c r="B380">
        <v>15</v>
      </c>
      <c r="C380" t="s">
        <v>148</v>
      </c>
      <c r="D380" t="s">
        <v>14</v>
      </c>
      <c r="E380">
        <f t="shared" ca="1" si="5"/>
        <v>530122752.43930089</v>
      </c>
    </row>
    <row r="381" spans="1:5" hidden="1" x14ac:dyDescent="0.25">
      <c r="A381">
        <v>9</v>
      </c>
      <c r="B381">
        <v>16</v>
      </c>
      <c r="C381" t="s">
        <v>148</v>
      </c>
      <c r="D381" t="s">
        <v>15</v>
      </c>
      <c r="E381">
        <f t="shared" ca="1" si="5"/>
        <v>408398340.91591007</v>
      </c>
    </row>
    <row r="382" spans="1:5" hidden="1" x14ac:dyDescent="0.25">
      <c r="A382">
        <v>9</v>
      </c>
      <c r="B382">
        <v>17</v>
      </c>
      <c r="C382" t="s">
        <v>148</v>
      </c>
      <c r="D382" t="s">
        <v>16</v>
      </c>
      <c r="E382">
        <f t="shared" ca="1" si="5"/>
        <v>1197809292.5462608</v>
      </c>
    </row>
    <row r="383" spans="1:5" hidden="1" x14ac:dyDescent="0.25">
      <c r="A383">
        <v>9</v>
      </c>
      <c r="B383">
        <v>18</v>
      </c>
      <c r="C383" t="s">
        <v>148</v>
      </c>
      <c r="D383" t="s">
        <v>17</v>
      </c>
      <c r="E383">
        <f t="shared" ca="1" si="5"/>
        <v>601688333.21591008</v>
      </c>
    </row>
    <row r="384" spans="1:5" hidden="1" x14ac:dyDescent="0.25">
      <c r="A384">
        <v>9</v>
      </c>
      <c r="B384">
        <v>19</v>
      </c>
      <c r="C384" t="s">
        <v>148</v>
      </c>
      <c r="D384" t="s">
        <v>18</v>
      </c>
      <c r="E384">
        <f t="shared" ca="1" si="5"/>
        <v>761123619.22305226</v>
      </c>
    </row>
    <row r="385" spans="1:5" hidden="1" x14ac:dyDescent="0.25">
      <c r="A385">
        <v>9</v>
      </c>
      <c r="B385">
        <v>20</v>
      </c>
      <c r="C385" t="s">
        <v>148</v>
      </c>
      <c r="D385" t="s">
        <v>19</v>
      </c>
      <c r="E385">
        <f t="shared" ca="1" si="5"/>
        <v>856428869.39643145</v>
      </c>
    </row>
    <row r="386" spans="1:5" hidden="1" x14ac:dyDescent="0.25">
      <c r="A386">
        <v>9</v>
      </c>
      <c r="B386">
        <v>21</v>
      </c>
      <c r="C386" t="s">
        <v>148</v>
      </c>
      <c r="D386" t="s">
        <v>20</v>
      </c>
      <c r="E386">
        <f t="shared" ca="1" si="5"/>
        <v>892870900.52860916</v>
      </c>
    </row>
    <row r="387" spans="1:5" hidden="1" x14ac:dyDescent="0.25">
      <c r="A387">
        <v>9</v>
      </c>
      <c r="B387">
        <v>22</v>
      </c>
      <c r="C387" t="s">
        <v>148</v>
      </c>
      <c r="D387" t="s">
        <v>21</v>
      </c>
      <c r="E387">
        <f t="shared" ca="1" si="5"/>
        <v>4481945477.7140741</v>
      </c>
    </row>
    <row r="388" spans="1:5" hidden="1" x14ac:dyDescent="0.25">
      <c r="A388">
        <v>9</v>
      </c>
      <c r="B388">
        <v>23</v>
      </c>
      <c r="C388" t="s">
        <v>148</v>
      </c>
      <c r="D388" t="s">
        <v>22</v>
      </c>
      <c r="E388">
        <f t="shared" ca="1" si="5"/>
        <v>523039548.81811166</v>
      </c>
    </row>
    <row r="389" spans="1:5" hidden="1" x14ac:dyDescent="0.25">
      <c r="A389">
        <v>9</v>
      </c>
      <c r="B389">
        <v>24</v>
      </c>
      <c r="C389" t="s">
        <v>148</v>
      </c>
      <c r="D389" t="s">
        <v>23</v>
      </c>
      <c r="E389">
        <f t="shared" ca="1" si="5"/>
        <v>514691959.41811168</v>
      </c>
    </row>
    <row r="390" spans="1:5" hidden="1" x14ac:dyDescent="0.25">
      <c r="A390">
        <v>9</v>
      </c>
      <c r="B390">
        <v>25</v>
      </c>
      <c r="C390" t="s">
        <v>148</v>
      </c>
      <c r="D390" t="s">
        <v>24</v>
      </c>
      <c r="E390">
        <f t="shared" ca="1" si="5"/>
        <v>455980346.31811166</v>
      </c>
    </row>
    <row r="391" spans="1:5" hidden="1" x14ac:dyDescent="0.25">
      <c r="A391">
        <v>9</v>
      </c>
      <c r="B391">
        <v>26</v>
      </c>
      <c r="C391" t="s">
        <v>148</v>
      </c>
      <c r="D391" t="s">
        <v>25</v>
      </c>
      <c r="E391">
        <f t="shared" ca="1" si="5"/>
        <v>386735208.5873009</v>
      </c>
    </row>
    <row r="392" spans="1:5" hidden="1" x14ac:dyDescent="0.25">
      <c r="A392">
        <v>9</v>
      </c>
      <c r="B392">
        <v>27</v>
      </c>
      <c r="C392" t="s">
        <v>148</v>
      </c>
      <c r="D392" t="s">
        <v>145</v>
      </c>
      <c r="E392">
        <f t="shared" ca="1" si="5"/>
        <v>1266586552.5564313</v>
      </c>
    </row>
    <row r="393" spans="1:5" hidden="1" x14ac:dyDescent="0.25">
      <c r="A393">
        <v>9</v>
      </c>
      <c r="B393">
        <v>28</v>
      </c>
      <c r="C393" t="s">
        <v>148</v>
      </c>
      <c r="D393" t="s">
        <v>147</v>
      </c>
      <c r="E393">
        <f t="shared" ca="1" si="5"/>
        <v>4661900207.7140741</v>
      </c>
    </row>
    <row r="394" spans="1:5" hidden="1" x14ac:dyDescent="0.25">
      <c r="A394">
        <v>9</v>
      </c>
      <c r="B394">
        <v>29</v>
      </c>
      <c r="C394" t="s">
        <v>148</v>
      </c>
      <c r="D394" t="s">
        <v>146</v>
      </c>
      <c r="E394">
        <f t="shared" ca="1" si="5"/>
        <v>487255047.62611163</v>
      </c>
    </row>
    <row r="395" spans="1:5" hidden="1" x14ac:dyDescent="0.25">
      <c r="A395">
        <v>9</v>
      </c>
      <c r="B395">
        <v>30</v>
      </c>
      <c r="C395" t="s">
        <v>148</v>
      </c>
      <c r="D395" t="s">
        <v>30</v>
      </c>
      <c r="E395">
        <f t="shared" ca="1" si="5"/>
        <v>756547645.9034673</v>
      </c>
    </row>
    <row r="396" spans="1:5" hidden="1" x14ac:dyDescent="0.25">
      <c r="A396">
        <v>9</v>
      </c>
      <c r="B396">
        <v>31</v>
      </c>
      <c r="C396" t="s">
        <v>148</v>
      </c>
      <c r="D396" t="s">
        <v>31</v>
      </c>
      <c r="E396">
        <f t="shared" ca="1" si="5"/>
        <v>358632738.45186478</v>
      </c>
    </row>
    <row r="397" spans="1:5" hidden="1" x14ac:dyDescent="0.25">
      <c r="A397">
        <v>9</v>
      </c>
      <c r="B397">
        <v>32</v>
      </c>
      <c r="C397" t="s">
        <v>148</v>
      </c>
      <c r="D397" t="s">
        <v>32</v>
      </c>
      <c r="E397">
        <f t="shared" ca="1" si="5"/>
        <v>437536358.8158648</v>
      </c>
    </row>
    <row r="398" spans="1:5" hidden="1" x14ac:dyDescent="0.25">
      <c r="A398">
        <v>9</v>
      </c>
      <c r="B398">
        <v>33</v>
      </c>
      <c r="C398" t="s">
        <v>148</v>
      </c>
      <c r="D398" t="s">
        <v>33</v>
      </c>
      <c r="E398">
        <f t="shared" ca="1" si="5"/>
        <v>2999149589.6291213</v>
      </c>
    </row>
    <row r="399" spans="1:5" hidden="1" x14ac:dyDescent="0.25">
      <c r="A399">
        <v>9</v>
      </c>
      <c r="B399">
        <v>34</v>
      </c>
      <c r="C399" t="s">
        <v>148</v>
      </c>
      <c r="D399" t="s">
        <v>34</v>
      </c>
      <c r="E399">
        <f t="shared" ca="1" si="5"/>
        <v>2369414980.7011213</v>
      </c>
    </row>
    <row r="400" spans="1:5" hidden="1" x14ac:dyDescent="0.25">
      <c r="A400">
        <v>9</v>
      </c>
      <c r="B400">
        <v>35</v>
      </c>
      <c r="C400" t="s">
        <v>148</v>
      </c>
      <c r="D400" t="s">
        <v>35</v>
      </c>
      <c r="E400">
        <f t="shared" ca="1" si="5"/>
        <v>0</v>
      </c>
    </row>
    <row r="401" spans="1:5" hidden="1" x14ac:dyDescent="0.25">
      <c r="A401">
        <v>9</v>
      </c>
      <c r="B401">
        <v>36</v>
      </c>
      <c r="C401" t="s">
        <v>148</v>
      </c>
      <c r="D401" t="s">
        <v>36</v>
      </c>
      <c r="E401">
        <f t="shared" ca="1" si="5"/>
        <v>525144824.86310154</v>
      </c>
    </row>
    <row r="402" spans="1:5" hidden="1" x14ac:dyDescent="0.25">
      <c r="A402">
        <v>9</v>
      </c>
      <c r="B402">
        <v>37</v>
      </c>
      <c r="C402" t="s">
        <v>148</v>
      </c>
      <c r="D402" t="s">
        <v>37</v>
      </c>
      <c r="E402">
        <f t="shared" ca="1" si="5"/>
        <v>480816029.93717259</v>
      </c>
    </row>
    <row r="403" spans="1:5" hidden="1" x14ac:dyDescent="0.25">
      <c r="A403">
        <v>9</v>
      </c>
      <c r="B403">
        <v>38</v>
      </c>
      <c r="C403" t="s">
        <v>148</v>
      </c>
      <c r="D403" t="s">
        <v>38</v>
      </c>
      <c r="E403">
        <f t="shared" ca="1" si="5"/>
        <v>472486487.18310153</v>
      </c>
    </row>
    <row r="404" spans="1:5" hidden="1" x14ac:dyDescent="0.25">
      <c r="A404">
        <v>9</v>
      </c>
      <c r="B404">
        <v>39</v>
      </c>
      <c r="C404" t="s">
        <v>148</v>
      </c>
      <c r="D404" t="s">
        <v>39</v>
      </c>
      <c r="E404">
        <f t="shared" ca="1" si="5"/>
        <v>595176345.8888334</v>
      </c>
    </row>
    <row r="405" spans="1:5" hidden="1" x14ac:dyDescent="0.25">
      <c r="A405">
        <v>9</v>
      </c>
      <c r="B405">
        <v>40</v>
      </c>
      <c r="C405" t="s">
        <v>148</v>
      </c>
      <c r="D405" t="s">
        <v>40</v>
      </c>
      <c r="E405">
        <f t="shared" ca="1" si="5"/>
        <v>637782246.89717257</v>
      </c>
    </row>
    <row r="406" spans="1:5" hidden="1" x14ac:dyDescent="0.25">
      <c r="A406">
        <v>10</v>
      </c>
      <c r="B406">
        <v>1</v>
      </c>
      <c r="C406" t="s">
        <v>9</v>
      </c>
      <c r="D406" t="s">
        <v>0</v>
      </c>
      <c r="E406">
        <f t="shared" ca="1" si="5"/>
        <v>997405119.77280426</v>
      </c>
    </row>
    <row r="407" spans="1:5" hidden="1" x14ac:dyDescent="0.25">
      <c r="A407">
        <v>10</v>
      </c>
      <c r="B407">
        <v>2</v>
      </c>
      <c r="C407" t="s">
        <v>9</v>
      </c>
      <c r="D407" t="s">
        <v>1</v>
      </c>
      <c r="E407">
        <f t="shared" ca="1" si="5"/>
        <v>873873651.21137571</v>
      </c>
    </row>
    <row r="408" spans="1:5" hidden="1" x14ac:dyDescent="0.25">
      <c r="A408">
        <v>10</v>
      </c>
      <c r="B408">
        <v>3</v>
      </c>
      <c r="C408" t="s">
        <v>9</v>
      </c>
      <c r="D408" t="s">
        <v>2</v>
      </c>
      <c r="E408">
        <f t="shared" ca="1" si="5"/>
        <v>699848489.49816465</v>
      </c>
    </row>
    <row r="409" spans="1:5" hidden="1" x14ac:dyDescent="0.25">
      <c r="A409">
        <v>10</v>
      </c>
      <c r="B409">
        <v>4</v>
      </c>
      <c r="C409" t="s">
        <v>9</v>
      </c>
      <c r="D409" t="s">
        <v>3</v>
      </c>
      <c r="E409">
        <f t="shared" ca="1" si="5"/>
        <v>15182592911.258291</v>
      </c>
    </row>
    <row r="410" spans="1:5" hidden="1" x14ac:dyDescent="0.25">
      <c r="A410">
        <v>10</v>
      </c>
      <c r="B410">
        <v>5</v>
      </c>
      <c r="C410" t="s">
        <v>9</v>
      </c>
      <c r="D410" t="s">
        <v>4</v>
      </c>
      <c r="E410">
        <f t="shared" ca="1" si="5"/>
        <v>136991849.37285715</v>
      </c>
    </row>
    <row r="411" spans="1:5" hidden="1" x14ac:dyDescent="0.25">
      <c r="A411">
        <v>10</v>
      </c>
      <c r="B411">
        <v>6</v>
      </c>
      <c r="C411" t="s">
        <v>9</v>
      </c>
      <c r="D411" t="s">
        <v>5</v>
      </c>
      <c r="E411">
        <f t="shared" ca="1" si="5"/>
        <v>256448623.13571426</v>
      </c>
    </row>
    <row r="412" spans="1:5" hidden="1" x14ac:dyDescent="0.25">
      <c r="A412">
        <v>10</v>
      </c>
      <c r="B412">
        <v>7</v>
      </c>
      <c r="C412" t="s">
        <v>9</v>
      </c>
      <c r="D412" t="s">
        <v>6</v>
      </c>
      <c r="E412">
        <f t="shared" ca="1" si="5"/>
        <v>117759625.60142858</v>
      </c>
    </row>
    <row r="413" spans="1:5" hidden="1" x14ac:dyDescent="0.25">
      <c r="A413">
        <v>10</v>
      </c>
      <c r="B413">
        <v>8</v>
      </c>
      <c r="C413" t="s">
        <v>9</v>
      </c>
      <c r="D413" t="s">
        <v>7</v>
      </c>
      <c r="E413">
        <f t="shared" ca="1" si="5"/>
        <v>15099656723.80172</v>
      </c>
    </row>
    <row r="414" spans="1:5" hidden="1" x14ac:dyDescent="0.25">
      <c r="A414">
        <v>10</v>
      </c>
      <c r="B414">
        <v>9</v>
      </c>
      <c r="C414" t="s">
        <v>9</v>
      </c>
      <c r="D414" t="s">
        <v>148</v>
      </c>
      <c r="E414">
        <f t="shared" ca="1" si="5"/>
        <v>864744493.51137567</v>
      </c>
    </row>
    <row r="415" spans="1:5" hidden="1" x14ac:dyDescent="0.25">
      <c r="A415">
        <v>10</v>
      </c>
      <c r="B415">
        <v>10</v>
      </c>
      <c r="C415" t="s">
        <v>9</v>
      </c>
      <c r="D415" t="s">
        <v>9</v>
      </c>
      <c r="E415">
        <f t="shared" ca="1" si="5"/>
        <v>0</v>
      </c>
    </row>
    <row r="416" spans="1:5" hidden="1" x14ac:dyDescent="0.25">
      <c r="A416">
        <v>10</v>
      </c>
      <c r="B416">
        <v>11</v>
      </c>
      <c r="C416" t="s">
        <v>9</v>
      </c>
      <c r="D416" t="s">
        <v>10</v>
      </c>
      <c r="E416">
        <f t="shared" ca="1" si="5"/>
        <v>658734641.37233722</v>
      </c>
    </row>
    <row r="417" spans="1:5" hidden="1" x14ac:dyDescent="0.25">
      <c r="A417">
        <v>10</v>
      </c>
      <c r="B417">
        <v>12</v>
      </c>
      <c r="C417" t="s">
        <v>9</v>
      </c>
      <c r="D417" t="s">
        <v>11</v>
      </c>
      <c r="E417">
        <f t="shared" ca="1" si="5"/>
        <v>741064343.46237803</v>
      </c>
    </row>
    <row r="418" spans="1:5" hidden="1" x14ac:dyDescent="0.25">
      <c r="A418">
        <v>10</v>
      </c>
      <c r="B418">
        <v>13</v>
      </c>
      <c r="C418" t="s">
        <v>9</v>
      </c>
      <c r="D418" t="s">
        <v>12</v>
      </c>
      <c r="E418">
        <f t="shared" ca="1" si="5"/>
        <v>372769250.17194879</v>
      </c>
    </row>
    <row r="419" spans="1:5" hidden="1" x14ac:dyDescent="0.25">
      <c r="A419">
        <v>10</v>
      </c>
      <c r="B419">
        <v>14</v>
      </c>
      <c r="C419" t="s">
        <v>9</v>
      </c>
      <c r="D419" t="s">
        <v>13</v>
      </c>
      <c r="E419">
        <f t="shared" ca="1" si="5"/>
        <v>459726885.65994883</v>
      </c>
    </row>
    <row r="420" spans="1:5" hidden="1" x14ac:dyDescent="0.25">
      <c r="A420">
        <v>10</v>
      </c>
      <c r="B420">
        <v>15</v>
      </c>
      <c r="C420" t="s">
        <v>9</v>
      </c>
      <c r="D420" t="s">
        <v>14</v>
      </c>
      <c r="E420">
        <f t="shared" ca="1" si="5"/>
        <v>661990541.16761243</v>
      </c>
    </row>
    <row r="421" spans="1:5" hidden="1" x14ac:dyDescent="0.25">
      <c r="A421">
        <v>10</v>
      </c>
      <c r="B421">
        <v>16</v>
      </c>
      <c r="C421" t="s">
        <v>9</v>
      </c>
      <c r="D421" t="s">
        <v>15</v>
      </c>
      <c r="E421">
        <f t="shared" ca="1" si="5"/>
        <v>573117106.73286128</v>
      </c>
    </row>
    <row r="422" spans="1:5" hidden="1" x14ac:dyDescent="0.25">
      <c r="A422">
        <v>10</v>
      </c>
      <c r="B422">
        <v>17</v>
      </c>
      <c r="C422" t="s">
        <v>9</v>
      </c>
      <c r="D422" t="s">
        <v>16</v>
      </c>
      <c r="E422">
        <f t="shared" ref="E422:E483" ca="1" si="6">OFFSET($B$2,A422,B422)</f>
        <v>1205253729.3019538</v>
      </c>
    </row>
    <row r="423" spans="1:5" hidden="1" x14ac:dyDescent="0.25">
      <c r="A423">
        <v>10</v>
      </c>
      <c r="B423">
        <v>18</v>
      </c>
      <c r="C423" t="s">
        <v>9</v>
      </c>
      <c r="D423" t="s">
        <v>17</v>
      </c>
      <c r="E423">
        <f t="shared" ca="1" si="6"/>
        <v>766407099.03286135</v>
      </c>
    </row>
    <row r="424" spans="1:5" hidden="1" x14ac:dyDescent="0.25">
      <c r="A424">
        <v>10</v>
      </c>
      <c r="B424">
        <v>19</v>
      </c>
      <c r="C424" t="s">
        <v>9</v>
      </c>
      <c r="D424" t="s">
        <v>18</v>
      </c>
      <c r="E424">
        <f t="shared" ca="1" si="6"/>
        <v>640408742.73800099</v>
      </c>
    </row>
    <row r="425" spans="1:5" hidden="1" x14ac:dyDescent="0.25">
      <c r="A425">
        <v>10</v>
      </c>
      <c r="B425">
        <v>20</v>
      </c>
      <c r="C425" t="s">
        <v>9</v>
      </c>
      <c r="D425" t="s">
        <v>19</v>
      </c>
      <c r="E425">
        <f t="shared" ca="1" si="6"/>
        <v>778767386.7978965</v>
      </c>
    </row>
    <row r="426" spans="1:5" hidden="1" x14ac:dyDescent="0.25">
      <c r="A426">
        <v>10</v>
      </c>
      <c r="B426">
        <v>21</v>
      </c>
      <c r="C426" t="s">
        <v>9</v>
      </c>
      <c r="D426" t="s">
        <v>20</v>
      </c>
      <c r="E426">
        <f t="shared" ca="1" si="6"/>
        <v>496820862.62137318</v>
      </c>
    </row>
    <row r="427" spans="1:5" hidden="1" x14ac:dyDescent="0.25">
      <c r="A427">
        <v>10</v>
      </c>
      <c r="B427">
        <v>22</v>
      </c>
      <c r="C427" t="s">
        <v>9</v>
      </c>
      <c r="D427" t="s">
        <v>21</v>
      </c>
      <c r="E427">
        <f t="shared" ca="1" si="6"/>
        <v>2385341080.8641796</v>
      </c>
    </row>
    <row r="428" spans="1:5" hidden="1" x14ac:dyDescent="0.25">
      <c r="A428">
        <v>10</v>
      </c>
      <c r="B428">
        <v>23</v>
      </c>
      <c r="C428" t="s">
        <v>9</v>
      </c>
      <c r="D428" t="s">
        <v>22</v>
      </c>
      <c r="E428">
        <f t="shared" ca="1" si="6"/>
        <v>460118135.03914523</v>
      </c>
    </row>
    <row r="429" spans="1:5" hidden="1" x14ac:dyDescent="0.25">
      <c r="A429">
        <v>10</v>
      </c>
      <c r="B429">
        <v>24</v>
      </c>
      <c r="C429" t="s">
        <v>9</v>
      </c>
      <c r="D429" t="s">
        <v>23</v>
      </c>
      <c r="E429">
        <f t="shared" ca="1" si="6"/>
        <v>451770545.63914526</v>
      </c>
    </row>
    <row r="430" spans="1:5" hidden="1" x14ac:dyDescent="0.25">
      <c r="A430">
        <v>10</v>
      </c>
      <c r="B430">
        <v>25</v>
      </c>
      <c r="C430" t="s">
        <v>9</v>
      </c>
      <c r="D430" t="s">
        <v>24</v>
      </c>
      <c r="E430">
        <f t="shared" ca="1" si="6"/>
        <v>393058932.53914523</v>
      </c>
    </row>
    <row r="431" spans="1:5" hidden="1" x14ac:dyDescent="0.25">
      <c r="A431">
        <v>10</v>
      </c>
      <c r="B431">
        <v>26</v>
      </c>
      <c r="C431" t="s">
        <v>9</v>
      </c>
      <c r="D431" t="s">
        <v>25</v>
      </c>
      <c r="E431">
        <f t="shared" ca="1" si="6"/>
        <v>518602997.31561244</v>
      </c>
    </row>
    <row r="432" spans="1:5" hidden="1" x14ac:dyDescent="0.25">
      <c r="A432">
        <v>10</v>
      </c>
      <c r="B432">
        <v>27</v>
      </c>
      <c r="C432" t="s">
        <v>9</v>
      </c>
      <c r="D432" t="s">
        <v>145</v>
      </c>
      <c r="E432">
        <f t="shared" ca="1" si="6"/>
        <v>1188925069.9578965</v>
      </c>
    </row>
    <row r="433" spans="1:5" hidden="1" x14ac:dyDescent="0.25">
      <c r="A433">
        <v>10</v>
      </c>
      <c r="B433">
        <v>28</v>
      </c>
      <c r="C433" t="s">
        <v>9</v>
      </c>
      <c r="D433" t="s">
        <v>147</v>
      </c>
      <c r="E433">
        <f t="shared" ca="1" si="6"/>
        <v>2565295810.8641796</v>
      </c>
    </row>
    <row r="434" spans="1:5" hidden="1" x14ac:dyDescent="0.25">
      <c r="A434">
        <v>10</v>
      </c>
      <c r="B434">
        <v>29</v>
      </c>
      <c r="C434" t="s">
        <v>9</v>
      </c>
      <c r="D434" t="s">
        <v>146</v>
      </c>
      <c r="E434">
        <f t="shared" ca="1" si="6"/>
        <v>424333633.8471452</v>
      </c>
    </row>
    <row r="435" spans="1:5" hidden="1" x14ac:dyDescent="0.25">
      <c r="A435">
        <v>10</v>
      </c>
      <c r="B435">
        <v>30</v>
      </c>
      <c r="C435" t="s">
        <v>9</v>
      </c>
      <c r="D435" t="s">
        <v>30</v>
      </c>
      <c r="E435">
        <f t="shared" ca="1" si="6"/>
        <v>15056236929.505434</v>
      </c>
    </row>
    <row r="436" spans="1:5" hidden="1" x14ac:dyDescent="0.25">
      <c r="A436">
        <v>10</v>
      </c>
      <c r="B436">
        <v>31</v>
      </c>
      <c r="C436" t="s">
        <v>9</v>
      </c>
      <c r="D436" t="s">
        <v>31</v>
      </c>
      <c r="E436">
        <f t="shared" ca="1" si="6"/>
        <v>369656475.18772495</v>
      </c>
    </row>
    <row r="437" spans="1:5" hidden="1" x14ac:dyDescent="0.25">
      <c r="A437">
        <v>10</v>
      </c>
      <c r="B437">
        <v>32</v>
      </c>
      <c r="C437" t="s">
        <v>9</v>
      </c>
      <c r="D437" t="s">
        <v>32</v>
      </c>
      <c r="E437">
        <f t="shared" ca="1" si="6"/>
        <v>448560095.55172497</v>
      </c>
    </row>
    <row r="438" spans="1:5" hidden="1" x14ac:dyDescent="0.25">
      <c r="A438">
        <v>10</v>
      </c>
      <c r="B438">
        <v>33</v>
      </c>
      <c r="C438" t="s">
        <v>9</v>
      </c>
      <c r="D438" t="s">
        <v>33</v>
      </c>
      <c r="E438">
        <f t="shared" ca="1" si="6"/>
        <v>3243393691.1232414</v>
      </c>
    </row>
    <row r="439" spans="1:5" hidden="1" x14ac:dyDescent="0.25">
      <c r="A439">
        <v>10</v>
      </c>
      <c r="B439">
        <v>34</v>
      </c>
      <c r="C439" t="s">
        <v>9</v>
      </c>
      <c r="D439" t="s">
        <v>34</v>
      </c>
      <c r="E439">
        <f t="shared" ca="1" si="6"/>
        <v>2613659082.1952415</v>
      </c>
    </row>
    <row r="440" spans="1:5" hidden="1" x14ac:dyDescent="0.25">
      <c r="A440">
        <v>10</v>
      </c>
      <c r="B440">
        <v>35</v>
      </c>
      <c r="C440" t="s">
        <v>9</v>
      </c>
      <c r="D440" t="s">
        <v>35</v>
      </c>
      <c r="E440">
        <f t="shared" ca="1" si="6"/>
        <v>832077499.61394703</v>
      </c>
    </row>
    <row r="441" spans="1:5" hidden="1" x14ac:dyDescent="0.25">
      <c r="A441">
        <v>10</v>
      </c>
      <c r="B441">
        <v>36</v>
      </c>
      <c r="C441" t="s">
        <v>9</v>
      </c>
      <c r="D441" t="s">
        <v>36</v>
      </c>
      <c r="E441">
        <f t="shared" ca="1" si="6"/>
        <v>471963011.27190143</v>
      </c>
    </row>
    <row r="442" spans="1:5" hidden="1" x14ac:dyDescent="0.25">
      <c r="A442">
        <v>10</v>
      </c>
      <c r="B442">
        <v>37</v>
      </c>
      <c r="C442" t="s">
        <v>9</v>
      </c>
      <c r="D442" t="s">
        <v>37</v>
      </c>
      <c r="E442">
        <f t="shared" ca="1" si="6"/>
        <v>388149601.27482909</v>
      </c>
    </row>
    <row r="443" spans="1:5" hidden="1" x14ac:dyDescent="0.25">
      <c r="A443">
        <v>10</v>
      </c>
      <c r="B443">
        <v>38</v>
      </c>
      <c r="C443" t="s">
        <v>9</v>
      </c>
      <c r="D443" t="s">
        <v>38</v>
      </c>
      <c r="E443">
        <f t="shared" ca="1" si="6"/>
        <v>419304673.59190142</v>
      </c>
    </row>
    <row r="444" spans="1:5" hidden="1" x14ac:dyDescent="0.25">
      <c r="A444">
        <v>10</v>
      </c>
      <c r="B444">
        <v>39</v>
      </c>
      <c r="C444" t="s">
        <v>9</v>
      </c>
      <c r="D444" t="s">
        <v>39</v>
      </c>
      <c r="E444">
        <f t="shared" ca="1" si="6"/>
        <v>459332327.40181863</v>
      </c>
    </row>
    <row r="445" spans="1:5" hidden="1" x14ac:dyDescent="0.25">
      <c r="A445">
        <v>10</v>
      </c>
      <c r="B445">
        <v>40</v>
      </c>
      <c r="C445" t="s">
        <v>9</v>
      </c>
      <c r="D445" t="s">
        <v>40</v>
      </c>
      <c r="E445">
        <f t="shared" ca="1" si="6"/>
        <v>545115818.23482907</v>
      </c>
    </row>
    <row r="446" spans="1:5" hidden="1" x14ac:dyDescent="0.25">
      <c r="A446">
        <v>11</v>
      </c>
      <c r="B446">
        <v>1</v>
      </c>
      <c r="C446" t="s">
        <v>10</v>
      </c>
      <c r="D446" t="s">
        <v>0</v>
      </c>
      <c r="E446">
        <f t="shared" ca="1" si="6"/>
        <v>849306243.90932488</v>
      </c>
    </row>
    <row r="447" spans="1:5" hidden="1" x14ac:dyDescent="0.25">
      <c r="A447">
        <v>11</v>
      </c>
      <c r="B447">
        <v>2</v>
      </c>
      <c r="C447" t="s">
        <v>10</v>
      </c>
      <c r="D447" t="s">
        <v>1</v>
      </c>
      <c r="E447">
        <f t="shared" ca="1" si="6"/>
        <v>725774775.34789622</v>
      </c>
    </row>
    <row r="448" spans="1:5" hidden="1" x14ac:dyDescent="0.25">
      <c r="A448">
        <v>11</v>
      </c>
      <c r="B448">
        <v>3</v>
      </c>
      <c r="C448" t="s">
        <v>10</v>
      </c>
      <c r="D448" t="s">
        <v>2</v>
      </c>
      <c r="E448">
        <f t="shared" ca="1" si="6"/>
        <v>593255865.6074543</v>
      </c>
    </row>
    <row r="449" spans="1:5" hidden="1" x14ac:dyDescent="0.25">
      <c r="A449">
        <v>11</v>
      </c>
      <c r="B449">
        <v>4</v>
      </c>
      <c r="C449" t="s">
        <v>10</v>
      </c>
      <c r="D449" t="s">
        <v>3</v>
      </c>
      <c r="E449">
        <f t="shared" ca="1" si="6"/>
        <v>662348015.38250303</v>
      </c>
    </row>
    <row r="450" spans="1:5" hidden="1" x14ac:dyDescent="0.25">
      <c r="A450">
        <v>11</v>
      </c>
      <c r="B450">
        <v>5</v>
      </c>
      <c r="C450" t="s">
        <v>10</v>
      </c>
      <c r="D450" t="s">
        <v>4</v>
      </c>
      <c r="E450">
        <f t="shared" ca="1" si="6"/>
        <v>611398864.31233716</v>
      </c>
    </row>
    <row r="451" spans="1:5" hidden="1" x14ac:dyDescent="0.25">
      <c r="A451">
        <v>11</v>
      </c>
      <c r="B451">
        <v>6</v>
      </c>
      <c r="C451" t="s">
        <v>10</v>
      </c>
      <c r="D451" t="s">
        <v>5</v>
      </c>
      <c r="E451">
        <f t="shared" ca="1" si="6"/>
        <v>730855638.07519436</v>
      </c>
    </row>
    <row r="452" spans="1:5" hidden="1" x14ac:dyDescent="0.25">
      <c r="A452">
        <v>11</v>
      </c>
      <c r="B452">
        <v>7</v>
      </c>
      <c r="C452" t="s">
        <v>10</v>
      </c>
      <c r="D452" t="s">
        <v>6</v>
      </c>
      <c r="E452">
        <f t="shared" ca="1" si="6"/>
        <v>592166640.54090858</v>
      </c>
    </row>
    <row r="453" spans="1:5" hidden="1" x14ac:dyDescent="0.25">
      <c r="A453">
        <v>11</v>
      </c>
      <c r="B453">
        <v>8</v>
      </c>
      <c r="C453" t="s">
        <v>10</v>
      </c>
      <c r="D453" t="s">
        <v>7</v>
      </c>
      <c r="E453">
        <f t="shared" ca="1" si="6"/>
        <v>579411827.92593169</v>
      </c>
    </row>
    <row r="454" spans="1:5" hidden="1" x14ac:dyDescent="0.25">
      <c r="A454">
        <v>11</v>
      </c>
      <c r="B454">
        <v>9</v>
      </c>
      <c r="C454" t="s">
        <v>10</v>
      </c>
      <c r="D454" t="s">
        <v>148</v>
      </c>
      <c r="E454">
        <f t="shared" ca="1" si="6"/>
        <v>716645617.64789629</v>
      </c>
    </row>
    <row r="455" spans="1:5" hidden="1" x14ac:dyDescent="0.25">
      <c r="A455">
        <v>11</v>
      </c>
      <c r="B455">
        <v>10</v>
      </c>
      <c r="C455" t="s">
        <v>10</v>
      </c>
      <c r="D455" t="s">
        <v>9</v>
      </c>
      <c r="E455">
        <f t="shared" ca="1" si="6"/>
        <v>658734641.37233722</v>
      </c>
    </row>
    <row r="456" spans="1:5" hidden="1" x14ac:dyDescent="0.25">
      <c r="A456">
        <v>11</v>
      </c>
      <c r="B456">
        <v>11</v>
      </c>
      <c r="C456" t="s">
        <v>10</v>
      </c>
      <c r="D456" t="s">
        <v>10</v>
      </c>
      <c r="E456">
        <f t="shared" ca="1" si="6"/>
        <v>0</v>
      </c>
    </row>
    <row r="457" spans="1:5" hidden="1" x14ac:dyDescent="0.25">
      <c r="A457">
        <v>11</v>
      </c>
      <c r="B457">
        <v>12</v>
      </c>
      <c r="C457" t="s">
        <v>10</v>
      </c>
      <c r="D457" t="s">
        <v>11</v>
      </c>
      <c r="E457">
        <f t="shared" ca="1" si="6"/>
        <v>555722512.06324506</v>
      </c>
    </row>
    <row r="458" spans="1:5" hidden="1" x14ac:dyDescent="0.25">
      <c r="A458">
        <v>11</v>
      </c>
      <c r="B458">
        <v>13</v>
      </c>
      <c r="C458" t="s">
        <v>10</v>
      </c>
      <c r="D458" t="s">
        <v>12</v>
      </c>
      <c r="E458">
        <f t="shared" ca="1" si="6"/>
        <v>177265349.74480408</v>
      </c>
    </row>
    <row r="459" spans="1:5" hidden="1" x14ac:dyDescent="0.25">
      <c r="A459">
        <v>11</v>
      </c>
      <c r="B459">
        <v>14</v>
      </c>
      <c r="C459" t="s">
        <v>10</v>
      </c>
      <c r="D459" t="s">
        <v>13</v>
      </c>
      <c r="E459">
        <f t="shared" ca="1" si="6"/>
        <v>264222985.23280406</v>
      </c>
    </row>
    <row r="460" spans="1:5" hidden="1" x14ac:dyDescent="0.25">
      <c r="A460">
        <v>11</v>
      </c>
      <c r="B460">
        <v>15</v>
      </c>
      <c r="C460" t="s">
        <v>10</v>
      </c>
      <c r="D460" t="s">
        <v>14</v>
      </c>
      <c r="E460">
        <f t="shared" ca="1" si="6"/>
        <v>2105192143.4396071</v>
      </c>
    </row>
    <row r="461" spans="1:5" hidden="1" x14ac:dyDescent="0.25">
      <c r="A461">
        <v>11</v>
      </c>
      <c r="B461">
        <v>16</v>
      </c>
      <c r="C461" t="s">
        <v>10</v>
      </c>
      <c r="D461" t="s">
        <v>15</v>
      </c>
      <c r="E461">
        <f t="shared" ca="1" si="6"/>
        <v>419537536.66761851</v>
      </c>
    </row>
    <row r="462" spans="1:5" hidden="1" x14ac:dyDescent="0.25">
      <c r="A462">
        <v>11</v>
      </c>
      <c r="B462">
        <v>17</v>
      </c>
      <c r="C462" t="s">
        <v>10</v>
      </c>
      <c r="D462" t="s">
        <v>16</v>
      </c>
      <c r="E462">
        <f t="shared" ca="1" si="6"/>
        <v>831747668.62437344</v>
      </c>
    </row>
    <row r="463" spans="1:5" hidden="1" x14ac:dyDescent="0.25">
      <c r="A463">
        <v>11</v>
      </c>
      <c r="B463">
        <v>18</v>
      </c>
      <c r="C463" t="s">
        <v>10</v>
      </c>
      <c r="D463" t="s">
        <v>17</v>
      </c>
      <c r="E463">
        <f t="shared" ca="1" si="6"/>
        <v>612827528.96761847</v>
      </c>
    </row>
    <row r="464" spans="1:5" hidden="1" x14ac:dyDescent="0.25">
      <c r="A464">
        <v>11</v>
      </c>
      <c r="B464">
        <v>19</v>
      </c>
      <c r="C464" t="s">
        <v>10</v>
      </c>
      <c r="D464" t="s">
        <v>18</v>
      </c>
      <c r="E464">
        <f t="shared" ca="1" si="6"/>
        <v>203087647.56916228</v>
      </c>
    </row>
    <row r="465" spans="1:5" hidden="1" x14ac:dyDescent="0.25">
      <c r="A465">
        <v>11</v>
      </c>
      <c r="B465">
        <v>20</v>
      </c>
      <c r="C465" t="s">
        <v>10</v>
      </c>
      <c r="D465" t="s">
        <v>19</v>
      </c>
      <c r="E465">
        <f t="shared" ca="1" si="6"/>
        <v>730350690.22021306</v>
      </c>
    </row>
    <row r="466" spans="1:5" hidden="1" x14ac:dyDescent="0.25">
      <c r="A466">
        <v>11</v>
      </c>
      <c r="B466">
        <v>21</v>
      </c>
      <c r="C466" t="s">
        <v>10</v>
      </c>
      <c r="D466" t="s">
        <v>20</v>
      </c>
      <c r="E466">
        <f t="shared" ca="1" si="6"/>
        <v>380517805.52891582</v>
      </c>
    </row>
    <row r="467" spans="1:5" hidden="1" x14ac:dyDescent="0.25">
      <c r="A467">
        <v>11</v>
      </c>
      <c r="B467">
        <v>22</v>
      </c>
      <c r="C467" t="s">
        <v>10</v>
      </c>
      <c r="D467" t="s">
        <v>21</v>
      </c>
      <c r="E467">
        <f t="shared" ca="1" si="6"/>
        <v>653091164.24556112</v>
      </c>
    </row>
    <row r="468" spans="1:5" hidden="1" x14ac:dyDescent="0.25">
      <c r="A468">
        <v>11</v>
      </c>
      <c r="B468">
        <v>23</v>
      </c>
      <c r="C468" t="s">
        <v>10</v>
      </c>
      <c r="D468" t="s">
        <v>22</v>
      </c>
      <c r="E468">
        <f t="shared" ca="1" si="6"/>
        <v>251121407.07488561</v>
      </c>
    </row>
    <row r="469" spans="1:5" hidden="1" x14ac:dyDescent="0.25">
      <c r="A469">
        <v>11</v>
      </c>
      <c r="B469">
        <v>24</v>
      </c>
      <c r="C469" t="s">
        <v>10</v>
      </c>
      <c r="D469" t="s">
        <v>23</v>
      </c>
      <c r="E469">
        <f t="shared" ca="1" si="6"/>
        <v>242773817.6748856</v>
      </c>
    </row>
    <row r="470" spans="1:5" hidden="1" x14ac:dyDescent="0.25">
      <c r="A470">
        <v>11</v>
      </c>
      <c r="B470">
        <v>25</v>
      </c>
      <c r="C470" t="s">
        <v>10</v>
      </c>
      <c r="D470" t="s">
        <v>24</v>
      </c>
      <c r="E470">
        <f t="shared" ca="1" si="6"/>
        <v>184062204.57488561</v>
      </c>
    </row>
    <row r="471" spans="1:5" hidden="1" x14ac:dyDescent="0.25">
      <c r="A471">
        <v>11</v>
      </c>
      <c r="B471">
        <v>26</v>
      </c>
      <c r="C471" t="s">
        <v>10</v>
      </c>
      <c r="D471" t="s">
        <v>25</v>
      </c>
      <c r="E471">
        <f t="shared" ca="1" si="6"/>
        <v>1961804599.5876071</v>
      </c>
    </row>
    <row r="472" spans="1:5" hidden="1" x14ac:dyDescent="0.25">
      <c r="A472">
        <v>11</v>
      </c>
      <c r="B472">
        <v>27</v>
      </c>
      <c r="C472" t="s">
        <v>10</v>
      </c>
      <c r="D472" t="s">
        <v>145</v>
      </c>
      <c r="E472">
        <f t="shared" ca="1" si="6"/>
        <v>1140508373.380213</v>
      </c>
    </row>
    <row r="473" spans="1:5" hidden="1" x14ac:dyDescent="0.25">
      <c r="A473">
        <v>11</v>
      </c>
      <c r="B473">
        <v>28</v>
      </c>
      <c r="C473" t="s">
        <v>10</v>
      </c>
      <c r="D473" t="s">
        <v>147</v>
      </c>
      <c r="E473">
        <f t="shared" ca="1" si="6"/>
        <v>833045894.24556112</v>
      </c>
    </row>
    <row r="474" spans="1:5" hidden="1" x14ac:dyDescent="0.25">
      <c r="A474">
        <v>11</v>
      </c>
      <c r="B474">
        <v>29</v>
      </c>
      <c r="C474" t="s">
        <v>10</v>
      </c>
      <c r="D474" t="s">
        <v>146</v>
      </c>
      <c r="E474">
        <f t="shared" ca="1" si="6"/>
        <v>215336905.88288561</v>
      </c>
    </row>
    <row r="475" spans="1:5" hidden="1" x14ac:dyDescent="0.25">
      <c r="A475">
        <v>11</v>
      </c>
      <c r="B475">
        <v>30</v>
      </c>
      <c r="C475" t="s">
        <v>10</v>
      </c>
      <c r="D475" t="s">
        <v>30</v>
      </c>
      <c r="E475">
        <f t="shared" ca="1" si="6"/>
        <v>503324135.81107444</v>
      </c>
    </row>
    <row r="476" spans="1:5" hidden="1" x14ac:dyDescent="0.25">
      <c r="A476">
        <v>11</v>
      </c>
      <c r="B476">
        <v>31</v>
      </c>
      <c r="C476" t="s">
        <v>10</v>
      </c>
      <c r="D476" t="s">
        <v>31</v>
      </c>
      <c r="E476">
        <f t="shared" ca="1" si="6"/>
        <v>138250241.39300808</v>
      </c>
    </row>
    <row r="477" spans="1:5" hidden="1" x14ac:dyDescent="0.25">
      <c r="A477">
        <v>11</v>
      </c>
      <c r="B477">
        <v>32</v>
      </c>
      <c r="C477" t="s">
        <v>10</v>
      </c>
      <c r="D477" t="s">
        <v>32</v>
      </c>
      <c r="E477">
        <f t="shared" ca="1" si="6"/>
        <v>217153861.75700808</v>
      </c>
    </row>
    <row r="478" spans="1:5" hidden="1" x14ac:dyDescent="0.25">
      <c r="A478">
        <v>11</v>
      </c>
      <c r="B478">
        <v>33</v>
      </c>
      <c r="C478" t="s">
        <v>10</v>
      </c>
      <c r="D478" t="s">
        <v>33</v>
      </c>
      <c r="E478">
        <f t="shared" ca="1" si="6"/>
        <v>3149739412.1962776</v>
      </c>
    </row>
    <row r="479" spans="1:5" hidden="1" x14ac:dyDescent="0.25">
      <c r="A479">
        <v>11</v>
      </c>
      <c r="B479">
        <v>34</v>
      </c>
      <c r="C479" t="s">
        <v>10</v>
      </c>
      <c r="D479" t="s">
        <v>34</v>
      </c>
      <c r="E479">
        <f t="shared" ca="1" si="6"/>
        <v>2520004803.2682776</v>
      </c>
    </row>
    <row r="480" spans="1:5" hidden="1" x14ac:dyDescent="0.25">
      <c r="A480">
        <v>11</v>
      </c>
      <c r="B480">
        <v>35</v>
      </c>
      <c r="C480" t="s">
        <v>10</v>
      </c>
      <c r="D480" t="s">
        <v>35</v>
      </c>
      <c r="E480">
        <f t="shared" ca="1" si="6"/>
        <v>651310725.93189621</v>
      </c>
    </row>
    <row r="481" spans="1:5" hidden="1" x14ac:dyDescent="0.25">
      <c r="A481">
        <v>11</v>
      </c>
      <c r="B481">
        <v>36</v>
      </c>
      <c r="C481" t="s">
        <v>10</v>
      </c>
      <c r="D481" t="s">
        <v>36</v>
      </c>
      <c r="E481">
        <f t="shared" ca="1" si="6"/>
        <v>141574974.02849257</v>
      </c>
    </row>
    <row r="482" spans="1:5" hidden="1" x14ac:dyDescent="0.25">
      <c r="A482">
        <v>11</v>
      </c>
      <c r="B482">
        <v>37</v>
      </c>
      <c r="C482" t="s">
        <v>10</v>
      </c>
      <c r="D482" t="s">
        <v>37</v>
      </c>
      <c r="E482">
        <f t="shared" ca="1" si="6"/>
        <v>149804250.81197733</v>
      </c>
    </row>
    <row r="483" spans="1:5" hidden="1" x14ac:dyDescent="0.25">
      <c r="A483">
        <v>11</v>
      </c>
      <c r="B483">
        <v>38</v>
      </c>
      <c r="C483" t="s">
        <v>10</v>
      </c>
      <c r="D483" t="s">
        <v>38</v>
      </c>
      <c r="E483">
        <f t="shared" ca="1" si="6"/>
        <v>88916636.348492563</v>
      </c>
    </row>
    <row r="484" spans="1:5" hidden="1" x14ac:dyDescent="0.25">
      <c r="A484">
        <v>11</v>
      </c>
      <c r="B484">
        <v>39</v>
      </c>
      <c r="C484" t="s">
        <v>10</v>
      </c>
      <c r="D484" t="s">
        <v>39</v>
      </c>
      <c r="E484">
        <f t="shared" ref="E484:E546" ca="1" si="7">OFFSET($B$2,A484,B484)</f>
        <v>245158608.35347027</v>
      </c>
    </row>
    <row r="485" spans="1:5" hidden="1" x14ac:dyDescent="0.25">
      <c r="A485">
        <v>11</v>
      </c>
      <c r="B485">
        <v>40</v>
      </c>
      <c r="C485" t="s">
        <v>10</v>
      </c>
      <c r="D485" t="s">
        <v>40</v>
      </c>
      <c r="E485">
        <f t="shared" ca="1" si="7"/>
        <v>306770467.77197731</v>
      </c>
    </row>
    <row r="486" spans="1:5" hidden="1" x14ac:dyDescent="0.25">
      <c r="A486">
        <v>12</v>
      </c>
      <c r="B486">
        <v>1</v>
      </c>
      <c r="C486" t="s">
        <v>11</v>
      </c>
      <c r="D486" t="s">
        <v>0</v>
      </c>
      <c r="E486">
        <f t="shared" ca="1" si="7"/>
        <v>917601763.78186345</v>
      </c>
    </row>
    <row r="487" spans="1:5" hidden="1" x14ac:dyDescent="0.25">
      <c r="A487">
        <v>12</v>
      </c>
      <c r="B487">
        <v>2</v>
      </c>
      <c r="C487" t="s">
        <v>11</v>
      </c>
      <c r="D487" t="s">
        <v>1</v>
      </c>
      <c r="E487">
        <f t="shared" ca="1" si="7"/>
        <v>794070295.2204349</v>
      </c>
    </row>
    <row r="488" spans="1:5" hidden="1" x14ac:dyDescent="0.25">
      <c r="A488">
        <v>12</v>
      </c>
      <c r="B488">
        <v>3</v>
      </c>
      <c r="C488" t="s">
        <v>11</v>
      </c>
      <c r="D488" t="s">
        <v>2</v>
      </c>
      <c r="E488">
        <f t="shared" ca="1" si="7"/>
        <v>785819830.45220244</v>
      </c>
    </row>
    <row r="489" spans="1:5" hidden="1" x14ac:dyDescent="0.25">
      <c r="A489">
        <v>12</v>
      </c>
      <c r="B489">
        <v>4</v>
      </c>
      <c r="C489" t="s">
        <v>11</v>
      </c>
      <c r="D489" t="s">
        <v>3</v>
      </c>
      <c r="E489">
        <f t="shared" ca="1" si="7"/>
        <v>753697170.61151385</v>
      </c>
    </row>
    <row r="490" spans="1:5" hidden="1" x14ac:dyDescent="0.25">
      <c r="A490">
        <v>12</v>
      </c>
      <c r="B490">
        <v>5</v>
      </c>
      <c r="C490" t="s">
        <v>11</v>
      </c>
      <c r="D490" t="s">
        <v>4</v>
      </c>
      <c r="E490">
        <f t="shared" ca="1" si="7"/>
        <v>693728566.40237808</v>
      </c>
    </row>
    <row r="491" spans="1:5" hidden="1" x14ac:dyDescent="0.25">
      <c r="A491">
        <v>12</v>
      </c>
      <c r="B491">
        <v>6</v>
      </c>
      <c r="C491" t="s">
        <v>11</v>
      </c>
      <c r="D491" t="s">
        <v>5</v>
      </c>
      <c r="E491">
        <f t="shared" ca="1" si="7"/>
        <v>813185340.16523516</v>
      </c>
    </row>
    <row r="492" spans="1:5" hidden="1" x14ac:dyDescent="0.25">
      <c r="A492">
        <v>12</v>
      </c>
      <c r="B492">
        <v>7</v>
      </c>
      <c r="C492" t="s">
        <v>11</v>
      </c>
      <c r="D492" t="s">
        <v>6</v>
      </c>
      <c r="E492">
        <f t="shared" ca="1" si="7"/>
        <v>674496342.6309495</v>
      </c>
    </row>
    <row r="493" spans="1:5" hidden="1" x14ac:dyDescent="0.25">
      <c r="A493">
        <v>12</v>
      </c>
      <c r="B493">
        <v>8</v>
      </c>
      <c r="C493" t="s">
        <v>11</v>
      </c>
      <c r="D493" t="s">
        <v>7</v>
      </c>
      <c r="E493">
        <f t="shared" ca="1" si="7"/>
        <v>670760983.15494251</v>
      </c>
    </row>
    <row r="494" spans="1:5" hidden="1" x14ac:dyDescent="0.25">
      <c r="A494">
        <v>12</v>
      </c>
      <c r="B494">
        <v>9</v>
      </c>
      <c r="C494" t="s">
        <v>11</v>
      </c>
      <c r="D494" t="s">
        <v>148</v>
      </c>
      <c r="E494">
        <f t="shared" ca="1" si="7"/>
        <v>784941137.52043486</v>
      </c>
    </row>
    <row r="495" spans="1:5" hidden="1" x14ac:dyDescent="0.25">
      <c r="A495">
        <v>12</v>
      </c>
      <c r="B495">
        <v>10</v>
      </c>
      <c r="C495" t="s">
        <v>11</v>
      </c>
      <c r="D495" t="s">
        <v>9</v>
      </c>
      <c r="E495">
        <f t="shared" ca="1" si="7"/>
        <v>741064343.46237803</v>
      </c>
    </row>
    <row r="496" spans="1:5" hidden="1" x14ac:dyDescent="0.25">
      <c r="A496">
        <v>12</v>
      </c>
      <c r="B496">
        <v>11</v>
      </c>
      <c r="C496" t="s">
        <v>11</v>
      </c>
      <c r="D496" t="s">
        <v>10</v>
      </c>
      <c r="E496">
        <f t="shared" ca="1" si="7"/>
        <v>555722512.06324506</v>
      </c>
    </row>
    <row r="497" spans="1:5" hidden="1" x14ac:dyDescent="0.25">
      <c r="A497">
        <v>12</v>
      </c>
      <c r="B497">
        <v>12</v>
      </c>
      <c r="C497" t="s">
        <v>11</v>
      </c>
      <c r="D497" t="s">
        <v>11</v>
      </c>
      <c r="E497">
        <f t="shared" ca="1" si="7"/>
        <v>0</v>
      </c>
    </row>
    <row r="498" spans="1:5" hidden="1" x14ac:dyDescent="0.25">
      <c r="A498">
        <v>12</v>
      </c>
      <c r="B498">
        <v>13</v>
      </c>
      <c r="C498" t="s">
        <v>11</v>
      </c>
      <c r="D498" t="s">
        <v>12</v>
      </c>
      <c r="E498">
        <f t="shared" ca="1" si="7"/>
        <v>152054175.8873077</v>
      </c>
    </row>
    <row r="499" spans="1:5" hidden="1" x14ac:dyDescent="0.25">
      <c r="A499">
        <v>12</v>
      </c>
      <c r="B499">
        <v>14</v>
      </c>
      <c r="C499" t="s">
        <v>11</v>
      </c>
      <c r="D499" t="s">
        <v>13</v>
      </c>
      <c r="E499">
        <f t="shared" ca="1" si="7"/>
        <v>239011811.37530771</v>
      </c>
    </row>
    <row r="500" spans="1:5" hidden="1" x14ac:dyDescent="0.25">
      <c r="A500">
        <v>12</v>
      </c>
      <c r="B500">
        <v>15</v>
      </c>
      <c r="C500" t="s">
        <v>11</v>
      </c>
      <c r="D500" t="s">
        <v>14</v>
      </c>
      <c r="E500">
        <f t="shared" ca="1" si="7"/>
        <v>608760395.84968972</v>
      </c>
    </row>
    <row r="501" spans="1:5" hidden="1" x14ac:dyDescent="0.25">
      <c r="A501">
        <v>12</v>
      </c>
      <c r="B501">
        <v>16</v>
      </c>
      <c r="C501" t="s">
        <v>11</v>
      </c>
      <c r="D501" t="s">
        <v>15</v>
      </c>
      <c r="E501">
        <f t="shared" ca="1" si="7"/>
        <v>507870763.09514827</v>
      </c>
    </row>
    <row r="502" spans="1:5" hidden="1" x14ac:dyDescent="0.25">
      <c r="A502">
        <v>12</v>
      </c>
      <c r="B502">
        <v>17</v>
      </c>
      <c r="C502" t="s">
        <v>11</v>
      </c>
      <c r="D502" t="s">
        <v>16</v>
      </c>
      <c r="E502">
        <f t="shared" ca="1" si="7"/>
        <v>912127994.68753684</v>
      </c>
    </row>
    <row r="503" spans="1:5" hidden="1" x14ac:dyDescent="0.25">
      <c r="A503">
        <v>12</v>
      </c>
      <c r="B503">
        <v>18</v>
      </c>
      <c r="C503" t="s">
        <v>11</v>
      </c>
      <c r="D503" t="s">
        <v>17</v>
      </c>
      <c r="E503">
        <f t="shared" ca="1" si="7"/>
        <v>701160755.39514828</v>
      </c>
    </row>
    <row r="504" spans="1:5" hidden="1" x14ac:dyDescent="0.25">
      <c r="A504">
        <v>12</v>
      </c>
      <c r="B504">
        <v>19</v>
      </c>
      <c r="C504" t="s">
        <v>11</v>
      </c>
      <c r="D504" t="s">
        <v>18</v>
      </c>
      <c r="E504">
        <f t="shared" ca="1" si="7"/>
        <v>153633659.07187271</v>
      </c>
    </row>
    <row r="505" spans="1:5" hidden="1" x14ac:dyDescent="0.25">
      <c r="A505">
        <v>12</v>
      </c>
      <c r="B505">
        <v>20</v>
      </c>
      <c r="C505" t="s">
        <v>11</v>
      </c>
      <c r="D505" t="s">
        <v>19</v>
      </c>
      <c r="E505">
        <f t="shared" ca="1" si="7"/>
        <v>594868432.80570829</v>
      </c>
    </row>
    <row r="506" spans="1:5" hidden="1" x14ac:dyDescent="0.25">
      <c r="A506">
        <v>12</v>
      </c>
      <c r="B506">
        <v>21</v>
      </c>
      <c r="C506" t="s">
        <v>11</v>
      </c>
      <c r="D506" t="s">
        <v>20</v>
      </c>
      <c r="E506">
        <f t="shared" ca="1" si="7"/>
        <v>337191211.23469025</v>
      </c>
    </row>
    <row r="507" spans="1:5" hidden="1" x14ac:dyDescent="0.25">
      <c r="A507">
        <v>12</v>
      </c>
      <c r="B507">
        <v>22</v>
      </c>
      <c r="C507" t="s">
        <v>11</v>
      </c>
      <c r="D507" t="s">
        <v>21</v>
      </c>
      <c r="E507">
        <f t="shared" ca="1" si="7"/>
        <v>1166278737.3432894</v>
      </c>
    </row>
    <row r="508" spans="1:5" hidden="1" x14ac:dyDescent="0.25">
      <c r="A508">
        <v>12</v>
      </c>
      <c r="B508">
        <v>23</v>
      </c>
      <c r="C508" t="s">
        <v>11</v>
      </c>
      <c r="D508" t="s">
        <v>22</v>
      </c>
      <c r="E508">
        <f t="shared" ca="1" si="7"/>
        <v>229299373.33802012</v>
      </c>
    </row>
    <row r="509" spans="1:5" hidden="1" x14ac:dyDescent="0.25">
      <c r="A509">
        <v>12</v>
      </c>
      <c r="B509">
        <v>24</v>
      </c>
      <c r="C509" t="s">
        <v>11</v>
      </c>
      <c r="D509" t="s">
        <v>23</v>
      </c>
      <c r="E509">
        <f t="shared" ca="1" si="7"/>
        <v>220951783.93802011</v>
      </c>
    </row>
    <row r="510" spans="1:5" hidden="1" x14ac:dyDescent="0.25">
      <c r="A510">
        <v>12</v>
      </c>
      <c r="B510">
        <v>25</v>
      </c>
      <c r="C510" t="s">
        <v>11</v>
      </c>
      <c r="D510" t="s">
        <v>24</v>
      </c>
      <c r="E510">
        <f t="shared" ca="1" si="7"/>
        <v>162240170.83802012</v>
      </c>
    </row>
    <row r="511" spans="1:5" hidden="1" x14ac:dyDescent="0.25">
      <c r="A511">
        <v>12</v>
      </c>
      <c r="B511">
        <v>26</v>
      </c>
      <c r="C511" t="s">
        <v>11</v>
      </c>
      <c r="D511" t="s">
        <v>25</v>
      </c>
      <c r="E511">
        <f t="shared" ca="1" si="7"/>
        <v>465372851.99768972</v>
      </c>
    </row>
    <row r="512" spans="1:5" hidden="1" x14ac:dyDescent="0.25">
      <c r="A512">
        <v>12</v>
      </c>
      <c r="B512">
        <v>27</v>
      </c>
      <c r="C512" t="s">
        <v>11</v>
      </c>
      <c r="D512" t="s">
        <v>145</v>
      </c>
      <c r="E512">
        <f t="shared" ca="1" si="7"/>
        <v>1005026115.9657083</v>
      </c>
    </row>
    <row r="513" spans="1:5" hidden="1" x14ac:dyDescent="0.25">
      <c r="A513">
        <v>12</v>
      </c>
      <c r="B513">
        <v>28</v>
      </c>
      <c r="C513" t="s">
        <v>11</v>
      </c>
      <c r="D513" t="s">
        <v>147</v>
      </c>
      <c r="E513">
        <f t="shared" ca="1" si="7"/>
        <v>1346233467.3432894</v>
      </c>
    </row>
    <row r="514" spans="1:5" hidden="1" x14ac:dyDescent="0.25">
      <c r="A514">
        <v>12</v>
      </c>
      <c r="B514">
        <v>29</v>
      </c>
      <c r="C514" t="s">
        <v>11</v>
      </c>
      <c r="D514" t="s">
        <v>146</v>
      </c>
      <c r="E514">
        <f t="shared" ca="1" si="7"/>
        <v>193514872.14602011</v>
      </c>
    </row>
    <row r="515" spans="1:5" hidden="1" x14ac:dyDescent="0.25">
      <c r="A515">
        <v>12</v>
      </c>
      <c r="B515">
        <v>30</v>
      </c>
      <c r="C515" t="s">
        <v>11</v>
      </c>
      <c r="D515" t="s">
        <v>30</v>
      </c>
      <c r="E515">
        <f t="shared" ca="1" si="7"/>
        <v>472485507.00008535</v>
      </c>
    </row>
    <row r="516" spans="1:5" hidden="1" x14ac:dyDescent="0.25">
      <c r="A516">
        <v>12</v>
      </c>
      <c r="B516">
        <v>31</v>
      </c>
      <c r="C516" t="s">
        <v>11</v>
      </c>
      <c r="D516" t="s">
        <v>31</v>
      </c>
      <c r="E516">
        <f t="shared" ca="1" si="7"/>
        <v>449161332.79494345</v>
      </c>
    </row>
    <row r="517" spans="1:5" hidden="1" x14ac:dyDescent="0.25">
      <c r="A517">
        <v>12</v>
      </c>
      <c r="B517">
        <v>32</v>
      </c>
      <c r="C517" t="s">
        <v>11</v>
      </c>
      <c r="D517" t="s">
        <v>32</v>
      </c>
      <c r="E517">
        <f t="shared" ca="1" si="7"/>
        <v>528064953.15894347</v>
      </c>
    </row>
    <row r="518" spans="1:5" hidden="1" x14ac:dyDescent="0.25">
      <c r="A518">
        <v>12</v>
      </c>
      <c r="B518">
        <v>33</v>
      </c>
      <c r="C518" t="s">
        <v>11</v>
      </c>
      <c r="D518" t="s">
        <v>33</v>
      </c>
      <c r="E518">
        <f t="shared" ca="1" si="7"/>
        <v>3035828446.8012538</v>
      </c>
    </row>
    <row r="519" spans="1:5" hidden="1" x14ac:dyDescent="0.25">
      <c r="A519">
        <v>12</v>
      </c>
      <c r="B519">
        <v>34</v>
      </c>
      <c r="C519" t="s">
        <v>11</v>
      </c>
      <c r="D519" t="s">
        <v>34</v>
      </c>
      <c r="E519">
        <f t="shared" ca="1" si="7"/>
        <v>2406093837.8732538</v>
      </c>
    </row>
    <row r="520" spans="1:5" hidden="1" x14ac:dyDescent="0.25">
      <c r="A520">
        <v>12</v>
      </c>
      <c r="B520">
        <v>35</v>
      </c>
      <c r="C520" t="s">
        <v>11</v>
      </c>
      <c r="D520" t="s">
        <v>35</v>
      </c>
      <c r="E520">
        <f t="shared" ca="1" si="7"/>
        <v>597418461.76443493</v>
      </c>
    </row>
    <row r="521" spans="1:5" hidden="1" x14ac:dyDescent="0.25">
      <c r="A521">
        <v>12</v>
      </c>
      <c r="B521">
        <v>36</v>
      </c>
      <c r="C521" t="s">
        <v>11</v>
      </c>
      <c r="D521" t="s">
        <v>36</v>
      </c>
      <c r="E521">
        <f t="shared" ca="1" si="7"/>
        <v>243746663.817936</v>
      </c>
    </row>
    <row r="522" spans="1:5" hidden="1" x14ac:dyDescent="0.25">
      <c r="A522">
        <v>12</v>
      </c>
      <c r="B522">
        <v>37</v>
      </c>
      <c r="C522" t="s">
        <v>11</v>
      </c>
      <c r="D522" t="s">
        <v>37</v>
      </c>
      <c r="E522">
        <f t="shared" ca="1" si="7"/>
        <v>119565089.88541269</v>
      </c>
    </row>
    <row r="523" spans="1:5" hidden="1" x14ac:dyDescent="0.25">
      <c r="A523">
        <v>12</v>
      </c>
      <c r="B523">
        <v>38</v>
      </c>
      <c r="C523" t="s">
        <v>11</v>
      </c>
      <c r="D523" t="s">
        <v>38</v>
      </c>
      <c r="E523">
        <f t="shared" ca="1" si="7"/>
        <v>191088326.137936</v>
      </c>
    </row>
    <row r="524" spans="1:5" hidden="1" x14ac:dyDescent="0.25">
      <c r="A524">
        <v>12</v>
      </c>
      <c r="B524">
        <v>39</v>
      </c>
      <c r="C524" t="s">
        <v>11</v>
      </c>
      <c r="D524" t="s">
        <v>39</v>
      </c>
      <c r="E524">
        <f t="shared" ca="1" si="7"/>
        <v>122386154.51936096</v>
      </c>
    </row>
    <row r="525" spans="1:5" hidden="1" x14ac:dyDescent="0.25">
      <c r="A525">
        <v>12</v>
      </c>
      <c r="B525">
        <v>40</v>
      </c>
      <c r="C525" t="s">
        <v>11</v>
      </c>
      <c r="D525" t="s">
        <v>40</v>
      </c>
      <c r="E525">
        <f t="shared" ca="1" si="7"/>
        <v>330794442.44465077</v>
      </c>
    </row>
    <row r="526" spans="1:5" hidden="1" x14ac:dyDescent="0.25">
      <c r="A526">
        <v>13</v>
      </c>
      <c r="B526">
        <v>1</v>
      </c>
      <c r="C526" t="s">
        <v>12</v>
      </c>
      <c r="D526" t="s">
        <v>0</v>
      </c>
      <c r="E526">
        <f t="shared" ca="1" si="7"/>
        <v>546931364.00451553</v>
      </c>
    </row>
    <row r="527" spans="1:5" hidden="1" x14ac:dyDescent="0.25">
      <c r="A527">
        <v>13</v>
      </c>
      <c r="B527">
        <v>2</v>
      </c>
      <c r="C527" t="s">
        <v>12</v>
      </c>
      <c r="D527" t="s">
        <v>1</v>
      </c>
      <c r="E527">
        <f t="shared" ca="1" si="7"/>
        <v>423399895.44308698</v>
      </c>
    </row>
    <row r="528" spans="1:5" hidden="1" x14ac:dyDescent="0.25">
      <c r="A528">
        <v>13</v>
      </c>
      <c r="B528">
        <v>3</v>
      </c>
      <c r="C528" t="s">
        <v>12</v>
      </c>
      <c r="D528" t="s">
        <v>2</v>
      </c>
      <c r="E528">
        <f t="shared" ca="1" si="7"/>
        <v>264319152.18995339</v>
      </c>
    </row>
    <row r="529" spans="1:5" hidden="1" x14ac:dyDescent="0.25">
      <c r="A529">
        <v>13</v>
      </c>
      <c r="B529">
        <v>4</v>
      </c>
      <c r="C529" t="s">
        <v>12</v>
      </c>
      <c r="D529" t="s">
        <v>3</v>
      </c>
      <c r="E529">
        <f t="shared" ca="1" si="7"/>
        <v>367577756.35432869</v>
      </c>
    </row>
    <row r="530" spans="1:5" hidden="1" x14ac:dyDescent="0.25">
      <c r="A530">
        <v>13</v>
      </c>
      <c r="B530">
        <v>5</v>
      </c>
      <c r="C530" t="s">
        <v>12</v>
      </c>
      <c r="D530" t="s">
        <v>4</v>
      </c>
      <c r="E530">
        <f t="shared" ca="1" si="7"/>
        <v>325433473.11194879</v>
      </c>
    </row>
    <row r="531" spans="1:5" hidden="1" x14ac:dyDescent="0.25">
      <c r="A531">
        <v>13</v>
      </c>
      <c r="B531">
        <v>6</v>
      </c>
      <c r="C531" t="s">
        <v>12</v>
      </c>
      <c r="D531" t="s">
        <v>5</v>
      </c>
      <c r="E531">
        <f t="shared" ca="1" si="7"/>
        <v>444890246.87480587</v>
      </c>
    </row>
    <row r="532" spans="1:5" hidden="1" x14ac:dyDescent="0.25">
      <c r="A532">
        <v>13</v>
      </c>
      <c r="B532">
        <v>7</v>
      </c>
      <c r="C532" t="s">
        <v>12</v>
      </c>
      <c r="D532" t="s">
        <v>6</v>
      </c>
      <c r="E532">
        <f t="shared" ca="1" si="7"/>
        <v>306201249.3405202</v>
      </c>
    </row>
    <row r="533" spans="1:5" hidden="1" x14ac:dyDescent="0.25">
      <c r="A533">
        <v>13</v>
      </c>
      <c r="B533">
        <v>8</v>
      </c>
      <c r="C533" t="s">
        <v>12</v>
      </c>
      <c r="D533" t="s">
        <v>7</v>
      </c>
      <c r="E533">
        <f t="shared" ca="1" si="7"/>
        <v>284641568.89775723</v>
      </c>
    </row>
    <row r="534" spans="1:5" hidden="1" x14ac:dyDescent="0.25">
      <c r="A534">
        <v>13</v>
      </c>
      <c r="B534">
        <v>9</v>
      </c>
      <c r="C534" t="s">
        <v>12</v>
      </c>
      <c r="D534" t="s">
        <v>148</v>
      </c>
      <c r="E534">
        <f t="shared" ca="1" si="7"/>
        <v>414270737.74308693</v>
      </c>
    </row>
    <row r="535" spans="1:5" hidden="1" x14ac:dyDescent="0.25">
      <c r="A535">
        <v>13</v>
      </c>
      <c r="B535">
        <v>10</v>
      </c>
      <c r="C535" t="s">
        <v>12</v>
      </c>
      <c r="D535" t="s">
        <v>9</v>
      </c>
      <c r="E535">
        <f t="shared" ca="1" si="7"/>
        <v>372769250.17194879</v>
      </c>
    </row>
    <row r="536" spans="1:5" hidden="1" x14ac:dyDescent="0.25">
      <c r="A536">
        <v>13</v>
      </c>
      <c r="B536">
        <v>11</v>
      </c>
      <c r="C536" t="s">
        <v>12</v>
      </c>
      <c r="D536" t="s">
        <v>10</v>
      </c>
      <c r="E536">
        <f t="shared" ca="1" si="7"/>
        <v>177265349.74480408</v>
      </c>
    </row>
    <row r="537" spans="1:5" hidden="1" x14ac:dyDescent="0.25">
      <c r="A537">
        <v>13</v>
      </c>
      <c r="B537">
        <v>12</v>
      </c>
      <c r="C537" t="s">
        <v>12</v>
      </c>
      <c r="D537" t="s">
        <v>11</v>
      </c>
      <c r="E537">
        <f t="shared" ca="1" si="7"/>
        <v>152054175.8873077</v>
      </c>
    </row>
    <row r="538" spans="1:5" hidden="1" x14ac:dyDescent="0.25">
      <c r="A538">
        <v>13</v>
      </c>
      <c r="B538">
        <v>13</v>
      </c>
      <c r="C538" t="s">
        <v>12</v>
      </c>
      <c r="D538" t="s">
        <v>12</v>
      </c>
      <c r="E538">
        <f t="shared" ca="1" si="7"/>
        <v>0</v>
      </c>
    </row>
    <row r="539" spans="1:5" hidden="1" x14ac:dyDescent="0.25">
      <c r="A539">
        <v>13</v>
      </c>
      <c r="B539">
        <v>14</v>
      </c>
      <c r="C539" t="s">
        <v>12</v>
      </c>
      <c r="D539" t="s">
        <v>13</v>
      </c>
      <c r="E539">
        <f t="shared" ca="1" si="7"/>
        <v>0</v>
      </c>
    </row>
    <row r="540" spans="1:5" hidden="1" x14ac:dyDescent="0.25">
      <c r="A540">
        <v>13</v>
      </c>
      <c r="B540">
        <v>15</v>
      </c>
      <c r="C540" t="s">
        <v>12</v>
      </c>
      <c r="D540" t="s">
        <v>14</v>
      </c>
      <c r="E540">
        <f t="shared" ca="1" si="7"/>
        <v>491465223.55535555</v>
      </c>
    </row>
    <row r="541" spans="1:5" hidden="1" x14ac:dyDescent="0.25">
      <c r="A541">
        <v>13</v>
      </c>
      <c r="B541">
        <v>16</v>
      </c>
      <c r="C541" t="s">
        <v>12</v>
      </c>
      <c r="D541" t="s">
        <v>15</v>
      </c>
      <c r="E541">
        <f t="shared" ca="1" si="7"/>
        <v>370470833.72026014</v>
      </c>
    </row>
    <row r="542" spans="1:5" hidden="1" x14ac:dyDescent="0.25">
      <c r="A542">
        <v>13</v>
      </c>
      <c r="B542">
        <v>17</v>
      </c>
      <c r="C542" t="s">
        <v>12</v>
      </c>
      <c r="D542" t="s">
        <v>16</v>
      </c>
      <c r="E542">
        <f t="shared" ca="1" si="7"/>
        <v>824551682.21480703</v>
      </c>
    </row>
    <row r="543" spans="1:5" hidden="1" x14ac:dyDescent="0.25">
      <c r="A543">
        <v>13</v>
      </c>
      <c r="B543">
        <v>18</v>
      </c>
      <c r="C543" t="s">
        <v>12</v>
      </c>
      <c r="D543" t="s">
        <v>17</v>
      </c>
      <c r="E543">
        <f t="shared" ca="1" si="7"/>
        <v>563760826.0202601</v>
      </c>
    </row>
    <row r="544" spans="1:5" hidden="1" x14ac:dyDescent="0.25">
      <c r="A544">
        <v>13</v>
      </c>
      <c r="B544">
        <v>19</v>
      </c>
      <c r="C544" t="s">
        <v>12</v>
      </c>
      <c r="D544" t="s">
        <v>18</v>
      </c>
      <c r="E544">
        <f t="shared" ca="1" si="7"/>
        <v>46492190.670509227</v>
      </c>
    </row>
    <row r="545" spans="1:5" hidden="1" x14ac:dyDescent="0.25">
      <c r="A545">
        <v>13</v>
      </c>
      <c r="B545">
        <v>20</v>
      </c>
      <c r="C545" t="s">
        <v>12</v>
      </c>
      <c r="D545" t="s">
        <v>19</v>
      </c>
      <c r="E545">
        <f t="shared" ca="1" si="7"/>
        <v>547207077.70335746</v>
      </c>
    </row>
    <row r="546" spans="1:5" hidden="1" x14ac:dyDescent="0.25">
      <c r="A546">
        <v>13</v>
      </c>
      <c r="B546">
        <v>21</v>
      </c>
      <c r="C546" t="s">
        <v>12</v>
      </c>
      <c r="D546" t="s">
        <v>20</v>
      </c>
      <c r="E546">
        <f t="shared" ca="1" si="7"/>
        <v>225890124.54641587</v>
      </c>
    </row>
    <row r="547" spans="1:5" hidden="1" x14ac:dyDescent="0.25">
      <c r="A547">
        <v>13</v>
      </c>
      <c r="B547">
        <v>22</v>
      </c>
      <c r="C547" t="s">
        <v>12</v>
      </c>
      <c r="D547" t="s">
        <v>21</v>
      </c>
      <c r="E547">
        <f t="shared" ref="E547:E608" ca="1" si="8">OFFSET($B$2,A547,B547)</f>
        <v>463284793.11674011</v>
      </c>
    </row>
    <row r="548" spans="1:5" hidden="1" x14ac:dyDescent="0.25">
      <c r="A548">
        <v>13</v>
      </c>
      <c r="B548">
        <v>23</v>
      </c>
      <c r="C548" t="s">
        <v>12</v>
      </c>
      <c r="D548" t="s">
        <v>22</v>
      </c>
      <c r="E548">
        <f t="shared" ca="1" si="8"/>
        <v>107034191.64022188</v>
      </c>
    </row>
    <row r="549" spans="1:5" hidden="1" x14ac:dyDescent="0.25">
      <c r="A549">
        <v>13</v>
      </c>
      <c r="B549">
        <v>24</v>
      </c>
      <c r="C549" t="s">
        <v>12</v>
      </c>
      <c r="D549" t="s">
        <v>23</v>
      </c>
      <c r="E549">
        <f t="shared" ca="1" si="8"/>
        <v>98686602.240221873</v>
      </c>
    </row>
    <row r="550" spans="1:5" hidden="1" x14ac:dyDescent="0.25">
      <c r="A550">
        <v>13</v>
      </c>
      <c r="B550">
        <v>25</v>
      </c>
      <c r="C550" t="s">
        <v>12</v>
      </c>
      <c r="D550" t="s">
        <v>24</v>
      </c>
      <c r="E550">
        <f t="shared" ca="1" si="8"/>
        <v>39974989.140221886</v>
      </c>
    </row>
    <row r="551" spans="1:5" hidden="1" x14ac:dyDescent="0.25">
      <c r="A551">
        <v>13</v>
      </c>
      <c r="B551">
        <v>26</v>
      </c>
      <c r="C551" t="s">
        <v>12</v>
      </c>
      <c r="D551" t="s">
        <v>25</v>
      </c>
      <c r="E551">
        <f t="shared" ca="1" si="8"/>
        <v>348077679.70335555</v>
      </c>
    </row>
    <row r="552" spans="1:5" hidden="1" x14ac:dyDescent="0.25">
      <c r="A552">
        <v>13</v>
      </c>
      <c r="B552">
        <v>27</v>
      </c>
      <c r="C552" t="s">
        <v>12</v>
      </c>
      <c r="D552" t="s">
        <v>145</v>
      </c>
      <c r="E552">
        <f t="shared" ca="1" si="8"/>
        <v>957364760.86335754</v>
      </c>
    </row>
    <row r="553" spans="1:5" hidden="1" x14ac:dyDescent="0.25">
      <c r="A553">
        <v>13</v>
      </c>
      <c r="B553">
        <v>28</v>
      </c>
      <c r="C553" t="s">
        <v>12</v>
      </c>
      <c r="D553" t="s">
        <v>147</v>
      </c>
      <c r="E553">
        <f t="shared" ca="1" si="8"/>
        <v>621631359.29664469</v>
      </c>
    </row>
    <row r="554" spans="1:5" hidden="1" x14ac:dyDescent="0.25">
      <c r="A554">
        <v>13</v>
      </c>
      <c r="B554">
        <v>29</v>
      </c>
      <c r="C554" t="s">
        <v>12</v>
      </c>
      <c r="D554" t="s">
        <v>146</v>
      </c>
      <c r="E554">
        <f t="shared" ca="1" si="8"/>
        <v>71249690.448221877</v>
      </c>
    </row>
    <row r="555" spans="1:5" hidden="1" x14ac:dyDescent="0.25">
      <c r="A555">
        <v>13</v>
      </c>
      <c r="B555">
        <v>30</v>
      </c>
      <c r="C555" t="s">
        <v>12</v>
      </c>
      <c r="D555" t="s">
        <v>30</v>
      </c>
      <c r="E555">
        <f t="shared" ca="1" si="8"/>
        <v>268161369.98290011</v>
      </c>
    </row>
    <row r="556" spans="1:5" hidden="1" x14ac:dyDescent="0.25">
      <c r="A556">
        <v>13</v>
      </c>
      <c r="B556">
        <v>31</v>
      </c>
      <c r="C556" t="s">
        <v>12</v>
      </c>
      <c r="D556" t="s">
        <v>31</v>
      </c>
      <c r="E556">
        <f t="shared" ca="1" si="8"/>
        <v>326373966.14511794</v>
      </c>
    </row>
    <row r="557" spans="1:5" hidden="1" x14ac:dyDescent="0.25">
      <c r="A557">
        <v>13</v>
      </c>
      <c r="B557">
        <v>32</v>
      </c>
      <c r="C557" t="s">
        <v>12</v>
      </c>
      <c r="D557" t="s">
        <v>32</v>
      </c>
      <c r="E557">
        <f t="shared" ca="1" si="8"/>
        <v>405277586.50911796</v>
      </c>
    </row>
    <row r="558" spans="1:5" hidden="1" x14ac:dyDescent="0.25">
      <c r="A558">
        <v>13</v>
      </c>
      <c r="B558">
        <v>33</v>
      </c>
      <c r="C558" t="s">
        <v>12</v>
      </c>
      <c r="D558" t="s">
        <v>33</v>
      </c>
      <c r="E558">
        <f t="shared" ca="1" si="8"/>
        <v>2743546601.4030242</v>
      </c>
    </row>
    <row r="559" spans="1:5" hidden="1" x14ac:dyDescent="0.25">
      <c r="A559">
        <v>13</v>
      </c>
      <c r="B559">
        <v>34</v>
      </c>
      <c r="C559" t="s">
        <v>12</v>
      </c>
      <c r="D559" t="s">
        <v>34</v>
      </c>
      <c r="E559">
        <f t="shared" ca="1" si="8"/>
        <v>2113811992.4750245</v>
      </c>
    </row>
    <row r="560" spans="1:5" hidden="1" x14ac:dyDescent="0.25">
      <c r="A560">
        <v>13</v>
      </c>
      <c r="B560">
        <v>35</v>
      </c>
      <c r="C560" t="s">
        <v>12</v>
      </c>
      <c r="D560" t="s">
        <v>35</v>
      </c>
      <c r="E560">
        <f t="shared" ca="1" si="8"/>
        <v>408543339.22708696</v>
      </c>
    </row>
    <row r="561" spans="1:5" hidden="1" x14ac:dyDescent="0.25">
      <c r="A561">
        <v>13</v>
      </c>
      <c r="B561">
        <v>36</v>
      </c>
      <c r="C561" t="s">
        <v>12</v>
      </c>
      <c r="D561" t="s">
        <v>36</v>
      </c>
      <c r="E561">
        <f t="shared" ca="1" si="8"/>
        <v>131851221.73526356</v>
      </c>
    </row>
    <row r="562" spans="1:5" hidden="1" x14ac:dyDescent="0.25">
      <c r="A562">
        <v>13</v>
      </c>
      <c r="B562">
        <v>37</v>
      </c>
      <c r="C562" t="s">
        <v>12</v>
      </c>
      <c r="D562" t="s">
        <v>37</v>
      </c>
      <c r="E562">
        <f t="shared" ca="1" si="8"/>
        <v>25112733.203740384</v>
      </c>
    </row>
    <row r="563" spans="1:5" hidden="1" x14ac:dyDescent="0.25">
      <c r="A563">
        <v>13</v>
      </c>
      <c r="B563">
        <v>38</v>
      </c>
      <c r="C563" t="s">
        <v>12</v>
      </c>
      <c r="D563" t="s">
        <v>38</v>
      </c>
      <c r="E563">
        <f t="shared" ca="1" si="8"/>
        <v>79192884.055263549</v>
      </c>
    </row>
    <row r="564" spans="1:5" hidden="1" x14ac:dyDescent="0.25">
      <c r="A564">
        <v>13</v>
      </c>
      <c r="B564">
        <v>39</v>
      </c>
      <c r="C564" t="s">
        <v>12</v>
      </c>
      <c r="D564" t="s">
        <v>39</v>
      </c>
      <c r="E564">
        <f t="shared" ca="1" si="8"/>
        <v>78993427.953550577</v>
      </c>
    </row>
    <row r="565" spans="1:5" hidden="1" x14ac:dyDescent="0.25">
      <c r="A565">
        <v>13</v>
      </c>
      <c r="B565">
        <v>40</v>
      </c>
      <c r="C565" t="s">
        <v>12</v>
      </c>
      <c r="D565" t="s">
        <v>40</v>
      </c>
      <c r="E565">
        <f t="shared" ca="1" si="8"/>
        <v>182078950.1637404</v>
      </c>
    </row>
    <row r="566" spans="1:5" hidden="1" x14ac:dyDescent="0.25">
      <c r="A566">
        <v>14</v>
      </c>
      <c r="B566">
        <v>1</v>
      </c>
      <c r="C566" t="s">
        <v>13</v>
      </c>
      <c r="D566" t="s">
        <v>0</v>
      </c>
      <c r="E566">
        <f t="shared" ca="1" si="8"/>
        <v>633888999.49251556</v>
      </c>
    </row>
    <row r="567" spans="1:5" hidden="1" x14ac:dyDescent="0.25">
      <c r="A567">
        <v>14</v>
      </c>
      <c r="B567">
        <v>2</v>
      </c>
      <c r="C567" t="s">
        <v>13</v>
      </c>
      <c r="D567" t="s">
        <v>1</v>
      </c>
      <c r="E567">
        <f t="shared" ca="1" si="8"/>
        <v>510357530.93108702</v>
      </c>
    </row>
    <row r="568" spans="1:5" hidden="1" x14ac:dyDescent="0.25">
      <c r="A568">
        <v>14</v>
      </c>
      <c r="B568">
        <v>3</v>
      </c>
      <c r="C568" t="s">
        <v>13</v>
      </c>
      <c r="D568" t="s">
        <v>2</v>
      </c>
      <c r="E568">
        <f t="shared" ca="1" si="8"/>
        <v>351276787.67795336</v>
      </c>
    </row>
    <row r="569" spans="1:5" hidden="1" x14ac:dyDescent="0.25">
      <c r="A569">
        <v>14</v>
      </c>
      <c r="B569">
        <v>4</v>
      </c>
      <c r="C569" t="s">
        <v>13</v>
      </c>
      <c r="D569" t="s">
        <v>3</v>
      </c>
      <c r="E569">
        <f t="shared" ca="1" si="8"/>
        <v>454535391.84232867</v>
      </c>
    </row>
    <row r="570" spans="1:5" hidden="1" x14ac:dyDescent="0.25">
      <c r="A570">
        <v>14</v>
      </c>
      <c r="B570">
        <v>5</v>
      </c>
      <c r="C570" t="s">
        <v>13</v>
      </c>
      <c r="D570" t="s">
        <v>4</v>
      </c>
      <c r="E570">
        <f t="shared" ca="1" si="8"/>
        <v>412391108.59994876</v>
      </c>
    </row>
    <row r="571" spans="1:5" hidden="1" x14ac:dyDescent="0.25">
      <c r="A571">
        <v>14</v>
      </c>
      <c r="B571">
        <v>6</v>
      </c>
      <c r="C571" t="s">
        <v>13</v>
      </c>
      <c r="D571" t="s">
        <v>5</v>
      </c>
      <c r="E571">
        <f t="shared" ca="1" si="8"/>
        <v>531847882.36280584</v>
      </c>
    </row>
    <row r="572" spans="1:5" hidden="1" x14ac:dyDescent="0.25">
      <c r="A572">
        <v>14</v>
      </c>
      <c r="B572">
        <v>7</v>
      </c>
      <c r="C572" t="s">
        <v>13</v>
      </c>
      <c r="D572" t="s">
        <v>6</v>
      </c>
      <c r="E572">
        <f t="shared" ca="1" si="8"/>
        <v>393158884.82852018</v>
      </c>
    </row>
    <row r="573" spans="1:5" hidden="1" x14ac:dyDescent="0.25">
      <c r="A573">
        <v>14</v>
      </c>
      <c r="B573">
        <v>8</v>
      </c>
      <c r="C573" t="s">
        <v>13</v>
      </c>
      <c r="D573" t="s">
        <v>7</v>
      </c>
      <c r="E573">
        <f t="shared" ca="1" si="8"/>
        <v>371599204.38575721</v>
      </c>
    </row>
    <row r="574" spans="1:5" hidden="1" x14ac:dyDescent="0.25">
      <c r="A574">
        <v>14</v>
      </c>
      <c r="B574">
        <v>9</v>
      </c>
      <c r="C574" t="s">
        <v>13</v>
      </c>
      <c r="D574" t="s">
        <v>148</v>
      </c>
      <c r="E574">
        <f t="shared" ca="1" si="8"/>
        <v>501228373.23108697</v>
      </c>
    </row>
    <row r="575" spans="1:5" hidden="1" x14ac:dyDescent="0.25">
      <c r="A575">
        <v>14</v>
      </c>
      <c r="B575">
        <v>10</v>
      </c>
      <c r="C575" t="s">
        <v>13</v>
      </c>
      <c r="D575" t="s">
        <v>9</v>
      </c>
      <c r="E575">
        <f t="shared" ca="1" si="8"/>
        <v>459726885.65994883</v>
      </c>
    </row>
    <row r="576" spans="1:5" hidden="1" x14ac:dyDescent="0.25">
      <c r="A576">
        <v>14</v>
      </c>
      <c r="B576">
        <v>11</v>
      </c>
      <c r="C576" t="s">
        <v>13</v>
      </c>
      <c r="D576" t="s">
        <v>10</v>
      </c>
      <c r="E576">
        <f t="shared" ca="1" si="8"/>
        <v>264222985.23280406</v>
      </c>
    </row>
    <row r="577" spans="1:5" hidden="1" x14ac:dyDescent="0.25">
      <c r="A577">
        <v>14</v>
      </c>
      <c r="B577">
        <v>12</v>
      </c>
      <c r="C577" t="s">
        <v>13</v>
      </c>
      <c r="D577" t="s">
        <v>11</v>
      </c>
      <c r="E577">
        <f t="shared" ca="1" si="8"/>
        <v>239011811.37530771</v>
      </c>
    </row>
    <row r="578" spans="1:5" hidden="1" x14ac:dyDescent="0.25">
      <c r="A578">
        <v>14</v>
      </c>
      <c r="B578">
        <v>13</v>
      </c>
      <c r="C578" t="s">
        <v>13</v>
      </c>
      <c r="D578" t="s">
        <v>12</v>
      </c>
      <c r="E578">
        <f t="shared" ca="1" si="8"/>
        <v>0</v>
      </c>
    </row>
    <row r="579" spans="1:5" hidden="1" x14ac:dyDescent="0.25">
      <c r="A579">
        <v>14</v>
      </c>
      <c r="B579">
        <v>14</v>
      </c>
      <c r="C579" t="s">
        <v>13</v>
      </c>
      <c r="D579" t="s">
        <v>13</v>
      </c>
      <c r="E579">
        <f t="shared" ca="1" si="8"/>
        <v>0</v>
      </c>
    </row>
    <row r="580" spans="1:5" hidden="1" x14ac:dyDescent="0.25">
      <c r="A580">
        <v>14</v>
      </c>
      <c r="B580">
        <v>15</v>
      </c>
      <c r="C580" t="s">
        <v>13</v>
      </c>
      <c r="D580" t="s">
        <v>14</v>
      </c>
      <c r="E580">
        <f t="shared" ca="1" si="8"/>
        <v>531588098.94735563</v>
      </c>
    </row>
    <row r="581" spans="1:5" hidden="1" x14ac:dyDescent="0.25">
      <c r="A581">
        <v>14</v>
      </c>
      <c r="B581">
        <v>16</v>
      </c>
      <c r="C581" t="s">
        <v>13</v>
      </c>
      <c r="D581" t="s">
        <v>15</v>
      </c>
      <c r="E581">
        <f t="shared" ca="1" si="8"/>
        <v>410593709.11226016</v>
      </c>
    </row>
    <row r="582" spans="1:5" hidden="1" x14ac:dyDescent="0.25">
      <c r="A582">
        <v>14</v>
      </c>
      <c r="B582">
        <v>17</v>
      </c>
      <c r="C582" t="s">
        <v>13</v>
      </c>
      <c r="D582" t="s">
        <v>16</v>
      </c>
      <c r="E582">
        <f t="shared" ca="1" si="8"/>
        <v>864674557.60680699</v>
      </c>
    </row>
    <row r="583" spans="1:5" hidden="1" x14ac:dyDescent="0.25">
      <c r="A583">
        <v>14</v>
      </c>
      <c r="B583">
        <v>18</v>
      </c>
      <c r="C583" t="s">
        <v>13</v>
      </c>
      <c r="D583" t="s">
        <v>17</v>
      </c>
      <c r="E583">
        <f t="shared" ca="1" si="8"/>
        <v>603883701.41226017</v>
      </c>
    </row>
    <row r="584" spans="1:5" hidden="1" x14ac:dyDescent="0.25">
      <c r="A584">
        <v>14</v>
      </c>
      <c r="B584">
        <v>19</v>
      </c>
      <c r="C584" t="s">
        <v>13</v>
      </c>
      <c r="D584" t="s">
        <v>18</v>
      </c>
      <c r="E584">
        <f t="shared" ca="1" si="8"/>
        <v>86615066.062509224</v>
      </c>
    </row>
    <row r="585" spans="1:5" hidden="1" x14ac:dyDescent="0.25">
      <c r="A585">
        <v>14</v>
      </c>
      <c r="B585">
        <v>20</v>
      </c>
      <c r="C585" t="s">
        <v>13</v>
      </c>
      <c r="D585" t="s">
        <v>19</v>
      </c>
      <c r="E585">
        <f t="shared" ca="1" si="8"/>
        <v>587329953.09535754</v>
      </c>
    </row>
    <row r="586" spans="1:5" hidden="1" x14ac:dyDescent="0.25">
      <c r="A586">
        <v>14</v>
      </c>
      <c r="B586">
        <v>21</v>
      </c>
      <c r="C586" t="s">
        <v>13</v>
      </c>
      <c r="D586" t="s">
        <v>20</v>
      </c>
      <c r="E586">
        <f t="shared" ca="1" si="8"/>
        <v>266012999.93841586</v>
      </c>
    </row>
    <row r="587" spans="1:5" hidden="1" x14ac:dyDescent="0.25">
      <c r="A587">
        <v>14</v>
      </c>
      <c r="B587">
        <v>22</v>
      </c>
      <c r="C587" t="s">
        <v>13</v>
      </c>
      <c r="D587" t="s">
        <v>21</v>
      </c>
      <c r="E587">
        <f t="shared" ca="1" si="8"/>
        <v>503407668.50874007</v>
      </c>
    </row>
    <row r="588" spans="1:5" hidden="1" x14ac:dyDescent="0.25">
      <c r="A588">
        <v>14</v>
      </c>
      <c r="B588">
        <v>23</v>
      </c>
      <c r="C588" t="s">
        <v>13</v>
      </c>
      <c r="D588" t="s">
        <v>22</v>
      </c>
      <c r="E588">
        <f t="shared" ca="1" si="8"/>
        <v>147157067.03222188</v>
      </c>
    </row>
    <row r="589" spans="1:5" hidden="1" x14ac:dyDescent="0.25">
      <c r="A589">
        <v>14</v>
      </c>
      <c r="B589">
        <v>24</v>
      </c>
      <c r="C589" t="s">
        <v>13</v>
      </c>
      <c r="D589" t="s">
        <v>23</v>
      </c>
      <c r="E589">
        <f t="shared" ca="1" si="8"/>
        <v>138809477.63222188</v>
      </c>
    </row>
    <row r="590" spans="1:5" hidden="1" x14ac:dyDescent="0.25">
      <c r="A590">
        <v>14</v>
      </c>
      <c r="B590">
        <v>25</v>
      </c>
      <c r="C590" t="s">
        <v>13</v>
      </c>
      <c r="D590" t="s">
        <v>24</v>
      </c>
      <c r="E590">
        <f t="shared" ca="1" si="8"/>
        <v>80097864.532221884</v>
      </c>
    </row>
    <row r="591" spans="1:5" hidden="1" x14ac:dyDescent="0.25">
      <c r="A591">
        <v>14</v>
      </c>
      <c r="B591">
        <v>26</v>
      </c>
      <c r="C591" t="s">
        <v>13</v>
      </c>
      <c r="D591" t="s">
        <v>25</v>
      </c>
      <c r="E591">
        <f t="shared" ca="1" si="8"/>
        <v>388200555.09535563</v>
      </c>
    </row>
    <row r="592" spans="1:5" hidden="1" x14ac:dyDescent="0.25">
      <c r="A592">
        <v>14</v>
      </c>
      <c r="B592">
        <v>27</v>
      </c>
      <c r="C592" t="s">
        <v>13</v>
      </c>
      <c r="D592" t="s">
        <v>145</v>
      </c>
      <c r="E592">
        <f t="shared" ca="1" si="8"/>
        <v>997487636.2553575</v>
      </c>
    </row>
    <row r="593" spans="1:5" hidden="1" x14ac:dyDescent="0.25">
      <c r="A593">
        <v>14</v>
      </c>
      <c r="B593">
        <v>28</v>
      </c>
      <c r="C593" t="s">
        <v>13</v>
      </c>
      <c r="D593" t="s">
        <v>147</v>
      </c>
      <c r="E593">
        <f t="shared" ca="1" si="8"/>
        <v>661754234.68864465</v>
      </c>
    </row>
    <row r="594" spans="1:5" hidden="1" x14ac:dyDescent="0.25">
      <c r="A594">
        <v>14</v>
      </c>
      <c r="B594">
        <v>29</v>
      </c>
      <c r="C594" t="s">
        <v>13</v>
      </c>
      <c r="D594" t="s">
        <v>146</v>
      </c>
      <c r="E594">
        <f t="shared" ca="1" si="8"/>
        <v>111372565.84022188</v>
      </c>
    </row>
    <row r="595" spans="1:5" hidden="1" x14ac:dyDescent="0.25">
      <c r="A595">
        <v>14</v>
      </c>
      <c r="B595">
        <v>30</v>
      </c>
      <c r="C595" t="s">
        <v>13</v>
      </c>
      <c r="D595" t="s">
        <v>30</v>
      </c>
      <c r="E595">
        <f t="shared" ca="1" si="8"/>
        <v>308284245.3749001</v>
      </c>
    </row>
    <row r="596" spans="1:5" hidden="1" x14ac:dyDescent="0.25">
      <c r="A596">
        <v>14</v>
      </c>
      <c r="B596">
        <v>31</v>
      </c>
      <c r="C596" t="s">
        <v>13</v>
      </c>
      <c r="D596" t="s">
        <v>31</v>
      </c>
      <c r="E596">
        <f t="shared" ca="1" si="8"/>
        <v>366496841.53711796</v>
      </c>
    </row>
    <row r="597" spans="1:5" hidden="1" x14ac:dyDescent="0.25">
      <c r="A597">
        <v>14</v>
      </c>
      <c r="B597">
        <v>32</v>
      </c>
      <c r="C597" t="s">
        <v>13</v>
      </c>
      <c r="D597" t="s">
        <v>32</v>
      </c>
      <c r="E597">
        <f t="shared" ca="1" si="8"/>
        <v>445400461.90111798</v>
      </c>
    </row>
    <row r="598" spans="1:5" hidden="1" x14ac:dyDescent="0.25">
      <c r="A598">
        <v>14</v>
      </c>
      <c r="B598">
        <v>33</v>
      </c>
      <c r="C598" t="s">
        <v>13</v>
      </c>
      <c r="D598" t="s">
        <v>33</v>
      </c>
      <c r="E598">
        <f t="shared" ca="1" si="8"/>
        <v>2783669476.7950244</v>
      </c>
    </row>
    <row r="599" spans="1:5" hidden="1" x14ac:dyDescent="0.25">
      <c r="A599">
        <v>14</v>
      </c>
      <c r="B599">
        <v>34</v>
      </c>
      <c r="C599" t="s">
        <v>13</v>
      </c>
      <c r="D599" t="s">
        <v>34</v>
      </c>
      <c r="E599">
        <f t="shared" ca="1" si="8"/>
        <v>2153934867.8670244</v>
      </c>
    </row>
    <row r="600" spans="1:5" hidden="1" x14ac:dyDescent="0.25">
      <c r="A600">
        <v>14</v>
      </c>
      <c r="B600">
        <v>35</v>
      </c>
      <c r="C600" t="s">
        <v>13</v>
      </c>
      <c r="D600" t="s">
        <v>35</v>
      </c>
      <c r="E600">
        <f t="shared" ca="1" si="8"/>
        <v>448666214.61908698</v>
      </c>
    </row>
    <row r="601" spans="1:5" hidden="1" x14ac:dyDescent="0.25">
      <c r="A601">
        <v>14</v>
      </c>
      <c r="B601">
        <v>36</v>
      </c>
      <c r="C601" t="s">
        <v>13</v>
      </c>
      <c r="D601" t="s">
        <v>36</v>
      </c>
      <c r="E601">
        <f t="shared" ca="1" si="8"/>
        <v>171974097.12726355</v>
      </c>
    </row>
    <row r="602" spans="1:5" hidden="1" x14ac:dyDescent="0.25">
      <c r="A602">
        <v>14</v>
      </c>
      <c r="B602">
        <v>37</v>
      </c>
      <c r="C602" t="s">
        <v>13</v>
      </c>
      <c r="D602" t="s">
        <v>37</v>
      </c>
      <c r="E602">
        <f t="shared" ca="1" si="8"/>
        <v>65235608.595740393</v>
      </c>
    </row>
    <row r="603" spans="1:5" hidden="1" x14ac:dyDescent="0.25">
      <c r="A603">
        <v>14</v>
      </c>
      <c r="B603">
        <v>38</v>
      </c>
      <c r="C603" t="s">
        <v>13</v>
      </c>
      <c r="D603" t="s">
        <v>38</v>
      </c>
      <c r="E603">
        <f t="shared" ca="1" si="8"/>
        <v>119315759.44726355</v>
      </c>
    </row>
    <row r="604" spans="1:5" hidden="1" x14ac:dyDescent="0.25">
      <c r="A604">
        <v>14</v>
      </c>
      <c r="B604">
        <v>39</v>
      </c>
      <c r="C604" t="s">
        <v>13</v>
      </c>
      <c r="D604" t="s">
        <v>39</v>
      </c>
      <c r="E604">
        <f t="shared" ca="1" si="8"/>
        <v>119116303.3455506</v>
      </c>
    </row>
    <row r="605" spans="1:5" hidden="1" x14ac:dyDescent="0.25">
      <c r="A605">
        <v>14</v>
      </c>
      <c r="B605">
        <v>40</v>
      </c>
      <c r="C605" t="s">
        <v>13</v>
      </c>
      <c r="D605" t="s">
        <v>40</v>
      </c>
      <c r="E605">
        <f t="shared" ca="1" si="8"/>
        <v>222201825.55574042</v>
      </c>
    </row>
    <row r="606" spans="1:5" hidden="1" x14ac:dyDescent="0.25">
      <c r="A606">
        <v>15</v>
      </c>
      <c r="B606">
        <v>1</v>
      </c>
      <c r="C606" t="s">
        <v>14</v>
      </c>
      <c r="D606" t="s">
        <v>0</v>
      </c>
      <c r="E606">
        <f t="shared" ca="1" si="8"/>
        <v>662783378.70072949</v>
      </c>
    </row>
    <row r="607" spans="1:5" hidden="1" x14ac:dyDescent="0.25">
      <c r="A607">
        <v>15</v>
      </c>
      <c r="B607">
        <v>2</v>
      </c>
      <c r="C607" t="s">
        <v>14</v>
      </c>
      <c r="D607" t="s">
        <v>1</v>
      </c>
      <c r="E607">
        <f t="shared" ca="1" si="8"/>
        <v>539251910.13930094</v>
      </c>
    </row>
    <row r="608" spans="1:5" hidden="1" x14ac:dyDescent="0.25">
      <c r="A608">
        <v>15</v>
      </c>
      <c r="B608">
        <v>3</v>
      </c>
      <c r="C608" t="s">
        <v>14</v>
      </c>
      <c r="D608" t="s">
        <v>2</v>
      </c>
      <c r="E608">
        <f t="shared" ca="1" si="8"/>
        <v>885700288.83611095</v>
      </c>
    </row>
    <row r="609" spans="1:5" hidden="1" x14ac:dyDescent="0.25">
      <c r="A609">
        <v>15</v>
      </c>
      <c r="B609">
        <v>4</v>
      </c>
      <c r="C609" t="s">
        <v>14</v>
      </c>
      <c r="D609" t="s">
        <v>3</v>
      </c>
      <c r="E609">
        <f t="shared" ref="E609:E671" ca="1" si="9">OFFSET($B$2,A609,B609)</f>
        <v>784706269.96030819</v>
      </c>
    </row>
    <row r="610" spans="1:5" hidden="1" x14ac:dyDescent="0.25">
      <c r="A610">
        <v>15</v>
      </c>
      <c r="B610">
        <v>5</v>
      </c>
      <c r="C610" t="s">
        <v>14</v>
      </c>
      <c r="D610" t="s">
        <v>4</v>
      </c>
      <c r="E610">
        <f t="shared" ca="1" si="9"/>
        <v>614654764.10761237</v>
      </c>
    </row>
    <row r="611" spans="1:5" hidden="1" x14ac:dyDescent="0.25">
      <c r="A611">
        <v>15</v>
      </c>
      <c r="B611">
        <v>6</v>
      </c>
      <c r="C611" t="s">
        <v>14</v>
      </c>
      <c r="D611" t="s">
        <v>5</v>
      </c>
      <c r="E611">
        <f t="shared" ca="1" si="9"/>
        <v>734111537.87046957</v>
      </c>
    </row>
    <row r="612" spans="1:5" hidden="1" x14ac:dyDescent="0.25">
      <c r="A612">
        <v>15</v>
      </c>
      <c r="B612">
        <v>7</v>
      </c>
      <c r="C612" t="s">
        <v>14</v>
      </c>
      <c r="D612" t="s">
        <v>6</v>
      </c>
      <c r="E612">
        <f t="shared" ca="1" si="9"/>
        <v>595422540.33618379</v>
      </c>
    </row>
    <row r="613" spans="1:5" hidden="1" x14ac:dyDescent="0.25">
      <c r="A613">
        <v>15</v>
      </c>
      <c r="B613">
        <v>8</v>
      </c>
      <c r="C613" t="s">
        <v>14</v>
      </c>
      <c r="D613" t="s">
        <v>7</v>
      </c>
      <c r="E613">
        <f t="shared" ca="1" si="9"/>
        <v>701770082.50373673</v>
      </c>
    </row>
    <row r="614" spans="1:5" hidden="1" x14ac:dyDescent="0.25">
      <c r="A614">
        <v>15</v>
      </c>
      <c r="B614">
        <v>9</v>
      </c>
      <c r="C614" t="s">
        <v>14</v>
      </c>
      <c r="D614" t="s">
        <v>148</v>
      </c>
      <c r="E614">
        <f t="shared" ca="1" si="9"/>
        <v>530122752.43930089</v>
      </c>
    </row>
    <row r="615" spans="1:5" hidden="1" x14ac:dyDescent="0.25">
      <c r="A615">
        <v>15</v>
      </c>
      <c r="B615">
        <v>10</v>
      </c>
      <c r="C615" t="s">
        <v>14</v>
      </c>
      <c r="D615" t="s">
        <v>9</v>
      </c>
      <c r="E615">
        <f t="shared" ca="1" si="9"/>
        <v>661990541.16761243</v>
      </c>
    </row>
    <row r="616" spans="1:5" hidden="1" x14ac:dyDescent="0.25">
      <c r="A616">
        <v>15</v>
      </c>
      <c r="B616">
        <v>11</v>
      </c>
      <c r="C616" t="s">
        <v>14</v>
      </c>
      <c r="D616" t="s">
        <v>10</v>
      </c>
      <c r="E616">
        <f t="shared" ca="1" si="9"/>
        <v>2105192143.4396071</v>
      </c>
    </row>
    <row r="617" spans="1:5" hidden="1" x14ac:dyDescent="0.25">
      <c r="A617">
        <v>15</v>
      </c>
      <c r="B617">
        <v>12</v>
      </c>
      <c r="C617" t="s">
        <v>14</v>
      </c>
      <c r="D617" t="s">
        <v>11</v>
      </c>
      <c r="E617">
        <f t="shared" ca="1" si="9"/>
        <v>608760395.84968972</v>
      </c>
    </row>
    <row r="618" spans="1:5" hidden="1" x14ac:dyDescent="0.25">
      <c r="A618">
        <v>15</v>
      </c>
      <c r="B618">
        <v>13</v>
      </c>
      <c r="C618" t="s">
        <v>14</v>
      </c>
      <c r="D618" t="s">
        <v>12</v>
      </c>
      <c r="E618">
        <f t="shared" ca="1" si="9"/>
        <v>491465223.55535555</v>
      </c>
    </row>
    <row r="619" spans="1:5" hidden="1" x14ac:dyDescent="0.25">
      <c r="A619">
        <v>15</v>
      </c>
      <c r="B619">
        <v>14</v>
      </c>
      <c r="C619" t="s">
        <v>14</v>
      </c>
      <c r="D619" t="s">
        <v>13</v>
      </c>
      <c r="E619">
        <f t="shared" ca="1" si="9"/>
        <v>531588098.94735563</v>
      </c>
    </row>
    <row r="620" spans="1:5" hidden="1" x14ac:dyDescent="0.25">
      <c r="A620">
        <v>15</v>
      </c>
      <c r="B620">
        <v>15</v>
      </c>
      <c r="C620" t="s">
        <v>14</v>
      </c>
      <c r="D620" t="s">
        <v>14</v>
      </c>
      <c r="E620">
        <f t="shared" ca="1" si="9"/>
        <v>0</v>
      </c>
    </row>
    <row r="621" spans="1:5" hidden="1" x14ac:dyDescent="0.25">
      <c r="A621">
        <v>15</v>
      </c>
      <c r="B621">
        <v>16</v>
      </c>
      <c r="C621" t="s">
        <v>14</v>
      </c>
      <c r="D621" t="s">
        <v>15</v>
      </c>
      <c r="E621">
        <f t="shared" ca="1" si="9"/>
        <v>213878119.13999999</v>
      </c>
    </row>
    <row r="622" spans="1:5" hidden="1" x14ac:dyDescent="0.25">
      <c r="A622">
        <v>15</v>
      </c>
      <c r="B622">
        <v>17</v>
      </c>
      <c r="C622" t="s">
        <v>14</v>
      </c>
      <c r="D622" t="s">
        <v>16</v>
      </c>
      <c r="E622">
        <f t="shared" ca="1" si="9"/>
        <v>800108644.02667975</v>
      </c>
    </row>
    <row r="623" spans="1:5" hidden="1" x14ac:dyDescent="0.25">
      <c r="A623">
        <v>15</v>
      </c>
      <c r="B623">
        <v>18</v>
      </c>
      <c r="C623" t="s">
        <v>14</v>
      </c>
      <c r="D623" t="s">
        <v>17</v>
      </c>
      <c r="E623">
        <f t="shared" ca="1" si="9"/>
        <v>407168111.44</v>
      </c>
    </row>
    <row r="624" spans="1:5" hidden="1" x14ac:dyDescent="0.25">
      <c r="A624">
        <v>15</v>
      </c>
      <c r="B624">
        <v>19</v>
      </c>
      <c r="C624" t="s">
        <v>14</v>
      </c>
      <c r="D624" t="s">
        <v>18</v>
      </c>
      <c r="E624">
        <f t="shared" ca="1" si="9"/>
        <v>388398317.97092253</v>
      </c>
    </row>
    <row r="625" spans="1:5" hidden="1" x14ac:dyDescent="0.25">
      <c r="A625">
        <v>15</v>
      </c>
      <c r="B625">
        <v>20</v>
      </c>
      <c r="C625" t="s">
        <v>14</v>
      </c>
      <c r="D625" t="s">
        <v>19</v>
      </c>
      <c r="E625">
        <f t="shared" ca="1" si="9"/>
        <v>101836461703.58255</v>
      </c>
    </row>
    <row r="626" spans="1:5" hidden="1" x14ac:dyDescent="0.25">
      <c r="A626">
        <v>15</v>
      </c>
      <c r="B626">
        <v>21</v>
      </c>
      <c r="C626" t="s">
        <v>14</v>
      </c>
      <c r="D626" t="s">
        <v>20</v>
      </c>
      <c r="E626">
        <f t="shared" ca="1" si="9"/>
        <v>482254155.26582718</v>
      </c>
    </row>
    <row r="627" spans="1:5" hidden="1" x14ac:dyDescent="0.25">
      <c r="A627">
        <v>15</v>
      </c>
      <c r="B627">
        <v>22</v>
      </c>
      <c r="C627" t="s">
        <v>14</v>
      </c>
      <c r="D627" t="s">
        <v>21</v>
      </c>
      <c r="E627">
        <f t="shared" ca="1" si="9"/>
        <v>611223995.95107543</v>
      </c>
    </row>
    <row r="628" spans="1:5" hidden="1" x14ac:dyDescent="0.25">
      <c r="A628">
        <v>15</v>
      </c>
      <c r="B628">
        <v>23</v>
      </c>
      <c r="C628" t="s">
        <v>14</v>
      </c>
      <c r="D628" t="s">
        <v>22</v>
      </c>
      <c r="E628">
        <f t="shared" ca="1" si="9"/>
        <v>479780110.52647257</v>
      </c>
    </row>
    <row r="629" spans="1:5" hidden="1" x14ac:dyDescent="0.25">
      <c r="A629">
        <v>15</v>
      </c>
      <c r="B629">
        <v>24</v>
      </c>
      <c r="C629" t="s">
        <v>14</v>
      </c>
      <c r="D629" t="s">
        <v>23</v>
      </c>
      <c r="E629">
        <f t="shared" ca="1" si="9"/>
        <v>471432521.12647259</v>
      </c>
    </row>
    <row r="630" spans="1:5" hidden="1" x14ac:dyDescent="0.25">
      <c r="A630">
        <v>15</v>
      </c>
      <c r="B630">
        <v>25</v>
      </c>
      <c r="C630" t="s">
        <v>14</v>
      </c>
      <c r="D630" t="s">
        <v>24</v>
      </c>
      <c r="E630">
        <f t="shared" ca="1" si="9"/>
        <v>412720908.02647257</v>
      </c>
    </row>
    <row r="631" spans="1:5" hidden="1" x14ac:dyDescent="0.25">
      <c r="A631">
        <v>15</v>
      </c>
      <c r="B631">
        <v>26</v>
      </c>
      <c r="C631" t="s">
        <v>14</v>
      </c>
      <c r="D631" t="s">
        <v>25</v>
      </c>
      <c r="E631">
        <f t="shared" ca="1" si="9"/>
        <v>191159423.56</v>
      </c>
    </row>
    <row r="632" spans="1:5" hidden="1" x14ac:dyDescent="0.25">
      <c r="A632">
        <v>15</v>
      </c>
      <c r="B632">
        <v>27</v>
      </c>
      <c r="C632" t="s">
        <v>14</v>
      </c>
      <c r="D632" t="s">
        <v>145</v>
      </c>
      <c r="E632">
        <f t="shared" ca="1" si="9"/>
        <v>102246619386.74255</v>
      </c>
    </row>
    <row r="633" spans="1:5" hidden="1" x14ac:dyDescent="0.25">
      <c r="A633">
        <v>15</v>
      </c>
      <c r="B633">
        <v>28</v>
      </c>
      <c r="C633" t="s">
        <v>14</v>
      </c>
      <c r="D633" t="s">
        <v>147</v>
      </c>
      <c r="E633">
        <f t="shared" ca="1" si="9"/>
        <v>791178725.95107543</v>
      </c>
    </row>
    <row r="634" spans="1:5" hidden="1" x14ac:dyDescent="0.25">
      <c r="A634">
        <v>15</v>
      </c>
      <c r="B634">
        <v>29</v>
      </c>
      <c r="C634" t="s">
        <v>14</v>
      </c>
      <c r="D634" t="s">
        <v>146</v>
      </c>
      <c r="E634">
        <f t="shared" ca="1" si="9"/>
        <v>443995609.33447254</v>
      </c>
    </row>
    <row r="635" spans="1:5" hidden="1" x14ac:dyDescent="0.25">
      <c r="A635">
        <v>15</v>
      </c>
      <c r="B635">
        <v>30</v>
      </c>
      <c r="C635" t="s">
        <v>14</v>
      </c>
      <c r="D635" t="s">
        <v>30</v>
      </c>
      <c r="E635">
        <f t="shared" ca="1" si="9"/>
        <v>598053794.73687959</v>
      </c>
    </row>
    <row r="636" spans="1:5" hidden="1" x14ac:dyDescent="0.25">
      <c r="A636">
        <v>15</v>
      </c>
      <c r="B636">
        <v>31</v>
      </c>
      <c r="C636" t="s">
        <v>14</v>
      </c>
      <c r="D636" t="s">
        <v>31</v>
      </c>
      <c r="E636">
        <f t="shared" ca="1" si="9"/>
        <v>577417693.85236645</v>
      </c>
    </row>
    <row r="637" spans="1:5" hidden="1" x14ac:dyDescent="0.25">
      <c r="A637">
        <v>15</v>
      </c>
      <c r="B637">
        <v>32</v>
      </c>
      <c r="C637" t="s">
        <v>14</v>
      </c>
      <c r="D637" t="s">
        <v>32</v>
      </c>
      <c r="E637">
        <f t="shared" ca="1" si="9"/>
        <v>656321314.21636653</v>
      </c>
    </row>
    <row r="638" spans="1:5" hidden="1" x14ac:dyDescent="0.25">
      <c r="A638">
        <v>15</v>
      </c>
      <c r="B638">
        <v>33</v>
      </c>
      <c r="C638" t="s">
        <v>14</v>
      </c>
      <c r="D638" t="s">
        <v>33</v>
      </c>
      <c r="E638">
        <f t="shared" ca="1" si="9"/>
        <v>3047261321.434907</v>
      </c>
    </row>
    <row r="639" spans="1:5" hidden="1" x14ac:dyDescent="0.25">
      <c r="A639">
        <v>15</v>
      </c>
      <c r="B639">
        <v>34</v>
      </c>
      <c r="C639" t="s">
        <v>14</v>
      </c>
      <c r="D639" t="s">
        <v>34</v>
      </c>
      <c r="E639">
        <f t="shared" ca="1" si="9"/>
        <v>2417526712.506907</v>
      </c>
    </row>
    <row r="640" spans="1:5" hidden="1" x14ac:dyDescent="0.25">
      <c r="A640">
        <v>15</v>
      </c>
      <c r="B640">
        <v>35</v>
      </c>
      <c r="C640" t="s">
        <v>14</v>
      </c>
      <c r="D640" t="s">
        <v>35</v>
      </c>
      <c r="E640">
        <f t="shared" ca="1" si="9"/>
        <v>437159265.07130092</v>
      </c>
    </row>
    <row r="641" spans="1:5" hidden="1" x14ac:dyDescent="0.25">
      <c r="A641">
        <v>15</v>
      </c>
      <c r="B641">
        <v>36</v>
      </c>
      <c r="C641" t="s">
        <v>14</v>
      </c>
      <c r="D641" t="s">
        <v>36</v>
      </c>
      <c r="E641">
        <f t="shared" ca="1" si="9"/>
        <v>390986963.14406753</v>
      </c>
    </row>
    <row r="642" spans="1:5" hidden="1" x14ac:dyDescent="0.25">
      <c r="A642">
        <v>15</v>
      </c>
      <c r="B642">
        <v>37</v>
      </c>
      <c r="C642" t="s">
        <v>14</v>
      </c>
      <c r="D642" t="s">
        <v>37</v>
      </c>
      <c r="E642">
        <f t="shared" ca="1" si="9"/>
        <v>289141805.37415379</v>
      </c>
    </row>
    <row r="643" spans="1:5" hidden="1" x14ac:dyDescent="0.25">
      <c r="A643">
        <v>15</v>
      </c>
      <c r="B643">
        <v>38</v>
      </c>
      <c r="C643" t="s">
        <v>14</v>
      </c>
      <c r="D643" t="s">
        <v>38</v>
      </c>
      <c r="E643">
        <f t="shared" ca="1" si="9"/>
        <v>338328625.46406752</v>
      </c>
    </row>
    <row r="644" spans="1:5" hidden="1" x14ac:dyDescent="0.25">
      <c r="A644">
        <v>15</v>
      </c>
      <c r="B644">
        <v>39</v>
      </c>
      <c r="C644" t="s">
        <v>14</v>
      </c>
      <c r="D644" t="s">
        <v>39</v>
      </c>
      <c r="E644">
        <f t="shared" ca="1" si="9"/>
        <v>389612202.94063109</v>
      </c>
    </row>
    <row r="645" spans="1:5" hidden="1" x14ac:dyDescent="0.25">
      <c r="A645">
        <v>15</v>
      </c>
      <c r="B645">
        <v>40</v>
      </c>
      <c r="C645" t="s">
        <v>14</v>
      </c>
      <c r="D645" t="s">
        <v>40</v>
      </c>
      <c r="E645">
        <f t="shared" ca="1" si="9"/>
        <v>446108022.33415377</v>
      </c>
    </row>
    <row r="646" spans="1:5" hidden="1" x14ac:dyDescent="0.25">
      <c r="A646">
        <v>16</v>
      </c>
      <c r="B646">
        <v>1</v>
      </c>
      <c r="C646" t="s">
        <v>15</v>
      </c>
      <c r="D646" t="s">
        <v>0</v>
      </c>
      <c r="E646">
        <f t="shared" ca="1" si="9"/>
        <v>541058967.1773386</v>
      </c>
    </row>
    <row r="647" spans="1:5" hidden="1" x14ac:dyDescent="0.25">
      <c r="A647">
        <v>16</v>
      </c>
      <c r="B647">
        <v>2</v>
      </c>
      <c r="C647" t="s">
        <v>15</v>
      </c>
      <c r="D647" t="s">
        <v>1</v>
      </c>
      <c r="E647">
        <f t="shared" ca="1" si="9"/>
        <v>417527498.61591011</v>
      </c>
    </row>
    <row r="648" spans="1:5" hidden="1" x14ac:dyDescent="0.25">
      <c r="A648">
        <v>16</v>
      </c>
      <c r="B648">
        <v>3</v>
      </c>
      <c r="C648" t="s">
        <v>15</v>
      </c>
      <c r="D648" t="s">
        <v>2</v>
      </c>
      <c r="E648">
        <f t="shared" ca="1" si="9"/>
        <v>611777640.32015967</v>
      </c>
    </row>
    <row r="649" spans="1:5" hidden="1" x14ac:dyDescent="0.25">
      <c r="A649">
        <v>16</v>
      </c>
      <c r="B649">
        <v>4</v>
      </c>
      <c r="C649" t="s">
        <v>15</v>
      </c>
      <c r="D649" t="s">
        <v>3</v>
      </c>
      <c r="E649">
        <f t="shared" ca="1" si="9"/>
        <v>627716642.69897509</v>
      </c>
    </row>
    <row r="650" spans="1:5" hidden="1" x14ac:dyDescent="0.25">
      <c r="A650">
        <v>16</v>
      </c>
      <c r="B650">
        <v>5</v>
      </c>
      <c r="C650" t="s">
        <v>15</v>
      </c>
      <c r="D650" t="s">
        <v>4</v>
      </c>
      <c r="E650">
        <f t="shared" ca="1" si="9"/>
        <v>525781329.67286134</v>
      </c>
    </row>
    <row r="651" spans="1:5" hidden="1" x14ac:dyDescent="0.25">
      <c r="A651">
        <v>16</v>
      </c>
      <c r="B651">
        <v>6</v>
      </c>
      <c r="C651" t="s">
        <v>15</v>
      </c>
      <c r="D651" t="s">
        <v>5</v>
      </c>
      <c r="E651">
        <f t="shared" ca="1" si="9"/>
        <v>645238103.43571842</v>
      </c>
    </row>
    <row r="652" spans="1:5" hidden="1" x14ac:dyDescent="0.25">
      <c r="A652">
        <v>16</v>
      </c>
      <c r="B652">
        <v>7</v>
      </c>
      <c r="C652" t="s">
        <v>15</v>
      </c>
      <c r="D652" t="s">
        <v>6</v>
      </c>
      <c r="E652">
        <f t="shared" ca="1" si="9"/>
        <v>506549105.90143275</v>
      </c>
    </row>
    <row r="653" spans="1:5" hidden="1" x14ac:dyDescent="0.25">
      <c r="A653">
        <v>16</v>
      </c>
      <c r="B653">
        <v>8</v>
      </c>
      <c r="C653" t="s">
        <v>15</v>
      </c>
      <c r="D653" t="s">
        <v>7</v>
      </c>
      <c r="E653">
        <f t="shared" ca="1" si="9"/>
        <v>544780455.24240375</v>
      </c>
    </row>
    <row r="654" spans="1:5" hidden="1" x14ac:dyDescent="0.25">
      <c r="A654">
        <v>16</v>
      </c>
      <c r="B654">
        <v>9</v>
      </c>
      <c r="C654" t="s">
        <v>15</v>
      </c>
      <c r="D654" t="s">
        <v>148</v>
      </c>
      <c r="E654">
        <f t="shared" ca="1" si="9"/>
        <v>408398340.91591007</v>
      </c>
    </row>
    <row r="655" spans="1:5" hidden="1" x14ac:dyDescent="0.25">
      <c r="A655">
        <v>16</v>
      </c>
      <c r="B655">
        <v>10</v>
      </c>
      <c r="C655" t="s">
        <v>15</v>
      </c>
      <c r="D655" t="s">
        <v>9</v>
      </c>
      <c r="E655">
        <f t="shared" ca="1" si="9"/>
        <v>573117106.73286128</v>
      </c>
    </row>
    <row r="656" spans="1:5" hidden="1" x14ac:dyDescent="0.25">
      <c r="A656">
        <v>16</v>
      </c>
      <c r="B656">
        <v>11</v>
      </c>
      <c r="C656" t="s">
        <v>15</v>
      </c>
      <c r="D656" t="s">
        <v>10</v>
      </c>
      <c r="E656">
        <f t="shared" ca="1" si="9"/>
        <v>419537536.66761851</v>
      </c>
    </row>
    <row r="657" spans="1:5" hidden="1" x14ac:dyDescent="0.25">
      <c r="A657">
        <v>16</v>
      </c>
      <c r="B657">
        <v>12</v>
      </c>
      <c r="C657" t="s">
        <v>15</v>
      </c>
      <c r="D657" t="s">
        <v>11</v>
      </c>
      <c r="E657">
        <f t="shared" ca="1" si="9"/>
        <v>507870763.09514827</v>
      </c>
    </row>
    <row r="658" spans="1:5" hidden="1" x14ac:dyDescent="0.25">
      <c r="A658">
        <v>16</v>
      </c>
      <c r="B658">
        <v>13</v>
      </c>
      <c r="C658" t="s">
        <v>15</v>
      </c>
      <c r="D658" t="s">
        <v>12</v>
      </c>
      <c r="E658">
        <f t="shared" ca="1" si="9"/>
        <v>370470833.72026014</v>
      </c>
    </row>
    <row r="659" spans="1:5" hidden="1" x14ac:dyDescent="0.25">
      <c r="A659">
        <v>16</v>
      </c>
      <c r="B659">
        <v>14</v>
      </c>
      <c r="C659" t="s">
        <v>15</v>
      </c>
      <c r="D659" t="s">
        <v>13</v>
      </c>
      <c r="E659">
        <f t="shared" ca="1" si="9"/>
        <v>410593709.11226016</v>
      </c>
    </row>
    <row r="660" spans="1:5" hidden="1" x14ac:dyDescent="0.25">
      <c r="A660">
        <v>16</v>
      </c>
      <c r="B660">
        <v>15</v>
      </c>
      <c r="C660" t="s">
        <v>15</v>
      </c>
      <c r="D660" t="s">
        <v>14</v>
      </c>
      <c r="E660">
        <f t="shared" ca="1" si="9"/>
        <v>213878119.13999999</v>
      </c>
    </row>
    <row r="661" spans="1:5" hidden="1" x14ac:dyDescent="0.25">
      <c r="A661">
        <v>16</v>
      </c>
      <c r="B661">
        <v>16</v>
      </c>
      <c r="C661" t="s">
        <v>15</v>
      </c>
      <c r="D661" t="s">
        <v>15</v>
      </c>
      <c r="E661">
        <f t="shared" ca="1" si="9"/>
        <v>0</v>
      </c>
    </row>
    <row r="662" spans="1:5" hidden="1" x14ac:dyDescent="0.25">
      <c r="A662">
        <v>16</v>
      </c>
      <c r="B662">
        <v>17</v>
      </c>
      <c r="C662" t="s">
        <v>15</v>
      </c>
      <c r="D662" t="s">
        <v>16</v>
      </c>
      <c r="E662">
        <f t="shared" ca="1" si="9"/>
        <v>1015656745.6067374</v>
      </c>
    </row>
    <row r="663" spans="1:5" hidden="1" x14ac:dyDescent="0.25">
      <c r="A663">
        <v>16</v>
      </c>
      <c r="B663">
        <v>18</v>
      </c>
      <c r="C663" t="s">
        <v>15</v>
      </c>
      <c r="D663" t="s">
        <v>17</v>
      </c>
      <c r="E663">
        <f t="shared" ca="1" si="9"/>
        <v>377784566.45200002</v>
      </c>
    </row>
    <row r="664" spans="1:5" hidden="1" x14ac:dyDescent="0.25">
      <c r="A664">
        <v>16</v>
      </c>
      <c r="B664">
        <v>19</v>
      </c>
      <c r="C664" t="s">
        <v>15</v>
      </c>
      <c r="D664" t="s">
        <v>18</v>
      </c>
      <c r="E664">
        <f t="shared" ca="1" si="9"/>
        <v>408878488.12619632</v>
      </c>
    </row>
    <row r="665" spans="1:5" hidden="1" x14ac:dyDescent="0.25">
      <c r="A665">
        <v>16</v>
      </c>
      <c r="B665">
        <v>20</v>
      </c>
      <c r="C665" t="s">
        <v>15</v>
      </c>
      <c r="D665" t="s">
        <v>19</v>
      </c>
      <c r="E665">
        <f t="shared" ca="1" si="9"/>
        <v>1126335073.1352983</v>
      </c>
    </row>
    <row r="666" spans="1:5" hidden="1" x14ac:dyDescent="0.25">
      <c r="A666">
        <v>16</v>
      </c>
      <c r="B666">
        <v>21</v>
      </c>
      <c r="C666" t="s">
        <v>15</v>
      </c>
      <c r="D666" t="s">
        <v>20</v>
      </c>
      <c r="E666">
        <f t="shared" ca="1" si="9"/>
        <v>428605444.51321155</v>
      </c>
    </row>
    <row r="667" spans="1:5" hidden="1" x14ac:dyDescent="0.25">
      <c r="A667">
        <v>16</v>
      </c>
      <c r="B667">
        <v>22</v>
      </c>
      <c r="C667" t="s">
        <v>15</v>
      </c>
      <c r="D667" t="s">
        <v>21</v>
      </c>
      <c r="E667">
        <f t="shared" ca="1" si="9"/>
        <v>906760104.54598665</v>
      </c>
    </row>
    <row r="668" spans="1:5" hidden="1" x14ac:dyDescent="0.25">
      <c r="A668">
        <v>16</v>
      </c>
      <c r="B668">
        <v>23</v>
      </c>
      <c r="C668" t="s">
        <v>15</v>
      </c>
      <c r="D668" t="s">
        <v>22</v>
      </c>
      <c r="E668">
        <f t="shared" ca="1" si="9"/>
        <v>293432094.50628465</v>
      </c>
    </row>
    <row r="669" spans="1:5" hidden="1" x14ac:dyDescent="0.25">
      <c r="A669">
        <v>16</v>
      </c>
      <c r="B669">
        <v>24</v>
      </c>
      <c r="C669" t="s">
        <v>15</v>
      </c>
      <c r="D669" t="s">
        <v>23</v>
      </c>
      <c r="E669">
        <f t="shared" ca="1" si="9"/>
        <v>39726310802.614586</v>
      </c>
    </row>
    <row r="670" spans="1:5" hidden="1" x14ac:dyDescent="0.25">
      <c r="A670">
        <v>16</v>
      </c>
      <c r="B670">
        <v>25</v>
      </c>
      <c r="C670" t="s">
        <v>15</v>
      </c>
      <c r="D670" t="s">
        <v>24</v>
      </c>
      <c r="E670">
        <f t="shared" ca="1" si="9"/>
        <v>39667599189.514587</v>
      </c>
    </row>
    <row r="671" spans="1:5" hidden="1" x14ac:dyDescent="0.25">
      <c r="A671">
        <v>16</v>
      </c>
      <c r="B671">
        <v>26</v>
      </c>
      <c r="C671" t="s">
        <v>15</v>
      </c>
      <c r="D671" t="s">
        <v>25</v>
      </c>
      <c r="E671">
        <f t="shared" ca="1" si="9"/>
        <v>161775878.57199997</v>
      </c>
    </row>
    <row r="672" spans="1:5" hidden="1" x14ac:dyDescent="0.25">
      <c r="A672">
        <v>16</v>
      </c>
      <c r="B672">
        <v>27</v>
      </c>
      <c r="C672" t="s">
        <v>15</v>
      </c>
      <c r="D672" t="s">
        <v>145</v>
      </c>
      <c r="E672">
        <f t="shared" ref="E672:E733" ca="1" si="10">OFFSET($B$2,A672,B672)</f>
        <v>1536623247.7158813</v>
      </c>
    </row>
    <row r="673" spans="1:5" hidden="1" x14ac:dyDescent="0.25">
      <c r="A673">
        <v>16</v>
      </c>
      <c r="B673">
        <v>28</v>
      </c>
      <c r="C673" t="s">
        <v>15</v>
      </c>
      <c r="D673" t="s">
        <v>147</v>
      </c>
      <c r="E673">
        <f t="shared" ca="1" si="10"/>
        <v>1086829363.9781609</v>
      </c>
    </row>
    <row r="674" spans="1:5" hidden="1" x14ac:dyDescent="0.25">
      <c r="A674">
        <v>16</v>
      </c>
      <c r="B674">
        <v>29</v>
      </c>
      <c r="C674" t="s">
        <v>15</v>
      </c>
      <c r="D674" t="s">
        <v>146</v>
      </c>
      <c r="E674">
        <f t="shared" ca="1" si="10"/>
        <v>39698873890.822586</v>
      </c>
    </row>
    <row r="675" spans="1:5" hidden="1" x14ac:dyDescent="0.25">
      <c r="A675">
        <v>16</v>
      </c>
      <c r="B675">
        <v>30</v>
      </c>
      <c r="C675" t="s">
        <v>15</v>
      </c>
      <c r="D675" t="s">
        <v>30</v>
      </c>
      <c r="E675">
        <f t="shared" ca="1" si="10"/>
        <v>532349470.75954652</v>
      </c>
    </row>
    <row r="676" spans="1:5" hidden="1" x14ac:dyDescent="0.25">
      <c r="A676">
        <v>16</v>
      </c>
      <c r="B676">
        <v>31</v>
      </c>
      <c r="C676" t="s">
        <v>15</v>
      </c>
      <c r="D676" t="s">
        <v>31</v>
      </c>
      <c r="E676">
        <f t="shared" ca="1" si="10"/>
        <v>237535711.86288118</v>
      </c>
    </row>
    <row r="677" spans="1:5" hidden="1" x14ac:dyDescent="0.25">
      <c r="A677">
        <v>16</v>
      </c>
      <c r="B677">
        <v>32</v>
      </c>
      <c r="C677" t="s">
        <v>15</v>
      </c>
      <c r="D677" t="s">
        <v>32</v>
      </c>
      <c r="E677">
        <f t="shared" ca="1" si="10"/>
        <v>316439332.22688121</v>
      </c>
    </row>
    <row r="678" spans="1:5" hidden="1" x14ac:dyDescent="0.25">
      <c r="A678">
        <v>16</v>
      </c>
      <c r="B678">
        <v>33</v>
      </c>
      <c r="C678" t="s">
        <v>15</v>
      </c>
      <c r="D678" t="s">
        <v>33</v>
      </c>
      <c r="E678">
        <f t="shared" ca="1" si="10"/>
        <v>2813847900.9825859</v>
      </c>
    </row>
    <row r="679" spans="1:5" hidden="1" x14ac:dyDescent="0.25">
      <c r="A679">
        <v>16</v>
      </c>
      <c r="B679">
        <v>34</v>
      </c>
      <c r="C679" t="s">
        <v>15</v>
      </c>
      <c r="D679" t="s">
        <v>34</v>
      </c>
      <c r="E679">
        <f t="shared" ca="1" si="10"/>
        <v>2184113292.0545859</v>
      </c>
    </row>
    <row r="680" spans="1:5" hidden="1" x14ac:dyDescent="0.25">
      <c r="A680">
        <v>16</v>
      </c>
      <c r="B680">
        <v>35</v>
      </c>
      <c r="C680" t="s">
        <v>15</v>
      </c>
      <c r="D680" t="s">
        <v>35</v>
      </c>
      <c r="E680">
        <f t="shared" ca="1" si="10"/>
        <v>446158941.40542221</v>
      </c>
    </row>
    <row r="681" spans="1:5" hidden="1" x14ac:dyDescent="0.25">
      <c r="A681">
        <v>16</v>
      </c>
      <c r="B681">
        <v>36</v>
      </c>
      <c r="C681" t="s">
        <v>15</v>
      </c>
      <c r="D681" t="s">
        <v>36</v>
      </c>
      <c r="E681">
        <f t="shared" ca="1" si="10"/>
        <v>368885308.50296628</v>
      </c>
    </row>
    <row r="682" spans="1:5" hidden="1" x14ac:dyDescent="0.25">
      <c r="A682">
        <v>16</v>
      </c>
      <c r="B682">
        <v>37</v>
      </c>
      <c r="C682" t="s">
        <v>15</v>
      </c>
      <c r="D682" t="s">
        <v>37</v>
      </c>
      <c r="E682">
        <f t="shared" ca="1" si="10"/>
        <v>281544732.37646675</v>
      </c>
    </row>
    <row r="683" spans="1:5" hidden="1" x14ac:dyDescent="0.25">
      <c r="A683">
        <v>16</v>
      </c>
      <c r="B683">
        <v>38</v>
      </c>
      <c r="C683" t="s">
        <v>15</v>
      </c>
      <c r="D683" t="s">
        <v>38</v>
      </c>
      <c r="E683">
        <f t="shared" ca="1" si="10"/>
        <v>316226970.82296628</v>
      </c>
    </row>
    <row r="684" spans="1:5" hidden="1" x14ac:dyDescent="0.25">
      <c r="A684">
        <v>16</v>
      </c>
      <c r="B684">
        <v>39</v>
      </c>
      <c r="C684" t="s">
        <v>15</v>
      </c>
      <c r="D684" t="s">
        <v>39</v>
      </c>
      <c r="E684">
        <f t="shared" ca="1" si="10"/>
        <v>385033659.15949833</v>
      </c>
    </row>
    <row r="685" spans="1:5" hidden="1" x14ac:dyDescent="0.25">
      <c r="A685">
        <v>16</v>
      </c>
      <c r="B685">
        <v>40</v>
      </c>
      <c r="C685" t="s">
        <v>15</v>
      </c>
      <c r="D685" t="s">
        <v>40</v>
      </c>
      <c r="E685">
        <f t="shared" ca="1" si="10"/>
        <v>438510949.33646679</v>
      </c>
    </row>
    <row r="686" spans="1:5" hidden="1" x14ac:dyDescent="0.25">
      <c r="A686">
        <v>17</v>
      </c>
      <c r="B686">
        <v>1</v>
      </c>
      <c r="C686" t="s">
        <v>16</v>
      </c>
      <c r="D686" t="s">
        <v>0</v>
      </c>
      <c r="E686">
        <f t="shared" ca="1" si="10"/>
        <v>1330469918.8076894</v>
      </c>
    </row>
    <row r="687" spans="1:5" hidden="1" x14ac:dyDescent="0.25">
      <c r="A687">
        <v>17</v>
      </c>
      <c r="B687">
        <v>2</v>
      </c>
      <c r="C687" t="s">
        <v>16</v>
      </c>
      <c r="D687" t="s">
        <v>1</v>
      </c>
      <c r="E687">
        <f t="shared" ca="1" si="10"/>
        <v>1206938450.2462609</v>
      </c>
    </row>
    <row r="688" spans="1:5" hidden="1" x14ac:dyDescent="0.25">
      <c r="A688">
        <v>17</v>
      </c>
      <c r="B688">
        <v>3</v>
      </c>
      <c r="C688" t="s">
        <v>16</v>
      </c>
      <c r="D688" t="s">
        <v>2</v>
      </c>
      <c r="E688">
        <f t="shared" ca="1" si="10"/>
        <v>1328261680.1155157</v>
      </c>
    </row>
    <row r="689" spans="1:5" hidden="1" x14ac:dyDescent="0.25">
      <c r="A689">
        <v>17</v>
      </c>
      <c r="B689">
        <v>4</v>
      </c>
      <c r="C689" t="s">
        <v>16</v>
      </c>
      <c r="D689" t="s">
        <v>3</v>
      </c>
      <c r="E689">
        <f t="shared" ca="1" si="10"/>
        <v>1286218830.054142</v>
      </c>
    </row>
    <row r="690" spans="1:5" hidden="1" x14ac:dyDescent="0.25">
      <c r="A690">
        <v>17</v>
      </c>
      <c r="B690">
        <v>5</v>
      </c>
      <c r="C690" t="s">
        <v>16</v>
      </c>
      <c r="D690" t="s">
        <v>4</v>
      </c>
      <c r="E690">
        <f t="shared" ca="1" si="10"/>
        <v>1157917952.2419538</v>
      </c>
    </row>
    <row r="691" spans="1:5" hidden="1" x14ac:dyDescent="0.25">
      <c r="A691">
        <v>17</v>
      </c>
      <c r="B691">
        <v>6</v>
      </c>
      <c r="C691" t="s">
        <v>16</v>
      </c>
      <c r="D691" t="s">
        <v>5</v>
      </c>
      <c r="E691">
        <f t="shared" ca="1" si="10"/>
        <v>1277374726.0048108</v>
      </c>
    </row>
    <row r="692" spans="1:5" hidden="1" x14ac:dyDescent="0.25">
      <c r="A692">
        <v>17</v>
      </c>
      <c r="B692">
        <v>7</v>
      </c>
      <c r="C692" t="s">
        <v>16</v>
      </c>
      <c r="D692" t="s">
        <v>6</v>
      </c>
      <c r="E692">
        <f t="shared" ca="1" si="10"/>
        <v>1138685728.4705253</v>
      </c>
    </row>
    <row r="693" spans="1:5" hidden="1" x14ac:dyDescent="0.25">
      <c r="A693">
        <v>17</v>
      </c>
      <c r="B693">
        <v>8</v>
      </c>
      <c r="C693" t="s">
        <v>16</v>
      </c>
      <c r="D693" t="s">
        <v>7</v>
      </c>
      <c r="E693">
        <f t="shared" ca="1" si="10"/>
        <v>1203282642.5975704</v>
      </c>
    </row>
    <row r="694" spans="1:5" hidden="1" x14ac:dyDescent="0.25">
      <c r="A694">
        <v>17</v>
      </c>
      <c r="B694">
        <v>9</v>
      </c>
      <c r="C694" t="s">
        <v>16</v>
      </c>
      <c r="D694" t="s">
        <v>148</v>
      </c>
      <c r="E694">
        <f t="shared" ca="1" si="10"/>
        <v>1197809292.5462608</v>
      </c>
    </row>
    <row r="695" spans="1:5" hidden="1" x14ac:dyDescent="0.25">
      <c r="A695">
        <v>17</v>
      </c>
      <c r="B695">
        <v>10</v>
      </c>
      <c r="C695" t="s">
        <v>16</v>
      </c>
      <c r="D695" t="s">
        <v>9</v>
      </c>
      <c r="E695">
        <f t="shared" ca="1" si="10"/>
        <v>1205253729.3019538</v>
      </c>
    </row>
    <row r="696" spans="1:5" hidden="1" x14ac:dyDescent="0.25">
      <c r="A696">
        <v>17</v>
      </c>
      <c r="B696">
        <v>11</v>
      </c>
      <c r="C696" t="s">
        <v>16</v>
      </c>
      <c r="D696" t="s">
        <v>10</v>
      </c>
      <c r="E696">
        <f t="shared" ca="1" si="10"/>
        <v>831747668.62437344</v>
      </c>
    </row>
    <row r="697" spans="1:5" hidden="1" x14ac:dyDescent="0.25">
      <c r="A697">
        <v>17</v>
      </c>
      <c r="B697">
        <v>12</v>
      </c>
      <c r="C697" t="s">
        <v>16</v>
      </c>
      <c r="D697" t="s">
        <v>11</v>
      </c>
      <c r="E697">
        <f t="shared" ca="1" si="10"/>
        <v>912127994.68753684</v>
      </c>
    </row>
    <row r="698" spans="1:5" hidden="1" x14ac:dyDescent="0.25">
      <c r="A698">
        <v>17</v>
      </c>
      <c r="B698">
        <v>13</v>
      </c>
      <c r="C698" t="s">
        <v>16</v>
      </c>
      <c r="D698" t="s">
        <v>12</v>
      </c>
      <c r="E698">
        <f t="shared" ca="1" si="10"/>
        <v>824551682.21480703</v>
      </c>
    </row>
    <row r="699" spans="1:5" hidden="1" x14ac:dyDescent="0.25">
      <c r="A699">
        <v>17</v>
      </c>
      <c r="B699">
        <v>14</v>
      </c>
      <c r="C699" t="s">
        <v>16</v>
      </c>
      <c r="D699" t="s">
        <v>13</v>
      </c>
      <c r="E699">
        <f t="shared" ca="1" si="10"/>
        <v>864674557.60680699</v>
      </c>
    </row>
    <row r="700" spans="1:5" hidden="1" x14ac:dyDescent="0.25">
      <c r="A700">
        <v>17</v>
      </c>
      <c r="B700">
        <v>15</v>
      </c>
      <c r="C700" t="s">
        <v>16</v>
      </c>
      <c r="D700" t="s">
        <v>14</v>
      </c>
      <c r="E700">
        <f t="shared" ca="1" si="10"/>
        <v>800108644.02667975</v>
      </c>
    </row>
    <row r="701" spans="1:5" hidden="1" x14ac:dyDescent="0.25">
      <c r="A701">
        <v>17</v>
      </c>
      <c r="B701">
        <v>16</v>
      </c>
      <c r="C701" t="s">
        <v>16</v>
      </c>
      <c r="D701" t="s">
        <v>15</v>
      </c>
      <c r="E701">
        <f t="shared" ca="1" si="10"/>
        <v>1015656745.6067374</v>
      </c>
    </row>
    <row r="702" spans="1:5" hidden="1" x14ac:dyDescent="0.25">
      <c r="A702">
        <v>17</v>
      </c>
      <c r="B702">
        <v>17</v>
      </c>
      <c r="C702" t="s">
        <v>16</v>
      </c>
      <c r="D702" t="s">
        <v>16</v>
      </c>
      <c r="E702">
        <f t="shared" ca="1" si="10"/>
        <v>0</v>
      </c>
    </row>
    <row r="703" spans="1:5" hidden="1" x14ac:dyDescent="0.25">
      <c r="A703">
        <v>17</v>
      </c>
      <c r="B703">
        <v>18</v>
      </c>
      <c r="C703" t="s">
        <v>16</v>
      </c>
      <c r="D703" t="s">
        <v>17</v>
      </c>
      <c r="E703">
        <f t="shared" ca="1" si="10"/>
        <v>1146194869.0747375</v>
      </c>
    </row>
    <row r="704" spans="1:5" hidden="1" x14ac:dyDescent="0.25">
      <c r="A704">
        <v>17</v>
      </c>
      <c r="B704">
        <v>19</v>
      </c>
      <c r="C704" t="s">
        <v>16</v>
      </c>
      <c r="D704" t="s">
        <v>18</v>
      </c>
      <c r="E704">
        <f t="shared" ca="1" si="10"/>
        <v>944524729.03307569</v>
      </c>
    </row>
    <row r="705" spans="1:5" hidden="1" x14ac:dyDescent="0.25">
      <c r="A705">
        <v>17</v>
      </c>
      <c r="B705">
        <v>20</v>
      </c>
      <c r="C705" t="s">
        <v>16</v>
      </c>
      <c r="D705" t="s">
        <v>19</v>
      </c>
      <c r="E705">
        <f t="shared" ca="1" si="10"/>
        <v>1067801284.4175502</v>
      </c>
    </row>
    <row r="706" spans="1:5" hidden="1" x14ac:dyDescent="0.25">
      <c r="A706">
        <v>17</v>
      </c>
      <c r="B706">
        <v>21</v>
      </c>
      <c r="C706" t="s">
        <v>16</v>
      </c>
      <c r="D706" t="s">
        <v>20</v>
      </c>
      <c r="E706">
        <f t="shared" ca="1" si="10"/>
        <v>923778687.37454462</v>
      </c>
    </row>
    <row r="707" spans="1:5" hidden="1" x14ac:dyDescent="0.25">
      <c r="A707">
        <v>17</v>
      </c>
      <c r="B707">
        <v>22</v>
      </c>
      <c r="C707" t="s">
        <v>16</v>
      </c>
      <c r="D707" t="s">
        <v>21</v>
      </c>
      <c r="E707">
        <f t="shared" ca="1" si="10"/>
        <v>1379306086.2355127</v>
      </c>
    </row>
    <row r="708" spans="1:5" hidden="1" x14ac:dyDescent="0.25">
      <c r="A708">
        <v>17</v>
      </c>
      <c r="B708">
        <v>23</v>
      </c>
      <c r="C708" t="s">
        <v>16</v>
      </c>
      <c r="D708" t="s">
        <v>22</v>
      </c>
      <c r="E708">
        <f t="shared" ca="1" si="10"/>
        <v>771507908.68415344</v>
      </c>
    </row>
    <row r="709" spans="1:5" hidden="1" x14ac:dyDescent="0.25">
      <c r="A709">
        <v>17</v>
      </c>
      <c r="B709">
        <v>24</v>
      </c>
      <c r="C709" t="s">
        <v>16</v>
      </c>
      <c r="D709" t="s">
        <v>23</v>
      </c>
      <c r="E709">
        <f t="shared" ca="1" si="10"/>
        <v>763160319.28415346</v>
      </c>
    </row>
    <row r="710" spans="1:5" hidden="1" x14ac:dyDescent="0.25">
      <c r="A710">
        <v>17</v>
      </c>
      <c r="B710">
        <v>25</v>
      </c>
      <c r="C710" t="s">
        <v>16</v>
      </c>
      <c r="D710" t="s">
        <v>24</v>
      </c>
      <c r="E710">
        <f t="shared" ca="1" si="10"/>
        <v>704448706.18415344</v>
      </c>
    </row>
    <row r="711" spans="1:5" hidden="1" x14ac:dyDescent="0.25">
      <c r="A711">
        <v>17</v>
      </c>
      <c r="B711">
        <v>26</v>
      </c>
      <c r="C711" t="s">
        <v>16</v>
      </c>
      <c r="D711" t="s">
        <v>25</v>
      </c>
      <c r="E711">
        <f t="shared" ca="1" si="10"/>
        <v>685254534.62667978</v>
      </c>
    </row>
    <row r="712" spans="1:5" hidden="1" x14ac:dyDescent="0.25">
      <c r="A712">
        <v>17</v>
      </c>
      <c r="B712">
        <v>27</v>
      </c>
      <c r="C712" t="s">
        <v>16</v>
      </c>
      <c r="D712" t="s">
        <v>145</v>
      </c>
      <c r="E712">
        <f t="shared" ca="1" si="10"/>
        <v>1477958967.5775502</v>
      </c>
    </row>
    <row r="713" spans="1:5" hidden="1" x14ac:dyDescent="0.25">
      <c r="A713">
        <v>17</v>
      </c>
      <c r="B713">
        <v>28</v>
      </c>
      <c r="C713" t="s">
        <v>16</v>
      </c>
      <c r="D713" t="s">
        <v>147</v>
      </c>
      <c r="E713">
        <f t="shared" ca="1" si="10"/>
        <v>1559260816.2355127</v>
      </c>
    </row>
    <row r="714" spans="1:5" hidden="1" x14ac:dyDescent="0.25">
      <c r="A714">
        <v>17</v>
      </c>
      <c r="B714">
        <v>29</v>
      </c>
      <c r="C714" t="s">
        <v>16</v>
      </c>
      <c r="D714" t="s">
        <v>146</v>
      </c>
      <c r="E714">
        <f t="shared" ca="1" si="10"/>
        <v>735723407.49215341</v>
      </c>
    </row>
    <row r="715" spans="1:5" hidden="1" x14ac:dyDescent="0.25">
      <c r="A715">
        <v>17</v>
      </c>
      <c r="B715">
        <v>30</v>
      </c>
      <c r="C715" t="s">
        <v>16</v>
      </c>
      <c r="D715" t="s">
        <v>30</v>
      </c>
      <c r="E715">
        <f t="shared" ca="1" si="10"/>
        <v>1128099789.2827132</v>
      </c>
    </row>
    <row r="716" spans="1:5" hidden="1" x14ac:dyDescent="0.25">
      <c r="A716">
        <v>17</v>
      </c>
      <c r="B716">
        <v>31</v>
      </c>
      <c r="C716" t="s">
        <v>16</v>
      </c>
      <c r="D716" t="s">
        <v>31</v>
      </c>
      <c r="E716">
        <f t="shared" ca="1" si="10"/>
        <v>665600803.62568665</v>
      </c>
    </row>
    <row r="717" spans="1:5" hidden="1" x14ac:dyDescent="0.25">
      <c r="A717">
        <v>17</v>
      </c>
      <c r="B717">
        <v>32</v>
      </c>
      <c r="C717" t="s">
        <v>16</v>
      </c>
      <c r="D717" t="s">
        <v>32</v>
      </c>
      <c r="E717">
        <f t="shared" ca="1" si="10"/>
        <v>744504423.98968673</v>
      </c>
    </row>
    <row r="718" spans="1:5" hidden="1" x14ac:dyDescent="0.25">
      <c r="A718">
        <v>17</v>
      </c>
      <c r="B718">
        <v>33</v>
      </c>
      <c r="C718" t="s">
        <v>16</v>
      </c>
      <c r="D718" t="s">
        <v>33</v>
      </c>
      <c r="E718">
        <f t="shared" ca="1" si="10"/>
        <v>3736170009.9619079</v>
      </c>
    </row>
    <row r="719" spans="1:5" hidden="1" x14ac:dyDescent="0.25">
      <c r="A719">
        <v>17</v>
      </c>
      <c r="B719">
        <v>34</v>
      </c>
      <c r="C719" t="s">
        <v>16</v>
      </c>
      <c r="D719" t="s">
        <v>34</v>
      </c>
      <c r="E719">
        <f t="shared" ca="1" si="10"/>
        <v>3106435401.0339079</v>
      </c>
    </row>
    <row r="720" spans="1:5" hidden="1" x14ac:dyDescent="0.25">
      <c r="A720">
        <v>17</v>
      </c>
      <c r="B720">
        <v>35</v>
      </c>
      <c r="C720" t="s">
        <v>16</v>
      </c>
      <c r="D720" t="s">
        <v>35</v>
      </c>
      <c r="E720">
        <f t="shared" ca="1" si="10"/>
        <v>1133379239.6302609</v>
      </c>
    </row>
    <row r="721" spans="1:5" hidden="1" x14ac:dyDescent="0.25">
      <c r="A721">
        <v>17</v>
      </c>
      <c r="B721">
        <v>36</v>
      </c>
      <c r="C721" t="s">
        <v>16</v>
      </c>
      <c r="D721" t="s">
        <v>36</v>
      </c>
      <c r="E721">
        <f t="shared" ca="1" si="10"/>
        <v>822338623.31363153</v>
      </c>
    </row>
    <row r="722" spans="1:5" hidden="1" x14ac:dyDescent="0.25">
      <c r="A722">
        <v>17</v>
      </c>
      <c r="B722">
        <v>37</v>
      </c>
      <c r="C722" t="s">
        <v>16</v>
      </c>
      <c r="D722" t="s">
        <v>37</v>
      </c>
      <c r="E722">
        <f t="shared" ca="1" si="10"/>
        <v>745099834.00380421</v>
      </c>
    </row>
    <row r="723" spans="1:5" hidden="1" x14ac:dyDescent="0.25">
      <c r="A723">
        <v>17</v>
      </c>
      <c r="B723">
        <v>38</v>
      </c>
      <c r="C723" t="s">
        <v>16</v>
      </c>
      <c r="D723" t="s">
        <v>38</v>
      </c>
      <c r="E723">
        <f t="shared" ca="1" si="10"/>
        <v>769680285.63363147</v>
      </c>
    </row>
    <row r="724" spans="1:5" hidden="1" x14ac:dyDescent="0.25">
      <c r="A724">
        <v>17</v>
      </c>
      <c r="B724">
        <v>39</v>
      </c>
      <c r="C724" t="s">
        <v>16</v>
      </c>
      <c r="D724" t="s">
        <v>39</v>
      </c>
      <c r="E724">
        <f t="shared" ca="1" si="10"/>
        <v>885818929.85196042</v>
      </c>
    </row>
    <row r="725" spans="1:5" hidden="1" x14ac:dyDescent="0.25">
      <c r="A725">
        <v>17</v>
      </c>
      <c r="B725">
        <v>40</v>
      </c>
      <c r="C725" t="s">
        <v>16</v>
      </c>
      <c r="D725" t="s">
        <v>40</v>
      </c>
      <c r="E725">
        <f t="shared" ca="1" si="10"/>
        <v>902066050.96380424</v>
      </c>
    </row>
    <row r="726" spans="1:5" hidden="1" x14ac:dyDescent="0.25">
      <c r="A726">
        <v>18</v>
      </c>
      <c r="B726">
        <v>1</v>
      </c>
      <c r="C726" t="s">
        <v>17</v>
      </c>
      <c r="D726" t="s">
        <v>0</v>
      </c>
      <c r="E726">
        <f t="shared" ca="1" si="10"/>
        <v>734348959.47733867</v>
      </c>
    </row>
    <row r="727" spans="1:5" hidden="1" x14ac:dyDescent="0.25">
      <c r="A727">
        <v>18</v>
      </c>
      <c r="B727">
        <v>2</v>
      </c>
      <c r="C727" t="s">
        <v>17</v>
      </c>
      <c r="D727" t="s">
        <v>1</v>
      </c>
      <c r="E727">
        <f t="shared" ca="1" si="10"/>
        <v>610817490.91591012</v>
      </c>
    </row>
    <row r="728" spans="1:5" hidden="1" x14ac:dyDescent="0.25">
      <c r="A728">
        <v>18</v>
      </c>
      <c r="B728">
        <v>3</v>
      </c>
      <c r="C728" t="s">
        <v>17</v>
      </c>
      <c r="D728" t="s">
        <v>2</v>
      </c>
      <c r="E728">
        <f t="shared" ca="1" si="10"/>
        <v>805067632.62015963</v>
      </c>
    </row>
    <row r="729" spans="1:5" hidden="1" x14ac:dyDescent="0.25">
      <c r="A729">
        <v>18</v>
      </c>
      <c r="B729">
        <v>4</v>
      </c>
      <c r="C729" t="s">
        <v>17</v>
      </c>
      <c r="D729" t="s">
        <v>3</v>
      </c>
      <c r="E729">
        <f t="shared" ca="1" si="10"/>
        <v>821006634.99897516</v>
      </c>
    </row>
    <row r="730" spans="1:5" hidden="1" x14ac:dyDescent="0.25">
      <c r="A730">
        <v>18</v>
      </c>
      <c r="B730">
        <v>5</v>
      </c>
      <c r="C730" t="s">
        <v>17</v>
      </c>
      <c r="D730" t="s">
        <v>4</v>
      </c>
      <c r="E730">
        <f t="shared" ca="1" si="10"/>
        <v>719071321.97286129</v>
      </c>
    </row>
    <row r="731" spans="1:5" hidden="1" x14ac:dyDescent="0.25">
      <c r="A731">
        <v>18</v>
      </c>
      <c r="B731">
        <v>6</v>
      </c>
      <c r="C731" t="s">
        <v>17</v>
      </c>
      <c r="D731" t="s">
        <v>5</v>
      </c>
      <c r="E731">
        <f t="shared" ca="1" si="10"/>
        <v>838528095.73571849</v>
      </c>
    </row>
    <row r="732" spans="1:5" hidden="1" x14ac:dyDescent="0.25">
      <c r="A732">
        <v>18</v>
      </c>
      <c r="B732">
        <v>7</v>
      </c>
      <c r="C732" t="s">
        <v>17</v>
      </c>
      <c r="D732" t="s">
        <v>6</v>
      </c>
      <c r="E732">
        <f t="shared" ca="1" si="10"/>
        <v>699839098.2014327</v>
      </c>
    </row>
    <row r="733" spans="1:5" hidden="1" x14ac:dyDescent="0.25">
      <c r="A733">
        <v>18</v>
      </c>
      <c r="B733">
        <v>8</v>
      </c>
      <c r="C733" t="s">
        <v>17</v>
      </c>
      <c r="D733" t="s">
        <v>7</v>
      </c>
      <c r="E733">
        <f t="shared" ca="1" si="10"/>
        <v>738070447.5424037</v>
      </c>
    </row>
    <row r="734" spans="1:5" hidden="1" x14ac:dyDescent="0.25">
      <c r="A734">
        <v>18</v>
      </c>
      <c r="B734">
        <v>9</v>
      </c>
      <c r="C734" t="s">
        <v>17</v>
      </c>
      <c r="D734" t="s">
        <v>148</v>
      </c>
      <c r="E734">
        <f t="shared" ref="E734:E795" ca="1" si="11">OFFSET($B$2,A734,B734)</f>
        <v>601688333.21591008</v>
      </c>
    </row>
    <row r="735" spans="1:5" hidden="1" x14ac:dyDescent="0.25">
      <c r="A735">
        <v>18</v>
      </c>
      <c r="B735">
        <v>10</v>
      </c>
      <c r="C735" t="s">
        <v>17</v>
      </c>
      <c r="D735" t="s">
        <v>9</v>
      </c>
      <c r="E735">
        <f t="shared" ca="1" si="11"/>
        <v>766407099.03286135</v>
      </c>
    </row>
    <row r="736" spans="1:5" hidden="1" x14ac:dyDescent="0.25">
      <c r="A736">
        <v>18</v>
      </c>
      <c r="B736">
        <v>11</v>
      </c>
      <c r="C736" t="s">
        <v>17</v>
      </c>
      <c r="D736" t="s">
        <v>10</v>
      </c>
      <c r="E736">
        <f t="shared" ca="1" si="11"/>
        <v>612827528.96761847</v>
      </c>
    </row>
    <row r="737" spans="1:5" hidden="1" x14ac:dyDescent="0.25">
      <c r="A737">
        <v>18</v>
      </c>
      <c r="B737">
        <v>12</v>
      </c>
      <c r="C737" t="s">
        <v>17</v>
      </c>
      <c r="D737" t="s">
        <v>11</v>
      </c>
      <c r="E737">
        <f t="shared" ca="1" si="11"/>
        <v>701160755.39514828</v>
      </c>
    </row>
    <row r="738" spans="1:5" hidden="1" x14ac:dyDescent="0.25">
      <c r="A738">
        <v>18</v>
      </c>
      <c r="B738">
        <v>13</v>
      </c>
      <c r="C738" t="s">
        <v>17</v>
      </c>
      <c r="D738" t="s">
        <v>12</v>
      </c>
      <c r="E738">
        <f t="shared" ca="1" si="11"/>
        <v>563760826.0202601</v>
      </c>
    </row>
    <row r="739" spans="1:5" hidden="1" x14ac:dyDescent="0.25">
      <c r="A739">
        <v>18</v>
      </c>
      <c r="B739">
        <v>14</v>
      </c>
      <c r="C739" t="s">
        <v>17</v>
      </c>
      <c r="D739" t="s">
        <v>13</v>
      </c>
      <c r="E739">
        <f t="shared" ca="1" si="11"/>
        <v>603883701.41226017</v>
      </c>
    </row>
    <row r="740" spans="1:5" hidden="1" x14ac:dyDescent="0.25">
      <c r="A740">
        <v>18</v>
      </c>
      <c r="B740">
        <v>15</v>
      </c>
      <c r="C740" t="s">
        <v>17</v>
      </c>
      <c r="D740" t="s">
        <v>14</v>
      </c>
      <c r="E740">
        <f t="shared" ca="1" si="11"/>
        <v>407168111.44</v>
      </c>
    </row>
    <row r="741" spans="1:5" hidden="1" x14ac:dyDescent="0.25">
      <c r="A741">
        <v>18</v>
      </c>
      <c r="B741">
        <v>16</v>
      </c>
      <c r="C741" t="s">
        <v>17</v>
      </c>
      <c r="D741" t="s">
        <v>15</v>
      </c>
      <c r="E741">
        <f t="shared" ca="1" si="11"/>
        <v>377784566.45200002</v>
      </c>
    </row>
    <row r="742" spans="1:5" hidden="1" x14ac:dyDescent="0.25">
      <c r="A742">
        <v>18</v>
      </c>
      <c r="B742">
        <v>17</v>
      </c>
      <c r="C742" t="s">
        <v>17</v>
      </c>
      <c r="D742" t="s">
        <v>16</v>
      </c>
      <c r="E742">
        <f t="shared" ca="1" si="11"/>
        <v>1146194869.0747375</v>
      </c>
    </row>
    <row r="743" spans="1:5" hidden="1" x14ac:dyDescent="0.25">
      <c r="A743">
        <v>18</v>
      </c>
      <c r="B743">
        <v>18</v>
      </c>
      <c r="C743" t="s">
        <v>17</v>
      </c>
      <c r="D743" t="s">
        <v>17</v>
      </c>
      <c r="E743">
        <f t="shared" ca="1" si="11"/>
        <v>0</v>
      </c>
    </row>
    <row r="744" spans="1:5" hidden="1" x14ac:dyDescent="0.25">
      <c r="A744">
        <v>18</v>
      </c>
      <c r="B744">
        <v>19</v>
      </c>
      <c r="C744" t="s">
        <v>17</v>
      </c>
      <c r="D744" t="s">
        <v>18</v>
      </c>
      <c r="E744">
        <f t="shared" ca="1" si="11"/>
        <v>402291481.03419638</v>
      </c>
    </row>
    <row r="745" spans="1:5" hidden="1" x14ac:dyDescent="0.25">
      <c r="A745">
        <v>18</v>
      </c>
      <c r="B745">
        <v>20</v>
      </c>
      <c r="C745" t="s">
        <v>17</v>
      </c>
      <c r="D745" t="s">
        <v>19</v>
      </c>
      <c r="E745">
        <f t="shared" ca="1" si="11"/>
        <v>1119748066.0432982</v>
      </c>
    </row>
    <row r="746" spans="1:5" hidden="1" x14ac:dyDescent="0.25">
      <c r="A746">
        <v>18</v>
      </c>
      <c r="B746">
        <v>21</v>
      </c>
      <c r="C746" t="s">
        <v>17</v>
      </c>
      <c r="D746" t="s">
        <v>20</v>
      </c>
      <c r="E746">
        <f t="shared" ca="1" si="11"/>
        <v>422018437.4212116</v>
      </c>
    </row>
    <row r="747" spans="1:5" hidden="1" x14ac:dyDescent="0.25">
      <c r="A747">
        <v>18</v>
      </c>
      <c r="B747">
        <v>22</v>
      </c>
      <c r="C747" t="s">
        <v>17</v>
      </c>
      <c r="D747" t="s">
        <v>21</v>
      </c>
      <c r="E747">
        <f t="shared" ca="1" si="11"/>
        <v>900173097.45398664</v>
      </c>
    </row>
    <row r="748" spans="1:5" hidden="1" x14ac:dyDescent="0.25">
      <c r="A748">
        <v>18</v>
      </c>
      <c r="B748">
        <v>23</v>
      </c>
      <c r="C748" t="s">
        <v>17</v>
      </c>
      <c r="D748" t="s">
        <v>22</v>
      </c>
      <c r="E748">
        <f t="shared" ca="1" si="11"/>
        <v>286845087.41428471</v>
      </c>
    </row>
    <row r="749" spans="1:5" hidden="1" x14ac:dyDescent="0.25">
      <c r="A749">
        <v>18</v>
      </c>
      <c r="B749">
        <v>24</v>
      </c>
      <c r="C749" t="s">
        <v>17</v>
      </c>
      <c r="D749" t="s">
        <v>23</v>
      </c>
      <c r="E749">
        <f t="shared" ca="1" si="11"/>
        <v>39719723795.522583</v>
      </c>
    </row>
    <row r="750" spans="1:5" hidden="1" x14ac:dyDescent="0.25">
      <c r="A750">
        <v>18</v>
      </c>
      <c r="B750">
        <v>25</v>
      </c>
      <c r="C750" t="s">
        <v>17</v>
      </c>
      <c r="D750" t="s">
        <v>24</v>
      </c>
      <c r="E750">
        <f t="shared" ca="1" si="11"/>
        <v>39661012182.422585</v>
      </c>
    </row>
    <row r="751" spans="1:5" hidden="1" x14ac:dyDescent="0.25">
      <c r="A751">
        <v>18</v>
      </c>
      <c r="B751">
        <v>26</v>
      </c>
      <c r="C751" t="s">
        <v>17</v>
      </c>
      <c r="D751" t="s">
        <v>25</v>
      </c>
      <c r="E751">
        <f t="shared" ca="1" si="11"/>
        <v>155188871.47999999</v>
      </c>
    </row>
    <row r="752" spans="1:5" hidden="1" x14ac:dyDescent="0.25">
      <c r="A752">
        <v>18</v>
      </c>
      <c r="B752">
        <v>27</v>
      </c>
      <c r="C752" t="s">
        <v>17</v>
      </c>
      <c r="D752" t="s">
        <v>145</v>
      </c>
      <c r="E752">
        <f t="shared" ca="1" si="11"/>
        <v>1530036240.6238813</v>
      </c>
    </row>
    <row r="753" spans="1:5" hidden="1" x14ac:dyDescent="0.25">
      <c r="A753">
        <v>18</v>
      </c>
      <c r="B753">
        <v>28</v>
      </c>
      <c r="C753" t="s">
        <v>17</v>
      </c>
      <c r="D753" t="s">
        <v>147</v>
      </c>
      <c r="E753">
        <f t="shared" ca="1" si="11"/>
        <v>1080242356.8861609</v>
      </c>
    </row>
    <row r="754" spans="1:5" hidden="1" x14ac:dyDescent="0.25">
      <c r="A754">
        <v>18</v>
      </c>
      <c r="B754">
        <v>29</v>
      </c>
      <c r="C754" t="s">
        <v>17</v>
      </c>
      <c r="D754" t="s">
        <v>146</v>
      </c>
      <c r="E754">
        <f t="shared" ca="1" si="11"/>
        <v>39692286883.730583</v>
      </c>
    </row>
    <row r="755" spans="1:5" hidden="1" x14ac:dyDescent="0.25">
      <c r="A755">
        <v>18</v>
      </c>
      <c r="B755">
        <v>30</v>
      </c>
      <c r="C755" t="s">
        <v>17</v>
      </c>
      <c r="D755" t="s">
        <v>30</v>
      </c>
      <c r="E755">
        <f t="shared" ca="1" si="11"/>
        <v>525762463.66754657</v>
      </c>
    </row>
    <row r="756" spans="1:5" hidden="1" x14ac:dyDescent="0.25">
      <c r="A756">
        <v>18</v>
      </c>
      <c r="B756">
        <v>31</v>
      </c>
      <c r="C756" t="s">
        <v>17</v>
      </c>
      <c r="D756" t="s">
        <v>31</v>
      </c>
      <c r="E756">
        <f t="shared" ca="1" si="11"/>
        <v>230948704.77088121</v>
      </c>
    </row>
    <row r="757" spans="1:5" hidden="1" x14ac:dyDescent="0.25">
      <c r="A757">
        <v>18</v>
      </c>
      <c r="B757">
        <v>32</v>
      </c>
      <c r="C757" t="s">
        <v>17</v>
      </c>
      <c r="D757" t="s">
        <v>32</v>
      </c>
      <c r="E757">
        <f t="shared" ca="1" si="11"/>
        <v>309852325.1348812</v>
      </c>
    </row>
    <row r="758" spans="1:5" hidden="1" x14ac:dyDescent="0.25">
      <c r="A758">
        <v>18</v>
      </c>
      <c r="B758">
        <v>33</v>
      </c>
      <c r="C758" t="s">
        <v>17</v>
      </c>
      <c r="D758" t="s">
        <v>33</v>
      </c>
      <c r="E758">
        <f t="shared" ca="1" si="11"/>
        <v>2807260893.8905859</v>
      </c>
    </row>
    <row r="759" spans="1:5" hidden="1" x14ac:dyDescent="0.25">
      <c r="A759">
        <v>18</v>
      </c>
      <c r="B759">
        <v>34</v>
      </c>
      <c r="C759" t="s">
        <v>17</v>
      </c>
      <c r="D759" t="s">
        <v>34</v>
      </c>
      <c r="E759">
        <f t="shared" ca="1" si="11"/>
        <v>2177526284.9625859</v>
      </c>
    </row>
    <row r="760" spans="1:5" hidden="1" x14ac:dyDescent="0.25">
      <c r="A760">
        <v>18</v>
      </c>
      <c r="B760">
        <v>35</v>
      </c>
      <c r="C760" t="s">
        <v>17</v>
      </c>
      <c r="D760" t="s">
        <v>35</v>
      </c>
      <c r="E760">
        <f t="shared" ca="1" si="11"/>
        <v>439571934.31342226</v>
      </c>
    </row>
    <row r="761" spans="1:5" hidden="1" x14ac:dyDescent="0.25">
      <c r="A761">
        <v>18</v>
      </c>
      <c r="B761">
        <v>36</v>
      </c>
      <c r="C761" t="s">
        <v>17</v>
      </c>
      <c r="D761" t="s">
        <v>36</v>
      </c>
      <c r="E761">
        <f t="shared" ca="1" si="11"/>
        <v>362298301.41096634</v>
      </c>
    </row>
    <row r="762" spans="1:5" hidden="1" x14ac:dyDescent="0.25">
      <c r="A762">
        <v>18</v>
      </c>
      <c r="B762">
        <v>37</v>
      </c>
      <c r="C762" t="s">
        <v>17</v>
      </c>
      <c r="D762" t="s">
        <v>37</v>
      </c>
      <c r="E762">
        <f t="shared" ca="1" si="11"/>
        <v>274957725.2844668</v>
      </c>
    </row>
    <row r="763" spans="1:5" hidden="1" x14ac:dyDescent="0.25">
      <c r="A763">
        <v>18</v>
      </c>
      <c r="B763">
        <v>38</v>
      </c>
      <c r="C763" t="s">
        <v>17</v>
      </c>
      <c r="D763" t="s">
        <v>38</v>
      </c>
      <c r="E763">
        <f t="shared" ca="1" si="11"/>
        <v>309639963.73096633</v>
      </c>
    </row>
    <row r="764" spans="1:5" hidden="1" x14ac:dyDescent="0.25">
      <c r="A764">
        <v>18</v>
      </c>
      <c r="B764">
        <v>39</v>
      </c>
      <c r="C764" t="s">
        <v>17</v>
      </c>
      <c r="D764" t="s">
        <v>39</v>
      </c>
      <c r="E764">
        <f t="shared" ca="1" si="11"/>
        <v>378446652.06749839</v>
      </c>
    </row>
    <row r="765" spans="1:5" hidden="1" x14ac:dyDescent="0.25">
      <c r="A765">
        <v>18</v>
      </c>
      <c r="B765">
        <v>40</v>
      </c>
      <c r="C765" t="s">
        <v>17</v>
      </c>
      <c r="D765" t="s">
        <v>40</v>
      </c>
      <c r="E765">
        <f t="shared" ca="1" si="11"/>
        <v>431923942.24446678</v>
      </c>
    </row>
    <row r="766" spans="1:5" hidden="1" x14ac:dyDescent="0.25">
      <c r="A766">
        <v>19</v>
      </c>
      <c r="B766">
        <v>1</v>
      </c>
      <c r="C766" t="s">
        <v>18</v>
      </c>
      <c r="D766" t="s">
        <v>0</v>
      </c>
      <c r="E766">
        <f t="shared" ca="1" si="11"/>
        <v>893784245.48448074</v>
      </c>
    </row>
    <row r="767" spans="1:5" hidden="1" x14ac:dyDescent="0.25">
      <c r="A767">
        <v>19</v>
      </c>
      <c r="B767">
        <v>2</v>
      </c>
      <c r="C767" t="s">
        <v>18</v>
      </c>
      <c r="D767" t="s">
        <v>1</v>
      </c>
      <c r="E767">
        <f t="shared" ca="1" si="11"/>
        <v>770252776.92305219</v>
      </c>
    </row>
    <row r="768" spans="1:5" hidden="1" x14ac:dyDescent="0.25">
      <c r="A768">
        <v>19</v>
      </c>
      <c r="B768">
        <v>3</v>
      </c>
      <c r="C768" t="s">
        <v>18</v>
      </c>
      <c r="D768" t="s">
        <v>2</v>
      </c>
      <c r="E768">
        <f t="shared" ca="1" si="11"/>
        <v>309062565.07384074</v>
      </c>
    </row>
    <row r="769" spans="1:5" hidden="1" x14ac:dyDescent="0.25">
      <c r="A769">
        <v>19</v>
      </c>
      <c r="B769">
        <v>4</v>
      </c>
      <c r="C769" t="s">
        <v>18</v>
      </c>
      <c r="D769" t="s">
        <v>3</v>
      </c>
      <c r="E769">
        <f t="shared" ca="1" si="11"/>
        <v>467830484.49790776</v>
      </c>
    </row>
    <row r="770" spans="1:5" hidden="1" x14ac:dyDescent="0.25">
      <c r="A770">
        <v>19</v>
      </c>
      <c r="B770">
        <v>5</v>
      </c>
      <c r="C770" t="s">
        <v>18</v>
      </c>
      <c r="D770" t="s">
        <v>4</v>
      </c>
      <c r="E770">
        <f t="shared" ca="1" si="11"/>
        <v>593072965.67800093</v>
      </c>
    </row>
    <row r="771" spans="1:5" hidden="1" x14ac:dyDescent="0.25">
      <c r="A771">
        <v>19</v>
      </c>
      <c r="B771">
        <v>6</v>
      </c>
      <c r="C771" t="s">
        <v>18</v>
      </c>
      <c r="D771" t="s">
        <v>5</v>
      </c>
      <c r="E771">
        <f t="shared" ca="1" si="11"/>
        <v>712529739.44085801</v>
      </c>
    </row>
    <row r="772" spans="1:5" hidden="1" x14ac:dyDescent="0.25">
      <c r="A772">
        <v>19</v>
      </c>
      <c r="B772">
        <v>7</v>
      </c>
      <c r="C772" t="s">
        <v>18</v>
      </c>
      <c r="D772" t="s">
        <v>6</v>
      </c>
      <c r="E772">
        <f t="shared" ca="1" si="11"/>
        <v>573840741.90657234</v>
      </c>
    </row>
    <row r="773" spans="1:5" hidden="1" x14ac:dyDescent="0.25">
      <c r="A773">
        <v>19</v>
      </c>
      <c r="B773">
        <v>8</v>
      </c>
      <c r="C773" t="s">
        <v>18</v>
      </c>
      <c r="D773" t="s">
        <v>7</v>
      </c>
      <c r="E773">
        <f t="shared" ca="1" si="11"/>
        <v>384894297.04133636</v>
      </c>
    </row>
    <row r="774" spans="1:5" hidden="1" x14ac:dyDescent="0.25">
      <c r="A774">
        <v>19</v>
      </c>
      <c r="B774">
        <v>9</v>
      </c>
      <c r="C774" t="s">
        <v>18</v>
      </c>
      <c r="D774" t="s">
        <v>148</v>
      </c>
      <c r="E774">
        <f t="shared" ca="1" si="11"/>
        <v>761123619.22305226</v>
      </c>
    </row>
    <row r="775" spans="1:5" hidden="1" x14ac:dyDescent="0.25">
      <c r="A775">
        <v>19</v>
      </c>
      <c r="B775">
        <v>10</v>
      </c>
      <c r="C775" t="s">
        <v>18</v>
      </c>
      <c r="D775" t="s">
        <v>9</v>
      </c>
      <c r="E775">
        <f t="shared" ca="1" si="11"/>
        <v>640408742.73800099</v>
      </c>
    </row>
    <row r="776" spans="1:5" hidden="1" x14ac:dyDescent="0.25">
      <c r="A776">
        <v>19</v>
      </c>
      <c r="B776">
        <v>11</v>
      </c>
      <c r="C776" t="s">
        <v>18</v>
      </c>
      <c r="D776" t="s">
        <v>10</v>
      </c>
      <c r="E776">
        <f t="shared" ca="1" si="11"/>
        <v>203087647.56916228</v>
      </c>
    </row>
    <row r="777" spans="1:5" hidden="1" x14ac:dyDescent="0.25">
      <c r="A777">
        <v>19</v>
      </c>
      <c r="B777">
        <v>12</v>
      </c>
      <c r="C777" t="s">
        <v>18</v>
      </c>
      <c r="D777" t="s">
        <v>11</v>
      </c>
      <c r="E777">
        <f t="shared" ca="1" si="11"/>
        <v>153633659.07187271</v>
      </c>
    </row>
    <row r="778" spans="1:5" hidden="1" x14ac:dyDescent="0.25">
      <c r="A778">
        <v>19</v>
      </c>
      <c r="B778">
        <v>13</v>
      </c>
      <c r="C778" t="s">
        <v>18</v>
      </c>
      <c r="D778" t="s">
        <v>12</v>
      </c>
      <c r="E778">
        <f t="shared" ca="1" si="11"/>
        <v>46492190.670509227</v>
      </c>
    </row>
    <row r="779" spans="1:5" hidden="1" x14ac:dyDescent="0.25">
      <c r="A779">
        <v>19</v>
      </c>
      <c r="B779">
        <v>14</v>
      </c>
      <c r="C779" t="s">
        <v>18</v>
      </c>
      <c r="D779" t="s">
        <v>13</v>
      </c>
      <c r="E779">
        <f t="shared" ca="1" si="11"/>
        <v>86615066.062509224</v>
      </c>
    </row>
    <row r="780" spans="1:5" hidden="1" x14ac:dyDescent="0.25">
      <c r="A780">
        <v>19</v>
      </c>
      <c r="B780">
        <v>15</v>
      </c>
      <c r="C780" t="s">
        <v>18</v>
      </c>
      <c r="D780" t="s">
        <v>14</v>
      </c>
      <c r="E780">
        <f t="shared" ca="1" si="11"/>
        <v>388398317.97092253</v>
      </c>
    </row>
    <row r="781" spans="1:5" hidden="1" x14ac:dyDescent="0.25">
      <c r="A781">
        <v>19</v>
      </c>
      <c r="B781">
        <v>16</v>
      </c>
      <c r="C781" t="s">
        <v>18</v>
      </c>
      <c r="D781" t="s">
        <v>15</v>
      </c>
      <c r="E781">
        <f t="shared" ca="1" si="11"/>
        <v>408878488.12619632</v>
      </c>
    </row>
    <row r="782" spans="1:5" hidden="1" x14ac:dyDescent="0.25">
      <c r="A782">
        <v>19</v>
      </c>
      <c r="B782">
        <v>17</v>
      </c>
      <c r="C782" t="s">
        <v>18</v>
      </c>
      <c r="D782" t="s">
        <v>16</v>
      </c>
      <c r="E782">
        <f t="shared" ca="1" si="11"/>
        <v>944524729.03307569</v>
      </c>
    </row>
    <row r="783" spans="1:5" hidden="1" x14ac:dyDescent="0.25">
      <c r="A783">
        <v>19</v>
      </c>
      <c r="B783">
        <v>18</v>
      </c>
      <c r="C783" t="s">
        <v>18</v>
      </c>
      <c r="D783" t="s">
        <v>17</v>
      </c>
      <c r="E783">
        <f t="shared" ca="1" si="11"/>
        <v>402291481.03419638</v>
      </c>
    </row>
    <row r="784" spans="1:5" hidden="1" x14ac:dyDescent="0.25">
      <c r="A784">
        <v>19</v>
      </c>
      <c r="B784">
        <v>19</v>
      </c>
      <c r="C784" t="s">
        <v>18</v>
      </c>
      <c r="D784" t="s">
        <v>18</v>
      </c>
      <c r="E784">
        <f t="shared" ca="1" si="11"/>
        <v>0</v>
      </c>
    </row>
    <row r="785" spans="1:5" hidden="1" x14ac:dyDescent="0.25">
      <c r="A785">
        <v>19</v>
      </c>
      <c r="B785">
        <v>20</v>
      </c>
      <c r="C785" t="s">
        <v>18</v>
      </c>
      <c r="D785" t="s">
        <v>19</v>
      </c>
      <c r="E785">
        <f t="shared" ca="1" si="11"/>
        <v>798547764.60138226</v>
      </c>
    </row>
    <row r="786" spans="1:5" hidden="1" x14ac:dyDescent="0.25">
      <c r="A786">
        <v>19</v>
      </c>
      <c r="B786">
        <v>21</v>
      </c>
      <c r="C786" t="s">
        <v>18</v>
      </c>
      <c r="D786" t="s">
        <v>20</v>
      </c>
      <c r="E786">
        <f t="shared" ca="1" si="11"/>
        <v>569630375.8013823</v>
      </c>
    </row>
    <row r="787" spans="1:5" hidden="1" x14ac:dyDescent="0.25">
      <c r="A787">
        <v>19</v>
      </c>
      <c r="B787">
        <v>22</v>
      </c>
      <c r="C787" t="s">
        <v>18</v>
      </c>
      <c r="D787" t="s">
        <v>21</v>
      </c>
      <c r="E787">
        <f t="shared" ca="1" si="11"/>
        <v>228000476.70017338</v>
      </c>
    </row>
    <row r="788" spans="1:5" hidden="1" x14ac:dyDescent="0.25">
      <c r="A788">
        <v>19</v>
      </c>
      <c r="B788">
        <v>23</v>
      </c>
      <c r="C788" t="s">
        <v>18</v>
      </c>
      <c r="D788" t="s">
        <v>22</v>
      </c>
      <c r="E788">
        <f t="shared" ca="1" si="11"/>
        <v>178707544.17828614</v>
      </c>
    </row>
    <row r="789" spans="1:5" hidden="1" x14ac:dyDescent="0.25">
      <c r="A789">
        <v>19</v>
      </c>
      <c r="B789">
        <v>24</v>
      </c>
      <c r="C789" t="s">
        <v>18</v>
      </c>
      <c r="D789" t="s">
        <v>23</v>
      </c>
      <c r="E789">
        <f t="shared" ca="1" si="11"/>
        <v>170359954.77828616</v>
      </c>
    </row>
    <row r="790" spans="1:5" hidden="1" x14ac:dyDescent="0.25">
      <c r="A790">
        <v>19</v>
      </c>
      <c r="B790">
        <v>25</v>
      </c>
      <c r="C790" t="s">
        <v>18</v>
      </c>
      <c r="D790" t="s">
        <v>24</v>
      </c>
      <c r="E790">
        <f t="shared" ca="1" si="11"/>
        <v>111648341.67828615</v>
      </c>
    </row>
    <row r="791" spans="1:5" hidden="1" x14ac:dyDescent="0.25">
      <c r="A791">
        <v>19</v>
      </c>
      <c r="B791">
        <v>26</v>
      </c>
      <c r="C791" t="s">
        <v>18</v>
      </c>
      <c r="D791" t="s">
        <v>25</v>
      </c>
      <c r="E791">
        <f t="shared" ca="1" si="11"/>
        <v>343051144.85892248</v>
      </c>
    </row>
    <row r="792" spans="1:5" hidden="1" x14ac:dyDescent="0.25">
      <c r="A792">
        <v>19</v>
      </c>
      <c r="B792">
        <v>27</v>
      </c>
      <c r="C792" t="s">
        <v>18</v>
      </c>
      <c r="D792" t="s">
        <v>145</v>
      </c>
      <c r="E792">
        <f t="shared" ca="1" si="11"/>
        <v>1208705447.7613821</v>
      </c>
    </row>
    <row r="793" spans="1:5" hidden="1" x14ac:dyDescent="0.25">
      <c r="A793">
        <v>19</v>
      </c>
      <c r="B793">
        <v>28</v>
      </c>
      <c r="C793" t="s">
        <v>18</v>
      </c>
      <c r="D793" t="s">
        <v>147</v>
      </c>
      <c r="E793">
        <f t="shared" ca="1" si="11"/>
        <v>746296743.16290188</v>
      </c>
    </row>
    <row r="794" spans="1:5" hidden="1" x14ac:dyDescent="0.25">
      <c r="A794">
        <v>19</v>
      </c>
      <c r="B794">
        <v>29</v>
      </c>
      <c r="C794" t="s">
        <v>18</v>
      </c>
      <c r="D794" t="s">
        <v>146</v>
      </c>
      <c r="E794">
        <f t="shared" ca="1" si="11"/>
        <v>142923042.98628616</v>
      </c>
    </row>
    <row r="795" spans="1:5" hidden="1" x14ac:dyDescent="0.25">
      <c r="A795">
        <v>19</v>
      </c>
      <c r="B795">
        <v>30</v>
      </c>
      <c r="C795" t="s">
        <v>18</v>
      </c>
      <c r="D795" t="s">
        <v>30</v>
      </c>
      <c r="E795">
        <f t="shared" ca="1" si="11"/>
        <v>379218380.01447916</v>
      </c>
    </row>
    <row r="796" spans="1:5" hidden="1" x14ac:dyDescent="0.25">
      <c r="A796">
        <v>19</v>
      </c>
      <c r="B796">
        <v>31</v>
      </c>
      <c r="C796" t="s">
        <v>18</v>
      </c>
      <c r="D796" t="s">
        <v>31</v>
      </c>
      <c r="E796">
        <f t="shared" ref="E796:E858" ca="1" si="12">OFFSET($B$2,A796,B796)</f>
        <v>8135358.5051007289</v>
      </c>
    </row>
    <row r="797" spans="1:5" hidden="1" x14ac:dyDescent="0.25">
      <c r="A797">
        <v>19</v>
      </c>
      <c r="B797">
        <v>32</v>
      </c>
      <c r="C797" t="s">
        <v>18</v>
      </c>
      <c r="D797" t="s">
        <v>32</v>
      </c>
      <c r="E797">
        <f t="shared" ca="1" si="12"/>
        <v>87038978.869100735</v>
      </c>
    </row>
    <row r="798" spans="1:5" hidden="1" x14ac:dyDescent="0.25">
      <c r="A798">
        <v>19</v>
      </c>
      <c r="B798">
        <v>33</v>
      </c>
      <c r="C798" t="s">
        <v>18</v>
      </c>
      <c r="D798" t="s">
        <v>33</v>
      </c>
      <c r="E798">
        <f t="shared" ca="1" si="12"/>
        <v>3448912976.4735155</v>
      </c>
    </row>
    <row r="799" spans="1:5" hidden="1" x14ac:dyDescent="0.25">
      <c r="A799">
        <v>19</v>
      </c>
      <c r="B799">
        <v>34</v>
      </c>
      <c r="C799" t="s">
        <v>18</v>
      </c>
      <c r="D799" t="s">
        <v>34</v>
      </c>
      <c r="E799">
        <f t="shared" ca="1" si="12"/>
        <v>2819178367.5455155</v>
      </c>
    </row>
    <row r="800" spans="1:5" hidden="1" x14ac:dyDescent="0.25">
      <c r="A800">
        <v>19</v>
      </c>
      <c r="B800">
        <v>35</v>
      </c>
      <c r="C800" t="s">
        <v>18</v>
      </c>
      <c r="D800" t="s">
        <v>35</v>
      </c>
      <c r="E800">
        <f t="shared" ca="1" si="12"/>
        <v>766200502.59505224</v>
      </c>
    </row>
    <row r="801" spans="1:5" hidden="1" x14ac:dyDescent="0.25">
      <c r="A801">
        <v>19</v>
      </c>
      <c r="B801">
        <v>36</v>
      </c>
      <c r="C801" t="s">
        <v>18</v>
      </c>
      <c r="D801" t="s">
        <v>36</v>
      </c>
      <c r="E801">
        <f t="shared" ca="1" si="12"/>
        <v>191012019.55714834</v>
      </c>
    </row>
    <row r="802" spans="1:5" hidden="1" x14ac:dyDescent="0.25">
      <c r="A802">
        <v>19</v>
      </c>
      <c r="B802">
        <v>37</v>
      </c>
      <c r="C802" t="s">
        <v>18</v>
      </c>
      <c r="D802" t="s">
        <v>37</v>
      </c>
      <c r="E802">
        <f t="shared" ca="1" si="12"/>
        <v>26096331.723872628</v>
      </c>
    </row>
    <row r="803" spans="1:5" hidden="1" x14ac:dyDescent="0.25">
      <c r="A803">
        <v>19</v>
      </c>
      <c r="B803">
        <v>38</v>
      </c>
      <c r="C803" t="s">
        <v>18</v>
      </c>
      <c r="D803" t="s">
        <v>38</v>
      </c>
      <c r="E803">
        <f t="shared" ca="1" si="12"/>
        <v>138353681.87714833</v>
      </c>
    </row>
    <row r="804" spans="1:5" hidden="1" x14ac:dyDescent="0.25">
      <c r="A804">
        <v>19</v>
      </c>
      <c r="B804">
        <v>39</v>
      </c>
      <c r="C804" t="s">
        <v>18</v>
      </c>
      <c r="D804" t="s">
        <v>39</v>
      </c>
      <c r="E804">
        <f t="shared" ca="1" si="12"/>
        <v>143960164.63494378</v>
      </c>
    </row>
    <row r="805" spans="1:5" hidden="1" x14ac:dyDescent="0.25">
      <c r="A805">
        <v>19</v>
      </c>
      <c r="B805">
        <v>40</v>
      </c>
      <c r="C805" t="s">
        <v>18</v>
      </c>
      <c r="D805" t="s">
        <v>40</v>
      </c>
      <c r="E805">
        <f t="shared" ca="1" si="12"/>
        <v>183062548.68387264</v>
      </c>
    </row>
    <row r="806" spans="1:5" hidden="1" x14ac:dyDescent="0.25">
      <c r="A806">
        <v>20</v>
      </c>
      <c r="B806">
        <v>1</v>
      </c>
      <c r="C806" t="s">
        <v>19</v>
      </c>
      <c r="D806" t="s">
        <v>0</v>
      </c>
      <c r="E806">
        <f t="shared" ca="1" si="12"/>
        <v>989089495.65785992</v>
      </c>
    </row>
    <row r="807" spans="1:5" hidden="1" x14ac:dyDescent="0.25">
      <c r="A807">
        <v>20</v>
      </c>
      <c r="B807">
        <v>2</v>
      </c>
      <c r="C807" t="s">
        <v>19</v>
      </c>
      <c r="D807" t="s">
        <v>1</v>
      </c>
      <c r="E807">
        <f t="shared" ca="1" si="12"/>
        <v>865558027.09643137</v>
      </c>
    </row>
    <row r="808" spans="1:5" hidden="1" x14ac:dyDescent="0.25">
      <c r="A808">
        <v>20</v>
      </c>
      <c r="B808">
        <v>3</v>
      </c>
      <c r="C808" t="s">
        <v>19</v>
      </c>
      <c r="D808" t="s">
        <v>2</v>
      </c>
      <c r="E808">
        <f t="shared" ca="1" si="12"/>
        <v>980189357.80333602</v>
      </c>
    </row>
    <row r="809" spans="1:5" hidden="1" x14ac:dyDescent="0.25">
      <c r="A809">
        <v>20</v>
      </c>
      <c r="B809">
        <v>4</v>
      </c>
      <c r="C809" t="s">
        <v>19</v>
      </c>
      <c r="D809" t="s">
        <v>3</v>
      </c>
      <c r="E809">
        <f t="shared" ca="1" si="12"/>
        <v>949252578.90999544</v>
      </c>
    </row>
    <row r="810" spans="1:5" hidden="1" x14ac:dyDescent="0.25">
      <c r="A810">
        <v>20</v>
      </c>
      <c r="B810">
        <v>5</v>
      </c>
      <c r="C810" t="s">
        <v>19</v>
      </c>
      <c r="D810" t="s">
        <v>4</v>
      </c>
      <c r="E810">
        <f t="shared" ca="1" si="12"/>
        <v>731431609.73789644</v>
      </c>
    </row>
    <row r="811" spans="1:5" hidden="1" x14ac:dyDescent="0.25">
      <c r="A811">
        <v>20</v>
      </c>
      <c r="B811">
        <v>6</v>
      </c>
      <c r="C811" t="s">
        <v>19</v>
      </c>
      <c r="D811" t="s">
        <v>5</v>
      </c>
      <c r="E811">
        <f t="shared" ca="1" si="12"/>
        <v>850888383.50075352</v>
      </c>
    </row>
    <row r="812" spans="1:5" hidden="1" x14ac:dyDescent="0.25">
      <c r="A812">
        <v>20</v>
      </c>
      <c r="B812">
        <v>7</v>
      </c>
      <c r="C812" t="s">
        <v>19</v>
      </c>
      <c r="D812" t="s">
        <v>6</v>
      </c>
      <c r="E812">
        <f t="shared" ca="1" si="12"/>
        <v>712199385.96646786</v>
      </c>
    </row>
    <row r="813" spans="1:5" hidden="1" x14ac:dyDescent="0.25">
      <c r="A813">
        <v>20</v>
      </c>
      <c r="B813">
        <v>8</v>
      </c>
      <c r="C813" t="s">
        <v>19</v>
      </c>
      <c r="D813" t="s">
        <v>7</v>
      </c>
      <c r="E813">
        <f t="shared" ca="1" si="12"/>
        <v>866316391.45342398</v>
      </c>
    </row>
    <row r="814" spans="1:5" hidden="1" x14ac:dyDescent="0.25">
      <c r="A814">
        <v>20</v>
      </c>
      <c r="B814">
        <v>9</v>
      </c>
      <c r="C814" t="s">
        <v>19</v>
      </c>
      <c r="D814" t="s">
        <v>148</v>
      </c>
      <c r="E814">
        <f t="shared" ca="1" si="12"/>
        <v>856428869.39643145</v>
      </c>
    </row>
    <row r="815" spans="1:5" hidden="1" x14ac:dyDescent="0.25">
      <c r="A815">
        <v>20</v>
      </c>
      <c r="B815">
        <v>10</v>
      </c>
      <c r="C815" t="s">
        <v>19</v>
      </c>
      <c r="D815" t="s">
        <v>9</v>
      </c>
      <c r="E815">
        <f t="shared" ca="1" si="12"/>
        <v>778767386.7978965</v>
      </c>
    </row>
    <row r="816" spans="1:5" hidden="1" x14ac:dyDescent="0.25">
      <c r="A816">
        <v>20</v>
      </c>
      <c r="B816">
        <v>11</v>
      </c>
      <c r="C816" t="s">
        <v>19</v>
      </c>
      <c r="D816" t="s">
        <v>10</v>
      </c>
      <c r="E816">
        <f t="shared" ca="1" si="12"/>
        <v>730350690.22021306</v>
      </c>
    </row>
    <row r="817" spans="1:5" hidden="1" x14ac:dyDescent="0.25">
      <c r="A817">
        <v>20</v>
      </c>
      <c r="B817">
        <v>12</v>
      </c>
      <c r="C817" t="s">
        <v>19</v>
      </c>
      <c r="D817" t="s">
        <v>11</v>
      </c>
      <c r="E817">
        <f t="shared" ca="1" si="12"/>
        <v>594868432.80570829</v>
      </c>
    </row>
    <row r="818" spans="1:5" hidden="1" x14ac:dyDescent="0.25">
      <c r="A818">
        <v>20</v>
      </c>
      <c r="B818">
        <v>13</v>
      </c>
      <c r="C818" t="s">
        <v>19</v>
      </c>
      <c r="D818" t="s">
        <v>12</v>
      </c>
      <c r="E818">
        <f t="shared" ca="1" si="12"/>
        <v>547207077.70335746</v>
      </c>
    </row>
    <row r="819" spans="1:5" hidden="1" x14ac:dyDescent="0.25">
      <c r="A819">
        <v>20</v>
      </c>
      <c r="B819">
        <v>14</v>
      </c>
      <c r="C819" t="s">
        <v>19</v>
      </c>
      <c r="D819" t="s">
        <v>13</v>
      </c>
      <c r="E819">
        <f t="shared" ca="1" si="12"/>
        <v>587329953.09535754</v>
      </c>
    </row>
    <row r="820" spans="1:5" hidden="1" x14ac:dyDescent="0.25">
      <c r="A820">
        <v>20</v>
      </c>
      <c r="B820">
        <v>15</v>
      </c>
      <c r="C820" t="s">
        <v>19</v>
      </c>
      <c r="D820" t="s">
        <v>14</v>
      </c>
      <c r="E820">
        <f t="shared" ca="1" si="12"/>
        <v>101836461703.58255</v>
      </c>
    </row>
    <row r="821" spans="1:5" hidden="1" x14ac:dyDescent="0.25">
      <c r="A821">
        <v>20</v>
      </c>
      <c r="B821">
        <v>16</v>
      </c>
      <c r="C821" t="s">
        <v>19</v>
      </c>
      <c r="D821" t="s">
        <v>15</v>
      </c>
      <c r="E821">
        <f t="shared" ca="1" si="12"/>
        <v>1126335073.1352983</v>
      </c>
    </row>
    <row r="822" spans="1:5" hidden="1" x14ac:dyDescent="0.25">
      <c r="A822">
        <v>20</v>
      </c>
      <c r="B822">
        <v>17</v>
      </c>
      <c r="C822" t="s">
        <v>19</v>
      </c>
      <c r="D822" t="s">
        <v>16</v>
      </c>
      <c r="E822">
        <f t="shared" ca="1" si="12"/>
        <v>1067801284.4175502</v>
      </c>
    </row>
    <row r="823" spans="1:5" hidden="1" x14ac:dyDescent="0.25">
      <c r="A823">
        <v>20</v>
      </c>
      <c r="B823">
        <v>18</v>
      </c>
      <c r="C823" t="s">
        <v>19</v>
      </c>
      <c r="D823" t="s">
        <v>17</v>
      </c>
      <c r="E823">
        <f t="shared" ca="1" si="12"/>
        <v>1119748066.0432982</v>
      </c>
    </row>
    <row r="824" spans="1:5" hidden="1" x14ac:dyDescent="0.25">
      <c r="A824">
        <v>20</v>
      </c>
      <c r="B824">
        <v>19</v>
      </c>
      <c r="C824" t="s">
        <v>19</v>
      </c>
      <c r="D824" t="s">
        <v>18</v>
      </c>
      <c r="E824">
        <f t="shared" ca="1" si="12"/>
        <v>798547764.60138226</v>
      </c>
    </row>
    <row r="825" spans="1:5" hidden="1" x14ac:dyDescent="0.25">
      <c r="A825">
        <v>20</v>
      </c>
      <c r="B825">
        <v>20</v>
      </c>
      <c r="C825" t="s">
        <v>19</v>
      </c>
      <c r="D825" t="s">
        <v>19</v>
      </c>
      <c r="E825">
        <f t="shared" ca="1" si="12"/>
        <v>0</v>
      </c>
    </row>
    <row r="826" spans="1:5" hidden="1" x14ac:dyDescent="0.25">
      <c r="A826">
        <v>20</v>
      </c>
      <c r="B826">
        <v>21</v>
      </c>
      <c r="C826" t="s">
        <v>19</v>
      </c>
      <c r="D826" t="s">
        <v>20</v>
      </c>
      <c r="E826">
        <f t="shared" ca="1" si="12"/>
        <v>302759213.44172782</v>
      </c>
    </row>
    <row r="827" spans="1:5" hidden="1" x14ac:dyDescent="0.25">
      <c r="A827">
        <v>20</v>
      </c>
      <c r="B827">
        <v>22</v>
      </c>
      <c r="C827" t="s">
        <v>19</v>
      </c>
      <c r="D827" t="s">
        <v>21</v>
      </c>
      <c r="E827">
        <f t="shared" ca="1" si="12"/>
        <v>653970143.12344241</v>
      </c>
    </row>
    <row r="828" spans="1:5" hidden="1" x14ac:dyDescent="0.25">
      <c r="A828">
        <v>20</v>
      </c>
      <c r="B828">
        <v>23</v>
      </c>
      <c r="C828" t="s">
        <v>19</v>
      </c>
      <c r="D828" t="s">
        <v>22</v>
      </c>
      <c r="E828">
        <f t="shared" ca="1" si="12"/>
        <v>522821710.12542826</v>
      </c>
    </row>
    <row r="829" spans="1:5" hidden="1" x14ac:dyDescent="0.25">
      <c r="A829">
        <v>20</v>
      </c>
      <c r="B829">
        <v>24</v>
      </c>
      <c r="C829" t="s">
        <v>19</v>
      </c>
      <c r="D829" t="s">
        <v>23</v>
      </c>
      <c r="E829">
        <f t="shared" ca="1" si="12"/>
        <v>514474120.72542822</v>
      </c>
    </row>
    <row r="830" spans="1:5" hidden="1" x14ac:dyDescent="0.25">
      <c r="A830">
        <v>20</v>
      </c>
      <c r="B830">
        <v>25</v>
      </c>
      <c r="C830" t="s">
        <v>19</v>
      </c>
      <c r="D830" t="s">
        <v>24</v>
      </c>
      <c r="E830">
        <f t="shared" ca="1" si="12"/>
        <v>455762507.62542826</v>
      </c>
    </row>
    <row r="831" spans="1:5" hidden="1" x14ac:dyDescent="0.25">
      <c r="A831">
        <v>20</v>
      </c>
      <c r="B831">
        <v>26</v>
      </c>
      <c r="C831" t="s">
        <v>19</v>
      </c>
      <c r="D831" t="s">
        <v>25</v>
      </c>
      <c r="E831">
        <f t="shared" ca="1" si="12"/>
        <v>1002976312.5710614</v>
      </c>
    </row>
    <row r="832" spans="1:5" hidden="1" x14ac:dyDescent="0.25">
      <c r="A832">
        <v>20</v>
      </c>
      <c r="B832">
        <v>27</v>
      </c>
      <c r="C832" t="s">
        <v>19</v>
      </c>
      <c r="D832" t="s">
        <v>145</v>
      </c>
      <c r="E832">
        <f t="shared" ca="1" si="12"/>
        <v>774912205.27199996</v>
      </c>
    </row>
    <row r="833" spans="1:5" hidden="1" x14ac:dyDescent="0.25">
      <c r="A833">
        <v>20</v>
      </c>
      <c r="B833">
        <v>28</v>
      </c>
      <c r="C833" t="s">
        <v>19</v>
      </c>
      <c r="D833" t="s">
        <v>147</v>
      </c>
      <c r="E833">
        <f t="shared" ca="1" si="12"/>
        <v>833924873.12344241</v>
      </c>
    </row>
    <row r="834" spans="1:5" hidden="1" x14ac:dyDescent="0.25">
      <c r="A834">
        <v>20</v>
      </c>
      <c r="B834">
        <v>29</v>
      </c>
      <c r="C834" t="s">
        <v>19</v>
      </c>
      <c r="D834" t="s">
        <v>146</v>
      </c>
      <c r="E834">
        <f t="shared" ca="1" si="12"/>
        <v>487037208.93342829</v>
      </c>
    </row>
    <row r="835" spans="1:5" hidden="1" x14ac:dyDescent="0.25">
      <c r="A835">
        <v>20</v>
      </c>
      <c r="B835">
        <v>30</v>
      </c>
      <c r="C835" t="s">
        <v>19</v>
      </c>
      <c r="D835" t="s">
        <v>30</v>
      </c>
      <c r="E835">
        <f t="shared" ca="1" si="12"/>
        <v>752670462.81056678</v>
      </c>
    </row>
    <row r="836" spans="1:5" hidden="1" x14ac:dyDescent="0.25">
      <c r="A836">
        <v>20</v>
      </c>
      <c r="B836">
        <v>31</v>
      </c>
      <c r="C836" t="s">
        <v>19</v>
      </c>
      <c r="D836" t="s">
        <v>31</v>
      </c>
      <c r="E836">
        <f t="shared" ca="1" si="12"/>
        <v>281879353.74776113</v>
      </c>
    </row>
    <row r="837" spans="1:5" hidden="1" x14ac:dyDescent="0.25">
      <c r="A837">
        <v>20</v>
      </c>
      <c r="B837">
        <v>32</v>
      </c>
      <c r="C837" t="s">
        <v>19</v>
      </c>
      <c r="D837" t="s">
        <v>32</v>
      </c>
      <c r="E837">
        <f t="shared" ca="1" si="12"/>
        <v>211142220.63599998</v>
      </c>
    </row>
    <row r="838" spans="1:5" hidden="1" x14ac:dyDescent="0.25">
      <c r="A838">
        <v>20</v>
      </c>
      <c r="B838">
        <v>33</v>
      </c>
      <c r="C838" t="s">
        <v>19</v>
      </c>
      <c r="D838" t="s">
        <v>33</v>
      </c>
      <c r="E838">
        <f t="shared" ca="1" si="12"/>
        <v>3019405349.3079367</v>
      </c>
    </row>
    <row r="839" spans="1:5" hidden="1" x14ac:dyDescent="0.25">
      <c r="A839">
        <v>20</v>
      </c>
      <c r="B839">
        <v>34</v>
      </c>
      <c r="C839" t="s">
        <v>19</v>
      </c>
      <c r="D839" t="s">
        <v>34</v>
      </c>
      <c r="E839">
        <f t="shared" ca="1" si="12"/>
        <v>2389670740.3799367</v>
      </c>
    </row>
    <row r="840" spans="1:5" hidden="1" x14ac:dyDescent="0.25">
      <c r="A840">
        <v>20</v>
      </c>
      <c r="B840">
        <v>35</v>
      </c>
      <c r="C840" t="s">
        <v>19</v>
      </c>
      <c r="D840" t="s">
        <v>35</v>
      </c>
      <c r="E840">
        <f t="shared" ca="1" si="12"/>
        <v>753535741.15243137</v>
      </c>
    </row>
    <row r="841" spans="1:5" hidden="1" x14ac:dyDescent="0.25">
      <c r="A841">
        <v>20</v>
      </c>
      <c r="B841">
        <v>36</v>
      </c>
      <c r="C841" t="s">
        <v>19</v>
      </c>
      <c r="D841" t="s">
        <v>36</v>
      </c>
      <c r="E841">
        <f t="shared" ca="1" si="12"/>
        <v>420211749.07125843</v>
      </c>
    </row>
    <row r="842" spans="1:5" hidden="1" x14ac:dyDescent="0.25">
      <c r="A842">
        <v>20</v>
      </c>
      <c r="B842">
        <v>37</v>
      </c>
      <c r="C842" t="s">
        <v>19</v>
      </c>
      <c r="D842" t="s">
        <v>37</v>
      </c>
      <c r="E842">
        <f t="shared" ca="1" si="12"/>
        <v>326218076.56172609</v>
      </c>
    </row>
    <row r="843" spans="1:5" hidden="1" x14ac:dyDescent="0.25">
      <c r="A843">
        <v>20</v>
      </c>
      <c r="B843">
        <v>38</v>
      </c>
      <c r="C843" t="s">
        <v>19</v>
      </c>
      <c r="D843" t="s">
        <v>38</v>
      </c>
      <c r="E843">
        <f t="shared" ca="1" si="12"/>
        <v>367553411.39125842</v>
      </c>
    </row>
    <row r="844" spans="1:5" hidden="1" x14ac:dyDescent="0.25">
      <c r="A844">
        <v>20</v>
      </c>
      <c r="B844">
        <v>39</v>
      </c>
      <c r="C844" t="s">
        <v>19</v>
      </c>
      <c r="D844" t="s">
        <v>39</v>
      </c>
      <c r="E844">
        <f t="shared" ca="1" si="12"/>
        <v>554977844.46318543</v>
      </c>
    </row>
    <row r="845" spans="1:5" hidden="1" x14ac:dyDescent="0.25">
      <c r="A845">
        <v>20</v>
      </c>
      <c r="B845">
        <v>40</v>
      </c>
      <c r="C845" t="s">
        <v>19</v>
      </c>
      <c r="D845" t="s">
        <v>40</v>
      </c>
      <c r="E845">
        <f t="shared" ca="1" si="12"/>
        <v>483184293.52172613</v>
      </c>
    </row>
    <row r="846" spans="1:5" hidden="1" x14ac:dyDescent="0.25">
      <c r="A846">
        <v>21</v>
      </c>
      <c r="B846">
        <v>1</v>
      </c>
      <c r="C846" t="s">
        <v>20</v>
      </c>
      <c r="D846" t="s">
        <v>0</v>
      </c>
      <c r="E846">
        <f t="shared" ca="1" si="12"/>
        <v>1025531526.7900378</v>
      </c>
    </row>
    <row r="847" spans="1:5" hidden="1" x14ac:dyDescent="0.25">
      <c r="A847">
        <v>21</v>
      </c>
      <c r="B847">
        <v>2</v>
      </c>
      <c r="C847" t="s">
        <v>20</v>
      </c>
      <c r="D847" t="s">
        <v>1</v>
      </c>
      <c r="E847">
        <f t="shared" ca="1" si="12"/>
        <v>902000058.22860909</v>
      </c>
    </row>
    <row r="848" spans="1:5" hidden="1" x14ac:dyDescent="0.25">
      <c r="A848">
        <v>21</v>
      </c>
      <c r="B848">
        <v>3</v>
      </c>
      <c r="C848" t="s">
        <v>20</v>
      </c>
      <c r="D848" t="s">
        <v>2</v>
      </c>
      <c r="E848">
        <f t="shared" ca="1" si="12"/>
        <v>584854501.82747746</v>
      </c>
    </row>
    <row r="849" spans="1:5" hidden="1" x14ac:dyDescent="0.25">
      <c r="A849">
        <v>21</v>
      </c>
      <c r="B849">
        <v>4</v>
      </c>
      <c r="C849" t="s">
        <v>20</v>
      </c>
      <c r="D849" t="s">
        <v>3</v>
      </c>
      <c r="E849">
        <f t="shared" ca="1" si="12"/>
        <v>326925874.49606782</v>
      </c>
    </row>
    <row r="850" spans="1:5" hidden="1" x14ac:dyDescent="0.25">
      <c r="A850">
        <v>21</v>
      </c>
      <c r="B850">
        <v>5</v>
      </c>
      <c r="C850" t="s">
        <v>20</v>
      </c>
      <c r="D850" t="s">
        <v>4</v>
      </c>
      <c r="E850">
        <f t="shared" ca="1" si="12"/>
        <v>449485085.56137317</v>
      </c>
    </row>
    <row r="851" spans="1:5" hidden="1" x14ac:dyDescent="0.25">
      <c r="A851">
        <v>21</v>
      </c>
      <c r="B851">
        <v>6</v>
      </c>
      <c r="C851" t="s">
        <v>20</v>
      </c>
      <c r="D851" t="s">
        <v>5</v>
      </c>
      <c r="E851">
        <f t="shared" ca="1" si="12"/>
        <v>568941859.32423031</v>
      </c>
    </row>
    <row r="852" spans="1:5" hidden="1" x14ac:dyDescent="0.25">
      <c r="A852">
        <v>21</v>
      </c>
      <c r="B852">
        <v>7</v>
      </c>
      <c r="C852" t="s">
        <v>20</v>
      </c>
      <c r="D852" t="s">
        <v>6</v>
      </c>
      <c r="E852">
        <f t="shared" ca="1" si="12"/>
        <v>430252861.78994459</v>
      </c>
    </row>
    <row r="853" spans="1:5" hidden="1" x14ac:dyDescent="0.25">
      <c r="A853">
        <v>21</v>
      </c>
      <c r="B853">
        <v>8</v>
      </c>
      <c r="C853" t="s">
        <v>20</v>
      </c>
      <c r="D853" t="s">
        <v>7</v>
      </c>
      <c r="E853">
        <f t="shared" ca="1" si="12"/>
        <v>243989687.03949636</v>
      </c>
    </row>
    <row r="854" spans="1:5" hidden="1" x14ac:dyDescent="0.25">
      <c r="A854">
        <v>21</v>
      </c>
      <c r="B854">
        <v>9</v>
      </c>
      <c r="C854" t="s">
        <v>20</v>
      </c>
      <c r="D854" t="s">
        <v>148</v>
      </c>
      <c r="E854">
        <f t="shared" ca="1" si="12"/>
        <v>892870900.52860916</v>
      </c>
    </row>
    <row r="855" spans="1:5" hidden="1" x14ac:dyDescent="0.25">
      <c r="A855">
        <v>21</v>
      </c>
      <c r="B855">
        <v>10</v>
      </c>
      <c r="C855" t="s">
        <v>20</v>
      </c>
      <c r="D855" t="s">
        <v>9</v>
      </c>
      <c r="E855">
        <f t="shared" ca="1" si="12"/>
        <v>496820862.62137318</v>
      </c>
    </row>
    <row r="856" spans="1:5" hidden="1" x14ac:dyDescent="0.25">
      <c r="A856">
        <v>21</v>
      </c>
      <c r="B856">
        <v>11</v>
      </c>
      <c r="C856" t="s">
        <v>20</v>
      </c>
      <c r="D856" t="s">
        <v>10</v>
      </c>
      <c r="E856">
        <f t="shared" ca="1" si="12"/>
        <v>380517805.52891582</v>
      </c>
    </row>
    <row r="857" spans="1:5" hidden="1" x14ac:dyDescent="0.25">
      <c r="A857">
        <v>21</v>
      </c>
      <c r="B857">
        <v>12</v>
      </c>
      <c r="C857" t="s">
        <v>20</v>
      </c>
      <c r="D857" t="s">
        <v>11</v>
      </c>
      <c r="E857">
        <f t="shared" ca="1" si="12"/>
        <v>337191211.23469025</v>
      </c>
    </row>
    <row r="858" spans="1:5" hidden="1" x14ac:dyDescent="0.25">
      <c r="A858">
        <v>21</v>
      </c>
      <c r="B858">
        <v>13</v>
      </c>
      <c r="C858" t="s">
        <v>20</v>
      </c>
      <c r="D858" t="s">
        <v>12</v>
      </c>
      <c r="E858">
        <f t="shared" ca="1" si="12"/>
        <v>225890124.54641587</v>
      </c>
    </row>
    <row r="859" spans="1:5" hidden="1" x14ac:dyDescent="0.25">
      <c r="A859">
        <v>21</v>
      </c>
      <c r="B859">
        <v>14</v>
      </c>
      <c r="C859" t="s">
        <v>20</v>
      </c>
      <c r="D859" t="s">
        <v>13</v>
      </c>
      <c r="E859">
        <f t="shared" ref="E859:E920" ca="1" si="13">OFFSET($B$2,A859,B859)</f>
        <v>266012999.93841586</v>
      </c>
    </row>
    <row r="860" spans="1:5" hidden="1" x14ac:dyDescent="0.25">
      <c r="A860">
        <v>21</v>
      </c>
      <c r="B860">
        <v>15</v>
      </c>
      <c r="C860" t="s">
        <v>20</v>
      </c>
      <c r="D860" t="s">
        <v>14</v>
      </c>
      <c r="E860">
        <f t="shared" ca="1" si="13"/>
        <v>482254155.26582718</v>
      </c>
    </row>
    <row r="861" spans="1:5" hidden="1" x14ac:dyDescent="0.25">
      <c r="A861">
        <v>21</v>
      </c>
      <c r="B861">
        <v>16</v>
      </c>
      <c r="C861" t="s">
        <v>20</v>
      </c>
      <c r="D861" t="s">
        <v>15</v>
      </c>
      <c r="E861">
        <f t="shared" ca="1" si="13"/>
        <v>428605444.51321155</v>
      </c>
    </row>
    <row r="862" spans="1:5" hidden="1" x14ac:dyDescent="0.25">
      <c r="A862">
        <v>21</v>
      </c>
      <c r="B862">
        <v>17</v>
      </c>
      <c r="C862" t="s">
        <v>20</v>
      </c>
      <c r="D862" t="s">
        <v>16</v>
      </c>
      <c r="E862">
        <f t="shared" ca="1" si="13"/>
        <v>923778687.37454462</v>
      </c>
    </row>
    <row r="863" spans="1:5" hidden="1" x14ac:dyDescent="0.25">
      <c r="A863">
        <v>21</v>
      </c>
      <c r="B863">
        <v>18</v>
      </c>
      <c r="C863" t="s">
        <v>20</v>
      </c>
      <c r="D863" t="s">
        <v>17</v>
      </c>
      <c r="E863">
        <f t="shared" ca="1" si="13"/>
        <v>422018437.4212116</v>
      </c>
    </row>
    <row r="864" spans="1:5" hidden="1" x14ac:dyDescent="0.25">
      <c r="A864">
        <v>21</v>
      </c>
      <c r="B864">
        <v>19</v>
      </c>
      <c r="C864" t="s">
        <v>20</v>
      </c>
      <c r="D864" t="s">
        <v>18</v>
      </c>
      <c r="E864">
        <f t="shared" ca="1" si="13"/>
        <v>569630375.8013823</v>
      </c>
    </row>
    <row r="865" spans="1:5" hidden="1" x14ac:dyDescent="0.25">
      <c r="A865">
        <v>21</v>
      </c>
      <c r="B865">
        <v>20</v>
      </c>
      <c r="C865" t="s">
        <v>20</v>
      </c>
      <c r="D865" t="s">
        <v>19</v>
      </c>
      <c r="E865">
        <f t="shared" ca="1" si="13"/>
        <v>302759213.44172782</v>
      </c>
    </row>
    <row r="866" spans="1:5" hidden="1" x14ac:dyDescent="0.25">
      <c r="A866">
        <v>21</v>
      </c>
      <c r="B866">
        <v>21</v>
      </c>
      <c r="C866" t="s">
        <v>20</v>
      </c>
      <c r="D866" t="s">
        <v>20</v>
      </c>
      <c r="E866">
        <f t="shared" ca="1" si="13"/>
        <v>0</v>
      </c>
    </row>
    <row r="867" spans="1:5" hidden="1" x14ac:dyDescent="0.25">
      <c r="A867">
        <v>21</v>
      </c>
      <c r="B867">
        <v>22</v>
      </c>
      <c r="C867" t="s">
        <v>20</v>
      </c>
      <c r="D867" t="s">
        <v>21</v>
      </c>
      <c r="E867">
        <f t="shared" ca="1" si="13"/>
        <v>797223554.1047883</v>
      </c>
    </row>
    <row r="868" spans="1:5" hidden="1" x14ac:dyDescent="0.25">
      <c r="A868">
        <v>21</v>
      </c>
      <c r="B868">
        <v>23</v>
      </c>
      <c r="C868" t="s">
        <v>20</v>
      </c>
      <c r="D868" t="s">
        <v>22</v>
      </c>
      <c r="E868">
        <f t="shared" ca="1" si="13"/>
        <v>383797861.3770107</v>
      </c>
    </row>
    <row r="869" spans="1:5" hidden="1" x14ac:dyDescent="0.25">
      <c r="A869">
        <v>21</v>
      </c>
      <c r="B869">
        <v>24</v>
      </c>
      <c r="C869" t="s">
        <v>20</v>
      </c>
      <c r="D869" t="s">
        <v>23</v>
      </c>
      <c r="E869">
        <f t="shared" ca="1" si="13"/>
        <v>375450271.97701073</v>
      </c>
    </row>
    <row r="870" spans="1:5" hidden="1" x14ac:dyDescent="0.25">
      <c r="A870">
        <v>21</v>
      </c>
      <c r="B870">
        <v>25</v>
      </c>
      <c r="C870" t="s">
        <v>20</v>
      </c>
      <c r="D870" t="s">
        <v>24</v>
      </c>
      <c r="E870">
        <f t="shared" ca="1" si="13"/>
        <v>316738658.8770107</v>
      </c>
    </row>
    <row r="871" spans="1:5" hidden="1" x14ac:dyDescent="0.25">
      <c r="A871">
        <v>21</v>
      </c>
      <c r="B871">
        <v>26</v>
      </c>
      <c r="C871" t="s">
        <v>20</v>
      </c>
      <c r="D871" t="s">
        <v>25</v>
      </c>
      <c r="E871">
        <f t="shared" ca="1" si="13"/>
        <v>555715079.14582717</v>
      </c>
    </row>
    <row r="872" spans="1:5" hidden="1" x14ac:dyDescent="0.25">
      <c r="A872">
        <v>21</v>
      </c>
      <c r="B872">
        <v>27</v>
      </c>
      <c r="C872" t="s">
        <v>20</v>
      </c>
      <c r="D872" t="s">
        <v>145</v>
      </c>
      <c r="E872">
        <f t="shared" ca="1" si="13"/>
        <v>939695005.20972776</v>
      </c>
    </row>
    <row r="873" spans="1:5" hidden="1" x14ac:dyDescent="0.25">
      <c r="A873">
        <v>21</v>
      </c>
      <c r="B873">
        <v>28</v>
      </c>
      <c r="C873" t="s">
        <v>20</v>
      </c>
      <c r="D873" t="s">
        <v>147</v>
      </c>
      <c r="E873">
        <f t="shared" ca="1" si="13"/>
        <v>977178284.1047883</v>
      </c>
    </row>
    <row r="874" spans="1:5" hidden="1" x14ac:dyDescent="0.25">
      <c r="A874">
        <v>21</v>
      </c>
      <c r="B874">
        <v>29</v>
      </c>
      <c r="C874" t="s">
        <v>20</v>
      </c>
      <c r="D874" t="s">
        <v>146</v>
      </c>
      <c r="E874">
        <f t="shared" ca="1" si="13"/>
        <v>348013360.18501067</v>
      </c>
    </row>
    <row r="875" spans="1:5" hidden="1" x14ac:dyDescent="0.25">
      <c r="A875">
        <v>21</v>
      </c>
      <c r="B875">
        <v>30</v>
      </c>
      <c r="C875" t="s">
        <v>20</v>
      </c>
      <c r="D875" t="s">
        <v>30</v>
      </c>
      <c r="E875">
        <f t="shared" ca="1" si="13"/>
        <v>357121867.00463921</v>
      </c>
    </row>
    <row r="876" spans="1:5" hidden="1" x14ac:dyDescent="0.25">
      <c r="A876">
        <v>21</v>
      </c>
      <c r="B876">
        <v>31</v>
      </c>
      <c r="C876" t="s">
        <v>20</v>
      </c>
      <c r="D876" t="s">
        <v>31</v>
      </c>
      <c r="E876">
        <f t="shared" ca="1" si="13"/>
        <v>247151224.76765832</v>
      </c>
    </row>
    <row r="877" spans="1:5" hidden="1" x14ac:dyDescent="0.25">
      <c r="A877">
        <v>21</v>
      </c>
      <c r="B877">
        <v>32</v>
      </c>
      <c r="C877" t="s">
        <v>20</v>
      </c>
      <c r="D877" t="s">
        <v>32</v>
      </c>
      <c r="E877">
        <f t="shared" ca="1" si="13"/>
        <v>326054845.13165832</v>
      </c>
    </row>
    <row r="878" spans="1:5" hidden="1" x14ac:dyDescent="0.25">
      <c r="A878">
        <v>21</v>
      </c>
      <c r="B878">
        <v>33</v>
      </c>
      <c r="C878" t="s">
        <v>20</v>
      </c>
      <c r="D878" t="s">
        <v>33</v>
      </c>
      <c r="E878">
        <f t="shared" ca="1" si="13"/>
        <v>3073596918.9834104</v>
      </c>
    </row>
    <row r="879" spans="1:5" hidden="1" x14ac:dyDescent="0.25">
      <c r="A879">
        <v>21</v>
      </c>
      <c r="B879">
        <v>34</v>
      </c>
      <c r="C879" t="s">
        <v>20</v>
      </c>
      <c r="D879" t="s">
        <v>34</v>
      </c>
      <c r="E879">
        <f t="shared" ca="1" si="13"/>
        <v>2443862310.0554104</v>
      </c>
    </row>
    <row r="880" spans="1:5" hidden="1" x14ac:dyDescent="0.25">
      <c r="A880">
        <v>21</v>
      </c>
      <c r="B880">
        <v>35</v>
      </c>
      <c r="C880" t="s">
        <v>20</v>
      </c>
      <c r="D880" t="s">
        <v>35</v>
      </c>
      <c r="E880">
        <f t="shared" ca="1" si="13"/>
        <v>413808167.2626276</v>
      </c>
    </row>
    <row r="881" spans="1:5" hidden="1" x14ac:dyDescent="0.25">
      <c r="A881">
        <v>21</v>
      </c>
      <c r="B881">
        <v>36</v>
      </c>
      <c r="C881" t="s">
        <v>20</v>
      </c>
      <c r="D881" t="s">
        <v>36</v>
      </c>
      <c r="E881">
        <f t="shared" ca="1" si="13"/>
        <v>297494142.01950121</v>
      </c>
    </row>
    <row r="882" spans="1:5" hidden="1" x14ac:dyDescent="0.25">
      <c r="A882">
        <v>21</v>
      </c>
      <c r="B882">
        <v>37</v>
      </c>
      <c r="C882" t="s">
        <v>20</v>
      </c>
      <c r="D882" t="s">
        <v>37</v>
      </c>
      <c r="E882">
        <f t="shared" ca="1" si="13"/>
        <v>278701413.58029974</v>
      </c>
    </row>
    <row r="883" spans="1:5" hidden="1" x14ac:dyDescent="0.25">
      <c r="A883">
        <v>21</v>
      </c>
      <c r="B883">
        <v>38</v>
      </c>
      <c r="C883" t="s">
        <v>20</v>
      </c>
      <c r="D883" t="s">
        <v>38</v>
      </c>
      <c r="E883">
        <f t="shared" ca="1" si="13"/>
        <v>244835804.3395012</v>
      </c>
    </row>
    <row r="884" spans="1:5" hidden="1" x14ac:dyDescent="0.25">
      <c r="A884">
        <v>21</v>
      </c>
      <c r="B884">
        <v>39</v>
      </c>
      <c r="C884" t="s">
        <v>20</v>
      </c>
      <c r="D884" t="s">
        <v>39</v>
      </c>
      <c r="E884">
        <f t="shared" ca="1" si="13"/>
        <v>441894696.80872822</v>
      </c>
    </row>
    <row r="885" spans="1:5" hidden="1" x14ac:dyDescent="0.25">
      <c r="A885">
        <v>21</v>
      </c>
      <c r="B885">
        <v>40</v>
      </c>
      <c r="C885" t="s">
        <v>20</v>
      </c>
      <c r="D885" t="s">
        <v>40</v>
      </c>
      <c r="E885">
        <f t="shared" ca="1" si="13"/>
        <v>435667630.54029977</v>
      </c>
    </row>
    <row r="886" spans="1:5" hidden="1" x14ac:dyDescent="0.25">
      <c r="A886">
        <v>22</v>
      </c>
      <c r="B886">
        <v>1</v>
      </c>
      <c r="C886" t="s">
        <v>21</v>
      </c>
      <c r="D886" t="s">
        <v>0</v>
      </c>
      <c r="E886">
        <f t="shared" ca="1" si="13"/>
        <v>4614606103.975503</v>
      </c>
    </row>
    <row r="887" spans="1:5" hidden="1" x14ac:dyDescent="0.25">
      <c r="A887">
        <v>22</v>
      </c>
      <c r="B887">
        <v>2</v>
      </c>
      <c r="C887" t="s">
        <v>21</v>
      </c>
      <c r="D887" t="s">
        <v>1</v>
      </c>
      <c r="E887">
        <f t="shared" ca="1" si="13"/>
        <v>4491074635.4140739</v>
      </c>
    </row>
    <row r="888" spans="1:5" hidden="1" x14ac:dyDescent="0.25">
      <c r="A888">
        <v>22</v>
      </c>
      <c r="B888">
        <v>3</v>
      </c>
      <c r="C888" t="s">
        <v>21</v>
      </c>
      <c r="D888" t="s">
        <v>2</v>
      </c>
      <c r="E888">
        <f t="shared" ca="1" si="13"/>
        <v>654613213.79361737</v>
      </c>
    </row>
    <row r="889" spans="1:5" hidden="1" x14ac:dyDescent="0.25">
      <c r="A889">
        <v>22</v>
      </c>
      <c r="B889">
        <v>4</v>
      </c>
      <c r="C889" t="s">
        <v>21</v>
      </c>
      <c r="D889" t="s">
        <v>3</v>
      </c>
      <c r="E889">
        <f t="shared" ca="1" si="13"/>
        <v>2976503483.6880198</v>
      </c>
    </row>
    <row r="890" spans="1:5" hidden="1" x14ac:dyDescent="0.25">
      <c r="A890">
        <v>22</v>
      </c>
      <c r="B890">
        <v>5</v>
      </c>
      <c r="C890" t="s">
        <v>21</v>
      </c>
      <c r="D890" t="s">
        <v>4</v>
      </c>
      <c r="E890">
        <f t="shared" ca="1" si="13"/>
        <v>2338005303.8041797</v>
      </c>
    </row>
    <row r="891" spans="1:5" hidden="1" x14ac:dyDescent="0.25">
      <c r="A891">
        <v>22</v>
      </c>
      <c r="B891">
        <v>6</v>
      </c>
      <c r="C891" t="s">
        <v>21</v>
      </c>
      <c r="D891" t="s">
        <v>5</v>
      </c>
      <c r="E891">
        <f t="shared" ca="1" si="13"/>
        <v>2457462077.5670371</v>
      </c>
    </row>
    <row r="892" spans="1:5" hidden="1" x14ac:dyDescent="0.25">
      <c r="A892">
        <v>22</v>
      </c>
      <c r="B892">
        <v>7</v>
      </c>
      <c r="C892" t="s">
        <v>21</v>
      </c>
      <c r="D892" t="s">
        <v>6</v>
      </c>
      <c r="E892">
        <f t="shared" ca="1" si="13"/>
        <v>2318773080.0327516</v>
      </c>
    </row>
    <row r="893" spans="1:5" hidden="1" x14ac:dyDescent="0.25">
      <c r="A893">
        <v>22</v>
      </c>
      <c r="B893">
        <v>8</v>
      </c>
      <c r="C893" t="s">
        <v>21</v>
      </c>
      <c r="D893" t="s">
        <v>7</v>
      </c>
      <c r="E893">
        <f t="shared" ca="1" si="13"/>
        <v>2893567296.2314482</v>
      </c>
    </row>
    <row r="894" spans="1:5" hidden="1" x14ac:dyDescent="0.25">
      <c r="A894">
        <v>22</v>
      </c>
      <c r="B894">
        <v>9</v>
      </c>
      <c r="C894" t="s">
        <v>21</v>
      </c>
      <c r="D894" t="s">
        <v>148</v>
      </c>
      <c r="E894">
        <f t="shared" ca="1" si="13"/>
        <v>4481945477.7140741</v>
      </c>
    </row>
    <row r="895" spans="1:5" hidden="1" x14ac:dyDescent="0.25">
      <c r="A895">
        <v>22</v>
      </c>
      <c r="B895">
        <v>10</v>
      </c>
      <c r="C895" t="s">
        <v>21</v>
      </c>
      <c r="D895" t="s">
        <v>9</v>
      </c>
      <c r="E895">
        <f t="shared" ca="1" si="13"/>
        <v>2385341080.8641796</v>
      </c>
    </row>
    <row r="896" spans="1:5" hidden="1" x14ac:dyDescent="0.25">
      <c r="A896">
        <v>22</v>
      </c>
      <c r="B896">
        <v>11</v>
      </c>
      <c r="C896" t="s">
        <v>21</v>
      </c>
      <c r="D896" t="s">
        <v>10</v>
      </c>
      <c r="E896">
        <f t="shared" ca="1" si="13"/>
        <v>653091164.24556112</v>
      </c>
    </row>
    <row r="897" spans="1:5" hidden="1" x14ac:dyDescent="0.25">
      <c r="A897">
        <v>22</v>
      </c>
      <c r="B897">
        <v>12</v>
      </c>
      <c r="C897" t="s">
        <v>21</v>
      </c>
      <c r="D897" t="s">
        <v>11</v>
      </c>
      <c r="E897">
        <f t="shared" ca="1" si="13"/>
        <v>1166278737.3432894</v>
      </c>
    </row>
    <row r="898" spans="1:5" hidden="1" x14ac:dyDescent="0.25">
      <c r="A898">
        <v>22</v>
      </c>
      <c r="B898">
        <v>13</v>
      </c>
      <c r="C898" t="s">
        <v>21</v>
      </c>
      <c r="D898" t="s">
        <v>12</v>
      </c>
      <c r="E898">
        <f t="shared" ca="1" si="13"/>
        <v>463284793.11674011</v>
      </c>
    </row>
    <row r="899" spans="1:5" hidden="1" x14ac:dyDescent="0.25">
      <c r="A899">
        <v>22</v>
      </c>
      <c r="B899">
        <v>14</v>
      </c>
      <c r="C899" t="s">
        <v>21</v>
      </c>
      <c r="D899" t="s">
        <v>13</v>
      </c>
      <c r="E899">
        <f t="shared" ca="1" si="13"/>
        <v>503407668.50874007</v>
      </c>
    </row>
    <row r="900" spans="1:5" hidden="1" x14ac:dyDescent="0.25">
      <c r="A900">
        <v>22</v>
      </c>
      <c r="B900">
        <v>15</v>
      </c>
      <c r="C900" t="s">
        <v>21</v>
      </c>
      <c r="D900" t="s">
        <v>14</v>
      </c>
      <c r="E900">
        <f t="shared" ca="1" si="13"/>
        <v>611223995.95107543</v>
      </c>
    </row>
    <row r="901" spans="1:5" hidden="1" x14ac:dyDescent="0.25">
      <c r="A901">
        <v>22</v>
      </c>
      <c r="B901">
        <v>16</v>
      </c>
      <c r="C901" t="s">
        <v>21</v>
      </c>
      <c r="D901" t="s">
        <v>15</v>
      </c>
      <c r="E901">
        <f t="shared" ca="1" si="13"/>
        <v>906760104.54598665</v>
      </c>
    </row>
    <row r="902" spans="1:5" hidden="1" x14ac:dyDescent="0.25">
      <c r="A902">
        <v>22</v>
      </c>
      <c r="B902">
        <v>17</v>
      </c>
      <c r="C902" t="s">
        <v>21</v>
      </c>
      <c r="D902" t="s">
        <v>16</v>
      </c>
      <c r="E902">
        <f t="shared" ca="1" si="13"/>
        <v>1379306086.2355127</v>
      </c>
    </row>
    <row r="903" spans="1:5" hidden="1" x14ac:dyDescent="0.25">
      <c r="A903">
        <v>22</v>
      </c>
      <c r="B903">
        <v>18</v>
      </c>
      <c r="C903" t="s">
        <v>21</v>
      </c>
      <c r="D903" t="s">
        <v>17</v>
      </c>
      <c r="E903">
        <f t="shared" ca="1" si="13"/>
        <v>900173097.45398664</v>
      </c>
    </row>
    <row r="904" spans="1:5" hidden="1" x14ac:dyDescent="0.25">
      <c r="A904">
        <v>22</v>
      </c>
      <c r="B904">
        <v>19</v>
      </c>
      <c r="C904" t="s">
        <v>21</v>
      </c>
      <c r="D904" t="s">
        <v>18</v>
      </c>
      <c r="E904">
        <f t="shared" ca="1" si="13"/>
        <v>228000476.70017338</v>
      </c>
    </row>
    <row r="905" spans="1:5" hidden="1" x14ac:dyDescent="0.25">
      <c r="A905">
        <v>22</v>
      </c>
      <c r="B905">
        <v>20</v>
      </c>
      <c r="C905" t="s">
        <v>21</v>
      </c>
      <c r="D905" t="s">
        <v>19</v>
      </c>
      <c r="E905">
        <f t="shared" ca="1" si="13"/>
        <v>653970143.12344241</v>
      </c>
    </row>
    <row r="906" spans="1:5" hidden="1" x14ac:dyDescent="0.25">
      <c r="A906">
        <v>22</v>
      </c>
      <c r="B906">
        <v>21</v>
      </c>
      <c r="C906" t="s">
        <v>21</v>
      </c>
      <c r="D906" t="s">
        <v>20</v>
      </c>
      <c r="E906">
        <f t="shared" ca="1" si="13"/>
        <v>797223554.1047883</v>
      </c>
    </row>
    <row r="907" spans="1:5" hidden="1" x14ac:dyDescent="0.25">
      <c r="A907">
        <v>22</v>
      </c>
      <c r="B907">
        <v>22</v>
      </c>
      <c r="C907" t="s">
        <v>21</v>
      </c>
      <c r="D907" t="s">
        <v>21</v>
      </c>
      <c r="E907">
        <f t="shared" ca="1" si="13"/>
        <v>0</v>
      </c>
    </row>
    <row r="908" spans="1:5" hidden="1" x14ac:dyDescent="0.25">
      <c r="A908">
        <v>22</v>
      </c>
      <c r="B908">
        <v>23</v>
      </c>
      <c r="C908" t="s">
        <v>21</v>
      </c>
      <c r="D908" t="s">
        <v>22</v>
      </c>
      <c r="E908">
        <f t="shared" ca="1" si="13"/>
        <v>331747937.26722229</v>
      </c>
    </row>
    <row r="909" spans="1:5" hidden="1" x14ac:dyDescent="0.25">
      <c r="A909">
        <v>22</v>
      </c>
      <c r="B909">
        <v>24</v>
      </c>
      <c r="C909" t="s">
        <v>21</v>
      </c>
      <c r="D909" t="s">
        <v>23</v>
      </c>
      <c r="E909">
        <f t="shared" ca="1" si="13"/>
        <v>323400347.86722231</v>
      </c>
    </row>
    <row r="910" spans="1:5" hidden="1" x14ac:dyDescent="0.25">
      <c r="A910">
        <v>22</v>
      </c>
      <c r="B910">
        <v>25</v>
      </c>
      <c r="C910" t="s">
        <v>21</v>
      </c>
      <c r="D910" t="s">
        <v>24</v>
      </c>
      <c r="E910">
        <f t="shared" ca="1" si="13"/>
        <v>264688734.76722229</v>
      </c>
    </row>
    <row r="911" spans="1:5" hidden="1" x14ac:dyDescent="0.25">
      <c r="A911">
        <v>22</v>
      </c>
      <c r="B911">
        <v>26</v>
      </c>
      <c r="C911" t="s">
        <v>21</v>
      </c>
      <c r="D911" t="s">
        <v>25</v>
      </c>
      <c r="E911">
        <f t="shared" ca="1" si="13"/>
        <v>756680293.9888202</v>
      </c>
    </row>
    <row r="912" spans="1:5" hidden="1" x14ac:dyDescent="0.25">
      <c r="A912">
        <v>22</v>
      </c>
      <c r="B912">
        <v>27</v>
      </c>
      <c r="C912" t="s">
        <v>21</v>
      </c>
      <c r="D912" t="s">
        <v>145</v>
      </c>
      <c r="E912">
        <f t="shared" ca="1" si="13"/>
        <v>737020573.29744613</v>
      </c>
    </row>
    <row r="913" spans="1:5" hidden="1" x14ac:dyDescent="0.25">
      <c r="A913">
        <v>22</v>
      </c>
      <c r="B913">
        <v>28</v>
      </c>
      <c r="C913" t="s">
        <v>21</v>
      </c>
      <c r="D913" t="s">
        <v>147</v>
      </c>
      <c r="E913">
        <f t="shared" ca="1" si="13"/>
        <v>492979375.91999996</v>
      </c>
    </row>
    <row r="914" spans="1:5" hidden="1" x14ac:dyDescent="0.25">
      <c r="A914">
        <v>22</v>
      </c>
      <c r="B914">
        <v>29</v>
      </c>
      <c r="C914" t="s">
        <v>21</v>
      </c>
      <c r="D914" t="s">
        <v>146</v>
      </c>
      <c r="E914">
        <f t="shared" ca="1" si="13"/>
        <v>295963436.07522225</v>
      </c>
    </row>
    <row r="915" spans="1:5" hidden="1" x14ac:dyDescent="0.25">
      <c r="A915">
        <v>22</v>
      </c>
      <c r="B915">
        <v>30</v>
      </c>
      <c r="C915" t="s">
        <v>21</v>
      </c>
      <c r="D915" t="s">
        <v>30</v>
      </c>
      <c r="E915">
        <f t="shared" ca="1" si="13"/>
        <v>2753825033.1798224</v>
      </c>
    </row>
    <row r="916" spans="1:5" hidden="1" x14ac:dyDescent="0.25">
      <c r="A916">
        <v>22</v>
      </c>
      <c r="B916">
        <v>31</v>
      </c>
      <c r="C916" t="s">
        <v>21</v>
      </c>
      <c r="D916" t="s">
        <v>31</v>
      </c>
      <c r="E916">
        <f t="shared" ca="1" si="13"/>
        <v>175395513.35304803</v>
      </c>
    </row>
    <row r="917" spans="1:5" hidden="1" x14ac:dyDescent="0.25">
      <c r="A917">
        <v>22</v>
      </c>
      <c r="B917">
        <v>32</v>
      </c>
      <c r="C917" t="s">
        <v>21</v>
      </c>
      <c r="D917" t="s">
        <v>32</v>
      </c>
      <c r="E917">
        <f t="shared" ca="1" si="13"/>
        <v>254299133.71704805</v>
      </c>
    </row>
    <row r="918" spans="1:5" hidden="1" x14ac:dyDescent="0.25">
      <c r="A918">
        <v>22</v>
      </c>
      <c r="B918">
        <v>33</v>
      </c>
      <c r="C918" t="s">
        <v>21</v>
      </c>
      <c r="D918" t="s">
        <v>33</v>
      </c>
      <c r="E918">
        <f t="shared" ca="1" si="13"/>
        <v>4148090877.3243937</v>
      </c>
    </row>
    <row r="919" spans="1:5" hidden="1" x14ac:dyDescent="0.25">
      <c r="A919">
        <v>22</v>
      </c>
      <c r="B919">
        <v>34</v>
      </c>
      <c r="C919" t="s">
        <v>21</v>
      </c>
      <c r="D919" t="s">
        <v>34</v>
      </c>
      <c r="E919">
        <f t="shared" ca="1" si="13"/>
        <v>3518356268.3963938</v>
      </c>
    </row>
    <row r="920" spans="1:5" hidden="1" x14ac:dyDescent="0.25">
      <c r="A920">
        <v>22</v>
      </c>
      <c r="B920">
        <v>35</v>
      </c>
      <c r="C920" t="s">
        <v>21</v>
      </c>
      <c r="D920" t="s">
        <v>35</v>
      </c>
      <c r="E920">
        <f t="shared" ca="1" si="13"/>
        <v>4352595582.0780735</v>
      </c>
    </row>
    <row r="921" spans="1:5" hidden="1" x14ac:dyDescent="0.25">
      <c r="A921">
        <v>22</v>
      </c>
      <c r="B921">
        <v>36</v>
      </c>
      <c r="C921" t="s">
        <v>21</v>
      </c>
      <c r="D921" t="s">
        <v>36</v>
      </c>
      <c r="E921">
        <f t="shared" ref="E921:E983" ca="1" si="14">OFFSET($B$2,A921,B921)</f>
        <v>744476074.41087353</v>
      </c>
    </row>
    <row r="922" spans="1:5" hidden="1" x14ac:dyDescent="0.25">
      <c r="A922">
        <v>22</v>
      </c>
      <c r="B922">
        <v>37</v>
      </c>
      <c r="C922" t="s">
        <v>21</v>
      </c>
      <c r="D922" t="s">
        <v>37</v>
      </c>
      <c r="E922">
        <f t="shared" ca="1" si="14"/>
        <v>692563310.63464367</v>
      </c>
    </row>
    <row r="923" spans="1:5" hidden="1" x14ac:dyDescent="0.25">
      <c r="A923">
        <v>22</v>
      </c>
      <c r="B923">
        <v>38</v>
      </c>
      <c r="C923" t="s">
        <v>21</v>
      </c>
      <c r="D923" t="s">
        <v>38</v>
      </c>
      <c r="E923">
        <f t="shared" ca="1" si="14"/>
        <v>691817736.73087347</v>
      </c>
    </row>
    <row r="924" spans="1:5" hidden="1" x14ac:dyDescent="0.25">
      <c r="A924">
        <v>22</v>
      </c>
      <c r="B924">
        <v>39</v>
      </c>
      <c r="C924" t="s">
        <v>21</v>
      </c>
      <c r="D924" t="s">
        <v>39</v>
      </c>
      <c r="E924">
        <f t="shared" ca="1" si="14"/>
        <v>695426567.29357946</v>
      </c>
    </row>
    <row r="925" spans="1:5" hidden="1" x14ac:dyDescent="0.25">
      <c r="A925">
        <v>22</v>
      </c>
      <c r="B925">
        <v>40</v>
      </c>
      <c r="C925" t="s">
        <v>21</v>
      </c>
      <c r="D925" t="s">
        <v>40</v>
      </c>
      <c r="E925">
        <f t="shared" ca="1" si="14"/>
        <v>849529527.59464371</v>
      </c>
    </row>
    <row r="926" spans="1:5" hidden="1" x14ac:dyDescent="0.25">
      <c r="A926">
        <v>23</v>
      </c>
      <c r="B926">
        <v>1</v>
      </c>
      <c r="C926" t="s">
        <v>22</v>
      </c>
      <c r="D926" t="s">
        <v>0</v>
      </c>
      <c r="E926">
        <f t="shared" ca="1" si="14"/>
        <v>655700175.07954025</v>
      </c>
    </row>
    <row r="927" spans="1:5" hidden="1" x14ac:dyDescent="0.25">
      <c r="A927">
        <v>23</v>
      </c>
      <c r="B927">
        <v>2</v>
      </c>
      <c r="C927" t="s">
        <v>22</v>
      </c>
      <c r="D927" t="s">
        <v>1</v>
      </c>
      <c r="E927">
        <f t="shared" ca="1" si="14"/>
        <v>532168706.51811171</v>
      </c>
    </row>
    <row r="928" spans="1:5" hidden="1" x14ac:dyDescent="0.25">
      <c r="A928">
        <v>23</v>
      </c>
      <c r="B928">
        <v>3</v>
      </c>
      <c r="C928" t="s">
        <v>22</v>
      </c>
      <c r="D928" t="s">
        <v>2</v>
      </c>
      <c r="E928">
        <f t="shared" ca="1" si="14"/>
        <v>523448954.33684283</v>
      </c>
    </row>
    <row r="929" spans="1:5" hidden="1" x14ac:dyDescent="0.25">
      <c r="A929">
        <v>23</v>
      </c>
      <c r="B929">
        <v>4</v>
      </c>
      <c r="C929" t="s">
        <v>22</v>
      </c>
      <c r="D929" t="s">
        <v>3</v>
      </c>
      <c r="E929">
        <f t="shared" ca="1" si="14"/>
        <v>468898710.35713232</v>
      </c>
    </row>
    <row r="930" spans="1:5" hidden="1" x14ac:dyDescent="0.25">
      <c r="A930">
        <v>23</v>
      </c>
      <c r="B930">
        <v>5</v>
      </c>
      <c r="C930" t="s">
        <v>22</v>
      </c>
      <c r="D930" t="s">
        <v>4</v>
      </c>
      <c r="E930">
        <f t="shared" ca="1" si="14"/>
        <v>412782357.97914523</v>
      </c>
    </row>
    <row r="931" spans="1:5" hidden="1" x14ac:dyDescent="0.25">
      <c r="A931">
        <v>23</v>
      </c>
      <c r="B931">
        <v>6</v>
      </c>
      <c r="C931" t="s">
        <v>22</v>
      </c>
      <c r="D931" t="s">
        <v>5</v>
      </c>
      <c r="E931">
        <f t="shared" ca="1" si="14"/>
        <v>532239131.74200237</v>
      </c>
    </row>
    <row r="932" spans="1:5" hidden="1" x14ac:dyDescent="0.25">
      <c r="A932">
        <v>23</v>
      </c>
      <c r="B932">
        <v>7</v>
      </c>
      <c r="C932" t="s">
        <v>22</v>
      </c>
      <c r="D932" t="s">
        <v>6</v>
      </c>
      <c r="E932">
        <f t="shared" ca="1" si="14"/>
        <v>393550134.20771664</v>
      </c>
    </row>
    <row r="933" spans="1:5" hidden="1" x14ac:dyDescent="0.25">
      <c r="A933">
        <v>23</v>
      </c>
      <c r="B933">
        <v>8</v>
      </c>
      <c r="C933" t="s">
        <v>22</v>
      </c>
      <c r="D933" t="s">
        <v>7</v>
      </c>
      <c r="E933">
        <f t="shared" ca="1" si="14"/>
        <v>385962522.90056092</v>
      </c>
    </row>
    <row r="934" spans="1:5" hidden="1" x14ac:dyDescent="0.25">
      <c r="A934">
        <v>23</v>
      </c>
      <c r="B934">
        <v>9</v>
      </c>
      <c r="C934" t="s">
        <v>22</v>
      </c>
      <c r="D934" t="s">
        <v>148</v>
      </c>
      <c r="E934">
        <f t="shared" ca="1" si="14"/>
        <v>523039548.81811166</v>
      </c>
    </row>
    <row r="935" spans="1:5" hidden="1" x14ac:dyDescent="0.25">
      <c r="A935">
        <v>23</v>
      </c>
      <c r="B935">
        <v>10</v>
      </c>
      <c r="C935" t="s">
        <v>22</v>
      </c>
      <c r="D935" t="s">
        <v>9</v>
      </c>
      <c r="E935">
        <f t="shared" ca="1" si="14"/>
        <v>460118135.03914523</v>
      </c>
    </row>
    <row r="936" spans="1:5" hidden="1" x14ac:dyDescent="0.25">
      <c r="A936">
        <v>23</v>
      </c>
      <c r="B936">
        <v>11</v>
      </c>
      <c r="C936" t="s">
        <v>22</v>
      </c>
      <c r="D936" t="s">
        <v>10</v>
      </c>
      <c r="E936">
        <f t="shared" ca="1" si="14"/>
        <v>251121407.07488561</v>
      </c>
    </row>
    <row r="937" spans="1:5" hidden="1" x14ac:dyDescent="0.25">
      <c r="A937">
        <v>23</v>
      </c>
      <c r="B937">
        <v>12</v>
      </c>
      <c r="C937" t="s">
        <v>22</v>
      </c>
      <c r="D937" t="s">
        <v>11</v>
      </c>
      <c r="E937">
        <f t="shared" ca="1" si="14"/>
        <v>229299373.33802012</v>
      </c>
    </row>
    <row r="938" spans="1:5" hidden="1" x14ac:dyDescent="0.25">
      <c r="A938">
        <v>23</v>
      </c>
      <c r="B938">
        <v>13</v>
      </c>
      <c r="C938" t="s">
        <v>22</v>
      </c>
      <c r="D938" t="s">
        <v>12</v>
      </c>
      <c r="E938">
        <f t="shared" ca="1" si="14"/>
        <v>107034191.64022188</v>
      </c>
    </row>
    <row r="939" spans="1:5" hidden="1" x14ac:dyDescent="0.25">
      <c r="A939">
        <v>23</v>
      </c>
      <c r="B939">
        <v>14</v>
      </c>
      <c r="C939" t="s">
        <v>22</v>
      </c>
      <c r="D939" t="s">
        <v>13</v>
      </c>
      <c r="E939">
        <f t="shared" ca="1" si="14"/>
        <v>147157067.03222188</v>
      </c>
    </row>
    <row r="940" spans="1:5" hidden="1" x14ac:dyDescent="0.25">
      <c r="A940">
        <v>23</v>
      </c>
      <c r="B940">
        <v>15</v>
      </c>
      <c r="C940" t="s">
        <v>22</v>
      </c>
      <c r="D940" t="s">
        <v>14</v>
      </c>
      <c r="E940">
        <f t="shared" ca="1" si="14"/>
        <v>479780110.52647257</v>
      </c>
    </row>
    <row r="941" spans="1:5" hidden="1" x14ac:dyDescent="0.25">
      <c r="A941">
        <v>23</v>
      </c>
      <c r="B941">
        <v>16</v>
      </c>
      <c r="C941" t="s">
        <v>22</v>
      </c>
      <c r="D941" t="s">
        <v>15</v>
      </c>
      <c r="E941">
        <f t="shared" ca="1" si="14"/>
        <v>293432094.50628465</v>
      </c>
    </row>
    <row r="942" spans="1:5" hidden="1" x14ac:dyDescent="0.25">
      <c r="A942">
        <v>23</v>
      </c>
      <c r="B942">
        <v>17</v>
      </c>
      <c r="C942" t="s">
        <v>22</v>
      </c>
      <c r="D942" t="s">
        <v>16</v>
      </c>
      <c r="E942">
        <f t="shared" ca="1" si="14"/>
        <v>771507908.68415344</v>
      </c>
    </row>
    <row r="943" spans="1:5" hidden="1" x14ac:dyDescent="0.25">
      <c r="A943">
        <v>23</v>
      </c>
      <c r="B943">
        <v>18</v>
      </c>
      <c r="C943" t="s">
        <v>22</v>
      </c>
      <c r="D943" t="s">
        <v>17</v>
      </c>
      <c r="E943">
        <f t="shared" ca="1" si="14"/>
        <v>286845087.41428471</v>
      </c>
    </row>
    <row r="944" spans="1:5" hidden="1" x14ac:dyDescent="0.25">
      <c r="A944">
        <v>23</v>
      </c>
      <c r="B944">
        <v>19</v>
      </c>
      <c r="C944" t="s">
        <v>22</v>
      </c>
      <c r="D944" t="s">
        <v>18</v>
      </c>
      <c r="E944">
        <f t="shared" ca="1" si="14"/>
        <v>178707544.17828614</v>
      </c>
    </row>
    <row r="945" spans="1:5" hidden="1" x14ac:dyDescent="0.25">
      <c r="A945">
        <v>23</v>
      </c>
      <c r="B945">
        <v>20</v>
      </c>
      <c r="C945" t="s">
        <v>22</v>
      </c>
      <c r="D945" t="s">
        <v>19</v>
      </c>
      <c r="E945">
        <f t="shared" ca="1" si="14"/>
        <v>522821710.12542826</v>
      </c>
    </row>
    <row r="946" spans="1:5" hidden="1" x14ac:dyDescent="0.25">
      <c r="A946">
        <v>23</v>
      </c>
      <c r="B946">
        <v>21</v>
      </c>
      <c r="C946" t="s">
        <v>22</v>
      </c>
      <c r="D946" t="s">
        <v>20</v>
      </c>
      <c r="E946">
        <f t="shared" ca="1" si="14"/>
        <v>383797861.3770107</v>
      </c>
    </row>
    <row r="947" spans="1:5" hidden="1" x14ac:dyDescent="0.25">
      <c r="A947">
        <v>23</v>
      </c>
      <c r="B947">
        <v>22</v>
      </c>
      <c r="C947" t="s">
        <v>22</v>
      </c>
      <c r="D947" t="s">
        <v>21</v>
      </c>
      <c r="E947">
        <f t="shared" ca="1" si="14"/>
        <v>331747937.26722229</v>
      </c>
    </row>
    <row r="948" spans="1:5" hidden="1" x14ac:dyDescent="0.25">
      <c r="A948">
        <v>23</v>
      </c>
      <c r="B948">
        <v>23</v>
      </c>
      <c r="C948" t="s">
        <v>22</v>
      </c>
      <c r="D948" t="s">
        <v>22</v>
      </c>
      <c r="E948">
        <f t="shared" ca="1" si="14"/>
        <v>0</v>
      </c>
    </row>
    <row r="949" spans="1:5" hidden="1" x14ac:dyDescent="0.25">
      <c r="A949">
        <v>23</v>
      </c>
      <c r="B949">
        <v>24</v>
      </c>
      <c r="C949" t="s">
        <v>22</v>
      </c>
      <c r="D949" t="s">
        <v>23</v>
      </c>
      <c r="E949">
        <f t="shared" ca="1" si="14"/>
        <v>0</v>
      </c>
    </row>
    <row r="950" spans="1:5" hidden="1" x14ac:dyDescent="0.25">
      <c r="A950">
        <v>23</v>
      </c>
      <c r="B950">
        <v>25</v>
      </c>
      <c r="C950" t="s">
        <v>22</v>
      </c>
      <c r="D950" t="s">
        <v>24</v>
      </c>
      <c r="E950">
        <f t="shared" ca="1" si="14"/>
        <v>0</v>
      </c>
    </row>
    <row r="951" spans="1:5" hidden="1" x14ac:dyDescent="0.25">
      <c r="A951">
        <v>23</v>
      </c>
      <c r="B951">
        <v>26</v>
      </c>
      <c r="C951" t="s">
        <v>22</v>
      </c>
      <c r="D951" t="s">
        <v>25</v>
      </c>
      <c r="E951">
        <f t="shared" ca="1" si="14"/>
        <v>354420465.92647254</v>
      </c>
    </row>
    <row r="952" spans="1:5" hidden="1" x14ac:dyDescent="0.25">
      <c r="A952">
        <v>23</v>
      </c>
      <c r="B952">
        <v>27</v>
      </c>
      <c r="C952" t="s">
        <v>22</v>
      </c>
      <c r="D952" t="s">
        <v>145</v>
      </c>
      <c r="E952">
        <f t="shared" ca="1" si="14"/>
        <v>960936933.41342831</v>
      </c>
    </row>
    <row r="953" spans="1:5" hidden="1" x14ac:dyDescent="0.25">
      <c r="A953">
        <v>23</v>
      </c>
      <c r="B953">
        <v>28</v>
      </c>
      <c r="C953" t="s">
        <v>22</v>
      </c>
      <c r="D953" t="s">
        <v>147</v>
      </c>
      <c r="E953">
        <f t="shared" ca="1" si="14"/>
        <v>566221340.87467563</v>
      </c>
    </row>
    <row r="954" spans="1:5" hidden="1" x14ac:dyDescent="0.25">
      <c r="A954">
        <v>23</v>
      </c>
      <c r="B954">
        <v>29</v>
      </c>
      <c r="C954" t="s">
        <v>22</v>
      </c>
      <c r="D954" t="s">
        <v>146</v>
      </c>
      <c r="E954">
        <f t="shared" ca="1" si="14"/>
        <v>68627278.807999998</v>
      </c>
    </row>
    <row r="955" spans="1:5" hidden="1" x14ac:dyDescent="0.25">
      <c r="A955">
        <v>23</v>
      </c>
      <c r="B955">
        <v>30</v>
      </c>
      <c r="C955" t="s">
        <v>22</v>
      </c>
      <c r="D955" t="s">
        <v>30</v>
      </c>
      <c r="E955">
        <f t="shared" ca="1" si="14"/>
        <v>300274134.38570374</v>
      </c>
    </row>
    <row r="956" spans="1:5" hidden="1" x14ac:dyDescent="0.25">
      <c r="A956">
        <v>23</v>
      </c>
      <c r="B956">
        <v>31</v>
      </c>
      <c r="C956" t="s">
        <v>22</v>
      </c>
      <c r="D956" t="s">
        <v>31</v>
      </c>
      <c r="E956">
        <f t="shared" ca="1" si="14"/>
        <v>16222540.826557327</v>
      </c>
    </row>
    <row r="957" spans="1:5" hidden="1" x14ac:dyDescent="0.25">
      <c r="A957">
        <v>23</v>
      </c>
      <c r="B957">
        <v>32</v>
      </c>
      <c r="C957" t="s">
        <v>22</v>
      </c>
      <c r="D957" t="s">
        <v>32</v>
      </c>
      <c r="E957">
        <f t="shared" ca="1" si="14"/>
        <v>95126161.190557331</v>
      </c>
    </row>
    <row r="958" spans="1:5" hidden="1" x14ac:dyDescent="0.25">
      <c r="A958">
        <v>23</v>
      </c>
      <c r="B958">
        <v>33</v>
      </c>
      <c r="C958" t="s">
        <v>22</v>
      </c>
      <c r="D958" t="s">
        <v>33</v>
      </c>
      <c r="E958">
        <f t="shared" ca="1" si="14"/>
        <v>2906444944.0857267</v>
      </c>
    </row>
    <row r="959" spans="1:5" hidden="1" x14ac:dyDescent="0.25">
      <c r="A959">
        <v>23</v>
      </c>
      <c r="B959">
        <v>34</v>
      </c>
      <c r="C959" t="s">
        <v>22</v>
      </c>
      <c r="D959" t="s">
        <v>34</v>
      </c>
      <c r="E959">
        <f t="shared" ca="1" si="14"/>
        <v>2276710335.1577268</v>
      </c>
    </row>
    <row r="960" spans="1:5" hidden="1" x14ac:dyDescent="0.25">
      <c r="A960">
        <v>23</v>
      </c>
      <c r="B960">
        <v>35</v>
      </c>
      <c r="C960" t="s">
        <v>22</v>
      </c>
      <c r="D960" t="s">
        <v>35</v>
      </c>
      <c r="E960">
        <f t="shared" ca="1" si="14"/>
        <v>448103960.70211166</v>
      </c>
    </row>
    <row r="961" spans="1:5" hidden="1" x14ac:dyDescent="0.25">
      <c r="A961">
        <v>23</v>
      </c>
      <c r="B961">
        <v>36</v>
      </c>
      <c r="C961" t="s">
        <v>22</v>
      </c>
      <c r="D961" t="s">
        <v>36</v>
      </c>
      <c r="E961">
        <f t="shared" ca="1" si="14"/>
        <v>151434828.86104873</v>
      </c>
    </row>
    <row r="962" spans="1:5" hidden="1" x14ac:dyDescent="0.25">
      <c r="A962">
        <v>23</v>
      </c>
      <c r="B962">
        <v>37</v>
      </c>
      <c r="C962" t="s">
        <v>22</v>
      </c>
      <c r="D962" t="s">
        <v>37</v>
      </c>
      <c r="E962">
        <f t="shared" ca="1" si="14"/>
        <v>19134844.385523349</v>
      </c>
    </row>
    <row r="963" spans="1:5" hidden="1" x14ac:dyDescent="0.25">
      <c r="A963">
        <v>23</v>
      </c>
      <c r="B963">
        <v>38</v>
      </c>
      <c r="C963" t="s">
        <v>22</v>
      </c>
      <c r="D963" t="s">
        <v>38</v>
      </c>
      <c r="E963">
        <f t="shared" ca="1" si="14"/>
        <v>98909482.638902575</v>
      </c>
    </row>
    <row r="964" spans="1:5" hidden="1" x14ac:dyDescent="0.25">
      <c r="A964">
        <v>23</v>
      </c>
      <c r="B964">
        <v>39</v>
      </c>
      <c r="C964" t="s">
        <v>22</v>
      </c>
      <c r="D964" t="s">
        <v>39</v>
      </c>
      <c r="E964">
        <f t="shared" ca="1" si="14"/>
        <v>97551699.154128015</v>
      </c>
    </row>
    <row r="965" spans="1:5" hidden="1" x14ac:dyDescent="0.25">
      <c r="A965">
        <v>23</v>
      </c>
      <c r="B965">
        <v>40</v>
      </c>
      <c r="C965" t="s">
        <v>22</v>
      </c>
      <c r="D965" t="s">
        <v>40</v>
      </c>
      <c r="E965">
        <f t="shared" ca="1" si="14"/>
        <v>176101061.34552336</v>
      </c>
    </row>
    <row r="966" spans="1:5" hidden="1" x14ac:dyDescent="0.25">
      <c r="A966">
        <v>24</v>
      </c>
      <c r="B966">
        <v>1</v>
      </c>
      <c r="C966" t="s">
        <v>23</v>
      </c>
      <c r="D966" t="s">
        <v>0</v>
      </c>
      <c r="E966">
        <f t="shared" ca="1" si="14"/>
        <v>647352585.67954028</v>
      </c>
    </row>
    <row r="967" spans="1:5" hidden="1" x14ac:dyDescent="0.25">
      <c r="A967">
        <v>24</v>
      </c>
      <c r="B967">
        <v>2</v>
      </c>
      <c r="C967" t="s">
        <v>23</v>
      </c>
      <c r="D967" t="s">
        <v>1</v>
      </c>
      <c r="E967">
        <f t="shared" ca="1" si="14"/>
        <v>523821117.11811173</v>
      </c>
    </row>
    <row r="968" spans="1:5" hidden="1" x14ac:dyDescent="0.25">
      <c r="A968">
        <v>24</v>
      </c>
      <c r="B968">
        <v>3</v>
      </c>
      <c r="C968" t="s">
        <v>23</v>
      </c>
      <c r="D968" t="s">
        <v>2</v>
      </c>
      <c r="E968">
        <f t="shared" ca="1" si="14"/>
        <v>515101364.9368428</v>
      </c>
    </row>
    <row r="969" spans="1:5" hidden="1" x14ac:dyDescent="0.25">
      <c r="A969">
        <v>24</v>
      </c>
      <c r="B969">
        <v>4</v>
      </c>
      <c r="C969" t="s">
        <v>23</v>
      </c>
      <c r="D969" t="s">
        <v>3</v>
      </c>
      <c r="E969">
        <f t="shared" ca="1" si="14"/>
        <v>460551120.95713234</v>
      </c>
    </row>
    <row r="970" spans="1:5" hidden="1" x14ac:dyDescent="0.25">
      <c r="A970">
        <v>24</v>
      </c>
      <c r="B970">
        <v>5</v>
      </c>
      <c r="C970" t="s">
        <v>23</v>
      </c>
      <c r="D970" t="s">
        <v>4</v>
      </c>
      <c r="E970">
        <f t="shared" ca="1" si="14"/>
        <v>404434768.57914519</v>
      </c>
    </row>
    <row r="971" spans="1:5" hidden="1" x14ac:dyDescent="0.25">
      <c r="A971">
        <v>24</v>
      </c>
      <c r="B971">
        <v>6</v>
      </c>
      <c r="C971" t="s">
        <v>23</v>
      </c>
      <c r="D971" t="s">
        <v>5</v>
      </c>
      <c r="E971">
        <f t="shared" ca="1" si="14"/>
        <v>523891542.34200239</v>
      </c>
    </row>
    <row r="972" spans="1:5" hidden="1" x14ac:dyDescent="0.25">
      <c r="A972">
        <v>24</v>
      </c>
      <c r="B972">
        <v>7</v>
      </c>
      <c r="C972" t="s">
        <v>23</v>
      </c>
      <c r="D972" t="s">
        <v>6</v>
      </c>
      <c r="E972">
        <f t="shared" ca="1" si="14"/>
        <v>385202544.80771661</v>
      </c>
    </row>
    <row r="973" spans="1:5" hidden="1" x14ac:dyDescent="0.25">
      <c r="A973">
        <v>24</v>
      </c>
      <c r="B973">
        <v>8</v>
      </c>
      <c r="C973" t="s">
        <v>23</v>
      </c>
      <c r="D973" t="s">
        <v>7</v>
      </c>
      <c r="E973">
        <f t="shared" ca="1" si="14"/>
        <v>377614933.50056088</v>
      </c>
    </row>
    <row r="974" spans="1:5" hidden="1" x14ac:dyDescent="0.25">
      <c r="A974">
        <v>24</v>
      </c>
      <c r="B974">
        <v>9</v>
      </c>
      <c r="C974" t="s">
        <v>23</v>
      </c>
      <c r="D974" t="s">
        <v>148</v>
      </c>
      <c r="E974">
        <f t="shared" ca="1" si="14"/>
        <v>514691959.41811168</v>
      </c>
    </row>
    <row r="975" spans="1:5" hidden="1" x14ac:dyDescent="0.25">
      <c r="A975">
        <v>24</v>
      </c>
      <c r="B975">
        <v>10</v>
      </c>
      <c r="C975" t="s">
        <v>23</v>
      </c>
      <c r="D975" t="s">
        <v>9</v>
      </c>
      <c r="E975">
        <f t="shared" ca="1" si="14"/>
        <v>451770545.63914526</v>
      </c>
    </row>
    <row r="976" spans="1:5" hidden="1" x14ac:dyDescent="0.25">
      <c r="A976">
        <v>24</v>
      </c>
      <c r="B976">
        <v>11</v>
      </c>
      <c r="C976" t="s">
        <v>23</v>
      </c>
      <c r="D976" t="s">
        <v>10</v>
      </c>
      <c r="E976">
        <f t="shared" ca="1" si="14"/>
        <v>242773817.6748856</v>
      </c>
    </row>
    <row r="977" spans="1:5" hidden="1" x14ac:dyDescent="0.25">
      <c r="A977">
        <v>24</v>
      </c>
      <c r="B977">
        <v>12</v>
      </c>
      <c r="C977" t="s">
        <v>23</v>
      </c>
      <c r="D977" t="s">
        <v>11</v>
      </c>
      <c r="E977">
        <f t="shared" ca="1" si="14"/>
        <v>220951783.93802011</v>
      </c>
    </row>
    <row r="978" spans="1:5" hidden="1" x14ac:dyDescent="0.25">
      <c r="A978">
        <v>24</v>
      </c>
      <c r="B978">
        <v>13</v>
      </c>
      <c r="C978" t="s">
        <v>23</v>
      </c>
      <c r="D978" t="s">
        <v>12</v>
      </c>
      <c r="E978">
        <f t="shared" ca="1" si="14"/>
        <v>98686602.240221873</v>
      </c>
    </row>
    <row r="979" spans="1:5" hidden="1" x14ac:dyDescent="0.25">
      <c r="A979">
        <v>24</v>
      </c>
      <c r="B979">
        <v>14</v>
      </c>
      <c r="C979" t="s">
        <v>23</v>
      </c>
      <c r="D979" t="s">
        <v>13</v>
      </c>
      <c r="E979">
        <f t="shared" ca="1" si="14"/>
        <v>138809477.63222188</v>
      </c>
    </row>
    <row r="980" spans="1:5" hidden="1" x14ac:dyDescent="0.25">
      <c r="A980">
        <v>24</v>
      </c>
      <c r="B980">
        <v>15</v>
      </c>
      <c r="C980" t="s">
        <v>23</v>
      </c>
      <c r="D980" t="s">
        <v>14</v>
      </c>
      <c r="E980">
        <f t="shared" ca="1" si="14"/>
        <v>471432521.12647259</v>
      </c>
    </row>
    <row r="981" spans="1:5" hidden="1" x14ac:dyDescent="0.25">
      <c r="A981">
        <v>24</v>
      </c>
      <c r="B981">
        <v>16</v>
      </c>
      <c r="C981" t="s">
        <v>23</v>
      </c>
      <c r="D981" t="s">
        <v>15</v>
      </c>
      <c r="E981">
        <f t="shared" ca="1" si="14"/>
        <v>39726310802.614586</v>
      </c>
    </row>
    <row r="982" spans="1:5" hidden="1" x14ac:dyDescent="0.25">
      <c r="A982">
        <v>24</v>
      </c>
      <c r="B982">
        <v>17</v>
      </c>
      <c r="C982" t="s">
        <v>23</v>
      </c>
      <c r="D982" t="s">
        <v>16</v>
      </c>
      <c r="E982">
        <f t="shared" ca="1" si="14"/>
        <v>763160319.28415346</v>
      </c>
    </row>
    <row r="983" spans="1:5" hidden="1" x14ac:dyDescent="0.25">
      <c r="A983">
        <v>24</v>
      </c>
      <c r="B983">
        <v>18</v>
      </c>
      <c r="C983" t="s">
        <v>23</v>
      </c>
      <c r="D983" t="s">
        <v>17</v>
      </c>
      <c r="E983">
        <f t="shared" ca="1" si="14"/>
        <v>39719723795.522583</v>
      </c>
    </row>
    <row r="984" spans="1:5" hidden="1" x14ac:dyDescent="0.25">
      <c r="A984">
        <v>24</v>
      </c>
      <c r="B984">
        <v>19</v>
      </c>
      <c r="C984" t="s">
        <v>23</v>
      </c>
      <c r="D984" t="s">
        <v>18</v>
      </c>
      <c r="E984">
        <f t="shared" ref="E984:E1045" ca="1" si="15">OFFSET($B$2,A984,B984)</f>
        <v>170359954.77828616</v>
      </c>
    </row>
    <row r="985" spans="1:5" hidden="1" x14ac:dyDescent="0.25">
      <c r="A985">
        <v>24</v>
      </c>
      <c r="B985">
        <v>20</v>
      </c>
      <c r="C985" t="s">
        <v>23</v>
      </c>
      <c r="D985" t="s">
        <v>19</v>
      </c>
      <c r="E985">
        <f t="shared" ca="1" si="15"/>
        <v>514474120.72542822</v>
      </c>
    </row>
    <row r="986" spans="1:5" hidden="1" x14ac:dyDescent="0.25">
      <c r="A986">
        <v>24</v>
      </c>
      <c r="B986">
        <v>21</v>
      </c>
      <c r="C986" t="s">
        <v>23</v>
      </c>
      <c r="D986" t="s">
        <v>20</v>
      </c>
      <c r="E986">
        <f t="shared" ca="1" si="15"/>
        <v>375450271.97701073</v>
      </c>
    </row>
    <row r="987" spans="1:5" hidden="1" x14ac:dyDescent="0.25">
      <c r="A987">
        <v>24</v>
      </c>
      <c r="B987">
        <v>22</v>
      </c>
      <c r="C987" t="s">
        <v>23</v>
      </c>
      <c r="D987" t="s">
        <v>21</v>
      </c>
      <c r="E987">
        <f t="shared" ca="1" si="15"/>
        <v>323400347.86722231</v>
      </c>
    </row>
    <row r="988" spans="1:5" hidden="1" x14ac:dyDescent="0.25">
      <c r="A988">
        <v>24</v>
      </c>
      <c r="B988">
        <v>23</v>
      </c>
      <c r="C988" t="s">
        <v>23</v>
      </c>
      <c r="D988" t="s">
        <v>22</v>
      </c>
      <c r="E988">
        <f t="shared" ca="1" si="15"/>
        <v>0</v>
      </c>
    </row>
    <row r="989" spans="1:5" hidden="1" x14ac:dyDescent="0.25">
      <c r="A989">
        <v>24</v>
      </c>
      <c r="B989">
        <v>24</v>
      </c>
      <c r="C989" t="s">
        <v>23</v>
      </c>
      <c r="D989" t="s">
        <v>23</v>
      </c>
      <c r="E989">
        <f t="shared" ca="1" si="15"/>
        <v>0</v>
      </c>
    </row>
    <row r="990" spans="1:5" hidden="1" x14ac:dyDescent="0.25">
      <c r="A990">
        <v>24</v>
      </c>
      <c r="B990">
        <v>25</v>
      </c>
      <c r="C990" t="s">
        <v>23</v>
      </c>
      <c r="D990" t="s">
        <v>24</v>
      </c>
      <c r="E990">
        <f t="shared" ca="1" si="15"/>
        <v>0</v>
      </c>
    </row>
    <row r="991" spans="1:5" hidden="1" x14ac:dyDescent="0.25">
      <c r="A991">
        <v>24</v>
      </c>
      <c r="B991">
        <v>26</v>
      </c>
      <c r="C991" t="s">
        <v>23</v>
      </c>
      <c r="D991" t="s">
        <v>25</v>
      </c>
      <c r="E991">
        <f t="shared" ca="1" si="15"/>
        <v>383840557.96647263</v>
      </c>
    </row>
    <row r="992" spans="1:5" hidden="1" x14ac:dyDescent="0.25">
      <c r="A992">
        <v>24</v>
      </c>
      <c r="B992">
        <v>27</v>
      </c>
      <c r="C992" t="s">
        <v>23</v>
      </c>
      <c r="D992" t="s">
        <v>145</v>
      </c>
      <c r="E992">
        <f t="shared" ca="1" si="15"/>
        <v>990357025.45342827</v>
      </c>
    </row>
    <row r="993" spans="1:5" hidden="1" x14ac:dyDescent="0.25">
      <c r="A993">
        <v>24</v>
      </c>
      <c r="B993">
        <v>28</v>
      </c>
      <c r="C993" t="s">
        <v>23</v>
      </c>
      <c r="D993" t="s">
        <v>147</v>
      </c>
      <c r="E993">
        <f t="shared" ca="1" si="15"/>
        <v>595641432.91467559</v>
      </c>
    </row>
    <row r="994" spans="1:5" hidden="1" x14ac:dyDescent="0.25">
      <c r="A994">
        <v>24</v>
      </c>
      <c r="B994">
        <v>29</v>
      </c>
      <c r="C994" t="s">
        <v>23</v>
      </c>
      <c r="D994" t="s">
        <v>146</v>
      </c>
      <c r="E994">
        <f t="shared" ca="1" si="15"/>
        <v>98047370.84799999</v>
      </c>
    </row>
    <row r="995" spans="1:5" hidden="1" x14ac:dyDescent="0.25">
      <c r="A995">
        <v>24</v>
      </c>
      <c r="B995">
        <v>30</v>
      </c>
      <c r="C995" t="s">
        <v>23</v>
      </c>
      <c r="D995" t="s">
        <v>30</v>
      </c>
      <c r="E995">
        <f t="shared" ca="1" si="15"/>
        <v>329694226.42570376</v>
      </c>
    </row>
    <row r="996" spans="1:5" hidden="1" x14ac:dyDescent="0.25">
      <c r="A996">
        <v>24</v>
      </c>
      <c r="B996">
        <v>31</v>
      </c>
      <c r="C996" t="s">
        <v>23</v>
      </c>
      <c r="D996" t="s">
        <v>31</v>
      </c>
      <c r="E996">
        <f t="shared" ca="1" si="15"/>
        <v>45642632.86655733</v>
      </c>
    </row>
    <row r="997" spans="1:5" hidden="1" x14ac:dyDescent="0.25">
      <c r="A997">
        <v>24</v>
      </c>
      <c r="B997">
        <v>32</v>
      </c>
      <c r="C997" t="s">
        <v>23</v>
      </c>
      <c r="D997" t="s">
        <v>32</v>
      </c>
      <c r="E997">
        <f t="shared" ca="1" si="15"/>
        <v>124546253.23055734</v>
      </c>
    </row>
    <row r="998" spans="1:5" hidden="1" x14ac:dyDescent="0.25">
      <c r="A998">
        <v>24</v>
      </c>
      <c r="B998">
        <v>33</v>
      </c>
      <c r="C998" t="s">
        <v>23</v>
      </c>
      <c r="D998" t="s">
        <v>33</v>
      </c>
      <c r="E998">
        <f t="shared" ca="1" si="15"/>
        <v>2935865036.1257267</v>
      </c>
    </row>
    <row r="999" spans="1:5" hidden="1" x14ac:dyDescent="0.25">
      <c r="A999">
        <v>24</v>
      </c>
      <c r="B999">
        <v>34</v>
      </c>
      <c r="C999" t="s">
        <v>23</v>
      </c>
      <c r="D999" t="s">
        <v>34</v>
      </c>
      <c r="E999">
        <f t="shared" ca="1" si="15"/>
        <v>2306130427.1977267</v>
      </c>
    </row>
    <row r="1000" spans="1:5" hidden="1" x14ac:dyDescent="0.25">
      <c r="A1000">
        <v>24</v>
      </c>
      <c r="B1000">
        <v>35</v>
      </c>
      <c r="C1000" t="s">
        <v>23</v>
      </c>
      <c r="D1000" t="s">
        <v>35</v>
      </c>
      <c r="E1000">
        <f t="shared" ca="1" si="15"/>
        <v>477524052.74211168</v>
      </c>
    </row>
    <row r="1001" spans="1:5" hidden="1" x14ac:dyDescent="0.25">
      <c r="A1001">
        <v>24</v>
      </c>
      <c r="B1001">
        <v>36</v>
      </c>
      <c r="C1001" t="s">
        <v>23</v>
      </c>
      <c r="D1001" t="s">
        <v>36</v>
      </c>
      <c r="E1001">
        <f t="shared" ca="1" si="15"/>
        <v>180854920.90104872</v>
      </c>
    </row>
    <row r="1002" spans="1:5" hidden="1" x14ac:dyDescent="0.25">
      <c r="A1002">
        <v>24</v>
      </c>
      <c r="B1002">
        <v>37</v>
      </c>
      <c r="C1002" t="s">
        <v>23</v>
      </c>
      <c r="D1002" t="s">
        <v>37</v>
      </c>
      <c r="E1002">
        <f t="shared" ca="1" si="15"/>
        <v>48554936.425523348</v>
      </c>
    </row>
    <row r="1003" spans="1:5" hidden="1" x14ac:dyDescent="0.25">
      <c r="A1003">
        <v>24</v>
      </c>
      <c r="B1003">
        <v>38</v>
      </c>
      <c r="C1003" t="s">
        <v>23</v>
      </c>
      <c r="D1003" t="s">
        <v>38</v>
      </c>
      <c r="E1003">
        <f t="shared" ca="1" si="15"/>
        <v>128329574.67890258</v>
      </c>
    </row>
    <row r="1004" spans="1:5" hidden="1" x14ac:dyDescent="0.25">
      <c r="A1004">
        <v>24</v>
      </c>
      <c r="B1004">
        <v>39</v>
      </c>
      <c r="C1004" t="s">
        <v>23</v>
      </c>
      <c r="D1004" t="s">
        <v>39</v>
      </c>
      <c r="E1004">
        <f t="shared" ca="1" si="15"/>
        <v>126971791.19412801</v>
      </c>
    </row>
    <row r="1005" spans="1:5" hidden="1" x14ac:dyDescent="0.25">
      <c r="A1005">
        <v>24</v>
      </c>
      <c r="B1005">
        <v>40</v>
      </c>
      <c r="C1005" t="s">
        <v>23</v>
      </c>
      <c r="D1005" t="s">
        <v>40</v>
      </c>
      <c r="E1005">
        <f t="shared" ca="1" si="15"/>
        <v>205521153.38552335</v>
      </c>
    </row>
    <row r="1006" spans="1:5" hidden="1" x14ac:dyDescent="0.25">
      <c r="A1006">
        <v>25</v>
      </c>
      <c r="B1006">
        <v>1</v>
      </c>
      <c r="C1006" t="s">
        <v>24</v>
      </c>
      <c r="D1006" t="s">
        <v>0</v>
      </c>
      <c r="E1006">
        <f t="shared" ca="1" si="15"/>
        <v>588640972.57954025</v>
      </c>
    </row>
    <row r="1007" spans="1:5" hidden="1" x14ac:dyDescent="0.25">
      <c r="A1007">
        <v>25</v>
      </c>
      <c r="B1007">
        <v>2</v>
      </c>
      <c r="C1007" t="s">
        <v>24</v>
      </c>
      <c r="D1007" t="s">
        <v>1</v>
      </c>
      <c r="E1007">
        <f t="shared" ca="1" si="15"/>
        <v>465109504.01811171</v>
      </c>
    </row>
    <row r="1008" spans="1:5" hidden="1" x14ac:dyDescent="0.25">
      <c r="A1008">
        <v>25</v>
      </c>
      <c r="B1008">
        <v>3</v>
      </c>
      <c r="C1008" t="s">
        <v>24</v>
      </c>
      <c r="D1008" t="s">
        <v>2</v>
      </c>
      <c r="E1008">
        <f t="shared" ca="1" si="15"/>
        <v>456389751.83684283</v>
      </c>
    </row>
    <row r="1009" spans="1:5" hidden="1" x14ac:dyDescent="0.25">
      <c r="A1009">
        <v>25</v>
      </c>
      <c r="B1009">
        <v>4</v>
      </c>
      <c r="C1009" t="s">
        <v>24</v>
      </c>
      <c r="D1009" t="s">
        <v>3</v>
      </c>
      <c r="E1009">
        <f t="shared" ca="1" si="15"/>
        <v>401839507.85713232</v>
      </c>
    </row>
    <row r="1010" spans="1:5" hidden="1" x14ac:dyDescent="0.25">
      <c r="A1010">
        <v>25</v>
      </c>
      <c r="B1010">
        <v>5</v>
      </c>
      <c r="C1010" t="s">
        <v>24</v>
      </c>
      <c r="D1010" t="s">
        <v>4</v>
      </c>
      <c r="E1010">
        <f t="shared" ca="1" si="15"/>
        <v>345723155.47914523</v>
      </c>
    </row>
    <row r="1011" spans="1:5" hidden="1" x14ac:dyDescent="0.25">
      <c r="A1011">
        <v>25</v>
      </c>
      <c r="B1011">
        <v>6</v>
      </c>
      <c r="C1011" t="s">
        <v>24</v>
      </c>
      <c r="D1011" t="s">
        <v>5</v>
      </c>
      <c r="E1011">
        <f t="shared" ca="1" si="15"/>
        <v>465179929.24200237</v>
      </c>
    </row>
    <row r="1012" spans="1:5" hidden="1" x14ac:dyDescent="0.25">
      <c r="A1012">
        <v>25</v>
      </c>
      <c r="B1012">
        <v>7</v>
      </c>
      <c r="C1012" t="s">
        <v>24</v>
      </c>
      <c r="D1012" t="s">
        <v>6</v>
      </c>
      <c r="E1012">
        <f t="shared" ca="1" si="15"/>
        <v>326490931.70771664</v>
      </c>
    </row>
    <row r="1013" spans="1:5" hidden="1" x14ac:dyDescent="0.25">
      <c r="A1013">
        <v>25</v>
      </c>
      <c r="B1013">
        <v>8</v>
      </c>
      <c r="C1013" t="s">
        <v>24</v>
      </c>
      <c r="D1013" t="s">
        <v>7</v>
      </c>
      <c r="E1013">
        <f t="shared" ca="1" si="15"/>
        <v>318903320.40056092</v>
      </c>
    </row>
    <row r="1014" spans="1:5" hidden="1" x14ac:dyDescent="0.25">
      <c r="A1014">
        <v>25</v>
      </c>
      <c r="B1014">
        <v>9</v>
      </c>
      <c r="C1014" t="s">
        <v>24</v>
      </c>
      <c r="D1014" t="s">
        <v>148</v>
      </c>
      <c r="E1014">
        <f t="shared" ca="1" si="15"/>
        <v>455980346.31811166</v>
      </c>
    </row>
    <row r="1015" spans="1:5" hidden="1" x14ac:dyDescent="0.25">
      <c r="A1015">
        <v>25</v>
      </c>
      <c r="B1015">
        <v>10</v>
      </c>
      <c r="C1015" t="s">
        <v>24</v>
      </c>
      <c r="D1015" t="s">
        <v>9</v>
      </c>
      <c r="E1015">
        <f t="shared" ca="1" si="15"/>
        <v>393058932.53914523</v>
      </c>
    </row>
    <row r="1016" spans="1:5" hidden="1" x14ac:dyDescent="0.25">
      <c r="A1016">
        <v>25</v>
      </c>
      <c r="B1016">
        <v>11</v>
      </c>
      <c r="C1016" t="s">
        <v>24</v>
      </c>
      <c r="D1016" t="s">
        <v>10</v>
      </c>
      <c r="E1016">
        <f t="shared" ca="1" si="15"/>
        <v>184062204.57488561</v>
      </c>
    </row>
    <row r="1017" spans="1:5" hidden="1" x14ac:dyDescent="0.25">
      <c r="A1017">
        <v>25</v>
      </c>
      <c r="B1017">
        <v>12</v>
      </c>
      <c r="C1017" t="s">
        <v>24</v>
      </c>
      <c r="D1017" t="s">
        <v>11</v>
      </c>
      <c r="E1017">
        <f t="shared" ca="1" si="15"/>
        <v>162240170.83802012</v>
      </c>
    </row>
    <row r="1018" spans="1:5" hidden="1" x14ac:dyDescent="0.25">
      <c r="A1018">
        <v>25</v>
      </c>
      <c r="B1018">
        <v>13</v>
      </c>
      <c r="C1018" t="s">
        <v>24</v>
      </c>
      <c r="D1018" t="s">
        <v>12</v>
      </c>
      <c r="E1018">
        <f t="shared" ca="1" si="15"/>
        <v>39974989.140221886</v>
      </c>
    </row>
    <row r="1019" spans="1:5" hidden="1" x14ac:dyDescent="0.25">
      <c r="A1019">
        <v>25</v>
      </c>
      <c r="B1019">
        <v>14</v>
      </c>
      <c r="C1019" t="s">
        <v>24</v>
      </c>
      <c r="D1019" t="s">
        <v>13</v>
      </c>
      <c r="E1019">
        <f t="shared" ca="1" si="15"/>
        <v>80097864.532221884</v>
      </c>
    </row>
    <row r="1020" spans="1:5" hidden="1" x14ac:dyDescent="0.25">
      <c r="A1020">
        <v>25</v>
      </c>
      <c r="B1020">
        <v>15</v>
      </c>
      <c r="C1020" t="s">
        <v>24</v>
      </c>
      <c r="D1020" t="s">
        <v>14</v>
      </c>
      <c r="E1020">
        <f t="shared" ca="1" si="15"/>
        <v>412720908.02647257</v>
      </c>
    </row>
    <row r="1021" spans="1:5" hidden="1" x14ac:dyDescent="0.25">
      <c r="A1021">
        <v>25</v>
      </c>
      <c r="B1021">
        <v>16</v>
      </c>
      <c r="C1021" t="s">
        <v>24</v>
      </c>
      <c r="D1021" t="s">
        <v>15</v>
      </c>
      <c r="E1021">
        <f t="shared" ca="1" si="15"/>
        <v>39667599189.514587</v>
      </c>
    </row>
    <row r="1022" spans="1:5" hidden="1" x14ac:dyDescent="0.25">
      <c r="A1022">
        <v>25</v>
      </c>
      <c r="B1022">
        <v>17</v>
      </c>
      <c r="C1022" t="s">
        <v>24</v>
      </c>
      <c r="D1022" t="s">
        <v>16</v>
      </c>
      <c r="E1022">
        <f t="shared" ca="1" si="15"/>
        <v>704448706.18415344</v>
      </c>
    </row>
    <row r="1023" spans="1:5" hidden="1" x14ac:dyDescent="0.25">
      <c r="A1023">
        <v>25</v>
      </c>
      <c r="B1023">
        <v>18</v>
      </c>
      <c r="C1023" t="s">
        <v>24</v>
      </c>
      <c r="D1023" t="s">
        <v>17</v>
      </c>
      <c r="E1023">
        <f t="shared" ca="1" si="15"/>
        <v>39661012182.422585</v>
      </c>
    </row>
    <row r="1024" spans="1:5" hidden="1" x14ac:dyDescent="0.25">
      <c r="A1024">
        <v>25</v>
      </c>
      <c r="B1024">
        <v>19</v>
      </c>
      <c r="C1024" t="s">
        <v>24</v>
      </c>
      <c r="D1024" t="s">
        <v>18</v>
      </c>
      <c r="E1024">
        <f t="shared" ca="1" si="15"/>
        <v>111648341.67828615</v>
      </c>
    </row>
    <row r="1025" spans="1:5" hidden="1" x14ac:dyDescent="0.25">
      <c r="A1025">
        <v>25</v>
      </c>
      <c r="B1025">
        <v>20</v>
      </c>
      <c r="C1025" t="s">
        <v>24</v>
      </c>
      <c r="D1025" t="s">
        <v>19</v>
      </c>
      <c r="E1025">
        <f t="shared" ca="1" si="15"/>
        <v>455762507.62542826</v>
      </c>
    </row>
    <row r="1026" spans="1:5" hidden="1" x14ac:dyDescent="0.25">
      <c r="A1026">
        <v>25</v>
      </c>
      <c r="B1026">
        <v>21</v>
      </c>
      <c r="C1026" t="s">
        <v>24</v>
      </c>
      <c r="D1026" t="s">
        <v>20</v>
      </c>
      <c r="E1026">
        <f t="shared" ca="1" si="15"/>
        <v>316738658.8770107</v>
      </c>
    </row>
    <row r="1027" spans="1:5" hidden="1" x14ac:dyDescent="0.25">
      <c r="A1027">
        <v>25</v>
      </c>
      <c r="B1027">
        <v>22</v>
      </c>
      <c r="C1027" t="s">
        <v>24</v>
      </c>
      <c r="D1027" t="s">
        <v>21</v>
      </c>
      <c r="E1027">
        <f t="shared" ca="1" si="15"/>
        <v>264688734.76722229</v>
      </c>
    </row>
    <row r="1028" spans="1:5" hidden="1" x14ac:dyDescent="0.25">
      <c r="A1028">
        <v>25</v>
      </c>
      <c r="B1028">
        <v>23</v>
      </c>
      <c r="C1028" t="s">
        <v>24</v>
      </c>
      <c r="D1028" t="s">
        <v>22</v>
      </c>
      <c r="E1028">
        <f t="shared" ca="1" si="15"/>
        <v>0</v>
      </c>
    </row>
    <row r="1029" spans="1:5" hidden="1" x14ac:dyDescent="0.25">
      <c r="A1029">
        <v>25</v>
      </c>
      <c r="B1029">
        <v>24</v>
      </c>
      <c r="C1029" t="s">
        <v>24</v>
      </c>
      <c r="D1029" t="s">
        <v>23</v>
      </c>
      <c r="E1029">
        <f t="shared" ca="1" si="15"/>
        <v>0</v>
      </c>
    </row>
    <row r="1030" spans="1:5" hidden="1" x14ac:dyDescent="0.25">
      <c r="A1030">
        <v>25</v>
      </c>
      <c r="B1030">
        <v>25</v>
      </c>
      <c r="C1030" t="s">
        <v>24</v>
      </c>
      <c r="D1030" t="s">
        <v>24</v>
      </c>
      <c r="E1030">
        <f t="shared" ca="1" si="15"/>
        <v>0</v>
      </c>
    </row>
    <row r="1031" spans="1:5" hidden="1" x14ac:dyDescent="0.25">
      <c r="A1031">
        <v>25</v>
      </c>
      <c r="B1031">
        <v>26</v>
      </c>
      <c r="C1031" t="s">
        <v>24</v>
      </c>
      <c r="D1031" t="s">
        <v>25</v>
      </c>
      <c r="E1031">
        <f t="shared" ca="1" si="15"/>
        <v>359322591.82647252</v>
      </c>
    </row>
    <row r="1032" spans="1:5" hidden="1" x14ac:dyDescent="0.25">
      <c r="A1032">
        <v>25</v>
      </c>
      <c r="B1032">
        <v>27</v>
      </c>
      <c r="C1032" t="s">
        <v>24</v>
      </c>
      <c r="D1032" t="s">
        <v>145</v>
      </c>
      <c r="E1032">
        <f t="shared" ca="1" si="15"/>
        <v>965839059.31342816</v>
      </c>
    </row>
    <row r="1033" spans="1:5" hidden="1" x14ac:dyDescent="0.25">
      <c r="A1033">
        <v>25</v>
      </c>
      <c r="B1033">
        <v>28</v>
      </c>
      <c r="C1033" t="s">
        <v>24</v>
      </c>
      <c r="D1033" t="s">
        <v>147</v>
      </c>
      <c r="E1033">
        <f t="shared" ca="1" si="15"/>
        <v>571123466.77467561</v>
      </c>
    </row>
    <row r="1034" spans="1:5" hidden="1" x14ac:dyDescent="0.25">
      <c r="A1034">
        <v>25</v>
      </c>
      <c r="B1034">
        <v>29</v>
      </c>
      <c r="C1034" t="s">
        <v>24</v>
      </c>
      <c r="D1034" t="s">
        <v>146</v>
      </c>
      <c r="E1034">
        <f t="shared" ca="1" si="15"/>
        <v>73529404.708000004</v>
      </c>
    </row>
    <row r="1035" spans="1:5" hidden="1" x14ac:dyDescent="0.25">
      <c r="A1035">
        <v>25</v>
      </c>
      <c r="B1035">
        <v>30</v>
      </c>
      <c r="C1035" t="s">
        <v>24</v>
      </c>
      <c r="D1035" t="s">
        <v>30</v>
      </c>
      <c r="E1035">
        <f t="shared" ca="1" si="15"/>
        <v>305176260.28570372</v>
      </c>
    </row>
    <row r="1036" spans="1:5" hidden="1" x14ac:dyDescent="0.25">
      <c r="A1036">
        <v>25</v>
      </c>
      <c r="B1036">
        <v>31</v>
      </c>
      <c r="C1036" t="s">
        <v>24</v>
      </c>
      <c r="D1036" t="s">
        <v>31</v>
      </c>
      <c r="E1036">
        <f t="shared" ca="1" si="15"/>
        <v>21124666.726557329</v>
      </c>
    </row>
    <row r="1037" spans="1:5" hidden="1" x14ac:dyDescent="0.25">
      <c r="A1037">
        <v>25</v>
      </c>
      <c r="B1037">
        <v>32</v>
      </c>
      <c r="C1037" t="s">
        <v>24</v>
      </c>
      <c r="D1037" t="s">
        <v>32</v>
      </c>
      <c r="E1037">
        <f t="shared" ca="1" si="15"/>
        <v>100028287.09055734</v>
      </c>
    </row>
    <row r="1038" spans="1:5" hidden="1" x14ac:dyDescent="0.25">
      <c r="A1038">
        <v>25</v>
      </c>
      <c r="B1038">
        <v>33</v>
      </c>
      <c r="C1038" t="s">
        <v>24</v>
      </c>
      <c r="D1038" t="s">
        <v>33</v>
      </c>
      <c r="E1038">
        <f t="shared" ca="1" si="15"/>
        <v>2911347069.9857268</v>
      </c>
    </row>
    <row r="1039" spans="1:5" hidden="1" x14ac:dyDescent="0.25">
      <c r="A1039">
        <v>25</v>
      </c>
      <c r="B1039">
        <v>34</v>
      </c>
      <c r="C1039" t="s">
        <v>24</v>
      </c>
      <c r="D1039" t="s">
        <v>34</v>
      </c>
      <c r="E1039">
        <f t="shared" ca="1" si="15"/>
        <v>2281612461.0577269</v>
      </c>
    </row>
    <row r="1040" spans="1:5" hidden="1" x14ac:dyDescent="0.25">
      <c r="A1040">
        <v>25</v>
      </c>
      <c r="B1040">
        <v>35</v>
      </c>
      <c r="C1040" t="s">
        <v>24</v>
      </c>
      <c r="D1040" t="s">
        <v>35</v>
      </c>
      <c r="E1040">
        <f t="shared" ca="1" si="15"/>
        <v>453006086.60211164</v>
      </c>
    </row>
    <row r="1041" spans="1:5" hidden="1" x14ac:dyDescent="0.25">
      <c r="A1041">
        <v>25</v>
      </c>
      <c r="B1041">
        <v>36</v>
      </c>
      <c r="C1041" t="s">
        <v>24</v>
      </c>
      <c r="D1041" t="s">
        <v>36</v>
      </c>
      <c r="E1041">
        <f t="shared" ca="1" si="15"/>
        <v>156336954.76104873</v>
      </c>
    </row>
    <row r="1042" spans="1:5" hidden="1" x14ac:dyDescent="0.25">
      <c r="A1042">
        <v>25</v>
      </c>
      <c r="B1042">
        <v>37</v>
      </c>
      <c r="C1042" t="s">
        <v>24</v>
      </c>
      <c r="D1042" t="s">
        <v>37</v>
      </c>
      <c r="E1042">
        <f t="shared" ca="1" si="15"/>
        <v>24036970.285523348</v>
      </c>
    </row>
    <row r="1043" spans="1:5" hidden="1" x14ac:dyDescent="0.25">
      <c r="A1043">
        <v>25</v>
      </c>
      <c r="B1043">
        <v>38</v>
      </c>
      <c r="C1043" t="s">
        <v>24</v>
      </c>
      <c r="D1043" t="s">
        <v>38</v>
      </c>
      <c r="E1043">
        <f t="shared" ca="1" si="15"/>
        <v>103811608.53890257</v>
      </c>
    </row>
    <row r="1044" spans="1:5" hidden="1" x14ac:dyDescent="0.25">
      <c r="A1044">
        <v>25</v>
      </c>
      <c r="B1044">
        <v>39</v>
      </c>
      <c r="C1044" t="s">
        <v>24</v>
      </c>
      <c r="D1044" t="s">
        <v>39</v>
      </c>
      <c r="E1044">
        <f t="shared" ca="1" si="15"/>
        <v>102453825.05412802</v>
      </c>
    </row>
    <row r="1045" spans="1:5" hidden="1" x14ac:dyDescent="0.25">
      <c r="A1045">
        <v>25</v>
      </c>
      <c r="B1045">
        <v>40</v>
      </c>
      <c r="C1045" t="s">
        <v>24</v>
      </c>
      <c r="D1045" t="s">
        <v>40</v>
      </c>
      <c r="E1045">
        <f t="shared" ca="1" si="15"/>
        <v>181003187.24552336</v>
      </c>
    </row>
    <row r="1046" spans="1:5" hidden="1" x14ac:dyDescent="0.25">
      <c r="A1046">
        <v>26</v>
      </c>
      <c r="B1046">
        <v>1</v>
      </c>
      <c r="C1046" t="s">
        <v>25</v>
      </c>
      <c r="D1046" t="s">
        <v>0</v>
      </c>
      <c r="E1046">
        <f t="shared" ref="E1046:E1108" ca="1" si="16">OFFSET($B$2,A1046,B1046)</f>
        <v>519395834.84872949</v>
      </c>
    </row>
    <row r="1047" spans="1:5" hidden="1" x14ac:dyDescent="0.25">
      <c r="A1047">
        <v>26</v>
      </c>
      <c r="B1047">
        <v>2</v>
      </c>
      <c r="C1047" t="s">
        <v>25</v>
      </c>
      <c r="D1047" t="s">
        <v>1</v>
      </c>
      <c r="E1047">
        <f t="shared" ca="1" si="16"/>
        <v>395864366.28730094</v>
      </c>
    </row>
    <row r="1048" spans="1:5" hidden="1" x14ac:dyDescent="0.25">
      <c r="A1048">
        <v>26</v>
      </c>
      <c r="B1048">
        <v>3</v>
      </c>
      <c r="C1048" t="s">
        <v>25</v>
      </c>
      <c r="D1048" t="s">
        <v>2</v>
      </c>
      <c r="E1048">
        <f t="shared" ca="1" si="16"/>
        <v>742312744.98411095</v>
      </c>
    </row>
    <row r="1049" spans="1:5" hidden="1" x14ac:dyDescent="0.25">
      <c r="A1049">
        <v>26</v>
      </c>
      <c r="B1049">
        <v>4</v>
      </c>
      <c r="C1049" t="s">
        <v>25</v>
      </c>
      <c r="D1049" t="s">
        <v>3</v>
      </c>
      <c r="E1049">
        <f t="shared" ca="1" si="16"/>
        <v>641318726.1083082</v>
      </c>
    </row>
    <row r="1050" spans="1:5" hidden="1" x14ac:dyDescent="0.25">
      <c r="A1050">
        <v>26</v>
      </c>
      <c r="B1050">
        <v>5</v>
      </c>
      <c r="C1050" t="s">
        <v>25</v>
      </c>
      <c r="D1050" t="s">
        <v>4</v>
      </c>
      <c r="E1050">
        <f t="shared" ca="1" si="16"/>
        <v>471267220.25561237</v>
      </c>
    </row>
    <row r="1051" spans="1:5" hidden="1" x14ac:dyDescent="0.25">
      <c r="A1051">
        <v>26</v>
      </c>
      <c r="B1051">
        <v>6</v>
      </c>
      <c r="C1051" t="s">
        <v>25</v>
      </c>
      <c r="D1051" t="s">
        <v>5</v>
      </c>
      <c r="E1051">
        <f t="shared" ca="1" si="16"/>
        <v>590723994.01846957</v>
      </c>
    </row>
    <row r="1052" spans="1:5" hidden="1" x14ac:dyDescent="0.25">
      <c r="A1052">
        <v>26</v>
      </c>
      <c r="B1052">
        <v>7</v>
      </c>
      <c r="C1052" t="s">
        <v>25</v>
      </c>
      <c r="D1052" t="s">
        <v>6</v>
      </c>
      <c r="E1052">
        <f t="shared" ca="1" si="16"/>
        <v>452034996.48418379</v>
      </c>
    </row>
    <row r="1053" spans="1:5" hidden="1" x14ac:dyDescent="0.25">
      <c r="A1053">
        <v>26</v>
      </c>
      <c r="B1053">
        <v>8</v>
      </c>
      <c r="C1053" t="s">
        <v>25</v>
      </c>
      <c r="D1053" t="s">
        <v>7</v>
      </c>
      <c r="E1053">
        <f t="shared" ca="1" si="16"/>
        <v>558382538.65173674</v>
      </c>
    </row>
    <row r="1054" spans="1:5" hidden="1" x14ac:dyDescent="0.25">
      <c r="A1054">
        <v>26</v>
      </c>
      <c r="B1054">
        <v>9</v>
      </c>
      <c r="C1054" t="s">
        <v>25</v>
      </c>
      <c r="D1054" t="s">
        <v>148</v>
      </c>
      <c r="E1054">
        <f t="shared" ca="1" si="16"/>
        <v>386735208.5873009</v>
      </c>
    </row>
    <row r="1055" spans="1:5" hidden="1" x14ac:dyDescent="0.25">
      <c r="A1055">
        <v>26</v>
      </c>
      <c r="B1055">
        <v>10</v>
      </c>
      <c r="C1055" t="s">
        <v>25</v>
      </c>
      <c r="D1055" t="s">
        <v>9</v>
      </c>
      <c r="E1055">
        <f t="shared" ca="1" si="16"/>
        <v>518602997.31561244</v>
      </c>
    </row>
    <row r="1056" spans="1:5" hidden="1" x14ac:dyDescent="0.25">
      <c r="A1056">
        <v>26</v>
      </c>
      <c r="B1056">
        <v>11</v>
      </c>
      <c r="C1056" t="s">
        <v>25</v>
      </c>
      <c r="D1056" t="s">
        <v>10</v>
      </c>
      <c r="E1056">
        <f t="shared" ca="1" si="16"/>
        <v>1961804599.5876071</v>
      </c>
    </row>
    <row r="1057" spans="1:5" hidden="1" x14ac:dyDescent="0.25">
      <c r="A1057">
        <v>26</v>
      </c>
      <c r="B1057">
        <v>12</v>
      </c>
      <c r="C1057" t="s">
        <v>25</v>
      </c>
      <c r="D1057" t="s">
        <v>11</v>
      </c>
      <c r="E1057">
        <f t="shared" ca="1" si="16"/>
        <v>465372851.99768972</v>
      </c>
    </row>
    <row r="1058" spans="1:5" hidden="1" x14ac:dyDescent="0.25">
      <c r="A1058">
        <v>26</v>
      </c>
      <c r="B1058">
        <v>13</v>
      </c>
      <c r="C1058" t="s">
        <v>25</v>
      </c>
      <c r="D1058" t="s">
        <v>12</v>
      </c>
      <c r="E1058">
        <f t="shared" ca="1" si="16"/>
        <v>348077679.70335555</v>
      </c>
    </row>
    <row r="1059" spans="1:5" hidden="1" x14ac:dyDescent="0.25">
      <c r="A1059">
        <v>26</v>
      </c>
      <c r="B1059">
        <v>14</v>
      </c>
      <c r="C1059" t="s">
        <v>25</v>
      </c>
      <c r="D1059" t="s">
        <v>13</v>
      </c>
      <c r="E1059">
        <f t="shared" ca="1" si="16"/>
        <v>388200555.09535563</v>
      </c>
    </row>
    <row r="1060" spans="1:5" hidden="1" x14ac:dyDescent="0.25">
      <c r="A1060">
        <v>26</v>
      </c>
      <c r="B1060">
        <v>15</v>
      </c>
      <c r="C1060" t="s">
        <v>25</v>
      </c>
      <c r="D1060" t="s">
        <v>14</v>
      </c>
      <c r="E1060">
        <f t="shared" ca="1" si="16"/>
        <v>191159423.56</v>
      </c>
    </row>
    <row r="1061" spans="1:5" hidden="1" x14ac:dyDescent="0.25">
      <c r="A1061">
        <v>26</v>
      </c>
      <c r="B1061">
        <v>16</v>
      </c>
      <c r="C1061" t="s">
        <v>25</v>
      </c>
      <c r="D1061" t="s">
        <v>15</v>
      </c>
      <c r="E1061">
        <f t="shared" ca="1" si="16"/>
        <v>161775878.57199997</v>
      </c>
    </row>
    <row r="1062" spans="1:5" hidden="1" x14ac:dyDescent="0.25">
      <c r="A1062">
        <v>26</v>
      </c>
      <c r="B1062">
        <v>17</v>
      </c>
      <c r="C1062" t="s">
        <v>25</v>
      </c>
      <c r="D1062" t="s">
        <v>16</v>
      </c>
      <c r="E1062">
        <f t="shared" ca="1" si="16"/>
        <v>685254534.62667978</v>
      </c>
    </row>
    <row r="1063" spans="1:5" hidden="1" x14ac:dyDescent="0.25">
      <c r="A1063">
        <v>26</v>
      </c>
      <c r="B1063">
        <v>18</v>
      </c>
      <c r="C1063" t="s">
        <v>25</v>
      </c>
      <c r="D1063" t="s">
        <v>17</v>
      </c>
      <c r="E1063">
        <f t="shared" ca="1" si="16"/>
        <v>155188871.47999999</v>
      </c>
    </row>
    <row r="1064" spans="1:5" hidden="1" x14ac:dyDescent="0.25">
      <c r="A1064">
        <v>26</v>
      </c>
      <c r="B1064">
        <v>19</v>
      </c>
      <c r="C1064" t="s">
        <v>25</v>
      </c>
      <c r="D1064" t="s">
        <v>18</v>
      </c>
      <c r="E1064">
        <f t="shared" ca="1" si="16"/>
        <v>343051144.85892248</v>
      </c>
    </row>
    <row r="1065" spans="1:5" hidden="1" x14ac:dyDescent="0.25">
      <c r="A1065">
        <v>26</v>
      </c>
      <c r="B1065">
        <v>20</v>
      </c>
      <c r="C1065" t="s">
        <v>25</v>
      </c>
      <c r="D1065" t="s">
        <v>19</v>
      </c>
      <c r="E1065">
        <f t="shared" ca="1" si="16"/>
        <v>1002976312.5710614</v>
      </c>
    </row>
    <row r="1066" spans="1:5" hidden="1" x14ac:dyDescent="0.25">
      <c r="A1066">
        <v>26</v>
      </c>
      <c r="B1066">
        <v>21</v>
      </c>
      <c r="C1066" t="s">
        <v>25</v>
      </c>
      <c r="D1066" t="s">
        <v>20</v>
      </c>
      <c r="E1066">
        <f t="shared" ca="1" si="16"/>
        <v>555715079.14582717</v>
      </c>
    </row>
    <row r="1067" spans="1:5" hidden="1" x14ac:dyDescent="0.25">
      <c r="A1067">
        <v>26</v>
      </c>
      <c r="B1067">
        <v>22</v>
      </c>
      <c r="C1067" t="s">
        <v>25</v>
      </c>
      <c r="D1067" t="s">
        <v>21</v>
      </c>
      <c r="E1067">
        <f t="shared" ca="1" si="16"/>
        <v>756680293.9888202</v>
      </c>
    </row>
    <row r="1068" spans="1:5" hidden="1" x14ac:dyDescent="0.25">
      <c r="A1068">
        <v>26</v>
      </c>
      <c r="B1068">
        <v>23</v>
      </c>
      <c r="C1068" t="s">
        <v>25</v>
      </c>
      <c r="D1068" t="s">
        <v>22</v>
      </c>
      <c r="E1068">
        <f t="shared" ca="1" si="16"/>
        <v>354420465.92647254</v>
      </c>
    </row>
    <row r="1069" spans="1:5" hidden="1" x14ac:dyDescent="0.25">
      <c r="A1069">
        <v>26</v>
      </c>
      <c r="B1069">
        <v>24</v>
      </c>
      <c r="C1069" t="s">
        <v>25</v>
      </c>
      <c r="D1069" t="s">
        <v>23</v>
      </c>
      <c r="E1069">
        <f t="shared" ca="1" si="16"/>
        <v>383840557.96647263</v>
      </c>
    </row>
    <row r="1070" spans="1:5" hidden="1" x14ac:dyDescent="0.25">
      <c r="A1070">
        <v>26</v>
      </c>
      <c r="B1070">
        <v>25</v>
      </c>
      <c r="C1070" t="s">
        <v>25</v>
      </c>
      <c r="D1070" t="s">
        <v>24</v>
      </c>
      <c r="E1070">
        <f t="shared" ca="1" si="16"/>
        <v>359322591.82647252</v>
      </c>
    </row>
    <row r="1071" spans="1:5" hidden="1" x14ac:dyDescent="0.25">
      <c r="A1071">
        <v>26</v>
      </c>
      <c r="B1071">
        <v>26</v>
      </c>
      <c r="C1071" t="s">
        <v>25</v>
      </c>
      <c r="D1071" t="s">
        <v>25</v>
      </c>
      <c r="E1071">
        <f t="shared" ca="1" si="16"/>
        <v>0</v>
      </c>
    </row>
    <row r="1072" spans="1:5" hidden="1" x14ac:dyDescent="0.25">
      <c r="A1072">
        <v>26</v>
      </c>
      <c r="B1072">
        <v>27</v>
      </c>
      <c r="C1072" t="s">
        <v>25</v>
      </c>
      <c r="D1072" t="s">
        <v>145</v>
      </c>
      <c r="E1072">
        <f t="shared" ca="1" si="16"/>
        <v>933659276.84498</v>
      </c>
    </row>
    <row r="1073" spans="1:5" hidden="1" x14ac:dyDescent="0.25">
      <c r="A1073">
        <v>26</v>
      </c>
      <c r="B1073">
        <v>28</v>
      </c>
      <c r="C1073" t="s">
        <v>25</v>
      </c>
      <c r="D1073" t="s">
        <v>147</v>
      </c>
      <c r="E1073">
        <f t="shared" ca="1" si="16"/>
        <v>693984268.59107542</v>
      </c>
    </row>
    <row r="1074" spans="1:5" hidden="1" x14ac:dyDescent="0.25">
      <c r="A1074">
        <v>26</v>
      </c>
      <c r="B1074">
        <v>29</v>
      </c>
      <c r="C1074" t="s">
        <v>25</v>
      </c>
      <c r="D1074" t="s">
        <v>146</v>
      </c>
      <c r="E1074">
        <f t="shared" ca="1" si="16"/>
        <v>346801151.97447264</v>
      </c>
    </row>
    <row r="1075" spans="1:5" hidden="1" x14ac:dyDescent="0.25">
      <c r="A1075">
        <v>26</v>
      </c>
      <c r="B1075">
        <v>30</v>
      </c>
      <c r="C1075" t="s">
        <v>25</v>
      </c>
      <c r="D1075" t="s">
        <v>30</v>
      </c>
      <c r="E1075">
        <f t="shared" ca="1" si="16"/>
        <v>500859337.37687963</v>
      </c>
    </row>
    <row r="1076" spans="1:5" hidden="1" x14ac:dyDescent="0.25">
      <c r="A1076">
        <v>26</v>
      </c>
      <c r="B1076">
        <v>31</v>
      </c>
      <c r="C1076" t="s">
        <v>25</v>
      </c>
      <c r="D1076" t="s">
        <v>31</v>
      </c>
      <c r="E1076">
        <f t="shared" ca="1" si="16"/>
        <v>480223236.49236643</v>
      </c>
    </row>
    <row r="1077" spans="1:5" hidden="1" x14ac:dyDescent="0.25">
      <c r="A1077">
        <v>26</v>
      </c>
      <c r="B1077">
        <v>32</v>
      </c>
      <c r="C1077" t="s">
        <v>25</v>
      </c>
      <c r="D1077" t="s">
        <v>32</v>
      </c>
      <c r="E1077">
        <f t="shared" ca="1" si="16"/>
        <v>559126856.85636652</v>
      </c>
    </row>
    <row r="1078" spans="1:5" hidden="1" x14ac:dyDescent="0.25">
      <c r="A1078">
        <v>26</v>
      </c>
      <c r="B1078">
        <v>33</v>
      </c>
      <c r="C1078" t="s">
        <v>25</v>
      </c>
      <c r="D1078" t="s">
        <v>33</v>
      </c>
      <c r="E1078">
        <f t="shared" ca="1" si="16"/>
        <v>2950066864.0749068</v>
      </c>
    </row>
    <row r="1079" spans="1:5" hidden="1" x14ac:dyDescent="0.25">
      <c r="A1079">
        <v>26</v>
      </c>
      <c r="B1079">
        <v>34</v>
      </c>
      <c r="C1079" t="s">
        <v>25</v>
      </c>
      <c r="D1079" t="s">
        <v>34</v>
      </c>
      <c r="E1079">
        <f t="shared" ca="1" si="16"/>
        <v>2320332255.1469069</v>
      </c>
    </row>
    <row r="1080" spans="1:5" hidden="1" x14ac:dyDescent="0.25">
      <c r="A1080">
        <v>26</v>
      </c>
      <c r="B1080">
        <v>35</v>
      </c>
      <c r="C1080" t="s">
        <v>25</v>
      </c>
      <c r="D1080" t="s">
        <v>35</v>
      </c>
      <c r="E1080">
        <f t="shared" ca="1" si="16"/>
        <v>339964807.71130097</v>
      </c>
    </row>
    <row r="1081" spans="1:5" hidden="1" x14ac:dyDescent="0.25">
      <c r="A1081">
        <v>26</v>
      </c>
      <c r="B1081">
        <v>36</v>
      </c>
      <c r="C1081" t="s">
        <v>25</v>
      </c>
      <c r="D1081" t="s">
        <v>36</v>
      </c>
      <c r="E1081">
        <f t="shared" ca="1" si="16"/>
        <v>293792505.78406751</v>
      </c>
    </row>
    <row r="1082" spans="1:5" hidden="1" x14ac:dyDescent="0.25">
      <c r="A1082">
        <v>26</v>
      </c>
      <c r="B1082">
        <v>37</v>
      </c>
      <c r="C1082" t="s">
        <v>25</v>
      </c>
      <c r="D1082" t="s">
        <v>37</v>
      </c>
      <c r="E1082">
        <f t="shared" ca="1" si="16"/>
        <v>191947348.01415378</v>
      </c>
    </row>
    <row r="1083" spans="1:5" hidden="1" x14ac:dyDescent="0.25">
      <c r="A1083">
        <v>26</v>
      </c>
      <c r="B1083">
        <v>38</v>
      </c>
      <c r="C1083" t="s">
        <v>25</v>
      </c>
      <c r="D1083" t="s">
        <v>38</v>
      </c>
      <c r="E1083">
        <f t="shared" ca="1" si="16"/>
        <v>242919560.29198879</v>
      </c>
    </row>
    <row r="1084" spans="1:5" hidden="1" x14ac:dyDescent="0.25">
      <c r="A1084">
        <v>26</v>
      </c>
      <c r="B1084">
        <v>39</v>
      </c>
      <c r="C1084" t="s">
        <v>25</v>
      </c>
      <c r="D1084" t="s">
        <v>39</v>
      </c>
      <c r="E1084">
        <f t="shared" ca="1" si="16"/>
        <v>292417745.58063108</v>
      </c>
    </row>
    <row r="1085" spans="1:5" hidden="1" x14ac:dyDescent="0.25">
      <c r="A1085">
        <v>26</v>
      </c>
      <c r="B1085">
        <v>40</v>
      </c>
      <c r="C1085" t="s">
        <v>25</v>
      </c>
      <c r="D1085" t="s">
        <v>40</v>
      </c>
      <c r="E1085">
        <f t="shared" ca="1" si="16"/>
        <v>348913564.97415376</v>
      </c>
    </row>
    <row r="1086" spans="1:5" hidden="1" x14ac:dyDescent="0.25">
      <c r="A1086">
        <v>27</v>
      </c>
      <c r="B1086">
        <v>1</v>
      </c>
      <c r="C1086" t="s">
        <v>145</v>
      </c>
      <c r="D1086" t="s">
        <v>0</v>
      </c>
      <c r="E1086">
        <f t="shared" ca="1" si="16"/>
        <v>1399247178.8178599</v>
      </c>
    </row>
    <row r="1087" spans="1:5" hidden="1" x14ac:dyDescent="0.25">
      <c r="A1087">
        <v>27</v>
      </c>
      <c r="B1087">
        <v>2</v>
      </c>
      <c r="C1087" t="s">
        <v>145</v>
      </c>
      <c r="D1087" t="s">
        <v>1</v>
      </c>
      <c r="E1087">
        <f t="shared" ca="1" si="16"/>
        <v>1275715710.2564313</v>
      </c>
    </row>
    <row r="1088" spans="1:5" hidden="1" x14ac:dyDescent="0.25">
      <c r="A1088">
        <v>27</v>
      </c>
      <c r="B1088">
        <v>3</v>
      </c>
      <c r="C1088" t="s">
        <v>145</v>
      </c>
      <c r="D1088" t="s">
        <v>2</v>
      </c>
      <c r="E1088">
        <f t="shared" ca="1" si="16"/>
        <v>1390347040.963336</v>
      </c>
    </row>
    <row r="1089" spans="1:5" hidden="1" x14ac:dyDescent="0.25">
      <c r="A1089">
        <v>27</v>
      </c>
      <c r="B1089">
        <v>4</v>
      </c>
      <c r="C1089" t="s">
        <v>145</v>
      </c>
      <c r="D1089" t="s">
        <v>3</v>
      </c>
      <c r="E1089">
        <f t="shared" ca="1" si="16"/>
        <v>1359410262.0699954</v>
      </c>
    </row>
    <row r="1090" spans="1:5" hidden="1" x14ac:dyDescent="0.25">
      <c r="A1090">
        <v>27</v>
      </c>
      <c r="B1090">
        <v>5</v>
      </c>
      <c r="C1090" t="s">
        <v>145</v>
      </c>
      <c r="D1090" t="s">
        <v>4</v>
      </c>
      <c r="E1090">
        <f t="shared" ca="1" si="16"/>
        <v>1141589292.8978963</v>
      </c>
    </row>
    <row r="1091" spans="1:5" hidden="1" x14ac:dyDescent="0.25">
      <c r="A1091">
        <v>27</v>
      </c>
      <c r="B1091">
        <v>6</v>
      </c>
      <c r="C1091" t="s">
        <v>145</v>
      </c>
      <c r="D1091" t="s">
        <v>5</v>
      </c>
      <c r="E1091">
        <f t="shared" ca="1" si="16"/>
        <v>1261046066.6607535</v>
      </c>
    </row>
    <row r="1092" spans="1:5" hidden="1" x14ac:dyDescent="0.25">
      <c r="A1092">
        <v>27</v>
      </c>
      <c r="B1092">
        <v>7</v>
      </c>
      <c r="C1092" t="s">
        <v>145</v>
      </c>
      <c r="D1092" t="s">
        <v>6</v>
      </c>
      <c r="E1092">
        <f t="shared" ca="1" si="16"/>
        <v>1122357069.1264677</v>
      </c>
    </row>
    <row r="1093" spans="1:5" hidden="1" x14ac:dyDescent="0.25">
      <c r="A1093">
        <v>27</v>
      </c>
      <c r="B1093">
        <v>8</v>
      </c>
      <c r="C1093" t="s">
        <v>145</v>
      </c>
      <c r="D1093" t="s">
        <v>7</v>
      </c>
      <c r="E1093">
        <f t="shared" ca="1" si="16"/>
        <v>1276474074.6134238</v>
      </c>
    </row>
    <row r="1094" spans="1:5" hidden="1" x14ac:dyDescent="0.25">
      <c r="A1094">
        <v>27</v>
      </c>
      <c r="B1094">
        <v>9</v>
      </c>
      <c r="C1094" t="s">
        <v>145</v>
      </c>
      <c r="D1094" t="s">
        <v>148</v>
      </c>
      <c r="E1094">
        <f t="shared" ca="1" si="16"/>
        <v>1266586552.5564313</v>
      </c>
    </row>
    <row r="1095" spans="1:5" hidden="1" x14ac:dyDescent="0.25">
      <c r="A1095">
        <v>27</v>
      </c>
      <c r="B1095">
        <v>10</v>
      </c>
      <c r="C1095" t="s">
        <v>145</v>
      </c>
      <c r="D1095" t="s">
        <v>9</v>
      </c>
      <c r="E1095">
        <f t="shared" ca="1" si="16"/>
        <v>1188925069.9578965</v>
      </c>
    </row>
    <row r="1096" spans="1:5" hidden="1" x14ac:dyDescent="0.25">
      <c r="A1096">
        <v>27</v>
      </c>
      <c r="B1096">
        <v>11</v>
      </c>
      <c r="C1096" t="s">
        <v>145</v>
      </c>
      <c r="D1096" t="s">
        <v>10</v>
      </c>
      <c r="E1096">
        <f t="shared" ca="1" si="16"/>
        <v>1140508373.380213</v>
      </c>
    </row>
    <row r="1097" spans="1:5" hidden="1" x14ac:dyDescent="0.25">
      <c r="A1097">
        <v>27</v>
      </c>
      <c r="B1097">
        <v>12</v>
      </c>
      <c r="C1097" t="s">
        <v>145</v>
      </c>
      <c r="D1097" t="s">
        <v>11</v>
      </c>
      <c r="E1097">
        <f t="shared" ca="1" si="16"/>
        <v>1005026115.9657083</v>
      </c>
    </row>
    <row r="1098" spans="1:5" hidden="1" x14ac:dyDescent="0.25">
      <c r="A1098">
        <v>27</v>
      </c>
      <c r="B1098">
        <v>13</v>
      </c>
      <c r="C1098" t="s">
        <v>145</v>
      </c>
      <c r="D1098" t="s">
        <v>12</v>
      </c>
      <c r="E1098">
        <f t="shared" ca="1" si="16"/>
        <v>957364760.86335754</v>
      </c>
    </row>
    <row r="1099" spans="1:5" hidden="1" x14ac:dyDescent="0.25">
      <c r="A1099">
        <v>27</v>
      </c>
      <c r="B1099">
        <v>14</v>
      </c>
      <c r="C1099" t="s">
        <v>145</v>
      </c>
      <c r="D1099" t="s">
        <v>13</v>
      </c>
      <c r="E1099">
        <f t="shared" ca="1" si="16"/>
        <v>997487636.2553575</v>
      </c>
    </row>
    <row r="1100" spans="1:5" hidden="1" x14ac:dyDescent="0.25">
      <c r="A1100">
        <v>27</v>
      </c>
      <c r="B1100">
        <v>15</v>
      </c>
      <c r="C1100" t="s">
        <v>145</v>
      </c>
      <c r="D1100" t="s">
        <v>14</v>
      </c>
      <c r="E1100">
        <f t="shared" ca="1" si="16"/>
        <v>102246619386.74255</v>
      </c>
    </row>
    <row r="1101" spans="1:5" hidden="1" x14ac:dyDescent="0.25">
      <c r="A1101">
        <v>27</v>
      </c>
      <c r="B1101">
        <v>16</v>
      </c>
      <c r="C1101" t="s">
        <v>145</v>
      </c>
      <c r="D1101" t="s">
        <v>15</v>
      </c>
      <c r="E1101">
        <f t="shared" ca="1" si="16"/>
        <v>1536623247.7158813</v>
      </c>
    </row>
    <row r="1102" spans="1:5" hidden="1" x14ac:dyDescent="0.25">
      <c r="A1102">
        <v>27</v>
      </c>
      <c r="B1102">
        <v>17</v>
      </c>
      <c r="C1102" t="s">
        <v>145</v>
      </c>
      <c r="D1102" t="s">
        <v>16</v>
      </c>
      <c r="E1102">
        <f t="shared" ca="1" si="16"/>
        <v>1477958967.5775502</v>
      </c>
    </row>
    <row r="1103" spans="1:5" hidden="1" x14ac:dyDescent="0.25">
      <c r="A1103">
        <v>27</v>
      </c>
      <c r="B1103">
        <v>18</v>
      </c>
      <c r="C1103" t="s">
        <v>145</v>
      </c>
      <c r="D1103" t="s">
        <v>17</v>
      </c>
      <c r="E1103">
        <f t="shared" ca="1" si="16"/>
        <v>1530036240.6238813</v>
      </c>
    </row>
    <row r="1104" spans="1:5" hidden="1" x14ac:dyDescent="0.25">
      <c r="A1104">
        <v>27</v>
      </c>
      <c r="B1104">
        <v>19</v>
      </c>
      <c r="C1104" t="s">
        <v>145</v>
      </c>
      <c r="D1104" t="s">
        <v>18</v>
      </c>
      <c r="E1104">
        <f t="shared" ca="1" si="16"/>
        <v>1208705447.7613821</v>
      </c>
    </row>
    <row r="1105" spans="1:5" hidden="1" x14ac:dyDescent="0.25">
      <c r="A1105">
        <v>27</v>
      </c>
      <c r="B1105">
        <v>20</v>
      </c>
      <c r="C1105" t="s">
        <v>145</v>
      </c>
      <c r="D1105" t="s">
        <v>19</v>
      </c>
      <c r="E1105">
        <f t="shared" ca="1" si="16"/>
        <v>774912205.27199996</v>
      </c>
    </row>
    <row r="1106" spans="1:5" hidden="1" x14ac:dyDescent="0.25">
      <c r="A1106">
        <v>27</v>
      </c>
      <c r="B1106">
        <v>21</v>
      </c>
      <c r="C1106" t="s">
        <v>145</v>
      </c>
      <c r="D1106" t="s">
        <v>20</v>
      </c>
      <c r="E1106">
        <f t="shared" ca="1" si="16"/>
        <v>939695005.20972776</v>
      </c>
    </row>
    <row r="1107" spans="1:5" hidden="1" x14ac:dyDescent="0.25">
      <c r="A1107">
        <v>27</v>
      </c>
      <c r="B1107">
        <v>22</v>
      </c>
      <c r="C1107" t="s">
        <v>145</v>
      </c>
      <c r="D1107" t="s">
        <v>21</v>
      </c>
      <c r="E1107">
        <f t="shared" ca="1" si="16"/>
        <v>737020573.29744613</v>
      </c>
    </row>
    <row r="1108" spans="1:5" hidden="1" x14ac:dyDescent="0.25">
      <c r="A1108">
        <v>27</v>
      </c>
      <c r="B1108">
        <v>23</v>
      </c>
      <c r="C1108" t="s">
        <v>145</v>
      </c>
      <c r="D1108" t="s">
        <v>22</v>
      </c>
      <c r="E1108">
        <f t="shared" ca="1" si="16"/>
        <v>960936933.41342831</v>
      </c>
    </row>
    <row r="1109" spans="1:5" hidden="1" x14ac:dyDescent="0.25">
      <c r="A1109">
        <v>27</v>
      </c>
      <c r="B1109">
        <v>24</v>
      </c>
      <c r="C1109" t="s">
        <v>145</v>
      </c>
      <c r="D1109" t="s">
        <v>23</v>
      </c>
      <c r="E1109">
        <f t="shared" ref="E1109:E1130" ca="1" si="17">OFFSET($B$2,A1109,B1109)</f>
        <v>990357025.45342827</v>
      </c>
    </row>
    <row r="1110" spans="1:5" hidden="1" x14ac:dyDescent="0.25">
      <c r="A1110">
        <v>27</v>
      </c>
      <c r="B1110">
        <v>25</v>
      </c>
      <c r="C1110" t="s">
        <v>145</v>
      </c>
      <c r="D1110" t="s">
        <v>24</v>
      </c>
      <c r="E1110">
        <f t="shared" ca="1" si="17"/>
        <v>965839059.31342816</v>
      </c>
    </row>
    <row r="1111" spans="1:5" hidden="1" x14ac:dyDescent="0.25">
      <c r="A1111">
        <v>27</v>
      </c>
      <c r="B1111">
        <v>26</v>
      </c>
      <c r="C1111" t="s">
        <v>145</v>
      </c>
      <c r="D1111" t="s">
        <v>25</v>
      </c>
      <c r="E1111">
        <f t="shared" ca="1" si="17"/>
        <v>933659276.84498</v>
      </c>
    </row>
    <row r="1112" spans="1:5" hidden="1" x14ac:dyDescent="0.25">
      <c r="A1112">
        <v>27</v>
      </c>
      <c r="B1112">
        <v>27</v>
      </c>
      <c r="C1112" t="s">
        <v>145</v>
      </c>
      <c r="D1112" t="s">
        <v>145</v>
      </c>
      <c r="E1112">
        <f t="shared" ca="1" si="17"/>
        <v>0</v>
      </c>
    </row>
    <row r="1113" spans="1:5" hidden="1" x14ac:dyDescent="0.25">
      <c r="A1113">
        <v>27</v>
      </c>
      <c r="B1113">
        <v>28</v>
      </c>
      <c r="C1113" t="s">
        <v>145</v>
      </c>
      <c r="D1113" t="s">
        <v>147</v>
      </c>
      <c r="E1113">
        <f t="shared" ca="1" si="17"/>
        <v>424436042.08065534</v>
      </c>
    </row>
    <row r="1114" spans="1:5" hidden="1" x14ac:dyDescent="0.25">
      <c r="A1114">
        <v>27</v>
      </c>
      <c r="B1114">
        <v>29</v>
      </c>
      <c r="C1114" t="s">
        <v>145</v>
      </c>
      <c r="D1114" t="s">
        <v>146</v>
      </c>
      <c r="E1114">
        <f t="shared" ca="1" si="17"/>
        <v>378535879.54542828</v>
      </c>
    </row>
    <row r="1115" spans="1:5" hidden="1" x14ac:dyDescent="0.25">
      <c r="A1115">
        <v>27</v>
      </c>
      <c r="B1115">
        <v>30</v>
      </c>
      <c r="C1115" t="s">
        <v>145</v>
      </c>
      <c r="D1115" t="s">
        <v>30</v>
      </c>
      <c r="E1115">
        <f t="shared" ca="1" si="17"/>
        <v>644169133.42256677</v>
      </c>
    </row>
    <row r="1116" spans="1:5" hidden="1" x14ac:dyDescent="0.25">
      <c r="A1116">
        <v>27</v>
      </c>
      <c r="B1116">
        <v>31</v>
      </c>
      <c r="C1116" t="s">
        <v>145</v>
      </c>
      <c r="D1116" t="s">
        <v>31</v>
      </c>
      <c r="E1116">
        <f t="shared" ca="1" si="17"/>
        <v>173378024.35976115</v>
      </c>
    </row>
    <row r="1117" spans="1:5" hidden="1" x14ac:dyDescent="0.25">
      <c r="A1117">
        <v>27</v>
      </c>
      <c r="B1117">
        <v>32</v>
      </c>
      <c r="C1117" t="s">
        <v>145</v>
      </c>
      <c r="D1117" t="s">
        <v>32</v>
      </c>
      <c r="E1117">
        <f t="shared" ca="1" si="17"/>
        <v>252281644.72376114</v>
      </c>
    </row>
    <row r="1118" spans="1:5" hidden="1" x14ac:dyDescent="0.25">
      <c r="A1118">
        <v>27</v>
      </c>
      <c r="B1118">
        <v>33</v>
      </c>
      <c r="C1118" t="s">
        <v>145</v>
      </c>
      <c r="D1118" t="s">
        <v>33</v>
      </c>
      <c r="E1118">
        <f t="shared" ca="1" si="17"/>
        <v>2910904019.9199371</v>
      </c>
    </row>
    <row r="1119" spans="1:5" hidden="1" x14ac:dyDescent="0.25">
      <c r="A1119">
        <v>27</v>
      </c>
      <c r="B1119">
        <v>34</v>
      </c>
      <c r="C1119" t="s">
        <v>145</v>
      </c>
      <c r="D1119" t="s">
        <v>34</v>
      </c>
      <c r="E1119">
        <f t="shared" ca="1" si="17"/>
        <v>2281169410.9919372</v>
      </c>
    </row>
    <row r="1120" spans="1:5" hidden="1" x14ac:dyDescent="0.25">
      <c r="A1120">
        <v>27</v>
      </c>
      <c r="B1120">
        <v>35</v>
      </c>
      <c r="C1120" t="s">
        <v>145</v>
      </c>
      <c r="D1120" t="s">
        <v>35</v>
      </c>
      <c r="E1120">
        <f t="shared" ca="1" si="17"/>
        <v>645034411.76443136</v>
      </c>
    </row>
    <row r="1121" spans="1:5" hidden="1" x14ac:dyDescent="0.25">
      <c r="A1121">
        <v>27</v>
      </c>
      <c r="B1121">
        <v>36</v>
      </c>
      <c r="C1121" t="s">
        <v>145</v>
      </c>
      <c r="D1121" t="s">
        <v>36</v>
      </c>
      <c r="E1121">
        <f t="shared" ca="1" si="17"/>
        <v>311710419.68325841</v>
      </c>
    </row>
    <row r="1122" spans="1:5" hidden="1" x14ac:dyDescent="0.25">
      <c r="A1122">
        <v>27</v>
      </c>
      <c r="B1122">
        <v>37</v>
      </c>
      <c r="C1122" t="s">
        <v>145</v>
      </c>
      <c r="D1122" t="s">
        <v>37</v>
      </c>
      <c r="E1122">
        <f t="shared" ca="1" si="17"/>
        <v>217716747.17372608</v>
      </c>
    </row>
    <row r="1123" spans="1:5" hidden="1" x14ac:dyDescent="0.25">
      <c r="A1123">
        <v>27</v>
      </c>
      <c r="B1123">
        <v>38</v>
      </c>
      <c r="C1123" t="s">
        <v>145</v>
      </c>
      <c r="D1123" t="s">
        <v>38</v>
      </c>
      <c r="E1123">
        <f t="shared" ca="1" si="17"/>
        <v>259052082.00325841</v>
      </c>
    </row>
    <row r="1124" spans="1:5" hidden="1" x14ac:dyDescent="0.25">
      <c r="A1124">
        <v>27</v>
      </c>
      <c r="B1124">
        <v>39</v>
      </c>
      <c r="C1124" t="s">
        <v>145</v>
      </c>
      <c r="D1124" t="s">
        <v>39</v>
      </c>
      <c r="E1124">
        <f t="shared" ca="1" si="17"/>
        <v>446476515.07518536</v>
      </c>
    </row>
    <row r="1125" spans="1:5" hidden="1" x14ac:dyDescent="0.25">
      <c r="A1125">
        <v>27</v>
      </c>
      <c r="B1125">
        <v>40</v>
      </c>
      <c r="C1125" t="s">
        <v>145</v>
      </c>
      <c r="D1125" t="s">
        <v>40</v>
      </c>
      <c r="E1125">
        <f t="shared" ca="1" si="17"/>
        <v>374682964.13372612</v>
      </c>
    </row>
    <row r="1126" spans="1:5" hidden="1" x14ac:dyDescent="0.25">
      <c r="A1126">
        <v>28</v>
      </c>
      <c r="B1126">
        <v>1</v>
      </c>
      <c r="C1126" t="s">
        <v>147</v>
      </c>
      <c r="D1126" t="s">
        <v>0</v>
      </c>
      <c r="E1126">
        <f t="shared" ca="1" si="17"/>
        <v>4794560833.975503</v>
      </c>
    </row>
    <row r="1127" spans="1:5" hidden="1" x14ac:dyDescent="0.25">
      <c r="A1127">
        <v>28</v>
      </c>
      <c r="B1127">
        <v>2</v>
      </c>
      <c r="C1127" t="s">
        <v>147</v>
      </c>
      <c r="D1127" t="s">
        <v>1</v>
      </c>
      <c r="E1127">
        <f t="shared" ca="1" si="17"/>
        <v>4671029365.4140739</v>
      </c>
    </row>
    <row r="1128" spans="1:5" hidden="1" x14ac:dyDescent="0.25">
      <c r="A1128">
        <v>28</v>
      </c>
      <c r="B1128">
        <v>3</v>
      </c>
      <c r="C1128" t="s">
        <v>147</v>
      </c>
      <c r="D1128" t="s">
        <v>2</v>
      </c>
      <c r="E1128">
        <f t="shared" ca="1" si="17"/>
        <v>834567943.79361737</v>
      </c>
    </row>
    <row r="1129" spans="1:5" hidden="1" x14ac:dyDescent="0.25">
      <c r="A1129">
        <v>28</v>
      </c>
      <c r="B1129">
        <v>4</v>
      </c>
      <c r="C1129" t="s">
        <v>147</v>
      </c>
      <c r="D1129" t="s">
        <v>3</v>
      </c>
      <c r="E1129">
        <f t="shared" ca="1" si="17"/>
        <v>3156458213.6880198</v>
      </c>
    </row>
    <row r="1130" spans="1:5" hidden="1" x14ac:dyDescent="0.25">
      <c r="A1130">
        <v>28</v>
      </c>
      <c r="B1130">
        <v>5</v>
      </c>
      <c r="C1130" t="s">
        <v>147</v>
      </c>
      <c r="D1130" t="s">
        <v>4</v>
      </c>
      <c r="E1130">
        <f t="shared" ca="1" si="17"/>
        <v>2517960033.8041797</v>
      </c>
    </row>
    <row r="1131" spans="1:5" hidden="1" x14ac:dyDescent="0.25">
      <c r="A1131">
        <v>28</v>
      </c>
      <c r="B1131">
        <v>6</v>
      </c>
      <c r="C1131" t="s">
        <v>147</v>
      </c>
      <c r="D1131" t="s">
        <v>5</v>
      </c>
      <c r="E1131">
        <f t="shared" ref="E1131:E1192" ca="1" si="18">OFFSET($B$2,A1131,B1131)</f>
        <v>2637416807.5670371</v>
      </c>
    </row>
    <row r="1132" spans="1:5" hidden="1" x14ac:dyDescent="0.25">
      <c r="A1132">
        <v>28</v>
      </c>
      <c r="B1132">
        <v>7</v>
      </c>
      <c r="C1132" t="s">
        <v>147</v>
      </c>
      <c r="D1132" t="s">
        <v>6</v>
      </c>
      <c r="E1132">
        <f t="shared" ca="1" si="18"/>
        <v>2498727810.0327516</v>
      </c>
    </row>
    <row r="1133" spans="1:5" hidden="1" x14ac:dyDescent="0.25">
      <c r="A1133">
        <v>28</v>
      </c>
      <c r="B1133">
        <v>8</v>
      </c>
      <c r="C1133" t="s">
        <v>147</v>
      </c>
      <c r="D1133" t="s">
        <v>7</v>
      </c>
      <c r="E1133">
        <f t="shared" ca="1" si="18"/>
        <v>3073522026.2314482</v>
      </c>
    </row>
    <row r="1134" spans="1:5" hidden="1" x14ac:dyDescent="0.25">
      <c r="A1134">
        <v>28</v>
      </c>
      <c r="B1134">
        <v>9</v>
      </c>
      <c r="C1134" t="s">
        <v>147</v>
      </c>
      <c r="D1134" t="s">
        <v>148</v>
      </c>
      <c r="E1134">
        <f t="shared" ca="1" si="18"/>
        <v>4661900207.7140741</v>
      </c>
    </row>
    <row r="1135" spans="1:5" hidden="1" x14ac:dyDescent="0.25">
      <c r="A1135">
        <v>28</v>
      </c>
      <c r="B1135">
        <v>10</v>
      </c>
      <c r="C1135" t="s">
        <v>147</v>
      </c>
      <c r="D1135" t="s">
        <v>9</v>
      </c>
      <c r="E1135">
        <f t="shared" ca="1" si="18"/>
        <v>2565295810.8641796</v>
      </c>
    </row>
    <row r="1136" spans="1:5" hidden="1" x14ac:dyDescent="0.25">
      <c r="A1136">
        <v>28</v>
      </c>
      <c r="B1136">
        <v>11</v>
      </c>
      <c r="C1136" t="s">
        <v>147</v>
      </c>
      <c r="D1136" t="s">
        <v>10</v>
      </c>
      <c r="E1136">
        <f t="shared" ca="1" si="18"/>
        <v>833045894.24556112</v>
      </c>
    </row>
    <row r="1137" spans="1:5" hidden="1" x14ac:dyDescent="0.25">
      <c r="A1137">
        <v>28</v>
      </c>
      <c r="B1137">
        <v>12</v>
      </c>
      <c r="C1137" t="s">
        <v>147</v>
      </c>
      <c r="D1137" t="s">
        <v>11</v>
      </c>
      <c r="E1137">
        <f t="shared" ca="1" si="18"/>
        <v>1346233467.3432894</v>
      </c>
    </row>
    <row r="1138" spans="1:5" hidden="1" x14ac:dyDescent="0.25">
      <c r="A1138">
        <v>28</v>
      </c>
      <c r="B1138">
        <v>13</v>
      </c>
      <c r="C1138" t="s">
        <v>147</v>
      </c>
      <c r="D1138" t="s">
        <v>12</v>
      </c>
      <c r="E1138">
        <f t="shared" ca="1" si="18"/>
        <v>621631359.29664469</v>
      </c>
    </row>
    <row r="1139" spans="1:5" hidden="1" x14ac:dyDescent="0.25">
      <c r="A1139">
        <v>28</v>
      </c>
      <c r="B1139">
        <v>14</v>
      </c>
      <c r="C1139" t="s">
        <v>147</v>
      </c>
      <c r="D1139" t="s">
        <v>13</v>
      </c>
      <c r="E1139">
        <f t="shared" ca="1" si="18"/>
        <v>661754234.68864465</v>
      </c>
    </row>
    <row r="1140" spans="1:5" hidden="1" x14ac:dyDescent="0.25">
      <c r="A1140">
        <v>28</v>
      </c>
      <c r="B1140">
        <v>15</v>
      </c>
      <c r="C1140" t="s">
        <v>147</v>
      </c>
      <c r="D1140" t="s">
        <v>14</v>
      </c>
      <c r="E1140">
        <f t="shared" ca="1" si="18"/>
        <v>791178725.95107543</v>
      </c>
    </row>
    <row r="1141" spans="1:5" hidden="1" x14ac:dyDescent="0.25">
      <c r="A1141">
        <v>28</v>
      </c>
      <c r="B1141">
        <v>16</v>
      </c>
      <c r="C1141" t="s">
        <v>147</v>
      </c>
      <c r="D1141" t="s">
        <v>15</v>
      </c>
      <c r="E1141">
        <f t="shared" ca="1" si="18"/>
        <v>1086829363.9781609</v>
      </c>
    </row>
    <row r="1142" spans="1:5" hidden="1" x14ac:dyDescent="0.25">
      <c r="A1142">
        <v>28</v>
      </c>
      <c r="B1142">
        <v>17</v>
      </c>
      <c r="C1142" t="s">
        <v>147</v>
      </c>
      <c r="D1142" t="s">
        <v>16</v>
      </c>
      <c r="E1142">
        <f t="shared" ca="1" si="18"/>
        <v>1559260816.2355127</v>
      </c>
    </row>
    <row r="1143" spans="1:5" hidden="1" x14ac:dyDescent="0.25">
      <c r="A1143">
        <v>28</v>
      </c>
      <c r="B1143">
        <v>18</v>
      </c>
      <c r="C1143" t="s">
        <v>147</v>
      </c>
      <c r="D1143" t="s">
        <v>17</v>
      </c>
      <c r="E1143">
        <f t="shared" ca="1" si="18"/>
        <v>1080242356.8861609</v>
      </c>
    </row>
    <row r="1144" spans="1:5" hidden="1" x14ac:dyDescent="0.25">
      <c r="A1144">
        <v>28</v>
      </c>
      <c r="B1144">
        <v>19</v>
      </c>
      <c r="C1144" t="s">
        <v>147</v>
      </c>
      <c r="D1144" t="s">
        <v>18</v>
      </c>
      <c r="E1144">
        <f t="shared" ca="1" si="18"/>
        <v>746296743.16290188</v>
      </c>
    </row>
    <row r="1145" spans="1:5" hidden="1" x14ac:dyDescent="0.25">
      <c r="A1145">
        <v>28</v>
      </c>
      <c r="B1145">
        <v>20</v>
      </c>
      <c r="C1145" t="s">
        <v>147</v>
      </c>
      <c r="D1145" t="s">
        <v>19</v>
      </c>
      <c r="E1145">
        <f t="shared" ca="1" si="18"/>
        <v>833924873.12344241</v>
      </c>
    </row>
    <row r="1146" spans="1:5" hidden="1" x14ac:dyDescent="0.25">
      <c r="A1146">
        <v>28</v>
      </c>
      <c r="B1146">
        <v>21</v>
      </c>
      <c r="C1146" t="s">
        <v>147</v>
      </c>
      <c r="D1146" t="s">
        <v>20</v>
      </c>
      <c r="E1146">
        <f t="shared" ca="1" si="18"/>
        <v>977178284.1047883</v>
      </c>
    </row>
    <row r="1147" spans="1:5" hidden="1" x14ac:dyDescent="0.25">
      <c r="A1147">
        <v>28</v>
      </c>
      <c r="B1147">
        <v>22</v>
      </c>
      <c r="C1147" t="s">
        <v>147</v>
      </c>
      <c r="D1147" t="s">
        <v>21</v>
      </c>
      <c r="E1147">
        <f t="shared" ca="1" si="18"/>
        <v>492979375.91999996</v>
      </c>
    </row>
    <row r="1148" spans="1:5" hidden="1" x14ac:dyDescent="0.25">
      <c r="A1148">
        <v>28</v>
      </c>
      <c r="B1148">
        <v>23</v>
      </c>
      <c r="C1148" t="s">
        <v>147</v>
      </c>
      <c r="D1148" t="s">
        <v>22</v>
      </c>
      <c r="E1148">
        <f t="shared" ca="1" si="18"/>
        <v>566221340.87467563</v>
      </c>
    </row>
    <row r="1149" spans="1:5" hidden="1" x14ac:dyDescent="0.25">
      <c r="A1149">
        <v>28</v>
      </c>
      <c r="B1149">
        <v>24</v>
      </c>
      <c r="C1149" t="s">
        <v>147</v>
      </c>
      <c r="D1149" t="s">
        <v>23</v>
      </c>
      <c r="E1149">
        <f t="shared" ca="1" si="18"/>
        <v>595641432.91467559</v>
      </c>
    </row>
    <row r="1150" spans="1:5" hidden="1" x14ac:dyDescent="0.25">
      <c r="A1150">
        <v>28</v>
      </c>
      <c r="B1150">
        <v>25</v>
      </c>
      <c r="C1150" t="s">
        <v>147</v>
      </c>
      <c r="D1150" t="s">
        <v>24</v>
      </c>
      <c r="E1150">
        <f t="shared" ca="1" si="18"/>
        <v>571123466.77467561</v>
      </c>
    </row>
    <row r="1151" spans="1:5" hidden="1" x14ac:dyDescent="0.25">
      <c r="A1151">
        <v>28</v>
      </c>
      <c r="B1151">
        <v>26</v>
      </c>
      <c r="C1151" t="s">
        <v>147</v>
      </c>
      <c r="D1151" t="s">
        <v>25</v>
      </c>
      <c r="E1151">
        <f t="shared" ca="1" si="18"/>
        <v>693984268.59107542</v>
      </c>
    </row>
    <row r="1152" spans="1:5" hidden="1" x14ac:dyDescent="0.25">
      <c r="A1152">
        <v>28</v>
      </c>
      <c r="B1152">
        <v>27</v>
      </c>
      <c r="C1152" t="s">
        <v>147</v>
      </c>
      <c r="D1152" t="s">
        <v>145</v>
      </c>
      <c r="E1152">
        <f t="shared" ca="1" si="18"/>
        <v>424436042.08065534</v>
      </c>
    </row>
    <row r="1153" spans="1:5" hidden="1" x14ac:dyDescent="0.25">
      <c r="A1153">
        <v>28</v>
      </c>
      <c r="B1153">
        <v>28</v>
      </c>
      <c r="C1153" t="s">
        <v>147</v>
      </c>
      <c r="D1153" t="s">
        <v>147</v>
      </c>
      <c r="E1153">
        <f t="shared" ca="1" si="18"/>
        <v>0</v>
      </c>
    </row>
    <row r="1154" spans="1:5" hidden="1" x14ac:dyDescent="0.25">
      <c r="A1154">
        <v>28</v>
      </c>
      <c r="B1154">
        <v>29</v>
      </c>
      <c r="C1154" t="s">
        <v>147</v>
      </c>
      <c r="D1154" t="s">
        <v>146</v>
      </c>
      <c r="E1154">
        <f t="shared" ca="1" si="18"/>
        <v>217493244.28322232</v>
      </c>
    </row>
    <row r="1155" spans="1:5" hidden="1" x14ac:dyDescent="0.25">
      <c r="A1155">
        <v>28</v>
      </c>
      <c r="B1155">
        <v>30</v>
      </c>
      <c r="C1155" t="s">
        <v>147</v>
      </c>
      <c r="D1155" t="s">
        <v>30</v>
      </c>
      <c r="E1155">
        <f t="shared" ca="1" si="18"/>
        <v>2675354841.3878226</v>
      </c>
    </row>
    <row r="1156" spans="1:5" hidden="1" x14ac:dyDescent="0.25">
      <c r="A1156">
        <v>28</v>
      </c>
      <c r="B1156">
        <v>31</v>
      </c>
      <c r="C1156" t="s">
        <v>147</v>
      </c>
      <c r="D1156" t="s">
        <v>31</v>
      </c>
      <c r="E1156">
        <f t="shared" ca="1" si="18"/>
        <v>96925321.561048061</v>
      </c>
    </row>
    <row r="1157" spans="1:5" hidden="1" x14ac:dyDescent="0.25">
      <c r="A1157">
        <v>28</v>
      </c>
      <c r="B1157">
        <v>32</v>
      </c>
      <c r="C1157" t="s">
        <v>147</v>
      </c>
      <c r="D1157" t="s">
        <v>32</v>
      </c>
      <c r="E1157">
        <f t="shared" ca="1" si="18"/>
        <v>175828941.92504805</v>
      </c>
    </row>
    <row r="1158" spans="1:5" hidden="1" x14ac:dyDescent="0.25">
      <c r="A1158">
        <v>28</v>
      </c>
      <c r="B1158">
        <v>33</v>
      </c>
      <c r="C1158" t="s">
        <v>147</v>
      </c>
      <c r="D1158" t="s">
        <v>33</v>
      </c>
      <c r="E1158">
        <f t="shared" ca="1" si="18"/>
        <v>4069620685.5323939</v>
      </c>
    </row>
    <row r="1159" spans="1:5" hidden="1" x14ac:dyDescent="0.25">
      <c r="A1159">
        <v>28</v>
      </c>
      <c r="B1159">
        <v>34</v>
      </c>
      <c r="C1159" t="s">
        <v>147</v>
      </c>
      <c r="D1159" t="s">
        <v>34</v>
      </c>
      <c r="E1159">
        <f t="shared" ca="1" si="18"/>
        <v>3439886076.604394</v>
      </c>
    </row>
    <row r="1160" spans="1:5" hidden="1" x14ac:dyDescent="0.25">
      <c r="A1160">
        <v>28</v>
      </c>
      <c r="B1160">
        <v>35</v>
      </c>
      <c r="C1160" t="s">
        <v>147</v>
      </c>
      <c r="D1160" t="s">
        <v>35</v>
      </c>
      <c r="E1160">
        <f t="shared" ca="1" si="18"/>
        <v>4274125390.2860737</v>
      </c>
    </row>
    <row r="1161" spans="1:5" hidden="1" x14ac:dyDescent="0.25">
      <c r="A1161">
        <v>28</v>
      </c>
      <c r="B1161">
        <v>36</v>
      </c>
      <c r="C1161" t="s">
        <v>147</v>
      </c>
      <c r="D1161" t="s">
        <v>36</v>
      </c>
      <c r="E1161">
        <f t="shared" ca="1" si="18"/>
        <v>666005882.6188736</v>
      </c>
    </row>
    <row r="1162" spans="1:5" hidden="1" x14ac:dyDescent="0.25">
      <c r="A1162">
        <v>28</v>
      </c>
      <c r="B1162">
        <v>37</v>
      </c>
      <c r="C1162" t="s">
        <v>147</v>
      </c>
      <c r="D1162" t="s">
        <v>37</v>
      </c>
      <c r="E1162">
        <f t="shared" ca="1" si="18"/>
        <v>614093118.84264374</v>
      </c>
    </row>
    <row r="1163" spans="1:5" hidden="1" x14ac:dyDescent="0.25">
      <c r="A1163">
        <v>28</v>
      </c>
      <c r="B1163">
        <v>38</v>
      </c>
      <c r="C1163" t="s">
        <v>147</v>
      </c>
      <c r="D1163" t="s">
        <v>38</v>
      </c>
      <c r="E1163">
        <f t="shared" ca="1" si="18"/>
        <v>613347544.93887353</v>
      </c>
    </row>
    <row r="1164" spans="1:5" hidden="1" x14ac:dyDescent="0.25">
      <c r="A1164">
        <v>28</v>
      </c>
      <c r="B1164">
        <v>39</v>
      </c>
      <c r="C1164" t="s">
        <v>147</v>
      </c>
      <c r="D1164" t="s">
        <v>39</v>
      </c>
      <c r="E1164">
        <f t="shared" ca="1" si="18"/>
        <v>616956375.50157952</v>
      </c>
    </row>
    <row r="1165" spans="1:5" hidden="1" x14ac:dyDescent="0.25">
      <c r="A1165">
        <v>28</v>
      </c>
      <c r="B1165">
        <v>40</v>
      </c>
      <c r="C1165" t="s">
        <v>147</v>
      </c>
      <c r="D1165" t="s">
        <v>40</v>
      </c>
      <c r="E1165">
        <f t="shared" ca="1" si="18"/>
        <v>771059335.80264378</v>
      </c>
    </row>
    <row r="1166" spans="1:5" hidden="1" x14ac:dyDescent="0.25">
      <c r="A1166">
        <v>29</v>
      </c>
      <c r="B1166">
        <v>1</v>
      </c>
      <c r="C1166" t="s">
        <v>146</v>
      </c>
      <c r="D1166" t="s">
        <v>0</v>
      </c>
      <c r="E1166">
        <f t="shared" ca="1" si="18"/>
        <v>619915673.88754022</v>
      </c>
    </row>
    <row r="1167" spans="1:5" hidden="1" x14ac:dyDescent="0.25">
      <c r="A1167">
        <v>29</v>
      </c>
      <c r="B1167">
        <v>2</v>
      </c>
      <c r="C1167" t="s">
        <v>146</v>
      </c>
      <c r="D1167" t="s">
        <v>1</v>
      </c>
      <c r="E1167">
        <f t="shared" ca="1" si="18"/>
        <v>496384205.32611167</v>
      </c>
    </row>
    <row r="1168" spans="1:5" hidden="1" x14ac:dyDescent="0.25">
      <c r="A1168">
        <v>29</v>
      </c>
      <c r="B1168">
        <v>3</v>
      </c>
      <c r="C1168" t="s">
        <v>146</v>
      </c>
      <c r="D1168" t="s">
        <v>2</v>
      </c>
      <c r="E1168">
        <f t="shared" ca="1" si="18"/>
        <v>487664453.14484286</v>
      </c>
    </row>
    <row r="1169" spans="1:5" hidden="1" x14ac:dyDescent="0.25">
      <c r="A1169">
        <v>29</v>
      </c>
      <c r="B1169">
        <v>4</v>
      </c>
      <c r="C1169" t="s">
        <v>146</v>
      </c>
      <c r="D1169" t="s">
        <v>3</v>
      </c>
      <c r="E1169">
        <f t="shared" ca="1" si="18"/>
        <v>433114209.16513228</v>
      </c>
    </row>
    <row r="1170" spans="1:5" hidden="1" x14ac:dyDescent="0.25">
      <c r="A1170">
        <v>29</v>
      </c>
      <c r="B1170">
        <v>5</v>
      </c>
      <c r="C1170" t="s">
        <v>146</v>
      </c>
      <c r="D1170" t="s">
        <v>4</v>
      </c>
      <c r="E1170">
        <f t="shared" ca="1" si="18"/>
        <v>376997856.78714526</v>
      </c>
    </row>
    <row r="1171" spans="1:5" hidden="1" x14ac:dyDescent="0.25">
      <c r="A1171">
        <v>29</v>
      </c>
      <c r="B1171">
        <v>6</v>
      </c>
      <c r="C1171" t="s">
        <v>146</v>
      </c>
      <c r="D1171" t="s">
        <v>5</v>
      </c>
      <c r="E1171">
        <f t="shared" ca="1" si="18"/>
        <v>496454630.55000234</v>
      </c>
    </row>
    <row r="1172" spans="1:5" hidden="1" x14ac:dyDescent="0.25">
      <c r="A1172">
        <v>29</v>
      </c>
      <c r="B1172">
        <v>7</v>
      </c>
      <c r="C1172" t="s">
        <v>146</v>
      </c>
      <c r="D1172" t="s">
        <v>6</v>
      </c>
      <c r="E1172">
        <f t="shared" ca="1" si="18"/>
        <v>357765633.01571667</v>
      </c>
    </row>
    <row r="1173" spans="1:5" hidden="1" x14ac:dyDescent="0.25">
      <c r="A1173">
        <v>29</v>
      </c>
      <c r="B1173">
        <v>8</v>
      </c>
      <c r="C1173" t="s">
        <v>146</v>
      </c>
      <c r="D1173" t="s">
        <v>7</v>
      </c>
      <c r="E1173">
        <f t="shared" ca="1" si="18"/>
        <v>350178021.70856094</v>
      </c>
    </row>
    <row r="1174" spans="1:5" hidden="1" x14ac:dyDescent="0.25">
      <c r="A1174">
        <v>29</v>
      </c>
      <c r="B1174">
        <v>9</v>
      </c>
      <c r="C1174" t="s">
        <v>146</v>
      </c>
      <c r="D1174" t="s">
        <v>148</v>
      </c>
      <c r="E1174">
        <f t="shared" ca="1" si="18"/>
        <v>487255047.62611163</v>
      </c>
    </row>
    <row r="1175" spans="1:5" hidden="1" x14ac:dyDescent="0.25">
      <c r="A1175">
        <v>29</v>
      </c>
      <c r="B1175">
        <v>10</v>
      </c>
      <c r="C1175" t="s">
        <v>146</v>
      </c>
      <c r="D1175" t="s">
        <v>9</v>
      </c>
      <c r="E1175">
        <f t="shared" ca="1" si="18"/>
        <v>424333633.8471452</v>
      </c>
    </row>
    <row r="1176" spans="1:5" hidden="1" x14ac:dyDescent="0.25">
      <c r="A1176">
        <v>29</v>
      </c>
      <c r="B1176">
        <v>11</v>
      </c>
      <c r="C1176" t="s">
        <v>146</v>
      </c>
      <c r="D1176" t="s">
        <v>10</v>
      </c>
      <c r="E1176">
        <f t="shared" ca="1" si="18"/>
        <v>215336905.88288561</v>
      </c>
    </row>
    <row r="1177" spans="1:5" hidden="1" x14ac:dyDescent="0.25">
      <c r="A1177">
        <v>29</v>
      </c>
      <c r="B1177">
        <v>12</v>
      </c>
      <c r="C1177" t="s">
        <v>146</v>
      </c>
      <c r="D1177" t="s">
        <v>11</v>
      </c>
      <c r="E1177">
        <f t="shared" ca="1" si="18"/>
        <v>193514872.14602011</v>
      </c>
    </row>
    <row r="1178" spans="1:5" hidden="1" x14ac:dyDescent="0.25">
      <c r="A1178">
        <v>29</v>
      </c>
      <c r="B1178">
        <v>13</v>
      </c>
      <c r="C1178" t="s">
        <v>146</v>
      </c>
      <c r="D1178" t="s">
        <v>12</v>
      </c>
      <c r="E1178">
        <f t="shared" ca="1" si="18"/>
        <v>71249690.448221877</v>
      </c>
    </row>
    <row r="1179" spans="1:5" hidden="1" x14ac:dyDescent="0.25">
      <c r="A1179">
        <v>29</v>
      </c>
      <c r="B1179">
        <v>14</v>
      </c>
      <c r="C1179" t="s">
        <v>146</v>
      </c>
      <c r="D1179" t="s">
        <v>13</v>
      </c>
      <c r="E1179">
        <f t="shared" ca="1" si="18"/>
        <v>111372565.84022188</v>
      </c>
    </row>
    <row r="1180" spans="1:5" hidden="1" x14ac:dyDescent="0.25">
      <c r="A1180">
        <v>29</v>
      </c>
      <c r="B1180">
        <v>15</v>
      </c>
      <c r="C1180" t="s">
        <v>146</v>
      </c>
      <c r="D1180" t="s">
        <v>14</v>
      </c>
      <c r="E1180">
        <f t="shared" ca="1" si="18"/>
        <v>443995609.33447254</v>
      </c>
    </row>
    <row r="1181" spans="1:5" hidden="1" x14ac:dyDescent="0.25">
      <c r="A1181">
        <v>29</v>
      </c>
      <c r="B1181">
        <v>16</v>
      </c>
      <c r="C1181" t="s">
        <v>146</v>
      </c>
      <c r="D1181" t="s">
        <v>15</v>
      </c>
      <c r="E1181">
        <f t="shared" ca="1" si="18"/>
        <v>39698873890.822586</v>
      </c>
    </row>
    <row r="1182" spans="1:5" hidden="1" x14ac:dyDescent="0.25">
      <c r="A1182">
        <v>29</v>
      </c>
      <c r="B1182">
        <v>17</v>
      </c>
      <c r="C1182" t="s">
        <v>146</v>
      </c>
      <c r="D1182" t="s">
        <v>16</v>
      </c>
      <c r="E1182">
        <f t="shared" ca="1" si="18"/>
        <v>735723407.49215341</v>
      </c>
    </row>
    <row r="1183" spans="1:5" hidden="1" x14ac:dyDescent="0.25">
      <c r="A1183">
        <v>29</v>
      </c>
      <c r="B1183">
        <v>18</v>
      </c>
      <c r="C1183" t="s">
        <v>146</v>
      </c>
      <c r="D1183" t="s">
        <v>17</v>
      </c>
      <c r="E1183">
        <f t="shared" ca="1" si="18"/>
        <v>39692286883.730583</v>
      </c>
    </row>
    <row r="1184" spans="1:5" hidden="1" x14ac:dyDescent="0.25">
      <c r="A1184">
        <v>29</v>
      </c>
      <c r="B1184">
        <v>19</v>
      </c>
      <c r="C1184" t="s">
        <v>146</v>
      </c>
      <c r="D1184" t="s">
        <v>18</v>
      </c>
      <c r="E1184">
        <f t="shared" ca="1" si="18"/>
        <v>142923042.98628616</v>
      </c>
    </row>
    <row r="1185" spans="1:5" hidden="1" x14ac:dyDescent="0.25">
      <c r="A1185">
        <v>29</v>
      </c>
      <c r="B1185">
        <v>20</v>
      </c>
      <c r="C1185" t="s">
        <v>146</v>
      </c>
      <c r="D1185" t="s">
        <v>19</v>
      </c>
      <c r="E1185">
        <f t="shared" ca="1" si="18"/>
        <v>487037208.93342829</v>
      </c>
    </row>
    <row r="1186" spans="1:5" hidden="1" x14ac:dyDescent="0.25">
      <c r="A1186">
        <v>29</v>
      </c>
      <c r="B1186">
        <v>21</v>
      </c>
      <c r="C1186" t="s">
        <v>146</v>
      </c>
      <c r="D1186" t="s">
        <v>20</v>
      </c>
      <c r="E1186">
        <f t="shared" ca="1" si="18"/>
        <v>348013360.18501067</v>
      </c>
    </row>
    <row r="1187" spans="1:5" hidden="1" x14ac:dyDescent="0.25">
      <c r="A1187">
        <v>29</v>
      </c>
      <c r="B1187">
        <v>22</v>
      </c>
      <c r="C1187" t="s">
        <v>146</v>
      </c>
      <c r="D1187" t="s">
        <v>21</v>
      </c>
      <c r="E1187">
        <f t="shared" ca="1" si="18"/>
        <v>295963436.07522225</v>
      </c>
    </row>
    <row r="1188" spans="1:5" hidden="1" x14ac:dyDescent="0.25">
      <c r="A1188">
        <v>29</v>
      </c>
      <c r="B1188">
        <v>23</v>
      </c>
      <c r="C1188" t="s">
        <v>146</v>
      </c>
      <c r="D1188" t="s">
        <v>22</v>
      </c>
      <c r="E1188">
        <f t="shared" ca="1" si="18"/>
        <v>68627278.807999998</v>
      </c>
    </row>
    <row r="1189" spans="1:5" hidden="1" x14ac:dyDescent="0.25">
      <c r="A1189">
        <v>29</v>
      </c>
      <c r="B1189">
        <v>24</v>
      </c>
      <c r="C1189" t="s">
        <v>146</v>
      </c>
      <c r="D1189" t="s">
        <v>23</v>
      </c>
      <c r="E1189">
        <f t="shared" ca="1" si="18"/>
        <v>98047370.84799999</v>
      </c>
    </row>
    <row r="1190" spans="1:5" hidden="1" x14ac:dyDescent="0.25">
      <c r="A1190">
        <v>29</v>
      </c>
      <c r="B1190">
        <v>25</v>
      </c>
      <c r="C1190" t="s">
        <v>146</v>
      </c>
      <c r="D1190" t="s">
        <v>24</v>
      </c>
      <c r="E1190">
        <f t="shared" ca="1" si="18"/>
        <v>73529404.708000004</v>
      </c>
    </row>
    <row r="1191" spans="1:5" hidden="1" x14ac:dyDescent="0.25">
      <c r="A1191">
        <v>29</v>
      </c>
      <c r="B1191">
        <v>26</v>
      </c>
      <c r="C1191" t="s">
        <v>146</v>
      </c>
      <c r="D1191" t="s">
        <v>25</v>
      </c>
      <c r="E1191">
        <f t="shared" ca="1" si="18"/>
        <v>346801151.97447264</v>
      </c>
    </row>
    <row r="1192" spans="1:5" hidden="1" x14ac:dyDescent="0.25">
      <c r="A1192">
        <v>29</v>
      </c>
      <c r="B1192">
        <v>27</v>
      </c>
      <c r="C1192" t="s">
        <v>146</v>
      </c>
      <c r="D1192" t="s">
        <v>145</v>
      </c>
      <c r="E1192">
        <f t="shared" ca="1" si="18"/>
        <v>378535879.54542828</v>
      </c>
    </row>
    <row r="1193" spans="1:5" hidden="1" x14ac:dyDescent="0.25">
      <c r="A1193">
        <v>29</v>
      </c>
      <c r="B1193">
        <v>28</v>
      </c>
      <c r="C1193" t="s">
        <v>146</v>
      </c>
      <c r="D1193" t="s">
        <v>147</v>
      </c>
      <c r="E1193">
        <f t="shared" ref="E1193:E1255" ca="1" si="19">OFFSET($B$2,A1193,B1193)</f>
        <v>217493244.28322232</v>
      </c>
    </row>
    <row r="1194" spans="1:5" hidden="1" x14ac:dyDescent="0.25">
      <c r="A1194">
        <v>29</v>
      </c>
      <c r="B1194">
        <v>29</v>
      </c>
      <c r="C1194" t="s">
        <v>146</v>
      </c>
      <c r="D1194" t="s">
        <v>146</v>
      </c>
      <c r="E1194">
        <f t="shared" ca="1" si="19"/>
        <v>0</v>
      </c>
    </row>
    <row r="1195" spans="1:5" hidden="1" x14ac:dyDescent="0.25">
      <c r="A1195">
        <v>29</v>
      </c>
      <c r="B1195">
        <v>30</v>
      </c>
      <c r="C1195" t="s">
        <v>146</v>
      </c>
      <c r="D1195" t="s">
        <v>30</v>
      </c>
      <c r="E1195">
        <f t="shared" ca="1" si="19"/>
        <v>302708299.02570373</v>
      </c>
    </row>
    <row r="1196" spans="1:5" hidden="1" x14ac:dyDescent="0.25">
      <c r="A1196">
        <v>29</v>
      </c>
      <c r="B1196">
        <v>31</v>
      </c>
      <c r="C1196" t="s">
        <v>146</v>
      </c>
      <c r="D1196" t="s">
        <v>31</v>
      </c>
      <c r="E1196">
        <f t="shared" ca="1" si="19"/>
        <v>18656705.466557331</v>
      </c>
    </row>
    <row r="1197" spans="1:5" hidden="1" x14ac:dyDescent="0.25">
      <c r="A1197">
        <v>29</v>
      </c>
      <c r="B1197">
        <v>32</v>
      </c>
      <c r="C1197" t="s">
        <v>146</v>
      </c>
      <c r="D1197" t="s">
        <v>32</v>
      </c>
      <c r="E1197">
        <f t="shared" ca="1" si="19"/>
        <v>97560325.830557346</v>
      </c>
    </row>
    <row r="1198" spans="1:5" hidden="1" x14ac:dyDescent="0.25">
      <c r="A1198">
        <v>29</v>
      </c>
      <c r="B1198">
        <v>33</v>
      </c>
      <c r="C1198" t="s">
        <v>146</v>
      </c>
      <c r="D1198" t="s">
        <v>33</v>
      </c>
      <c r="E1198">
        <f t="shared" ca="1" si="19"/>
        <v>2908879108.7257266</v>
      </c>
    </row>
    <row r="1199" spans="1:5" hidden="1" x14ac:dyDescent="0.25">
      <c r="A1199">
        <v>29</v>
      </c>
      <c r="B1199">
        <v>34</v>
      </c>
      <c r="C1199" t="s">
        <v>146</v>
      </c>
      <c r="D1199" t="s">
        <v>34</v>
      </c>
      <c r="E1199">
        <f t="shared" ca="1" si="19"/>
        <v>2279144499.7977266</v>
      </c>
    </row>
    <row r="1200" spans="1:5" hidden="1" x14ac:dyDescent="0.25">
      <c r="A1200">
        <v>29</v>
      </c>
      <c r="B1200">
        <v>35</v>
      </c>
      <c r="C1200" t="s">
        <v>146</v>
      </c>
      <c r="D1200" t="s">
        <v>35</v>
      </c>
      <c r="E1200">
        <f t="shared" ca="1" si="19"/>
        <v>450538125.34211165</v>
      </c>
    </row>
    <row r="1201" spans="1:5" hidden="1" x14ac:dyDescent="0.25">
      <c r="A1201">
        <v>29</v>
      </c>
      <c r="B1201">
        <v>36</v>
      </c>
      <c r="C1201" t="s">
        <v>146</v>
      </c>
      <c r="D1201" t="s">
        <v>36</v>
      </c>
      <c r="E1201">
        <f t="shared" ca="1" si="19"/>
        <v>153868993.50104874</v>
      </c>
    </row>
    <row r="1202" spans="1:5" hidden="1" x14ac:dyDescent="0.25">
      <c r="A1202">
        <v>29</v>
      </c>
      <c r="B1202">
        <v>37</v>
      </c>
      <c r="C1202" t="s">
        <v>146</v>
      </c>
      <c r="D1202" t="s">
        <v>37</v>
      </c>
      <c r="E1202">
        <f t="shared" ca="1" si="19"/>
        <v>21569009.025523353</v>
      </c>
    </row>
    <row r="1203" spans="1:5" hidden="1" x14ac:dyDescent="0.25">
      <c r="A1203">
        <v>29</v>
      </c>
      <c r="B1203">
        <v>38</v>
      </c>
      <c r="C1203" t="s">
        <v>146</v>
      </c>
      <c r="D1203" t="s">
        <v>38</v>
      </c>
      <c r="E1203">
        <f t="shared" ca="1" si="19"/>
        <v>101210655.82104872</v>
      </c>
    </row>
    <row r="1204" spans="1:5" hidden="1" x14ac:dyDescent="0.25">
      <c r="A1204">
        <v>29</v>
      </c>
      <c r="B1204">
        <v>39</v>
      </c>
      <c r="C1204" t="s">
        <v>146</v>
      </c>
      <c r="D1204" t="s">
        <v>39</v>
      </c>
      <c r="E1204">
        <f t="shared" ca="1" si="19"/>
        <v>99985863.794128016</v>
      </c>
    </row>
    <row r="1205" spans="1:5" hidden="1" x14ac:dyDescent="0.25">
      <c r="A1205">
        <v>29</v>
      </c>
      <c r="B1205">
        <v>40</v>
      </c>
      <c r="C1205" t="s">
        <v>146</v>
      </c>
      <c r="D1205" t="s">
        <v>40</v>
      </c>
      <c r="E1205">
        <f t="shared" ca="1" si="19"/>
        <v>178535225.98552337</v>
      </c>
    </row>
    <row r="1206" spans="1:5" hidden="1" x14ac:dyDescent="0.25">
      <c r="A1206">
        <v>30</v>
      </c>
      <c r="B1206">
        <v>1</v>
      </c>
      <c r="C1206" t="s">
        <v>30</v>
      </c>
      <c r="D1206" t="s">
        <v>0</v>
      </c>
      <c r="E1206">
        <f t="shared" ca="1" si="19"/>
        <v>889208272.16489577</v>
      </c>
    </row>
    <row r="1207" spans="1:5" hidden="1" x14ac:dyDescent="0.25">
      <c r="A1207">
        <v>30</v>
      </c>
      <c r="B1207">
        <v>2</v>
      </c>
      <c r="C1207" t="s">
        <v>30</v>
      </c>
      <c r="D1207" t="s">
        <v>1</v>
      </c>
      <c r="E1207">
        <f t="shared" ca="1" si="19"/>
        <v>765676803.60346723</v>
      </c>
    </row>
    <row r="1208" spans="1:5" hidden="1" x14ac:dyDescent="0.25">
      <c r="A1208">
        <v>30</v>
      </c>
      <c r="B1208">
        <v>3</v>
      </c>
      <c r="C1208" t="s">
        <v>30</v>
      </c>
      <c r="D1208" t="s">
        <v>2</v>
      </c>
      <c r="E1208">
        <f t="shared" ca="1" si="19"/>
        <v>458128200.20583165</v>
      </c>
    </row>
    <row r="1209" spans="1:5" hidden="1" x14ac:dyDescent="0.25">
      <c r="A1209">
        <v>30</v>
      </c>
      <c r="B1209">
        <v>4</v>
      </c>
      <c r="C1209" t="s">
        <v>30</v>
      </c>
      <c r="D1209" t="s">
        <v>3</v>
      </c>
      <c r="E1209">
        <f t="shared" ca="1" si="19"/>
        <v>140443305.49142858</v>
      </c>
    </row>
    <row r="1210" spans="1:5" hidden="1" x14ac:dyDescent="0.25">
      <c r="A1210">
        <v>30</v>
      </c>
      <c r="B1210">
        <v>5</v>
      </c>
      <c r="C1210" t="s">
        <v>30</v>
      </c>
      <c r="D1210" t="s">
        <v>4</v>
      </c>
      <c r="E1210">
        <f t="shared" ca="1" si="19"/>
        <v>15008901152.445435</v>
      </c>
    </row>
    <row r="1211" spans="1:5" hidden="1" x14ac:dyDescent="0.25">
      <c r="A1211">
        <v>30</v>
      </c>
      <c r="B1211">
        <v>6</v>
      </c>
      <c r="C1211" t="s">
        <v>30</v>
      </c>
      <c r="D1211" t="s">
        <v>5</v>
      </c>
      <c r="E1211">
        <f t="shared" ca="1" si="19"/>
        <v>15128357926.208292</v>
      </c>
    </row>
    <row r="1212" spans="1:5" hidden="1" x14ac:dyDescent="0.25">
      <c r="A1212">
        <v>30</v>
      </c>
      <c r="B1212">
        <v>7</v>
      </c>
      <c r="C1212" t="s">
        <v>30</v>
      </c>
      <c r="D1212" t="s">
        <v>6</v>
      </c>
      <c r="E1212">
        <f t="shared" ca="1" si="19"/>
        <v>14989668928.674006</v>
      </c>
    </row>
    <row r="1213" spans="1:5" hidden="1" x14ac:dyDescent="0.25">
      <c r="A1213">
        <v>30</v>
      </c>
      <c r="B1213">
        <v>8</v>
      </c>
      <c r="C1213" t="s">
        <v>30</v>
      </c>
      <c r="D1213" t="s">
        <v>7</v>
      </c>
      <c r="E1213">
        <f t="shared" ca="1" si="19"/>
        <v>57507118.034857139</v>
      </c>
    </row>
    <row r="1214" spans="1:5" hidden="1" x14ac:dyDescent="0.25">
      <c r="A1214">
        <v>30</v>
      </c>
      <c r="B1214">
        <v>9</v>
      </c>
      <c r="C1214" t="s">
        <v>30</v>
      </c>
      <c r="D1214" t="s">
        <v>148</v>
      </c>
      <c r="E1214">
        <f t="shared" ca="1" si="19"/>
        <v>756547645.9034673</v>
      </c>
    </row>
    <row r="1215" spans="1:5" hidden="1" x14ac:dyDescent="0.25">
      <c r="A1215">
        <v>30</v>
      </c>
      <c r="B1215">
        <v>10</v>
      </c>
      <c r="C1215" t="s">
        <v>30</v>
      </c>
      <c r="D1215" t="s">
        <v>9</v>
      </c>
      <c r="E1215">
        <f t="shared" ca="1" si="19"/>
        <v>15056236929.505434</v>
      </c>
    </row>
    <row r="1216" spans="1:5" hidden="1" x14ac:dyDescent="0.25">
      <c r="A1216">
        <v>30</v>
      </c>
      <c r="B1216">
        <v>11</v>
      </c>
      <c r="C1216" t="s">
        <v>30</v>
      </c>
      <c r="D1216" t="s">
        <v>10</v>
      </c>
      <c r="E1216">
        <f t="shared" ca="1" si="19"/>
        <v>503324135.81107444</v>
      </c>
    </row>
    <row r="1217" spans="1:5" hidden="1" x14ac:dyDescent="0.25">
      <c r="A1217">
        <v>30</v>
      </c>
      <c r="B1217">
        <v>12</v>
      </c>
      <c r="C1217" t="s">
        <v>30</v>
      </c>
      <c r="D1217" t="s">
        <v>11</v>
      </c>
      <c r="E1217">
        <f t="shared" ca="1" si="19"/>
        <v>472485507.00008535</v>
      </c>
    </row>
    <row r="1218" spans="1:5" hidden="1" x14ac:dyDescent="0.25">
      <c r="A1218">
        <v>30</v>
      </c>
      <c r="B1218">
        <v>13</v>
      </c>
      <c r="C1218" t="s">
        <v>30</v>
      </c>
      <c r="D1218" t="s">
        <v>12</v>
      </c>
      <c r="E1218">
        <f t="shared" ca="1" si="19"/>
        <v>268161369.98290011</v>
      </c>
    </row>
    <row r="1219" spans="1:5" hidden="1" x14ac:dyDescent="0.25">
      <c r="A1219">
        <v>30</v>
      </c>
      <c r="B1219">
        <v>14</v>
      </c>
      <c r="C1219" t="s">
        <v>30</v>
      </c>
      <c r="D1219" t="s">
        <v>13</v>
      </c>
      <c r="E1219">
        <f t="shared" ca="1" si="19"/>
        <v>308284245.3749001</v>
      </c>
    </row>
    <row r="1220" spans="1:5" hidden="1" x14ac:dyDescent="0.25">
      <c r="A1220">
        <v>30</v>
      </c>
      <c r="B1220">
        <v>15</v>
      </c>
      <c r="C1220" t="s">
        <v>30</v>
      </c>
      <c r="D1220" t="s">
        <v>14</v>
      </c>
      <c r="E1220">
        <f t="shared" ca="1" si="19"/>
        <v>598053794.73687959</v>
      </c>
    </row>
    <row r="1221" spans="1:5" hidden="1" x14ac:dyDescent="0.25">
      <c r="A1221">
        <v>30</v>
      </c>
      <c r="B1221">
        <v>16</v>
      </c>
      <c r="C1221" t="s">
        <v>30</v>
      </c>
      <c r="D1221" t="s">
        <v>15</v>
      </c>
      <c r="E1221">
        <f t="shared" ca="1" si="19"/>
        <v>532349470.75954652</v>
      </c>
    </row>
    <row r="1222" spans="1:5" hidden="1" x14ac:dyDescent="0.25">
      <c r="A1222">
        <v>30</v>
      </c>
      <c r="B1222">
        <v>17</v>
      </c>
      <c r="C1222" t="s">
        <v>30</v>
      </c>
      <c r="D1222" t="s">
        <v>16</v>
      </c>
      <c r="E1222">
        <f t="shared" ca="1" si="19"/>
        <v>1128099789.2827132</v>
      </c>
    </row>
    <row r="1223" spans="1:5" hidden="1" x14ac:dyDescent="0.25">
      <c r="A1223">
        <v>30</v>
      </c>
      <c r="B1223">
        <v>18</v>
      </c>
      <c r="C1223" t="s">
        <v>30</v>
      </c>
      <c r="D1223" t="s">
        <v>17</v>
      </c>
      <c r="E1223">
        <f t="shared" ca="1" si="19"/>
        <v>525762463.66754657</v>
      </c>
    </row>
    <row r="1224" spans="1:5" hidden="1" x14ac:dyDescent="0.25">
      <c r="A1224">
        <v>30</v>
      </c>
      <c r="B1224">
        <v>19</v>
      </c>
      <c r="C1224" t="s">
        <v>30</v>
      </c>
      <c r="D1224" t="s">
        <v>18</v>
      </c>
      <c r="E1224">
        <f t="shared" ca="1" si="19"/>
        <v>379218380.01447916</v>
      </c>
    </row>
    <row r="1225" spans="1:5" hidden="1" x14ac:dyDescent="0.25">
      <c r="A1225">
        <v>30</v>
      </c>
      <c r="B1225">
        <v>20</v>
      </c>
      <c r="C1225" t="s">
        <v>30</v>
      </c>
      <c r="D1225" t="s">
        <v>19</v>
      </c>
      <c r="E1225">
        <f t="shared" ca="1" si="19"/>
        <v>752670462.81056678</v>
      </c>
    </row>
    <row r="1226" spans="1:5" hidden="1" x14ac:dyDescent="0.25">
      <c r="A1226">
        <v>30</v>
      </c>
      <c r="B1226">
        <v>21</v>
      </c>
      <c r="C1226" t="s">
        <v>30</v>
      </c>
      <c r="D1226" t="s">
        <v>20</v>
      </c>
      <c r="E1226">
        <f t="shared" ca="1" si="19"/>
        <v>357121867.00463921</v>
      </c>
    </row>
    <row r="1227" spans="1:5" hidden="1" x14ac:dyDescent="0.25">
      <c r="A1227">
        <v>30</v>
      </c>
      <c r="B1227">
        <v>22</v>
      </c>
      <c r="C1227" t="s">
        <v>30</v>
      </c>
      <c r="D1227" t="s">
        <v>21</v>
      </c>
      <c r="E1227">
        <f t="shared" ca="1" si="19"/>
        <v>2753825033.1798224</v>
      </c>
    </row>
    <row r="1228" spans="1:5" hidden="1" x14ac:dyDescent="0.25">
      <c r="A1228">
        <v>30</v>
      </c>
      <c r="B1228">
        <v>23</v>
      </c>
      <c r="C1228" t="s">
        <v>30</v>
      </c>
      <c r="D1228" t="s">
        <v>22</v>
      </c>
      <c r="E1228">
        <f t="shared" ca="1" si="19"/>
        <v>300274134.38570374</v>
      </c>
    </row>
    <row r="1229" spans="1:5" hidden="1" x14ac:dyDescent="0.25">
      <c r="A1229">
        <v>30</v>
      </c>
      <c r="B1229">
        <v>24</v>
      </c>
      <c r="C1229" t="s">
        <v>30</v>
      </c>
      <c r="D1229" t="s">
        <v>23</v>
      </c>
      <c r="E1229">
        <f t="shared" ca="1" si="19"/>
        <v>329694226.42570376</v>
      </c>
    </row>
    <row r="1230" spans="1:5" hidden="1" x14ac:dyDescent="0.25">
      <c r="A1230">
        <v>30</v>
      </c>
      <c r="B1230">
        <v>25</v>
      </c>
      <c r="C1230" t="s">
        <v>30</v>
      </c>
      <c r="D1230" t="s">
        <v>24</v>
      </c>
      <c r="E1230">
        <f t="shared" ca="1" si="19"/>
        <v>305176260.28570372</v>
      </c>
    </row>
    <row r="1231" spans="1:5" hidden="1" x14ac:dyDescent="0.25">
      <c r="A1231">
        <v>30</v>
      </c>
      <c r="B1231">
        <v>26</v>
      </c>
      <c r="C1231" t="s">
        <v>30</v>
      </c>
      <c r="D1231" t="s">
        <v>25</v>
      </c>
      <c r="E1231">
        <f t="shared" ca="1" si="19"/>
        <v>500859337.37687963</v>
      </c>
    </row>
    <row r="1232" spans="1:5" hidden="1" x14ac:dyDescent="0.25">
      <c r="A1232">
        <v>30</v>
      </c>
      <c r="B1232">
        <v>27</v>
      </c>
      <c r="C1232" t="s">
        <v>30</v>
      </c>
      <c r="D1232" t="s">
        <v>145</v>
      </c>
      <c r="E1232">
        <f t="shared" ca="1" si="19"/>
        <v>644169133.42256677</v>
      </c>
    </row>
    <row r="1233" spans="1:5" hidden="1" x14ac:dyDescent="0.25">
      <c r="A1233">
        <v>30</v>
      </c>
      <c r="B1233">
        <v>28</v>
      </c>
      <c r="C1233" t="s">
        <v>30</v>
      </c>
      <c r="D1233" t="s">
        <v>147</v>
      </c>
      <c r="E1233">
        <f t="shared" ca="1" si="19"/>
        <v>2675354841.3878226</v>
      </c>
    </row>
    <row r="1234" spans="1:5" hidden="1" x14ac:dyDescent="0.25">
      <c r="A1234">
        <v>30</v>
      </c>
      <c r="B1234">
        <v>29</v>
      </c>
      <c r="C1234" t="s">
        <v>30</v>
      </c>
      <c r="D1234" t="s">
        <v>146</v>
      </c>
      <c r="E1234">
        <f t="shared" ca="1" si="19"/>
        <v>302708299.02570373</v>
      </c>
    </row>
    <row r="1235" spans="1:5" hidden="1" x14ac:dyDescent="0.25">
      <c r="A1235">
        <v>30</v>
      </c>
      <c r="B1235">
        <v>30</v>
      </c>
      <c r="C1235" t="s">
        <v>30</v>
      </c>
      <c r="D1235" t="s">
        <v>30</v>
      </c>
      <c r="E1235">
        <f t="shared" ca="1" si="19"/>
        <v>0</v>
      </c>
    </row>
    <row r="1236" spans="1:5" hidden="1" x14ac:dyDescent="0.25">
      <c r="A1236">
        <v>30</v>
      </c>
      <c r="B1236">
        <v>31</v>
      </c>
      <c r="C1236" t="s">
        <v>30</v>
      </c>
      <c r="D1236" t="s">
        <v>31</v>
      </c>
      <c r="E1236">
        <f t="shared" ca="1" si="19"/>
        <v>497074671.31895161</v>
      </c>
    </row>
    <row r="1237" spans="1:5" hidden="1" x14ac:dyDescent="0.25">
      <c r="A1237">
        <v>30</v>
      </c>
      <c r="B1237">
        <v>32</v>
      </c>
      <c r="C1237" t="s">
        <v>30</v>
      </c>
      <c r="D1237" t="s">
        <v>32</v>
      </c>
      <c r="E1237">
        <f t="shared" ca="1" si="19"/>
        <v>575978291.68295169</v>
      </c>
    </row>
    <row r="1238" spans="1:5" hidden="1" x14ac:dyDescent="0.25">
      <c r="A1238">
        <v>30</v>
      </c>
      <c r="B1238">
        <v>33</v>
      </c>
      <c r="C1238" t="s">
        <v>30</v>
      </c>
      <c r="D1238" t="s">
        <v>33</v>
      </c>
      <c r="E1238">
        <f t="shared" ca="1" si="19"/>
        <v>2999903447.4870915</v>
      </c>
    </row>
    <row r="1239" spans="1:5" hidden="1" x14ac:dyDescent="0.25">
      <c r="A1239">
        <v>30</v>
      </c>
      <c r="B1239">
        <v>34</v>
      </c>
      <c r="C1239" t="s">
        <v>30</v>
      </c>
      <c r="D1239" t="s">
        <v>34</v>
      </c>
      <c r="E1239">
        <f t="shared" ca="1" si="19"/>
        <v>2370168838.5590916</v>
      </c>
    </row>
    <row r="1240" spans="1:5" hidden="1" x14ac:dyDescent="0.25">
      <c r="A1240">
        <v>30</v>
      </c>
      <c r="B1240">
        <v>35</v>
      </c>
      <c r="C1240" t="s">
        <v>30</v>
      </c>
      <c r="D1240" t="s">
        <v>35</v>
      </c>
      <c r="E1240">
        <f t="shared" ca="1" si="19"/>
        <v>1031940576.9874672</v>
      </c>
    </row>
    <row r="1241" spans="1:5" hidden="1" x14ac:dyDescent="0.25">
      <c r="A1241">
        <v>30</v>
      </c>
      <c r="B1241">
        <v>36</v>
      </c>
      <c r="C1241" t="s">
        <v>30</v>
      </c>
      <c r="D1241" t="s">
        <v>36</v>
      </c>
      <c r="E1241">
        <f t="shared" ca="1" si="19"/>
        <v>590867468.29995155</v>
      </c>
    </row>
    <row r="1242" spans="1:5" hidden="1" x14ac:dyDescent="0.25">
      <c r="A1242">
        <v>30</v>
      </c>
      <c r="B1242">
        <v>37</v>
      </c>
      <c r="C1242" t="s">
        <v>30</v>
      </c>
      <c r="D1242" t="s">
        <v>37</v>
      </c>
      <c r="E1242">
        <f t="shared" ca="1" si="19"/>
        <v>543163363.79631138</v>
      </c>
    </row>
    <row r="1243" spans="1:5" hidden="1" x14ac:dyDescent="0.25">
      <c r="A1243">
        <v>30</v>
      </c>
      <c r="B1243">
        <v>38</v>
      </c>
      <c r="C1243" t="s">
        <v>30</v>
      </c>
      <c r="D1243" t="s">
        <v>38</v>
      </c>
      <c r="E1243">
        <f t="shared" ca="1" si="19"/>
        <v>538209130.61995149</v>
      </c>
    </row>
    <row r="1244" spans="1:5" hidden="1" x14ac:dyDescent="0.25">
      <c r="A1244">
        <v>30</v>
      </c>
      <c r="B1244">
        <v>39</v>
      </c>
      <c r="C1244" t="s">
        <v>30</v>
      </c>
      <c r="D1244" t="s">
        <v>39</v>
      </c>
      <c r="E1244">
        <f t="shared" ca="1" si="19"/>
        <v>595150838.09697008</v>
      </c>
    </row>
    <row r="1245" spans="1:5" hidden="1" x14ac:dyDescent="0.25">
      <c r="A1245">
        <v>30</v>
      </c>
      <c r="B1245">
        <v>40</v>
      </c>
      <c r="C1245" t="s">
        <v>30</v>
      </c>
      <c r="D1245" t="s">
        <v>40</v>
      </c>
      <c r="E1245">
        <f t="shared" ca="1" si="19"/>
        <v>700129580.75631142</v>
      </c>
    </row>
    <row r="1246" spans="1:5" hidden="1" x14ac:dyDescent="0.25">
      <c r="A1246">
        <v>31</v>
      </c>
      <c r="B1246">
        <v>1</v>
      </c>
      <c r="C1246" t="s">
        <v>31</v>
      </c>
      <c r="D1246" t="s">
        <v>0</v>
      </c>
      <c r="E1246">
        <f t="shared" ca="1" si="19"/>
        <v>491293364.71329337</v>
      </c>
    </row>
    <row r="1247" spans="1:5" hidden="1" x14ac:dyDescent="0.25">
      <c r="A1247">
        <v>31</v>
      </c>
      <c r="B1247">
        <v>2</v>
      </c>
      <c r="C1247" t="s">
        <v>31</v>
      </c>
      <c r="D1247" t="s">
        <v>1</v>
      </c>
      <c r="E1247">
        <f t="shared" ca="1" si="19"/>
        <v>367761896.15186483</v>
      </c>
    </row>
    <row r="1248" spans="1:5" hidden="1" x14ac:dyDescent="0.25">
      <c r="A1248">
        <v>31</v>
      </c>
      <c r="B1248">
        <v>3</v>
      </c>
      <c r="C1248" t="s">
        <v>31</v>
      </c>
      <c r="D1248" t="s">
        <v>2</v>
      </c>
      <c r="E1248">
        <f t="shared" ca="1" si="19"/>
        <v>207222305.37340337</v>
      </c>
    </row>
    <row r="1249" spans="1:5" hidden="1" x14ac:dyDescent="0.25">
      <c r="A1249">
        <v>31</v>
      </c>
      <c r="B1249">
        <v>4</v>
      </c>
      <c r="C1249" t="s">
        <v>31</v>
      </c>
      <c r="D1249" t="s">
        <v>3</v>
      </c>
      <c r="E1249">
        <f t="shared" ca="1" si="19"/>
        <v>315370728.09038025</v>
      </c>
    </row>
    <row r="1250" spans="1:5" hidden="1" x14ac:dyDescent="0.25">
      <c r="A1250">
        <v>31</v>
      </c>
      <c r="B1250">
        <v>5</v>
      </c>
      <c r="C1250" t="s">
        <v>31</v>
      </c>
      <c r="D1250" t="s">
        <v>4</v>
      </c>
      <c r="E1250">
        <f t="shared" ca="1" si="19"/>
        <v>322320698.12772495</v>
      </c>
    </row>
    <row r="1251" spans="1:5" hidden="1" x14ac:dyDescent="0.25">
      <c r="A1251">
        <v>31</v>
      </c>
      <c r="B1251">
        <v>6</v>
      </c>
      <c r="C1251" t="s">
        <v>31</v>
      </c>
      <c r="D1251" t="s">
        <v>5</v>
      </c>
      <c r="E1251">
        <f t="shared" ca="1" si="19"/>
        <v>441777471.89058208</v>
      </c>
    </row>
    <row r="1252" spans="1:5" hidden="1" x14ac:dyDescent="0.25">
      <c r="A1252">
        <v>31</v>
      </c>
      <c r="B1252">
        <v>7</v>
      </c>
      <c r="C1252" t="s">
        <v>31</v>
      </c>
      <c r="D1252" t="s">
        <v>6</v>
      </c>
      <c r="E1252">
        <f t="shared" ca="1" si="19"/>
        <v>303088474.35629636</v>
      </c>
    </row>
    <row r="1253" spans="1:5" hidden="1" x14ac:dyDescent="0.25">
      <c r="A1253">
        <v>31</v>
      </c>
      <c r="B1253">
        <v>8</v>
      </c>
      <c r="C1253" t="s">
        <v>31</v>
      </c>
      <c r="D1253" t="s">
        <v>7</v>
      </c>
      <c r="E1253">
        <f t="shared" ca="1" si="19"/>
        <v>232434540.63380882</v>
      </c>
    </row>
    <row r="1254" spans="1:5" hidden="1" x14ac:dyDescent="0.25">
      <c r="A1254">
        <v>31</v>
      </c>
      <c r="B1254">
        <v>9</v>
      </c>
      <c r="C1254" t="s">
        <v>31</v>
      </c>
      <c r="D1254" t="s">
        <v>148</v>
      </c>
      <c r="E1254">
        <f t="shared" ca="1" si="19"/>
        <v>358632738.45186478</v>
      </c>
    </row>
    <row r="1255" spans="1:5" hidden="1" x14ac:dyDescent="0.25">
      <c r="A1255">
        <v>31</v>
      </c>
      <c r="B1255">
        <v>10</v>
      </c>
      <c r="C1255" t="s">
        <v>31</v>
      </c>
      <c r="D1255" t="s">
        <v>9</v>
      </c>
      <c r="E1255">
        <f t="shared" ca="1" si="19"/>
        <v>369656475.18772495</v>
      </c>
    </row>
    <row r="1256" spans="1:5" hidden="1" x14ac:dyDescent="0.25">
      <c r="A1256">
        <v>31</v>
      </c>
      <c r="B1256">
        <v>11</v>
      </c>
      <c r="C1256" t="s">
        <v>31</v>
      </c>
      <c r="D1256" t="s">
        <v>10</v>
      </c>
      <c r="E1256">
        <f t="shared" ref="E1256:E1317" ca="1" si="20">OFFSET($B$2,A1256,B1256)</f>
        <v>138250241.39300808</v>
      </c>
    </row>
    <row r="1257" spans="1:5" hidden="1" x14ac:dyDescent="0.25">
      <c r="A1257">
        <v>31</v>
      </c>
      <c r="B1257">
        <v>12</v>
      </c>
      <c r="C1257" t="s">
        <v>31</v>
      </c>
      <c r="D1257" t="s">
        <v>11</v>
      </c>
      <c r="E1257">
        <f t="shared" ca="1" si="20"/>
        <v>449161332.79494345</v>
      </c>
    </row>
    <row r="1258" spans="1:5" hidden="1" x14ac:dyDescent="0.25">
      <c r="A1258">
        <v>31</v>
      </c>
      <c r="B1258">
        <v>13</v>
      </c>
      <c r="C1258" t="s">
        <v>31</v>
      </c>
      <c r="D1258" t="s">
        <v>12</v>
      </c>
      <c r="E1258">
        <f t="shared" ca="1" si="20"/>
        <v>326373966.14511794</v>
      </c>
    </row>
    <row r="1259" spans="1:5" hidden="1" x14ac:dyDescent="0.25">
      <c r="A1259">
        <v>31</v>
      </c>
      <c r="B1259">
        <v>14</v>
      </c>
      <c r="C1259" t="s">
        <v>31</v>
      </c>
      <c r="D1259" t="s">
        <v>13</v>
      </c>
      <c r="E1259">
        <f t="shared" ca="1" si="20"/>
        <v>366496841.53711796</v>
      </c>
    </row>
    <row r="1260" spans="1:5" hidden="1" x14ac:dyDescent="0.25">
      <c r="A1260">
        <v>31</v>
      </c>
      <c r="B1260">
        <v>15</v>
      </c>
      <c r="C1260" t="s">
        <v>31</v>
      </c>
      <c r="D1260" t="s">
        <v>14</v>
      </c>
      <c r="E1260">
        <f t="shared" ca="1" si="20"/>
        <v>577417693.85236645</v>
      </c>
    </row>
    <row r="1261" spans="1:5" hidden="1" x14ac:dyDescent="0.25">
      <c r="A1261">
        <v>31</v>
      </c>
      <c r="B1261">
        <v>16</v>
      </c>
      <c r="C1261" t="s">
        <v>31</v>
      </c>
      <c r="D1261" t="s">
        <v>15</v>
      </c>
      <c r="E1261">
        <f t="shared" ca="1" si="20"/>
        <v>237535711.86288118</v>
      </c>
    </row>
    <row r="1262" spans="1:5" hidden="1" x14ac:dyDescent="0.25">
      <c r="A1262">
        <v>31</v>
      </c>
      <c r="B1262">
        <v>17</v>
      </c>
      <c r="C1262" t="s">
        <v>31</v>
      </c>
      <c r="D1262" t="s">
        <v>16</v>
      </c>
      <c r="E1262">
        <f t="shared" ca="1" si="20"/>
        <v>665600803.62568665</v>
      </c>
    </row>
    <row r="1263" spans="1:5" hidden="1" x14ac:dyDescent="0.25">
      <c r="A1263">
        <v>31</v>
      </c>
      <c r="B1263">
        <v>18</v>
      </c>
      <c r="C1263" t="s">
        <v>31</v>
      </c>
      <c r="D1263" t="s">
        <v>17</v>
      </c>
      <c r="E1263">
        <f t="shared" ca="1" si="20"/>
        <v>230948704.77088121</v>
      </c>
    </row>
    <row r="1264" spans="1:5" hidden="1" x14ac:dyDescent="0.25">
      <c r="A1264">
        <v>31</v>
      </c>
      <c r="B1264">
        <v>19</v>
      </c>
      <c r="C1264" t="s">
        <v>31</v>
      </c>
      <c r="D1264" t="s">
        <v>18</v>
      </c>
      <c r="E1264">
        <f t="shared" ca="1" si="20"/>
        <v>8135358.5051007289</v>
      </c>
    </row>
    <row r="1265" spans="1:5" hidden="1" x14ac:dyDescent="0.25">
      <c r="A1265">
        <v>31</v>
      </c>
      <c r="B1265">
        <v>20</v>
      </c>
      <c r="C1265" t="s">
        <v>31</v>
      </c>
      <c r="D1265" t="s">
        <v>19</v>
      </c>
      <c r="E1265">
        <f t="shared" ca="1" si="20"/>
        <v>281879353.74776113</v>
      </c>
    </row>
    <row r="1266" spans="1:5" hidden="1" x14ac:dyDescent="0.25">
      <c r="A1266">
        <v>31</v>
      </c>
      <c r="B1266">
        <v>21</v>
      </c>
      <c r="C1266" t="s">
        <v>31</v>
      </c>
      <c r="D1266" t="s">
        <v>20</v>
      </c>
      <c r="E1266">
        <f t="shared" ca="1" si="20"/>
        <v>247151224.76765832</v>
      </c>
    </row>
    <row r="1267" spans="1:5" hidden="1" x14ac:dyDescent="0.25">
      <c r="A1267">
        <v>31</v>
      </c>
      <c r="B1267">
        <v>22</v>
      </c>
      <c r="C1267" t="s">
        <v>31</v>
      </c>
      <c r="D1267" t="s">
        <v>21</v>
      </c>
      <c r="E1267">
        <f t="shared" ca="1" si="20"/>
        <v>175395513.35304803</v>
      </c>
    </row>
    <row r="1268" spans="1:5" hidden="1" x14ac:dyDescent="0.25">
      <c r="A1268">
        <v>31</v>
      </c>
      <c r="B1268">
        <v>23</v>
      </c>
      <c r="C1268" t="s">
        <v>31</v>
      </c>
      <c r="D1268" t="s">
        <v>22</v>
      </c>
      <c r="E1268">
        <f t="shared" ca="1" si="20"/>
        <v>16222540.826557327</v>
      </c>
    </row>
    <row r="1269" spans="1:5" hidden="1" x14ac:dyDescent="0.25">
      <c r="A1269">
        <v>31</v>
      </c>
      <c r="B1269">
        <v>24</v>
      </c>
      <c r="C1269" t="s">
        <v>31</v>
      </c>
      <c r="D1269" t="s">
        <v>23</v>
      </c>
      <c r="E1269">
        <f t="shared" ca="1" si="20"/>
        <v>45642632.86655733</v>
      </c>
    </row>
    <row r="1270" spans="1:5" hidden="1" x14ac:dyDescent="0.25">
      <c r="A1270">
        <v>31</v>
      </c>
      <c r="B1270">
        <v>25</v>
      </c>
      <c r="C1270" t="s">
        <v>31</v>
      </c>
      <c r="D1270" t="s">
        <v>24</v>
      </c>
      <c r="E1270">
        <f t="shared" ca="1" si="20"/>
        <v>21124666.726557329</v>
      </c>
    </row>
    <row r="1271" spans="1:5" hidden="1" x14ac:dyDescent="0.25">
      <c r="A1271">
        <v>31</v>
      </c>
      <c r="B1271">
        <v>26</v>
      </c>
      <c r="C1271" t="s">
        <v>31</v>
      </c>
      <c r="D1271" t="s">
        <v>25</v>
      </c>
      <c r="E1271">
        <f t="shared" ca="1" si="20"/>
        <v>480223236.49236643</v>
      </c>
    </row>
    <row r="1272" spans="1:5" hidden="1" x14ac:dyDescent="0.25">
      <c r="A1272">
        <v>31</v>
      </c>
      <c r="B1272">
        <v>27</v>
      </c>
      <c r="C1272" t="s">
        <v>31</v>
      </c>
      <c r="D1272" t="s">
        <v>145</v>
      </c>
      <c r="E1272">
        <f t="shared" ca="1" si="20"/>
        <v>173378024.35976115</v>
      </c>
    </row>
    <row r="1273" spans="1:5" hidden="1" x14ac:dyDescent="0.25">
      <c r="A1273">
        <v>31</v>
      </c>
      <c r="B1273">
        <v>28</v>
      </c>
      <c r="C1273" t="s">
        <v>31</v>
      </c>
      <c r="D1273" t="s">
        <v>147</v>
      </c>
      <c r="E1273">
        <f t="shared" ca="1" si="20"/>
        <v>96925321.561048061</v>
      </c>
    </row>
    <row r="1274" spans="1:5" hidden="1" x14ac:dyDescent="0.25">
      <c r="A1274">
        <v>31</v>
      </c>
      <c r="B1274">
        <v>29</v>
      </c>
      <c r="C1274" t="s">
        <v>31</v>
      </c>
      <c r="D1274" t="s">
        <v>146</v>
      </c>
      <c r="E1274">
        <f t="shared" ca="1" si="20"/>
        <v>18656705.466557331</v>
      </c>
    </row>
    <row r="1275" spans="1:5" hidden="1" x14ac:dyDescent="0.25">
      <c r="A1275">
        <v>31</v>
      </c>
      <c r="B1275">
        <v>30</v>
      </c>
      <c r="C1275" t="s">
        <v>31</v>
      </c>
      <c r="D1275" t="s">
        <v>30</v>
      </c>
      <c r="E1275">
        <f t="shared" ca="1" si="20"/>
        <v>497074671.31895161</v>
      </c>
    </row>
    <row r="1276" spans="1:5" hidden="1" x14ac:dyDescent="0.25">
      <c r="A1276">
        <v>31</v>
      </c>
      <c r="B1276">
        <v>31</v>
      </c>
      <c r="C1276" t="s">
        <v>31</v>
      </c>
      <c r="D1276" t="s">
        <v>31</v>
      </c>
      <c r="E1276">
        <f t="shared" ca="1" si="20"/>
        <v>0</v>
      </c>
    </row>
    <row r="1277" spans="1:5" hidden="1" x14ac:dyDescent="0.25">
      <c r="A1277">
        <v>31</v>
      </c>
      <c r="B1277">
        <v>32</v>
      </c>
      <c r="C1277" t="s">
        <v>31</v>
      </c>
      <c r="D1277" t="s">
        <v>32</v>
      </c>
      <c r="E1277">
        <f t="shared" ca="1" si="20"/>
        <v>0</v>
      </c>
    </row>
    <row r="1278" spans="1:5" hidden="1" x14ac:dyDescent="0.25">
      <c r="A1278">
        <v>31</v>
      </c>
      <c r="B1278">
        <v>33</v>
      </c>
      <c r="C1278" t="s">
        <v>31</v>
      </c>
      <c r="D1278" t="s">
        <v>33</v>
      </c>
      <c r="E1278">
        <f t="shared" ca="1" si="20"/>
        <v>3312995188.2218103</v>
      </c>
    </row>
    <row r="1279" spans="1:5" hidden="1" x14ac:dyDescent="0.25">
      <c r="A1279">
        <v>31</v>
      </c>
      <c r="B1279">
        <v>34</v>
      </c>
      <c r="C1279" t="s">
        <v>31</v>
      </c>
      <c r="D1279" t="s">
        <v>34</v>
      </c>
      <c r="E1279">
        <f t="shared" ca="1" si="20"/>
        <v>2683260579.2938104</v>
      </c>
    </row>
    <row r="1280" spans="1:5" hidden="1" x14ac:dyDescent="0.25">
      <c r="A1280">
        <v>31</v>
      </c>
      <c r="B1280">
        <v>35</v>
      </c>
      <c r="C1280" t="s">
        <v>31</v>
      </c>
      <c r="D1280" t="s">
        <v>35</v>
      </c>
      <c r="E1280">
        <f t="shared" ca="1" si="20"/>
        <v>1289456249.2158649</v>
      </c>
    </row>
    <row r="1281" spans="1:5" hidden="1" x14ac:dyDescent="0.25">
      <c r="A1281">
        <v>31</v>
      </c>
      <c r="B1281">
        <v>36</v>
      </c>
      <c r="C1281" t="s">
        <v>31</v>
      </c>
      <c r="D1281" t="s">
        <v>36</v>
      </c>
      <c r="E1281">
        <f t="shared" ca="1" si="20"/>
        <v>1114154395.3570375</v>
      </c>
    </row>
    <row r="1282" spans="1:5" hidden="1" x14ac:dyDescent="0.25">
      <c r="A1282">
        <v>31</v>
      </c>
      <c r="B1282">
        <v>37</v>
      </c>
      <c r="C1282" t="s">
        <v>31</v>
      </c>
      <c r="D1282" t="s">
        <v>37</v>
      </c>
      <c r="E1282">
        <f t="shared" ca="1" si="20"/>
        <v>931733519.04679763</v>
      </c>
    </row>
    <row r="1283" spans="1:5" hidden="1" x14ac:dyDescent="0.25">
      <c r="A1283">
        <v>31</v>
      </c>
      <c r="B1283">
        <v>38</v>
      </c>
      <c r="C1283" t="s">
        <v>31</v>
      </c>
      <c r="D1283" t="s">
        <v>38</v>
      </c>
      <c r="E1283">
        <f t="shared" ca="1" si="20"/>
        <v>1061496057.6770375</v>
      </c>
    </row>
    <row r="1284" spans="1:5" hidden="1" x14ac:dyDescent="0.25">
      <c r="A1284">
        <v>31</v>
      </c>
      <c r="B1284">
        <v>39</v>
      </c>
      <c r="C1284" t="s">
        <v>31</v>
      </c>
      <c r="D1284" t="s">
        <v>39</v>
      </c>
      <c r="E1284">
        <f t="shared" ca="1" si="20"/>
        <v>1071372063.9714243</v>
      </c>
    </row>
    <row r="1285" spans="1:5" hidden="1" x14ac:dyDescent="0.25">
      <c r="A1285">
        <v>31</v>
      </c>
      <c r="B1285">
        <v>40</v>
      </c>
      <c r="C1285" t="s">
        <v>31</v>
      </c>
      <c r="D1285" t="s">
        <v>40</v>
      </c>
      <c r="E1285">
        <f t="shared" ca="1" si="20"/>
        <v>1088699736.0067976</v>
      </c>
    </row>
    <row r="1286" spans="1:5" hidden="1" x14ac:dyDescent="0.25">
      <c r="A1286">
        <v>32</v>
      </c>
      <c r="B1286">
        <v>1</v>
      </c>
      <c r="C1286" t="s">
        <v>32</v>
      </c>
      <c r="D1286" t="s">
        <v>0</v>
      </c>
      <c r="E1286">
        <f t="shared" ca="1" si="20"/>
        <v>570196985.0772934</v>
      </c>
    </row>
    <row r="1287" spans="1:5" hidden="1" x14ac:dyDescent="0.25">
      <c r="A1287">
        <v>32</v>
      </c>
      <c r="B1287">
        <v>2</v>
      </c>
      <c r="C1287" t="s">
        <v>32</v>
      </c>
      <c r="D1287" t="s">
        <v>1</v>
      </c>
      <c r="E1287">
        <f t="shared" ca="1" si="20"/>
        <v>446665516.51586485</v>
      </c>
    </row>
    <row r="1288" spans="1:5" hidden="1" x14ac:dyDescent="0.25">
      <c r="A1288">
        <v>32</v>
      </c>
      <c r="B1288">
        <v>3</v>
      </c>
      <c r="C1288" t="s">
        <v>32</v>
      </c>
      <c r="D1288" t="s">
        <v>2</v>
      </c>
      <c r="E1288">
        <f t="shared" ca="1" si="20"/>
        <v>286125925.73740339</v>
      </c>
    </row>
    <row r="1289" spans="1:5" hidden="1" x14ac:dyDescent="0.25">
      <c r="A1289">
        <v>32</v>
      </c>
      <c r="B1289">
        <v>4</v>
      </c>
      <c r="C1289" t="s">
        <v>32</v>
      </c>
      <c r="D1289" t="s">
        <v>3</v>
      </c>
      <c r="E1289">
        <f t="shared" ca="1" si="20"/>
        <v>394274348.45438027</v>
      </c>
    </row>
    <row r="1290" spans="1:5" hidden="1" x14ac:dyDescent="0.25">
      <c r="A1290">
        <v>32</v>
      </c>
      <c r="B1290">
        <v>5</v>
      </c>
      <c r="C1290" t="s">
        <v>32</v>
      </c>
      <c r="D1290" t="s">
        <v>4</v>
      </c>
      <c r="E1290">
        <f t="shared" ca="1" si="20"/>
        <v>401224318.49172497</v>
      </c>
    </row>
    <row r="1291" spans="1:5" hidden="1" x14ac:dyDescent="0.25">
      <c r="A1291">
        <v>32</v>
      </c>
      <c r="B1291">
        <v>6</v>
      </c>
      <c r="C1291" t="s">
        <v>32</v>
      </c>
      <c r="D1291" t="s">
        <v>5</v>
      </c>
      <c r="E1291">
        <f t="shared" ca="1" si="20"/>
        <v>520681092.25458211</v>
      </c>
    </row>
    <row r="1292" spans="1:5" hidden="1" x14ac:dyDescent="0.25">
      <c r="A1292">
        <v>32</v>
      </c>
      <c r="B1292">
        <v>7</v>
      </c>
      <c r="C1292" t="s">
        <v>32</v>
      </c>
      <c r="D1292" t="s">
        <v>6</v>
      </c>
      <c r="E1292">
        <f t="shared" ca="1" si="20"/>
        <v>381992094.72029638</v>
      </c>
    </row>
    <row r="1293" spans="1:5" hidden="1" x14ac:dyDescent="0.25">
      <c r="A1293">
        <v>32</v>
      </c>
      <c r="B1293">
        <v>8</v>
      </c>
      <c r="C1293" t="s">
        <v>32</v>
      </c>
      <c r="D1293" t="s">
        <v>7</v>
      </c>
      <c r="E1293">
        <f t="shared" ca="1" si="20"/>
        <v>311338160.99780881</v>
      </c>
    </row>
    <row r="1294" spans="1:5" hidden="1" x14ac:dyDescent="0.25">
      <c r="A1294">
        <v>32</v>
      </c>
      <c r="B1294">
        <v>9</v>
      </c>
      <c r="C1294" t="s">
        <v>32</v>
      </c>
      <c r="D1294" t="s">
        <v>148</v>
      </c>
      <c r="E1294">
        <f t="shared" ca="1" si="20"/>
        <v>437536358.8158648</v>
      </c>
    </row>
    <row r="1295" spans="1:5" hidden="1" x14ac:dyDescent="0.25">
      <c r="A1295">
        <v>32</v>
      </c>
      <c r="B1295">
        <v>10</v>
      </c>
      <c r="C1295" t="s">
        <v>32</v>
      </c>
      <c r="D1295" t="s">
        <v>9</v>
      </c>
      <c r="E1295">
        <f t="shared" ca="1" si="20"/>
        <v>448560095.55172497</v>
      </c>
    </row>
    <row r="1296" spans="1:5" hidden="1" x14ac:dyDescent="0.25">
      <c r="A1296">
        <v>32</v>
      </c>
      <c r="B1296">
        <v>11</v>
      </c>
      <c r="C1296" t="s">
        <v>32</v>
      </c>
      <c r="D1296" t="s">
        <v>10</v>
      </c>
      <c r="E1296">
        <f t="shared" ca="1" si="20"/>
        <v>217153861.75700808</v>
      </c>
    </row>
    <row r="1297" spans="1:5" hidden="1" x14ac:dyDescent="0.25">
      <c r="A1297">
        <v>32</v>
      </c>
      <c r="B1297">
        <v>12</v>
      </c>
      <c r="C1297" t="s">
        <v>32</v>
      </c>
      <c r="D1297" t="s">
        <v>11</v>
      </c>
      <c r="E1297">
        <f t="shared" ca="1" si="20"/>
        <v>528064953.15894347</v>
      </c>
    </row>
    <row r="1298" spans="1:5" hidden="1" x14ac:dyDescent="0.25">
      <c r="A1298">
        <v>32</v>
      </c>
      <c r="B1298">
        <v>13</v>
      </c>
      <c r="C1298" t="s">
        <v>32</v>
      </c>
      <c r="D1298" t="s">
        <v>12</v>
      </c>
      <c r="E1298">
        <f t="shared" ca="1" si="20"/>
        <v>405277586.50911796</v>
      </c>
    </row>
    <row r="1299" spans="1:5" hidden="1" x14ac:dyDescent="0.25">
      <c r="A1299">
        <v>32</v>
      </c>
      <c r="B1299">
        <v>14</v>
      </c>
      <c r="C1299" t="s">
        <v>32</v>
      </c>
      <c r="D1299" t="s">
        <v>13</v>
      </c>
      <c r="E1299">
        <f t="shared" ca="1" si="20"/>
        <v>445400461.90111798</v>
      </c>
    </row>
    <row r="1300" spans="1:5" hidden="1" x14ac:dyDescent="0.25">
      <c r="A1300">
        <v>32</v>
      </c>
      <c r="B1300">
        <v>15</v>
      </c>
      <c r="C1300" t="s">
        <v>32</v>
      </c>
      <c r="D1300" t="s">
        <v>14</v>
      </c>
      <c r="E1300">
        <f t="shared" ca="1" si="20"/>
        <v>656321314.21636653</v>
      </c>
    </row>
    <row r="1301" spans="1:5" hidden="1" x14ac:dyDescent="0.25">
      <c r="A1301">
        <v>32</v>
      </c>
      <c r="B1301">
        <v>16</v>
      </c>
      <c r="C1301" t="s">
        <v>32</v>
      </c>
      <c r="D1301" t="s">
        <v>15</v>
      </c>
      <c r="E1301">
        <f t="shared" ca="1" si="20"/>
        <v>316439332.22688121</v>
      </c>
    </row>
    <row r="1302" spans="1:5" hidden="1" x14ac:dyDescent="0.25">
      <c r="A1302">
        <v>32</v>
      </c>
      <c r="B1302">
        <v>17</v>
      </c>
      <c r="C1302" t="s">
        <v>32</v>
      </c>
      <c r="D1302" t="s">
        <v>16</v>
      </c>
      <c r="E1302">
        <f t="shared" ca="1" si="20"/>
        <v>744504423.98968673</v>
      </c>
    </row>
    <row r="1303" spans="1:5" hidden="1" x14ac:dyDescent="0.25">
      <c r="A1303">
        <v>32</v>
      </c>
      <c r="B1303">
        <v>18</v>
      </c>
      <c r="C1303" t="s">
        <v>32</v>
      </c>
      <c r="D1303" t="s">
        <v>17</v>
      </c>
      <c r="E1303">
        <f t="shared" ca="1" si="20"/>
        <v>309852325.1348812</v>
      </c>
    </row>
    <row r="1304" spans="1:5" hidden="1" x14ac:dyDescent="0.25">
      <c r="A1304">
        <v>32</v>
      </c>
      <c r="B1304">
        <v>19</v>
      </c>
      <c r="C1304" t="s">
        <v>32</v>
      </c>
      <c r="D1304" t="s">
        <v>18</v>
      </c>
      <c r="E1304">
        <f t="shared" ca="1" si="20"/>
        <v>87038978.869100735</v>
      </c>
    </row>
    <row r="1305" spans="1:5" hidden="1" x14ac:dyDescent="0.25">
      <c r="A1305">
        <v>32</v>
      </c>
      <c r="B1305">
        <v>20</v>
      </c>
      <c r="C1305" t="s">
        <v>32</v>
      </c>
      <c r="D1305" t="s">
        <v>19</v>
      </c>
      <c r="E1305">
        <f t="shared" ca="1" si="20"/>
        <v>211142220.63599998</v>
      </c>
    </row>
    <row r="1306" spans="1:5" hidden="1" x14ac:dyDescent="0.25">
      <c r="A1306">
        <v>32</v>
      </c>
      <c r="B1306">
        <v>21</v>
      </c>
      <c r="C1306" t="s">
        <v>32</v>
      </c>
      <c r="D1306" t="s">
        <v>20</v>
      </c>
      <c r="E1306">
        <f t="shared" ca="1" si="20"/>
        <v>326054845.13165832</v>
      </c>
    </row>
    <row r="1307" spans="1:5" hidden="1" x14ac:dyDescent="0.25">
      <c r="A1307">
        <v>32</v>
      </c>
      <c r="B1307">
        <v>22</v>
      </c>
      <c r="C1307" t="s">
        <v>32</v>
      </c>
      <c r="D1307" t="s">
        <v>21</v>
      </c>
      <c r="E1307">
        <f t="shared" ca="1" si="20"/>
        <v>254299133.71704805</v>
      </c>
    </row>
    <row r="1308" spans="1:5" hidden="1" x14ac:dyDescent="0.25">
      <c r="A1308">
        <v>32</v>
      </c>
      <c r="B1308">
        <v>23</v>
      </c>
      <c r="C1308" t="s">
        <v>32</v>
      </c>
      <c r="D1308" t="s">
        <v>22</v>
      </c>
      <c r="E1308">
        <f t="shared" ca="1" si="20"/>
        <v>95126161.190557331</v>
      </c>
    </row>
    <row r="1309" spans="1:5" hidden="1" x14ac:dyDescent="0.25">
      <c r="A1309">
        <v>32</v>
      </c>
      <c r="B1309">
        <v>24</v>
      </c>
      <c r="C1309" t="s">
        <v>32</v>
      </c>
      <c r="D1309" t="s">
        <v>23</v>
      </c>
      <c r="E1309">
        <f t="shared" ca="1" si="20"/>
        <v>124546253.23055734</v>
      </c>
    </row>
    <row r="1310" spans="1:5" hidden="1" x14ac:dyDescent="0.25">
      <c r="A1310">
        <v>32</v>
      </c>
      <c r="B1310">
        <v>25</v>
      </c>
      <c r="C1310" t="s">
        <v>32</v>
      </c>
      <c r="D1310" t="s">
        <v>24</v>
      </c>
      <c r="E1310">
        <f t="shared" ca="1" si="20"/>
        <v>100028287.09055734</v>
      </c>
    </row>
    <row r="1311" spans="1:5" hidden="1" x14ac:dyDescent="0.25">
      <c r="A1311">
        <v>32</v>
      </c>
      <c r="B1311">
        <v>26</v>
      </c>
      <c r="C1311" t="s">
        <v>32</v>
      </c>
      <c r="D1311" t="s">
        <v>25</v>
      </c>
      <c r="E1311">
        <f t="shared" ca="1" si="20"/>
        <v>559126856.85636652</v>
      </c>
    </row>
    <row r="1312" spans="1:5" hidden="1" x14ac:dyDescent="0.25">
      <c r="A1312">
        <v>32</v>
      </c>
      <c r="B1312">
        <v>27</v>
      </c>
      <c r="C1312" t="s">
        <v>32</v>
      </c>
      <c r="D1312" t="s">
        <v>145</v>
      </c>
      <c r="E1312">
        <f t="shared" ca="1" si="20"/>
        <v>252281644.72376114</v>
      </c>
    </row>
    <row r="1313" spans="1:5" hidden="1" x14ac:dyDescent="0.25">
      <c r="A1313">
        <v>32</v>
      </c>
      <c r="B1313">
        <v>28</v>
      </c>
      <c r="C1313" t="s">
        <v>32</v>
      </c>
      <c r="D1313" t="s">
        <v>147</v>
      </c>
      <c r="E1313">
        <f t="shared" ca="1" si="20"/>
        <v>175828941.92504805</v>
      </c>
    </row>
    <row r="1314" spans="1:5" hidden="1" x14ac:dyDescent="0.25">
      <c r="A1314">
        <v>32</v>
      </c>
      <c r="B1314">
        <v>29</v>
      </c>
      <c r="C1314" t="s">
        <v>32</v>
      </c>
      <c r="D1314" t="s">
        <v>146</v>
      </c>
      <c r="E1314">
        <f t="shared" ca="1" si="20"/>
        <v>97560325.830557346</v>
      </c>
    </row>
    <row r="1315" spans="1:5" hidden="1" x14ac:dyDescent="0.25">
      <c r="A1315">
        <v>32</v>
      </c>
      <c r="B1315">
        <v>30</v>
      </c>
      <c r="C1315" t="s">
        <v>32</v>
      </c>
      <c r="D1315" t="s">
        <v>30</v>
      </c>
      <c r="E1315">
        <f t="shared" ca="1" si="20"/>
        <v>575978291.68295169</v>
      </c>
    </row>
    <row r="1316" spans="1:5" hidden="1" x14ac:dyDescent="0.25">
      <c r="A1316">
        <v>32</v>
      </c>
      <c r="B1316">
        <v>31</v>
      </c>
      <c r="C1316" t="s">
        <v>32</v>
      </c>
      <c r="D1316" t="s">
        <v>31</v>
      </c>
      <c r="E1316">
        <f t="shared" ca="1" si="20"/>
        <v>0</v>
      </c>
    </row>
    <row r="1317" spans="1:5" hidden="1" x14ac:dyDescent="0.25">
      <c r="A1317">
        <v>32</v>
      </c>
      <c r="B1317">
        <v>32</v>
      </c>
      <c r="C1317" t="s">
        <v>32</v>
      </c>
      <c r="D1317" t="s">
        <v>32</v>
      </c>
      <c r="E1317">
        <f t="shared" ca="1" si="20"/>
        <v>0</v>
      </c>
    </row>
    <row r="1318" spans="1:5" hidden="1" x14ac:dyDescent="0.25">
      <c r="A1318">
        <v>32</v>
      </c>
      <c r="B1318">
        <v>33</v>
      </c>
      <c r="C1318" t="s">
        <v>32</v>
      </c>
      <c r="D1318" t="s">
        <v>33</v>
      </c>
      <c r="E1318">
        <f t="shared" ref="E1318:E1380" ca="1" si="21">OFFSET($B$2,A1318,B1318)</f>
        <v>2385234791.3178105</v>
      </c>
    </row>
    <row r="1319" spans="1:5" hidden="1" x14ac:dyDescent="0.25">
      <c r="A1319">
        <v>32</v>
      </c>
      <c r="B1319">
        <v>34</v>
      </c>
      <c r="C1319" t="s">
        <v>32</v>
      </c>
      <c r="D1319" t="s">
        <v>34</v>
      </c>
      <c r="E1319">
        <f t="shared" ca="1" si="21"/>
        <v>1755500182.3898108</v>
      </c>
    </row>
    <row r="1320" spans="1:5" hidden="1" x14ac:dyDescent="0.25">
      <c r="A1320">
        <v>32</v>
      </c>
      <c r="B1320">
        <v>35</v>
      </c>
      <c r="C1320" t="s">
        <v>32</v>
      </c>
      <c r="D1320" t="s">
        <v>35</v>
      </c>
      <c r="E1320">
        <f t="shared" ca="1" si="21"/>
        <v>361695852.31186479</v>
      </c>
    </row>
    <row r="1321" spans="1:5" hidden="1" x14ac:dyDescent="0.25">
      <c r="A1321">
        <v>32</v>
      </c>
      <c r="B1321">
        <v>36</v>
      </c>
      <c r="C1321" t="s">
        <v>32</v>
      </c>
      <c r="D1321" t="s">
        <v>36</v>
      </c>
      <c r="E1321">
        <f t="shared" ca="1" si="21"/>
        <v>186393998.45303762</v>
      </c>
    </row>
    <row r="1322" spans="1:5" hidden="1" x14ac:dyDescent="0.25">
      <c r="A1322">
        <v>32</v>
      </c>
      <c r="B1322">
        <v>37</v>
      </c>
      <c r="C1322" t="s">
        <v>32</v>
      </c>
      <c r="D1322" t="s">
        <v>37</v>
      </c>
      <c r="E1322">
        <f t="shared" ca="1" si="21"/>
        <v>3973122.1427977597</v>
      </c>
    </row>
    <row r="1323" spans="1:5" hidden="1" x14ac:dyDescent="0.25">
      <c r="A1323">
        <v>32</v>
      </c>
      <c r="B1323">
        <v>38</v>
      </c>
      <c r="C1323" t="s">
        <v>32</v>
      </c>
      <c r="D1323" t="s">
        <v>38</v>
      </c>
      <c r="E1323">
        <f t="shared" ca="1" si="21"/>
        <v>133735660.77303761</v>
      </c>
    </row>
    <row r="1324" spans="1:5" hidden="1" x14ac:dyDescent="0.25">
      <c r="A1324">
        <v>32</v>
      </c>
      <c r="B1324">
        <v>39</v>
      </c>
      <c r="C1324" t="s">
        <v>32</v>
      </c>
      <c r="D1324" t="s">
        <v>39</v>
      </c>
      <c r="E1324">
        <f t="shared" ca="1" si="21"/>
        <v>143611667.06742454</v>
      </c>
    </row>
    <row r="1325" spans="1:5" hidden="1" x14ac:dyDescent="0.25">
      <c r="A1325">
        <v>32</v>
      </c>
      <c r="B1325">
        <v>40</v>
      </c>
      <c r="C1325" t="s">
        <v>32</v>
      </c>
      <c r="D1325" t="s">
        <v>40</v>
      </c>
      <c r="E1325">
        <f t="shared" ca="1" si="21"/>
        <v>160939339.10279778</v>
      </c>
    </row>
    <row r="1326" spans="1:5" hidden="1" x14ac:dyDescent="0.25">
      <c r="A1326">
        <v>33</v>
      </c>
      <c r="B1326">
        <v>1</v>
      </c>
      <c r="C1326" t="s">
        <v>33</v>
      </c>
      <c r="D1326" t="s">
        <v>0</v>
      </c>
      <c r="E1326">
        <f t="shared" ca="1" si="21"/>
        <v>3131810215.8905497</v>
      </c>
    </row>
    <row r="1327" spans="1:5" hidden="1" x14ac:dyDescent="0.25">
      <c r="A1327">
        <v>33</v>
      </c>
      <c r="B1327">
        <v>2</v>
      </c>
      <c r="C1327" t="s">
        <v>33</v>
      </c>
      <c r="D1327" t="s">
        <v>1</v>
      </c>
      <c r="E1327">
        <f t="shared" ca="1" si="21"/>
        <v>3008278747.3291211</v>
      </c>
    </row>
    <row r="1328" spans="1:5" hidden="1" x14ac:dyDescent="0.25">
      <c r="A1328">
        <v>33</v>
      </c>
      <c r="B1328">
        <v>3</v>
      </c>
      <c r="C1328" t="s">
        <v>33</v>
      </c>
      <c r="D1328" t="s">
        <v>2</v>
      </c>
      <c r="E1328">
        <f t="shared" ca="1" si="21"/>
        <v>4187174249.4731255</v>
      </c>
    </row>
    <row r="1329" spans="1:5" hidden="1" x14ac:dyDescent="0.25">
      <c r="A1329">
        <v>33</v>
      </c>
      <c r="B1329">
        <v>4</v>
      </c>
      <c r="C1329" t="s">
        <v>33</v>
      </c>
      <c r="D1329" t="s">
        <v>3</v>
      </c>
      <c r="E1329">
        <f t="shared" ca="1" si="21"/>
        <v>2818199504.2585206</v>
      </c>
    </row>
    <row r="1330" spans="1:5" hidden="1" x14ac:dyDescent="0.25">
      <c r="A1330">
        <v>33</v>
      </c>
      <c r="B1330">
        <v>5</v>
      </c>
      <c r="C1330" t="s">
        <v>33</v>
      </c>
      <c r="D1330" t="s">
        <v>4</v>
      </c>
      <c r="E1330">
        <f t="shared" ca="1" si="21"/>
        <v>3196057914.0632415</v>
      </c>
    </row>
    <row r="1331" spans="1:5" hidden="1" x14ac:dyDescent="0.25">
      <c r="A1331">
        <v>33</v>
      </c>
      <c r="B1331">
        <v>6</v>
      </c>
      <c r="C1331" t="s">
        <v>33</v>
      </c>
      <c r="D1331" t="s">
        <v>5</v>
      </c>
      <c r="E1331">
        <f t="shared" ca="1" si="21"/>
        <v>3315514687.8260989</v>
      </c>
    </row>
    <row r="1332" spans="1:5" hidden="1" x14ac:dyDescent="0.25">
      <c r="A1332">
        <v>33</v>
      </c>
      <c r="B1332">
        <v>7</v>
      </c>
      <c r="C1332" t="s">
        <v>33</v>
      </c>
      <c r="D1332" t="s">
        <v>6</v>
      </c>
      <c r="E1332">
        <f t="shared" ca="1" si="21"/>
        <v>3176825690.2918129</v>
      </c>
    </row>
    <row r="1333" spans="1:5" hidden="1" x14ac:dyDescent="0.25">
      <c r="A1333">
        <v>33</v>
      </c>
      <c r="B1333">
        <v>8</v>
      </c>
      <c r="C1333" t="s">
        <v>33</v>
      </c>
      <c r="D1333" t="s">
        <v>7</v>
      </c>
      <c r="E1333">
        <f t="shared" ca="1" si="21"/>
        <v>2735263316.801949</v>
      </c>
    </row>
    <row r="1334" spans="1:5" hidden="1" x14ac:dyDescent="0.25">
      <c r="A1334">
        <v>33</v>
      </c>
      <c r="B1334">
        <v>9</v>
      </c>
      <c r="C1334" t="s">
        <v>33</v>
      </c>
      <c r="D1334" t="s">
        <v>148</v>
      </c>
      <c r="E1334">
        <f t="shared" ca="1" si="21"/>
        <v>2999149589.6291213</v>
      </c>
    </row>
    <row r="1335" spans="1:5" hidden="1" x14ac:dyDescent="0.25">
      <c r="A1335">
        <v>33</v>
      </c>
      <c r="B1335">
        <v>10</v>
      </c>
      <c r="C1335" t="s">
        <v>33</v>
      </c>
      <c r="D1335" t="s">
        <v>9</v>
      </c>
      <c r="E1335">
        <f t="shared" ca="1" si="21"/>
        <v>3243393691.1232414</v>
      </c>
    </row>
    <row r="1336" spans="1:5" hidden="1" x14ac:dyDescent="0.25">
      <c r="A1336">
        <v>33</v>
      </c>
      <c r="B1336">
        <v>11</v>
      </c>
      <c r="C1336" t="s">
        <v>33</v>
      </c>
      <c r="D1336" t="s">
        <v>10</v>
      </c>
      <c r="E1336">
        <f t="shared" ca="1" si="21"/>
        <v>3149739412.1962776</v>
      </c>
    </row>
    <row r="1337" spans="1:5" hidden="1" x14ac:dyDescent="0.25">
      <c r="A1337">
        <v>33</v>
      </c>
      <c r="B1337">
        <v>12</v>
      </c>
      <c r="C1337" t="s">
        <v>33</v>
      </c>
      <c r="D1337" t="s">
        <v>11</v>
      </c>
      <c r="E1337">
        <f t="shared" ca="1" si="21"/>
        <v>3035828446.8012538</v>
      </c>
    </row>
    <row r="1338" spans="1:5" hidden="1" x14ac:dyDescent="0.25">
      <c r="A1338">
        <v>33</v>
      </c>
      <c r="B1338">
        <v>13</v>
      </c>
      <c r="C1338" t="s">
        <v>33</v>
      </c>
      <c r="D1338" t="s">
        <v>12</v>
      </c>
      <c r="E1338">
        <f t="shared" ca="1" si="21"/>
        <v>2743546601.4030242</v>
      </c>
    </row>
    <row r="1339" spans="1:5" hidden="1" x14ac:dyDescent="0.25">
      <c r="A1339">
        <v>33</v>
      </c>
      <c r="B1339">
        <v>14</v>
      </c>
      <c r="C1339" t="s">
        <v>33</v>
      </c>
      <c r="D1339" t="s">
        <v>13</v>
      </c>
      <c r="E1339">
        <f t="shared" ca="1" si="21"/>
        <v>2783669476.7950244</v>
      </c>
    </row>
    <row r="1340" spans="1:5" hidden="1" x14ac:dyDescent="0.25">
      <c r="A1340">
        <v>33</v>
      </c>
      <c r="B1340">
        <v>15</v>
      </c>
      <c r="C1340" t="s">
        <v>33</v>
      </c>
      <c r="D1340" t="s">
        <v>14</v>
      </c>
      <c r="E1340">
        <f t="shared" ca="1" si="21"/>
        <v>3047261321.434907</v>
      </c>
    </row>
    <row r="1341" spans="1:5" hidden="1" x14ac:dyDescent="0.25">
      <c r="A1341">
        <v>33</v>
      </c>
      <c r="B1341">
        <v>16</v>
      </c>
      <c r="C1341" t="s">
        <v>33</v>
      </c>
      <c r="D1341" t="s">
        <v>15</v>
      </c>
      <c r="E1341">
        <f t="shared" ca="1" si="21"/>
        <v>2813847900.9825859</v>
      </c>
    </row>
    <row r="1342" spans="1:5" hidden="1" x14ac:dyDescent="0.25">
      <c r="A1342">
        <v>33</v>
      </c>
      <c r="B1342">
        <v>17</v>
      </c>
      <c r="C1342" t="s">
        <v>33</v>
      </c>
      <c r="D1342" t="s">
        <v>16</v>
      </c>
      <c r="E1342">
        <f t="shared" ca="1" si="21"/>
        <v>3736170009.9619079</v>
      </c>
    </row>
    <row r="1343" spans="1:5" hidden="1" x14ac:dyDescent="0.25">
      <c r="A1343">
        <v>33</v>
      </c>
      <c r="B1343">
        <v>18</v>
      </c>
      <c r="C1343" t="s">
        <v>33</v>
      </c>
      <c r="D1343" t="s">
        <v>17</v>
      </c>
      <c r="E1343">
        <f t="shared" ca="1" si="21"/>
        <v>2807260893.8905859</v>
      </c>
    </row>
    <row r="1344" spans="1:5" hidden="1" x14ac:dyDescent="0.25">
      <c r="A1344">
        <v>33</v>
      </c>
      <c r="B1344">
        <v>19</v>
      </c>
      <c r="C1344" t="s">
        <v>33</v>
      </c>
      <c r="D1344" t="s">
        <v>18</v>
      </c>
      <c r="E1344">
        <f t="shared" ca="1" si="21"/>
        <v>3448912976.4735155</v>
      </c>
    </row>
    <row r="1345" spans="1:5" hidden="1" x14ac:dyDescent="0.25">
      <c r="A1345">
        <v>33</v>
      </c>
      <c r="B1345">
        <v>20</v>
      </c>
      <c r="C1345" t="s">
        <v>33</v>
      </c>
      <c r="D1345" t="s">
        <v>19</v>
      </c>
      <c r="E1345">
        <f t="shared" ca="1" si="21"/>
        <v>3019405349.3079367</v>
      </c>
    </row>
    <row r="1346" spans="1:5" hidden="1" x14ac:dyDescent="0.25">
      <c r="A1346">
        <v>33</v>
      </c>
      <c r="B1346">
        <v>21</v>
      </c>
      <c r="C1346" t="s">
        <v>33</v>
      </c>
      <c r="D1346" t="s">
        <v>20</v>
      </c>
      <c r="E1346">
        <f t="shared" ca="1" si="21"/>
        <v>3073596918.9834104</v>
      </c>
    </row>
    <row r="1347" spans="1:5" hidden="1" x14ac:dyDescent="0.25">
      <c r="A1347">
        <v>33</v>
      </c>
      <c r="B1347">
        <v>22</v>
      </c>
      <c r="C1347" t="s">
        <v>33</v>
      </c>
      <c r="D1347" t="s">
        <v>21</v>
      </c>
      <c r="E1347">
        <f t="shared" ca="1" si="21"/>
        <v>4148090877.3243937</v>
      </c>
    </row>
    <row r="1348" spans="1:5" hidden="1" x14ac:dyDescent="0.25">
      <c r="A1348">
        <v>33</v>
      </c>
      <c r="B1348">
        <v>23</v>
      </c>
      <c r="C1348" t="s">
        <v>33</v>
      </c>
      <c r="D1348" t="s">
        <v>22</v>
      </c>
      <c r="E1348">
        <f t="shared" ca="1" si="21"/>
        <v>2906444944.0857267</v>
      </c>
    </row>
    <row r="1349" spans="1:5" hidden="1" x14ac:dyDescent="0.25">
      <c r="A1349">
        <v>33</v>
      </c>
      <c r="B1349">
        <v>24</v>
      </c>
      <c r="C1349" t="s">
        <v>33</v>
      </c>
      <c r="D1349" t="s">
        <v>23</v>
      </c>
      <c r="E1349">
        <f t="shared" ca="1" si="21"/>
        <v>2935865036.1257267</v>
      </c>
    </row>
    <row r="1350" spans="1:5" hidden="1" x14ac:dyDescent="0.25">
      <c r="A1350">
        <v>33</v>
      </c>
      <c r="B1350">
        <v>25</v>
      </c>
      <c r="C1350" t="s">
        <v>33</v>
      </c>
      <c r="D1350" t="s">
        <v>24</v>
      </c>
      <c r="E1350">
        <f t="shared" ca="1" si="21"/>
        <v>2911347069.9857268</v>
      </c>
    </row>
    <row r="1351" spans="1:5" hidden="1" x14ac:dyDescent="0.25">
      <c r="A1351">
        <v>33</v>
      </c>
      <c r="B1351">
        <v>26</v>
      </c>
      <c r="C1351" t="s">
        <v>33</v>
      </c>
      <c r="D1351" t="s">
        <v>25</v>
      </c>
      <c r="E1351">
        <f t="shared" ca="1" si="21"/>
        <v>2950066864.0749068</v>
      </c>
    </row>
    <row r="1352" spans="1:5" hidden="1" x14ac:dyDescent="0.25">
      <c r="A1352">
        <v>33</v>
      </c>
      <c r="B1352">
        <v>27</v>
      </c>
      <c r="C1352" t="s">
        <v>33</v>
      </c>
      <c r="D1352" t="s">
        <v>145</v>
      </c>
      <c r="E1352">
        <f t="shared" ca="1" si="21"/>
        <v>2910904019.9199371</v>
      </c>
    </row>
    <row r="1353" spans="1:5" hidden="1" x14ac:dyDescent="0.25">
      <c r="A1353">
        <v>33</v>
      </c>
      <c r="B1353">
        <v>28</v>
      </c>
      <c r="C1353" t="s">
        <v>33</v>
      </c>
      <c r="D1353" t="s">
        <v>147</v>
      </c>
      <c r="E1353">
        <f t="shared" ca="1" si="21"/>
        <v>4069620685.5323939</v>
      </c>
    </row>
    <row r="1354" spans="1:5" hidden="1" x14ac:dyDescent="0.25">
      <c r="A1354">
        <v>33</v>
      </c>
      <c r="B1354">
        <v>29</v>
      </c>
      <c r="C1354" t="s">
        <v>33</v>
      </c>
      <c r="D1354" t="s">
        <v>146</v>
      </c>
      <c r="E1354">
        <f t="shared" ca="1" si="21"/>
        <v>2908879108.7257266</v>
      </c>
    </row>
    <row r="1355" spans="1:5" hidden="1" x14ac:dyDescent="0.25">
      <c r="A1355">
        <v>33</v>
      </c>
      <c r="B1355">
        <v>30</v>
      </c>
      <c r="C1355" t="s">
        <v>33</v>
      </c>
      <c r="D1355" t="s">
        <v>30</v>
      </c>
      <c r="E1355">
        <f t="shared" ca="1" si="21"/>
        <v>2999903447.4870915</v>
      </c>
    </row>
    <row r="1356" spans="1:5" hidden="1" x14ac:dyDescent="0.25">
      <c r="A1356">
        <v>33</v>
      </c>
      <c r="B1356">
        <v>31</v>
      </c>
      <c r="C1356" t="s">
        <v>33</v>
      </c>
      <c r="D1356" t="s">
        <v>31</v>
      </c>
      <c r="E1356">
        <f t="shared" ca="1" si="21"/>
        <v>3312995188.2218103</v>
      </c>
    </row>
    <row r="1357" spans="1:5" hidden="1" x14ac:dyDescent="0.25">
      <c r="A1357">
        <v>33</v>
      </c>
      <c r="B1357">
        <v>32</v>
      </c>
      <c r="C1357" t="s">
        <v>33</v>
      </c>
      <c r="D1357" t="s">
        <v>32</v>
      </c>
      <c r="E1357">
        <f t="shared" ca="1" si="21"/>
        <v>2385234791.3178105</v>
      </c>
    </row>
    <row r="1358" spans="1:5" hidden="1" x14ac:dyDescent="0.25">
      <c r="A1358">
        <v>33</v>
      </c>
      <c r="B1358">
        <v>33</v>
      </c>
      <c r="C1358" t="s">
        <v>33</v>
      </c>
      <c r="D1358" t="s">
        <v>33</v>
      </c>
      <c r="E1358">
        <f t="shared" ca="1" si="21"/>
        <v>0</v>
      </c>
    </row>
    <row r="1359" spans="1:5" hidden="1" x14ac:dyDescent="0.25">
      <c r="A1359">
        <v>33</v>
      </c>
      <c r="B1359">
        <v>34</v>
      </c>
      <c r="C1359" t="s">
        <v>33</v>
      </c>
      <c r="D1359" t="s">
        <v>34</v>
      </c>
      <c r="E1359">
        <f t="shared" ca="1" si="21"/>
        <v>0</v>
      </c>
    </row>
    <row r="1360" spans="1:5" hidden="1" x14ac:dyDescent="0.25">
      <c r="A1360">
        <v>33</v>
      </c>
      <c r="B1360">
        <v>35</v>
      </c>
      <c r="C1360" t="s">
        <v>33</v>
      </c>
      <c r="D1360" t="s">
        <v>35</v>
      </c>
      <c r="E1360">
        <f t="shared" ca="1" si="21"/>
        <v>2216626453.0011215</v>
      </c>
    </row>
    <row r="1361" spans="1:5" hidden="1" x14ac:dyDescent="0.25">
      <c r="A1361">
        <v>33</v>
      </c>
      <c r="B1361">
        <v>36</v>
      </c>
      <c r="C1361" t="s">
        <v>33</v>
      </c>
      <c r="D1361" t="s">
        <v>36</v>
      </c>
      <c r="E1361">
        <f t="shared" ca="1" si="21"/>
        <v>798878981.74924898</v>
      </c>
    </row>
    <row r="1362" spans="1:5" hidden="1" x14ac:dyDescent="0.25">
      <c r="A1362">
        <v>33</v>
      </c>
      <c r="B1362">
        <v>37</v>
      </c>
      <c r="C1362" t="s">
        <v>33</v>
      </c>
      <c r="D1362" t="s">
        <v>37</v>
      </c>
      <c r="E1362">
        <f t="shared" ca="1" si="21"/>
        <v>856544431.30206549</v>
      </c>
    </row>
    <row r="1363" spans="1:5" hidden="1" x14ac:dyDescent="0.25">
      <c r="A1363">
        <v>33</v>
      </c>
      <c r="B1363">
        <v>38</v>
      </c>
      <c r="C1363" t="s">
        <v>33</v>
      </c>
      <c r="D1363" t="s">
        <v>38</v>
      </c>
      <c r="E1363">
        <f t="shared" ca="1" si="21"/>
        <v>746220644.06924891</v>
      </c>
    </row>
    <row r="1364" spans="1:5" hidden="1" x14ac:dyDescent="0.25">
      <c r="A1364">
        <v>33</v>
      </c>
      <c r="B1364">
        <v>39</v>
      </c>
      <c r="C1364" t="s">
        <v>33</v>
      </c>
      <c r="D1364" t="s">
        <v>39</v>
      </c>
      <c r="E1364">
        <f t="shared" ca="1" si="21"/>
        <v>859592694.14437628</v>
      </c>
    </row>
    <row r="1365" spans="1:5" hidden="1" x14ac:dyDescent="0.25">
      <c r="A1365">
        <v>33</v>
      </c>
      <c r="B1365">
        <v>40</v>
      </c>
      <c r="C1365" t="s">
        <v>33</v>
      </c>
      <c r="D1365" t="s">
        <v>40</v>
      </c>
      <c r="E1365">
        <f t="shared" ca="1" si="21"/>
        <v>1013510648.2620655</v>
      </c>
    </row>
    <row r="1366" spans="1:5" hidden="1" x14ac:dyDescent="0.25">
      <c r="A1366">
        <v>34</v>
      </c>
      <c r="B1366">
        <v>1</v>
      </c>
      <c r="C1366" t="s">
        <v>34</v>
      </c>
      <c r="D1366" t="s">
        <v>0</v>
      </c>
      <c r="E1366">
        <f t="shared" ca="1" si="21"/>
        <v>2502075606.9625497</v>
      </c>
    </row>
    <row r="1367" spans="1:5" hidden="1" x14ac:dyDescent="0.25">
      <c r="A1367">
        <v>34</v>
      </c>
      <c r="B1367">
        <v>2</v>
      </c>
      <c r="C1367" t="s">
        <v>34</v>
      </c>
      <c r="D1367" t="s">
        <v>1</v>
      </c>
      <c r="E1367">
        <f t="shared" ca="1" si="21"/>
        <v>2378544138.4011211</v>
      </c>
    </row>
    <row r="1368" spans="1:5" hidden="1" x14ac:dyDescent="0.25">
      <c r="A1368">
        <v>34</v>
      </c>
      <c r="B1368">
        <v>3</v>
      </c>
      <c r="C1368" t="s">
        <v>34</v>
      </c>
      <c r="D1368" t="s">
        <v>2</v>
      </c>
      <c r="E1368">
        <f t="shared" ca="1" si="21"/>
        <v>3557439640.5451255</v>
      </c>
    </row>
    <row r="1369" spans="1:5" hidden="1" x14ac:dyDescent="0.25">
      <c r="A1369">
        <v>34</v>
      </c>
      <c r="B1369">
        <v>4</v>
      </c>
      <c r="C1369" t="s">
        <v>34</v>
      </c>
      <c r="D1369" t="s">
        <v>3</v>
      </c>
      <c r="E1369">
        <f t="shared" ca="1" si="21"/>
        <v>2188464895.3305206</v>
      </c>
    </row>
    <row r="1370" spans="1:5" hidden="1" x14ac:dyDescent="0.25">
      <c r="A1370">
        <v>34</v>
      </c>
      <c r="B1370">
        <v>5</v>
      </c>
      <c r="C1370" t="s">
        <v>34</v>
      </c>
      <c r="D1370" t="s">
        <v>4</v>
      </c>
      <c r="E1370">
        <f t="shared" ca="1" si="21"/>
        <v>2566323305.1352415</v>
      </c>
    </row>
    <row r="1371" spans="1:5" hidden="1" x14ac:dyDescent="0.25">
      <c r="A1371">
        <v>34</v>
      </c>
      <c r="B1371">
        <v>6</v>
      </c>
      <c r="C1371" t="s">
        <v>34</v>
      </c>
      <c r="D1371" t="s">
        <v>5</v>
      </c>
      <c r="E1371">
        <f t="shared" ca="1" si="21"/>
        <v>2685780078.8980989</v>
      </c>
    </row>
    <row r="1372" spans="1:5" hidden="1" x14ac:dyDescent="0.25">
      <c r="A1372">
        <v>34</v>
      </c>
      <c r="B1372">
        <v>7</v>
      </c>
      <c r="C1372" t="s">
        <v>34</v>
      </c>
      <c r="D1372" t="s">
        <v>6</v>
      </c>
      <c r="E1372">
        <f t="shared" ca="1" si="21"/>
        <v>2547091081.3638129</v>
      </c>
    </row>
    <row r="1373" spans="1:5" hidden="1" x14ac:dyDescent="0.25">
      <c r="A1373">
        <v>34</v>
      </c>
      <c r="B1373">
        <v>8</v>
      </c>
      <c r="C1373" t="s">
        <v>34</v>
      </c>
      <c r="D1373" t="s">
        <v>7</v>
      </c>
      <c r="E1373">
        <f t="shared" ca="1" si="21"/>
        <v>2105528707.8739491</v>
      </c>
    </row>
    <row r="1374" spans="1:5" hidden="1" x14ac:dyDescent="0.25">
      <c r="A1374">
        <v>34</v>
      </c>
      <c r="B1374">
        <v>9</v>
      </c>
      <c r="C1374" t="s">
        <v>34</v>
      </c>
      <c r="D1374" t="s">
        <v>148</v>
      </c>
      <c r="E1374">
        <f t="shared" ca="1" si="21"/>
        <v>2369414980.7011213</v>
      </c>
    </row>
    <row r="1375" spans="1:5" hidden="1" x14ac:dyDescent="0.25">
      <c r="A1375">
        <v>34</v>
      </c>
      <c r="B1375">
        <v>10</v>
      </c>
      <c r="C1375" t="s">
        <v>34</v>
      </c>
      <c r="D1375" t="s">
        <v>9</v>
      </c>
      <c r="E1375">
        <f t="shared" ca="1" si="21"/>
        <v>2613659082.1952415</v>
      </c>
    </row>
    <row r="1376" spans="1:5" hidden="1" x14ac:dyDescent="0.25">
      <c r="A1376">
        <v>34</v>
      </c>
      <c r="B1376">
        <v>11</v>
      </c>
      <c r="C1376" t="s">
        <v>34</v>
      </c>
      <c r="D1376" t="s">
        <v>10</v>
      </c>
      <c r="E1376">
        <f t="shared" ca="1" si="21"/>
        <v>2520004803.2682776</v>
      </c>
    </row>
    <row r="1377" spans="1:5" hidden="1" x14ac:dyDescent="0.25">
      <c r="A1377">
        <v>34</v>
      </c>
      <c r="B1377">
        <v>12</v>
      </c>
      <c r="C1377" t="s">
        <v>34</v>
      </c>
      <c r="D1377" t="s">
        <v>11</v>
      </c>
      <c r="E1377">
        <f t="shared" ca="1" si="21"/>
        <v>2406093837.8732538</v>
      </c>
    </row>
    <row r="1378" spans="1:5" hidden="1" x14ac:dyDescent="0.25">
      <c r="A1378">
        <v>34</v>
      </c>
      <c r="B1378">
        <v>13</v>
      </c>
      <c r="C1378" t="s">
        <v>34</v>
      </c>
      <c r="D1378" t="s">
        <v>12</v>
      </c>
      <c r="E1378">
        <f t="shared" ca="1" si="21"/>
        <v>2113811992.4750245</v>
      </c>
    </row>
    <row r="1379" spans="1:5" hidden="1" x14ac:dyDescent="0.25">
      <c r="A1379">
        <v>34</v>
      </c>
      <c r="B1379">
        <v>14</v>
      </c>
      <c r="C1379" t="s">
        <v>34</v>
      </c>
      <c r="D1379" t="s">
        <v>13</v>
      </c>
      <c r="E1379">
        <f t="shared" ca="1" si="21"/>
        <v>2153934867.8670244</v>
      </c>
    </row>
    <row r="1380" spans="1:5" hidden="1" x14ac:dyDescent="0.25">
      <c r="A1380">
        <v>34</v>
      </c>
      <c r="B1380">
        <v>15</v>
      </c>
      <c r="C1380" t="s">
        <v>34</v>
      </c>
      <c r="D1380" t="s">
        <v>14</v>
      </c>
      <c r="E1380">
        <f t="shared" ca="1" si="21"/>
        <v>2417526712.506907</v>
      </c>
    </row>
    <row r="1381" spans="1:5" hidden="1" x14ac:dyDescent="0.25">
      <c r="A1381">
        <v>34</v>
      </c>
      <c r="B1381">
        <v>16</v>
      </c>
      <c r="C1381" t="s">
        <v>34</v>
      </c>
      <c r="D1381" t="s">
        <v>15</v>
      </c>
      <c r="E1381">
        <f t="shared" ref="E1381:E1442" ca="1" si="22">OFFSET($B$2,A1381,B1381)</f>
        <v>2184113292.0545859</v>
      </c>
    </row>
    <row r="1382" spans="1:5" hidden="1" x14ac:dyDescent="0.25">
      <c r="A1382">
        <v>34</v>
      </c>
      <c r="B1382">
        <v>17</v>
      </c>
      <c r="C1382" t="s">
        <v>34</v>
      </c>
      <c r="D1382" t="s">
        <v>16</v>
      </c>
      <c r="E1382">
        <f t="shared" ca="1" si="22"/>
        <v>3106435401.0339079</v>
      </c>
    </row>
    <row r="1383" spans="1:5" hidden="1" x14ac:dyDescent="0.25">
      <c r="A1383">
        <v>34</v>
      </c>
      <c r="B1383">
        <v>18</v>
      </c>
      <c r="C1383" t="s">
        <v>34</v>
      </c>
      <c r="D1383" t="s">
        <v>17</v>
      </c>
      <c r="E1383">
        <f t="shared" ca="1" si="22"/>
        <v>2177526284.9625859</v>
      </c>
    </row>
    <row r="1384" spans="1:5" hidden="1" x14ac:dyDescent="0.25">
      <c r="A1384">
        <v>34</v>
      </c>
      <c r="B1384">
        <v>19</v>
      </c>
      <c r="C1384" t="s">
        <v>34</v>
      </c>
      <c r="D1384" t="s">
        <v>18</v>
      </c>
      <c r="E1384">
        <f t="shared" ca="1" si="22"/>
        <v>2819178367.5455155</v>
      </c>
    </row>
    <row r="1385" spans="1:5" hidden="1" x14ac:dyDescent="0.25">
      <c r="A1385">
        <v>34</v>
      </c>
      <c r="B1385">
        <v>20</v>
      </c>
      <c r="C1385" t="s">
        <v>34</v>
      </c>
      <c r="D1385" t="s">
        <v>19</v>
      </c>
      <c r="E1385">
        <f t="shared" ca="1" si="22"/>
        <v>2389670740.3799367</v>
      </c>
    </row>
    <row r="1386" spans="1:5" hidden="1" x14ac:dyDescent="0.25">
      <c r="A1386">
        <v>34</v>
      </c>
      <c r="B1386">
        <v>21</v>
      </c>
      <c r="C1386" t="s">
        <v>34</v>
      </c>
      <c r="D1386" t="s">
        <v>20</v>
      </c>
      <c r="E1386">
        <f t="shared" ca="1" si="22"/>
        <v>2443862310.0554104</v>
      </c>
    </row>
    <row r="1387" spans="1:5" hidden="1" x14ac:dyDescent="0.25">
      <c r="A1387">
        <v>34</v>
      </c>
      <c r="B1387">
        <v>22</v>
      </c>
      <c r="C1387" t="s">
        <v>34</v>
      </c>
      <c r="D1387" t="s">
        <v>21</v>
      </c>
      <c r="E1387">
        <f t="shared" ca="1" si="22"/>
        <v>3518356268.3963938</v>
      </c>
    </row>
    <row r="1388" spans="1:5" hidden="1" x14ac:dyDescent="0.25">
      <c r="A1388">
        <v>34</v>
      </c>
      <c r="B1388">
        <v>23</v>
      </c>
      <c r="C1388" t="s">
        <v>34</v>
      </c>
      <c r="D1388" t="s">
        <v>22</v>
      </c>
      <c r="E1388">
        <f t="shared" ca="1" si="22"/>
        <v>2276710335.1577268</v>
      </c>
    </row>
    <row r="1389" spans="1:5" hidden="1" x14ac:dyDescent="0.25">
      <c r="A1389">
        <v>34</v>
      </c>
      <c r="B1389">
        <v>24</v>
      </c>
      <c r="C1389" t="s">
        <v>34</v>
      </c>
      <c r="D1389" t="s">
        <v>23</v>
      </c>
      <c r="E1389">
        <f t="shared" ca="1" si="22"/>
        <v>2306130427.1977267</v>
      </c>
    </row>
    <row r="1390" spans="1:5" hidden="1" x14ac:dyDescent="0.25">
      <c r="A1390">
        <v>34</v>
      </c>
      <c r="B1390">
        <v>25</v>
      </c>
      <c r="C1390" t="s">
        <v>34</v>
      </c>
      <c r="D1390" t="s">
        <v>24</v>
      </c>
      <c r="E1390">
        <f t="shared" ca="1" si="22"/>
        <v>2281612461.0577269</v>
      </c>
    </row>
    <row r="1391" spans="1:5" hidden="1" x14ac:dyDescent="0.25">
      <c r="A1391">
        <v>34</v>
      </c>
      <c r="B1391">
        <v>26</v>
      </c>
      <c r="C1391" t="s">
        <v>34</v>
      </c>
      <c r="D1391" t="s">
        <v>25</v>
      </c>
      <c r="E1391">
        <f t="shared" ca="1" si="22"/>
        <v>2320332255.1469069</v>
      </c>
    </row>
    <row r="1392" spans="1:5" hidden="1" x14ac:dyDescent="0.25">
      <c r="A1392">
        <v>34</v>
      </c>
      <c r="B1392">
        <v>27</v>
      </c>
      <c r="C1392" t="s">
        <v>34</v>
      </c>
      <c r="D1392" t="s">
        <v>145</v>
      </c>
      <c r="E1392">
        <f t="shared" ca="1" si="22"/>
        <v>2281169410.9919372</v>
      </c>
    </row>
    <row r="1393" spans="1:5" hidden="1" x14ac:dyDescent="0.25">
      <c r="A1393">
        <v>34</v>
      </c>
      <c r="B1393">
        <v>28</v>
      </c>
      <c r="C1393" t="s">
        <v>34</v>
      </c>
      <c r="D1393" t="s">
        <v>147</v>
      </c>
      <c r="E1393">
        <f t="shared" ca="1" si="22"/>
        <v>3439886076.604394</v>
      </c>
    </row>
    <row r="1394" spans="1:5" hidden="1" x14ac:dyDescent="0.25">
      <c r="A1394">
        <v>34</v>
      </c>
      <c r="B1394">
        <v>29</v>
      </c>
      <c r="C1394" t="s">
        <v>34</v>
      </c>
      <c r="D1394" t="s">
        <v>146</v>
      </c>
      <c r="E1394">
        <f t="shared" ca="1" si="22"/>
        <v>2279144499.7977266</v>
      </c>
    </row>
    <row r="1395" spans="1:5" hidden="1" x14ac:dyDescent="0.25">
      <c r="A1395">
        <v>34</v>
      </c>
      <c r="B1395">
        <v>30</v>
      </c>
      <c r="C1395" t="s">
        <v>34</v>
      </c>
      <c r="D1395" t="s">
        <v>30</v>
      </c>
      <c r="E1395">
        <f t="shared" ca="1" si="22"/>
        <v>2370168838.5590916</v>
      </c>
    </row>
    <row r="1396" spans="1:5" hidden="1" x14ac:dyDescent="0.25">
      <c r="A1396">
        <v>34</v>
      </c>
      <c r="B1396">
        <v>31</v>
      </c>
      <c r="C1396" t="s">
        <v>34</v>
      </c>
      <c r="D1396" t="s">
        <v>31</v>
      </c>
      <c r="E1396">
        <f t="shared" ca="1" si="22"/>
        <v>2683260579.2938104</v>
      </c>
    </row>
    <row r="1397" spans="1:5" hidden="1" x14ac:dyDescent="0.25">
      <c r="A1397">
        <v>34</v>
      </c>
      <c r="B1397">
        <v>32</v>
      </c>
      <c r="C1397" t="s">
        <v>34</v>
      </c>
      <c r="D1397" t="s">
        <v>32</v>
      </c>
      <c r="E1397">
        <f t="shared" ca="1" si="22"/>
        <v>1755500182.3898108</v>
      </c>
    </row>
    <row r="1398" spans="1:5" hidden="1" x14ac:dyDescent="0.25">
      <c r="A1398">
        <v>34</v>
      </c>
      <c r="B1398">
        <v>33</v>
      </c>
      <c r="C1398" t="s">
        <v>34</v>
      </c>
      <c r="D1398" t="s">
        <v>33</v>
      </c>
      <c r="E1398">
        <f t="shared" ca="1" si="22"/>
        <v>0</v>
      </c>
    </row>
    <row r="1399" spans="1:5" hidden="1" x14ac:dyDescent="0.25">
      <c r="A1399">
        <v>34</v>
      </c>
      <c r="B1399">
        <v>34</v>
      </c>
      <c r="C1399" t="s">
        <v>34</v>
      </c>
      <c r="D1399" t="s">
        <v>34</v>
      </c>
      <c r="E1399">
        <f t="shared" ca="1" si="22"/>
        <v>0</v>
      </c>
    </row>
    <row r="1400" spans="1:5" hidden="1" x14ac:dyDescent="0.25">
      <c r="A1400">
        <v>34</v>
      </c>
      <c r="B1400">
        <v>35</v>
      </c>
      <c r="C1400" t="s">
        <v>34</v>
      </c>
      <c r="D1400" t="s">
        <v>35</v>
      </c>
      <c r="E1400">
        <f t="shared" ca="1" si="22"/>
        <v>2409110005.1451216</v>
      </c>
    </row>
    <row r="1401" spans="1:5" hidden="1" x14ac:dyDescent="0.25">
      <c r="A1401">
        <v>34</v>
      </c>
      <c r="B1401">
        <v>36</v>
      </c>
      <c r="C1401" t="s">
        <v>34</v>
      </c>
      <c r="D1401" t="s">
        <v>36</v>
      </c>
      <c r="E1401">
        <f t="shared" ca="1" si="22"/>
        <v>991362533.89324892</v>
      </c>
    </row>
    <row r="1402" spans="1:5" hidden="1" x14ac:dyDescent="0.25">
      <c r="A1402">
        <v>34</v>
      </c>
      <c r="B1402">
        <v>37</v>
      </c>
      <c r="C1402" t="s">
        <v>34</v>
      </c>
      <c r="D1402" t="s">
        <v>37</v>
      </c>
      <c r="E1402">
        <f t="shared" ca="1" si="22"/>
        <v>1049027983.4460654</v>
      </c>
    </row>
    <row r="1403" spans="1:5" hidden="1" x14ac:dyDescent="0.25">
      <c r="A1403">
        <v>34</v>
      </c>
      <c r="B1403">
        <v>38</v>
      </c>
      <c r="C1403" t="s">
        <v>34</v>
      </c>
      <c r="D1403" t="s">
        <v>38</v>
      </c>
      <c r="E1403">
        <f t="shared" ca="1" si="22"/>
        <v>938704196.21324885</v>
      </c>
    </row>
    <row r="1404" spans="1:5" hidden="1" x14ac:dyDescent="0.25">
      <c r="A1404">
        <v>34</v>
      </c>
      <c r="B1404">
        <v>39</v>
      </c>
      <c r="C1404" t="s">
        <v>34</v>
      </c>
      <c r="D1404" t="s">
        <v>39</v>
      </c>
      <c r="E1404">
        <f t="shared" ca="1" si="22"/>
        <v>1052076246.2883762</v>
      </c>
    </row>
    <row r="1405" spans="1:5" hidden="1" x14ac:dyDescent="0.25">
      <c r="A1405">
        <v>34</v>
      </c>
      <c r="B1405">
        <v>40</v>
      </c>
      <c r="C1405" t="s">
        <v>34</v>
      </c>
      <c r="D1405" t="s">
        <v>40</v>
      </c>
      <c r="E1405">
        <f t="shared" ca="1" si="22"/>
        <v>1205994200.4060655</v>
      </c>
    </row>
    <row r="1406" spans="1:5" hidden="1" x14ac:dyDescent="0.25">
      <c r="A1406">
        <v>35</v>
      </c>
      <c r="B1406">
        <v>1</v>
      </c>
      <c r="C1406" t="s">
        <v>35</v>
      </c>
      <c r="D1406" t="s">
        <v>0</v>
      </c>
      <c r="E1406">
        <f t="shared" ca="1" si="22"/>
        <v>0</v>
      </c>
    </row>
    <row r="1407" spans="1:5" hidden="1" x14ac:dyDescent="0.25">
      <c r="A1407">
        <v>35</v>
      </c>
      <c r="B1407">
        <v>2</v>
      </c>
      <c r="C1407" t="s">
        <v>35</v>
      </c>
      <c r="D1407" t="s">
        <v>1</v>
      </c>
      <c r="E1407">
        <f t="shared" ca="1" si="22"/>
        <v>0</v>
      </c>
    </row>
    <row r="1408" spans="1:5" hidden="1" x14ac:dyDescent="0.25">
      <c r="A1408">
        <v>35</v>
      </c>
      <c r="B1408">
        <v>3</v>
      </c>
      <c r="C1408" t="s">
        <v>35</v>
      </c>
      <c r="D1408" t="s">
        <v>2</v>
      </c>
      <c r="E1408">
        <f t="shared" ca="1" si="22"/>
        <v>0</v>
      </c>
    </row>
    <row r="1409" spans="1:5" hidden="1" x14ac:dyDescent="0.25">
      <c r="A1409">
        <v>35</v>
      </c>
      <c r="B1409">
        <v>4</v>
      </c>
      <c r="C1409" t="s">
        <v>35</v>
      </c>
      <c r="D1409" t="s">
        <v>3</v>
      </c>
      <c r="E1409">
        <f t="shared" ca="1" si="22"/>
        <v>850236633.75889587</v>
      </c>
    </row>
    <row r="1410" spans="1:5" hidden="1" x14ac:dyDescent="0.25">
      <c r="A1410">
        <v>35</v>
      </c>
      <c r="B1410">
        <v>5</v>
      </c>
      <c r="C1410" t="s">
        <v>35</v>
      </c>
      <c r="D1410" t="s">
        <v>4</v>
      </c>
      <c r="E1410">
        <f t="shared" ca="1" si="22"/>
        <v>784741722.55394709</v>
      </c>
    </row>
    <row r="1411" spans="1:5" hidden="1" x14ac:dyDescent="0.25">
      <c r="A1411">
        <v>35</v>
      </c>
      <c r="B1411">
        <v>6</v>
      </c>
      <c r="C1411" t="s">
        <v>35</v>
      </c>
      <c r="D1411" t="s">
        <v>5</v>
      </c>
      <c r="E1411">
        <f t="shared" ca="1" si="22"/>
        <v>904198496.31680417</v>
      </c>
    </row>
    <row r="1412" spans="1:5" hidden="1" x14ac:dyDescent="0.25">
      <c r="A1412">
        <v>35</v>
      </c>
      <c r="B1412">
        <v>7</v>
      </c>
      <c r="C1412" t="s">
        <v>35</v>
      </c>
      <c r="D1412" t="s">
        <v>6</v>
      </c>
      <c r="E1412">
        <f t="shared" ca="1" si="22"/>
        <v>765509498.78251851</v>
      </c>
    </row>
    <row r="1413" spans="1:5" hidden="1" x14ac:dyDescent="0.25">
      <c r="A1413">
        <v>35</v>
      </c>
      <c r="B1413">
        <v>8</v>
      </c>
      <c r="C1413" t="s">
        <v>35</v>
      </c>
      <c r="D1413" t="s">
        <v>7</v>
      </c>
      <c r="E1413">
        <f t="shared" ca="1" si="22"/>
        <v>767300446.30232441</v>
      </c>
    </row>
    <row r="1414" spans="1:5" hidden="1" x14ac:dyDescent="0.25">
      <c r="A1414">
        <v>35</v>
      </c>
      <c r="B1414">
        <v>9</v>
      </c>
      <c r="C1414" t="s">
        <v>35</v>
      </c>
      <c r="D1414" t="s">
        <v>148</v>
      </c>
      <c r="E1414">
        <f t="shared" ca="1" si="22"/>
        <v>0</v>
      </c>
    </row>
    <row r="1415" spans="1:5" hidden="1" x14ac:dyDescent="0.25">
      <c r="A1415">
        <v>35</v>
      </c>
      <c r="B1415">
        <v>10</v>
      </c>
      <c r="C1415" t="s">
        <v>35</v>
      </c>
      <c r="D1415" t="s">
        <v>9</v>
      </c>
      <c r="E1415">
        <f t="shared" ca="1" si="22"/>
        <v>832077499.61394703</v>
      </c>
    </row>
    <row r="1416" spans="1:5" hidden="1" x14ac:dyDescent="0.25">
      <c r="A1416">
        <v>35</v>
      </c>
      <c r="B1416">
        <v>11</v>
      </c>
      <c r="C1416" t="s">
        <v>35</v>
      </c>
      <c r="D1416" t="s">
        <v>10</v>
      </c>
      <c r="E1416">
        <f t="shared" ca="1" si="22"/>
        <v>651310725.93189621</v>
      </c>
    </row>
    <row r="1417" spans="1:5" hidden="1" x14ac:dyDescent="0.25">
      <c r="A1417">
        <v>35</v>
      </c>
      <c r="B1417">
        <v>12</v>
      </c>
      <c r="C1417" t="s">
        <v>35</v>
      </c>
      <c r="D1417" t="s">
        <v>11</v>
      </c>
      <c r="E1417">
        <f t="shared" ca="1" si="22"/>
        <v>597418461.76443493</v>
      </c>
    </row>
    <row r="1418" spans="1:5" hidden="1" x14ac:dyDescent="0.25">
      <c r="A1418">
        <v>35</v>
      </c>
      <c r="B1418">
        <v>13</v>
      </c>
      <c r="C1418" t="s">
        <v>35</v>
      </c>
      <c r="D1418" t="s">
        <v>12</v>
      </c>
      <c r="E1418">
        <f t="shared" ca="1" si="22"/>
        <v>408543339.22708696</v>
      </c>
    </row>
    <row r="1419" spans="1:5" hidden="1" x14ac:dyDescent="0.25">
      <c r="A1419">
        <v>35</v>
      </c>
      <c r="B1419">
        <v>14</v>
      </c>
      <c r="C1419" t="s">
        <v>35</v>
      </c>
      <c r="D1419" t="s">
        <v>13</v>
      </c>
      <c r="E1419">
        <f t="shared" ca="1" si="22"/>
        <v>448666214.61908698</v>
      </c>
    </row>
    <row r="1420" spans="1:5" hidden="1" x14ac:dyDescent="0.25">
      <c r="A1420">
        <v>35</v>
      </c>
      <c r="B1420">
        <v>15</v>
      </c>
      <c r="C1420" t="s">
        <v>35</v>
      </c>
      <c r="D1420" t="s">
        <v>14</v>
      </c>
      <c r="E1420">
        <f t="shared" ca="1" si="22"/>
        <v>437159265.07130092</v>
      </c>
    </row>
    <row r="1421" spans="1:5" hidden="1" x14ac:dyDescent="0.25">
      <c r="A1421">
        <v>35</v>
      </c>
      <c r="B1421">
        <v>16</v>
      </c>
      <c r="C1421" t="s">
        <v>35</v>
      </c>
      <c r="D1421" t="s">
        <v>15</v>
      </c>
      <c r="E1421">
        <f t="shared" ca="1" si="22"/>
        <v>446158941.40542221</v>
      </c>
    </row>
    <row r="1422" spans="1:5" hidden="1" x14ac:dyDescent="0.25">
      <c r="A1422">
        <v>35</v>
      </c>
      <c r="B1422">
        <v>17</v>
      </c>
      <c r="C1422" t="s">
        <v>35</v>
      </c>
      <c r="D1422" t="s">
        <v>16</v>
      </c>
      <c r="E1422">
        <f t="shared" ca="1" si="22"/>
        <v>1133379239.6302609</v>
      </c>
    </row>
    <row r="1423" spans="1:5" hidden="1" x14ac:dyDescent="0.25">
      <c r="A1423">
        <v>35</v>
      </c>
      <c r="B1423">
        <v>18</v>
      </c>
      <c r="C1423" t="s">
        <v>35</v>
      </c>
      <c r="D1423" t="s">
        <v>17</v>
      </c>
      <c r="E1423">
        <f t="shared" ca="1" si="22"/>
        <v>439571934.31342226</v>
      </c>
    </row>
    <row r="1424" spans="1:5" hidden="1" x14ac:dyDescent="0.25">
      <c r="A1424">
        <v>35</v>
      </c>
      <c r="B1424">
        <v>19</v>
      </c>
      <c r="C1424" t="s">
        <v>35</v>
      </c>
      <c r="D1424" t="s">
        <v>18</v>
      </c>
      <c r="E1424">
        <f t="shared" ca="1" si="22"/>
        <v>766200502.59505224</v>
      </c>
    </row>
    <row r="1425" spans="1:5" hidden="1" x14ac:dyDescent="0.25">
      <c r="A1425">
        <v>35</v>
      </c>
      <c r="B1425">
        <v>20</v>
      </c>
      <c r="C1425" t="s">
        <v>35</v>
      </c>
      <c r="D1425" t="s">
        <v>19</v>
      </c>
      <c r="E1425">
        <f t="shared" ca="1" si="22"/>
        <v>753535741.15243137</v>
      </c>
    </row>
    <row r="1426" spans="1:5" hidden="1" x14ac:dyDescent="0.25">
      <c r="A1426">
        <v>35</v>
      </c>
      <c r="B1426">
        <v>21</v>
      </c>
      <c r="C1426" t="s">
        <v>35</v>
      </c>
      <c r="D1426" t="s">
        <v>20</v>
      </c>
      <c r="E1426">
        <f t="shared" ca="1" si="22"/>
        <v>413808167.2626276</v>
      </c>
    </row>
    <row r="1427" spans="1:5" hidden="1" x14ac:dyDescent="0.25">
      <c r="A1427">
        <v>35</v>
      </c>
      <c r="B1427">
        <v>22</v>
      </c>
      <c r="C1427" t="s">
        <v>35</v>
      </c>
      <c r="D1427" t="s">
        <v>21</v>
      </c>
      <c r="E1427">
        <f t="shared" ca="1" si="22"/>
        <v>4352595582.0780735</v>
      </c>
    </row>
    <row r="1428" spans="1:5" hidden="1" x14ac:dyDescent="0.25">
      <c r="A1428">
        <v>35</v>
      </c>
      <c r="B1428">
        <v>23</v>
      </c>
      <c r="C1428" t="s">
        <v>35</v>
      </c>
      <c r="D1428" t="s">
        <v>22</v>
      </c>
      <c r="E1428">
        <f t="shared" ca="1" si="22"/>
        <v>448103960.70211166</v>
      </c>
    </row>
    <row r="1429" spans="1:5" hidden="1" x14ac:dyDescent="0.25">
      <c r="A1429">
        <v>35</v>
      </c>
      <c r="B1429">
        <v>24</v>
      </c>
      <c r="C1429" t="s">
        <v>35</v>
      </c>
      <c r="D1429" t="s">
        <v>23</v>
      </c>
      <c r="E1429">
        <f t="shared" ca="1" si="22"/>
        <v>477524052.74211168</v>
      </c>
    </row>
    <row r="1430" spans="1:5" hidden="1" x14ac:dyDescent="0.25">
      <c r="A1430">
        <v>35</v>
      </c>
      <c r="B1430">
        <v>25</v>
      </c>
      <c r="C1430" t="s">
        <v>35</v>
      </c>
      <c r="D1430" t="s">
        <v>24</v>
      </c>
      <c r="E1430">
        <f t="shared" ca="1" si="22"/>
        <v>453006086.60211164</v>
      </c>
    </row>
    <row r="1431" spans="1:5" hidden="1" x14ac:dyDescent="0.25">
      <c r="A1431">
        <v>35</v>
      </c>
      <c r="B1431">
        <v>26</v>
      </c>
      <c r="C1431" t="s">
        <v>35</v>
      </c>
      <c r="D1431" t="s">
        <v>25</v>
      </c>
      <c r="E1431">
        <f t="shared" ca="1" si="22"/>
        <v>339964807.71130097</v>
      </c>
    </row>
    <row r="1432" spans="1:5" hidden="1" x14ac:dyDescent="0.25">
      <c r="A1432">
        <v>35</v>
      </c>
      <c r="B1432">
        <v>27</v>
      </c>
      <c r="C1432" t="s">
        <v>35</v>
      </c>
      <c r="D1432" t="s">
        <v>145</v>
      </c>
      <c r="E1432">
        <f t="shared" ca="1" si="22"/>
        <v>645034411.76443136</v>
      </c>
    </row>
    <row r="1433" spans="1:5" hidden="1" x14ac:dyDescent="0.25">
      <c r="A1433">
        <v>35</v>
      </c>
      <c r="B1433">
        <v>28</v>
      </c>
      <c r="C1433" t="s">
        <v>35</v>
      </c>
      <c r="D1433" t="s">
        <v>147</v>
      </c>
      <c r="E1433">
        <f t="shared" ca="1" si="22"/>
        <v>4274125390.2860737</v>
      </c>
    </row>
    <row r="1434" spans="1:5" hidden="1" x14ac:dyDescent="0.25">
      <c r="A1434">
        <v>35</v>
      </c>
      <c r="B1434">
        <v>29</v>
      </c>
      <c r="C1434" t="s">
        <v>35</v>
      </c>
      <c r="D1434" t="s">
        <v>146</v>
      </c>
      <c r="E1434">
        <f t="shared" ca="1" si="22"/>
        <v>450538125.34211165</v>
      </c>
    </row>
    <row r="1435" spans="1:5" hidden="1" x14ac:dyDescent="0.25">
      <c r="A1435">
        <v>35</v>
      </c>
      <c r="B1435">
        <v>30</v>
      </c>
      <c r="C1435" t="s">
        <v>35</v>
      </c>
      <c r="D1435" t="s">
        <v>30</v>
      </c>
      <c r="E1435">
        <f t="shared" ca="1" si="22"/>
        <v>1031940576.9874672</v>
      </c>
    </row>
    <row r="1436" spans="1:5" hidden="1" x14ac:dyDescent="0.25">
      <c r="A1436">
        <v>35</v>
      </c>
      <c r="B1436">
        <v>31</v>
      </c>
      <c r="C1436" t="s">
        <v>35</v>
      </c>
      <c r="D1436" t="s">
        <v>31</v>
      </c>
      <c r="E1436">
        <f t="shared" ca="1" si="22"/>
        <v>1289456249.2158649</v>
      </c>
    </row>
    <row r="1437" spans="1:5" hidden="1" x14ac:dyDescent="0.25">
      <c r="A1437">
        <v>35</v>
      </c>
      <c r="B1437">
        <v>32</v>
      </c>
      <c r="C1437" t="s">
        <v>35</v>
      </c>
      <c r="D1437" t="s">
        <v>32</v>
      </c>
      <c r="E1437">
        <f t="shared" ca="1" si="22"/>
        <v>361695852.31186479</v>
      </c>
    </row>
    <row r="1438" spans="1:5" hidden="1" x14ac:dyDescent="0.25">
      <c r="A1438">
        <v>35</v>
      </c>
      <c r="B1438">
        <v>33</v>
      </c>
      <c r="C1438" t="s">
        <v>35</v>
      </c>
      <c r="D1438" t="s">
        <v>33</v>
      </c>
      <c r="E1438">
        <f t="shared" ca="1" si="22"/>
        <v>2216626453.0011215</v>
      </c>
    </row>
    <row r="1439" spans="1:5" hidden="1" x14ac:dyDescent="0.25">
      <c r="A1439">
        <v>35</v>
      </c>
      <c r="B1439">
        <v>34</v>
      </c>
      <c r="C1439" t="s">
        <v>35</v>
      </c>
      <c r="D1439" t="s">
        <v>34</v>
      </c>
      <c r="E1439">
        <f t="shared" ca="1" si="22"/>
        <v>2409110005.1451216</v>
      </c>
    </row>
    <row r="1440" spans="1:5" hidden="1" x14ac:dyDescent="0.25">
      <c r="A1440">
        <v>35</v>
      </c>
      <c r="B1440">
        <v>35</v>
      </c>
      <c r="C1440" t="s">
        <v>35</v>
      </c>
      <c r="D1440" t="s">
        <v>35</v>
      </c>
      <c r="E1440">
        <f t="shared" ca="1" si="22"/>
        <v>0</v>
      </c>
    </row>
    <row r="1441" spans="1:5" hidden="1" x14ac:dyDescent="0.25">
      <c r="A1441">
        <v>35</v>
      </c>
      <c r="B1441">
        <v>36</v>
      </c>
      <c r="C1441" t="s">
        <v>35</v>
      </c>
      <c r="D1441" t="s">
        <v>36</v>
      </c>
      <c r="E1441">
        <f t="shared" ca="1" si="22"/>
        <v>512076152.46710157</v>
      </c>
    </row>
    <row r="1442" spans="1:5" hidden="1" x14ac:dyDescent="0.25">
      <c r="A1442">
        <v>35</v>
      </c>
      <c r="B1442">
        <v>37</v>
      </c>
      <c r="C1442" t="s">
        <v>35</v>
      </c>
      <c r="D1442" t="s">
        <v>37</v>
      </c>
      <c r="E1442">
        <f t="shared" ca="1" si="22"/>
        <v>467747357.54117262</v>
      </c>
    </row>
    <row r="1443" spans="1:5" hidden="1" x14ac:dyDescent="0.25">
      <c r="A1443">
        <v>35</v>
      </c>
      <c r="B1443">
        <v>38</v>
      </c>
      <c r="C1443" t="s">
        <v>35</v>
      </c>
      <c r="D1443" t="s">
        <v>38</v>
      </c>
      <c r="E1443">
        <f t="shared" ref="E1443:E1505" ca="1" si="23">OFFSET($B$2,A1443,B1443)</f>
        <v>459417814.78710157</v>
      </c>
    </row>
    <row r="1444" spans="1:5" hidden="1" x14ac:dyDescent="0.25">
      <c r="A1444">
        <v>35</v>
      </c>
      <c r="B1444">
        <v>39</v>
      </c>
      <c r="C1444" t="s">
        <v>35</v>
      </c>
      <c r="D1444" t="s">
        <v>39</v>
      </c>
      <c r="E1444">
        <f t="shared" ca="1" si="23"/>
        <v>582107673.49283338</v>
      </c>
    </row>
    <row r="1445" spans="1:5" hidden="1" x14ac:dyDescent="0.25">
      <c r="A1445">
        <v>35</v>
      </c>
      <c r="B1445">
        <v>40</v>
      </c>
      <c r="C1445" t="s">
        <v>35</v>
      </c>
      <c r="D1445" t="s">
        <v>40</v>
      </c>
      <c r="E1445">
        <f t="shared" ca="1" si="23"/>
        <v>624713574.50117266</v>
      </c>
    </row>
    <row r="1446" spans="1:5" hidden="1" x14ac:dyDescent="0.25">
      <c r="A1446">
        <v>36</v>
      </c>
      <c r="B1446">
        <v>1</v>
      </c>
      <c r="C1446" t="s">
        <v>36</v>
      </c>
      <c r="D1446" t="s">
        <v>0</v>
      </c>
      <c r="E1446">
        <f t="shared" ca="1" si="23"/>
        <v>657805451.12453008</v>
      </c>
    </row>
    <row r="1447" spans="1:5" hidden="1" x14ac:dyDescent="0.25">
      <c r="A1447">
        <v>36</v>
      </c>
      <c r="B1447">
        <v>2</v>
      </c>
      <c r="C1447" t="s">
        <v>36</v>
      </c>
      <c r="D1447" t="s">
        <v>1</v>
      </c>
      <c r="E1447">
        <f t="shared" ca="1" si="23"/>
        <v>534273982.56310159</v>
      </c>
    </row>
    <row r="1448" spans="1:5" hidden="1" x14ac:dyDescent="0.25">
      <c r="A1448">
        <v>36</v>
      </c>
      <c r="B1448">
        <v>3</v>
      </c>
      <c r="C1448" t="s">
        <v>36</v>
      </c>
      <c r="D1448" t="s">
        <v>2</v>
      </c>
      <c r="E1448">
        <f t="shared" ca="1" si="23"/>
        <v>632711690.55923593</v>
      </c>
    </row>
    <row r="1449" spans="1:5" hidden="1" x14ac:dyDescent="0.25">
      <c r="A1449">
        <v>36</v>
      </c>
      <c r="B1449">
        <v>4</v>
      </c>
      <c r="C1449" t="s">
        <v>36</v>
      </c>
      <c r="D1449" t="s">
        <v>3</v>
      </c>
      <c r="E1449">
        <f t="shared" ca="1" si="23"/>
        <v>409163525.0713802</v>
      </c>
    </row>
    <row r="1450" spans="1:5" hidden="1" x14ac:dyDescent="0.25">
      <c r="A1450">
        <v>36</v>
      </c>
      <c r="B1450">
        <v>5</v>
      </c>
      <c r="C1450" t="s">
        <v>36</v>
      </c>
      <c r="D1450" t="s">
        <v>4</v>
      </c>
      <c r="E1450">
        <f t="shared" ca="1" si="23"/>
        <v>424627234.21190143</v>
      </c>
    </row>
    <row r="1451" spans="1:5" hidden="1" x14ac:dyDescent="0.25">
      <c r="A1451">
        <v>36</v>
      </c>
      <c r="B1451">
        <v>6</v>
      </c>
      <c r="C1451" t="s">
        <v>36</v>
      </c>
      <c r="D1451" t="s">
        <v>5</v>
      </c>
      <c r="E1451">
        <f t="shared" ca="1" si="23"/>
        <v>544084007.97475851</v>
      </c>
    </row>
    <row r="1452" spans="1:5" hidden="1" x14ac:dyDescent="0.25">
      <c r="A1452">
        <v>36</v>
      </c>
      <c r="B1452">
        <v>7</v>
      </c>
      <c r="C1452" t="s">
        <v>36</v>
      </c>
      <c r="D1452" t="s">
        <v>6</v>
      </c>
      <c r="E1452">
        <f t="shared" ca="1" si="23"/>
        <v>405395010.44047284</v>
      </c>
    </row>
    <row r="1453" spans="1:5" hidden="1" x14ac:dyDescent="0.25">
      <c r="A1453">
        <v>36</v>
      </c>
      <c r="B1453">
        <v>8</v>
      </c>
      <c r="C1453" t="s">
        <v>36</v>
      </c>
      <c r="D1453" t="s">
        <v>7</v>
      </c>
      <c r="E1453">
        <f t="shared" ca="1" si="23"/>
        <v>326227337.61480874</v>
      </c>
    </row>
    <row r="1454" spans="1:5" hidden="1" x14ac:dyDescent="0.25">
      <c r="A1454">
        <v>36</v>
      </c>
      <c r="B1454">
        <v>9</v>
      </c>
      <c r="C1454" t="s">
        <v>36</v>
      </c>
      <c r="D1454" t="s">
        <v>148</v>
      </c>
      <c r="E1454">
        <f t="shared" ca="1" si="23"/>
        <v>525144824.86310154</v>
      </c>
    </row>
    <row r="1455" spans="1:5" hidden="1" x14ac:dyDescent="0.25">
      <c r="A1455">
        <v>36</v>
      </c>
      <c r="B1455">
        <v>10</v>
      </c>
      <c r="C1455" t="s">
        <v>36</v>
      </c>
      <c r="D1455" t="s">
        <v>9</v>
      </c>
      <c r="E1455">
        <f t="shared" ca="1" si="23"/>
        <v>471963011.27190143</v>
      </c>
    </row>
    <row r="1456" spans="1:5" hidden="1" x14ac:dyDescent="0.25">
      <c r="A1456">
        <v>36</v>
      </c>
      <c r="B1456">
        <v>11</v>
      </c>
      <c r="C1456" t="s">
        <v>36</v>
      </c>
      <c r="D1456" t="s">
        <v>10</v>
      </c>
      <c r="E1456">
        <f t="shared" ca="1" si="23"/>
        <v>141574974.02849257</v>
      </c>
    </row>
    <row r="1457" spans="1:5" hidden="1" x14ac:dyDescent="0.25">
      <c r="A1457">
        <v>36</v>
      </c>
      <c r="B1457">
        <v>12</v>
      </c>
      <c r="C1457" t="s">
        <v>36</v>
      </c>
      <c r="D1457" t="s">
        <v>11</v>
      </c>
      <c r="E1457">
        <f t="shared" ca="1" si="23"/>
        <v>243746663.817936</v>
      </c>
    </row>
    <row r="1458" spans="1:5" hidden="1" x14ac:dyDescent="0.25">
      <c r="A1458">
        <v>36</v>
      </c>
      <c r="B1458">
        <v>13</v>
      </c>
      <c r="C1458" t="s">
        <v>36</v>
      </c>
      <c r="D1458" t="s">
        <v>12</v>
      </c>
      <c r="E1458">
        <f t="shared" ca="1" si="23"/>
        <v>131851221.73526356</v>
      </c>
    </row>
    <row r="1459" spans="1:5" hidden="1" x14ac:dyDescent="0.25">
      <c r="A1459">
        <v>36</v>
      </c>
      <c r="B1459">
        <v>14</v>
      </c>
      <c r="C1459" t="s">
        <v>36</v>
      </c>
      <c r="D1459" t="s">
        <v>13</v>
      </c>
      <c r="E1459">
        <f t="shared" ca="1" si="23"/>
        <v>171974097.12726355</v>
      </c>
    </row>
    <row r="1460" spans="1:5" hidden="1" x14ac:dyDescent="0.25">
      <c r="A1460">
        <v>36</v>
      </c>
      <c r="B1460">
        <v>15</v>
      </c>
      <c r="C1460" t="s">
        <v>36</v>
      </c>
      <c r="D1460" t="s">
        <v>14</v>
      </c>
      <c r="E1460">
        <f t="shared" ca="1" si="23"/>
        <v>390986963.14406753</v>
      </c>
    </row>
    <row r="1461" spans="1:5" hidden="1" x14ac:dyDescent="0.25">
      <c r="A1461">
        <v>36</v>
      </c>
      <c r="B1461">
        <v>16</v>
      </c>
      <c r="C1461" t="s">
        <v>36</v>
      </c>
      <c r="D1461" t="s">
        <v>15</v>
      </c>
      <c r="E1461">
        <f t="shared" ca="1" si="23"/>
        <v>368885308.50296628</v>
      </c>
    </row>
    <row r="1462" spans="1:5" hidden="1" x14ac:dyDescent="0.25">
      <c r="A1462">
        <v>36</v>
      </c>
      <c r="B1462">
        <v>17</v>
      </c>
      <c r="C1462" t="s">
        <v>36</v>
      </c>
      <c r="D1462" t="s">
        <v>16</v>
      </c>
      <c r="E1462">
        <f t="shared" ca="1" si="23"/>
        <v>822338623.31363153</v>
      </c>
    </row>
    <row r="1463" spans="1:5" hidden="1" x14ac:dyDescent="0.25">
      <c r="A1463">
        <v>36</v>
      </c>
      <c r="B1463">
        <v>18</v>
      </c>
      <c r="C1463" t="s">
        <v>36</v>
      </c>
      <c r="D1463" t="s">
        <v>17</v>
      </c>
      <c r="E1463">
        <f t="shared" ca="1" si="23"/>
        <v>362298301.41096634</v>
      </c>
    </row>
    <row r="1464" spans="1:5" hidden="1" x14ac:dyDescent="0.25">
      <c r="A1464">
        <v>36</v>
      </c>
      <c r="B1464">
        <v>19</v>
      </c>
      <c r="C1464" t="s">
        <v>36</v>
      </c>
      <c r="D1464" t="s">
        <v>18</v>
      </c>
      <c r="E1464">
        <f t="shared" ca="1" si="23"/>
        <v>191012019.55714834</v>
      </c>
    </row>
    <row r="1465" spans="1:5" hidden="1" x14ac:dyDescent="0.25">
      <c r="A1465">
        <v>36</v>
      </c>
      <c r="B1465">
        <v>20</v>
      </c>
      <c r="C1465" t="s">
        <v>36</v>
      </c>
      <c r="D1465" t="s">
        <v>19</v>
      </c>
      <c r="E1465">
        <f t="shared" ca="1" si="23"/>
        <v>420211749.07125843</v>
      </c>
    </row>
    <row r="1466" spans="1:5" hidden="1" x14ac:dyDescent="0.25">
      <c r="A1466">
        <v>36</v>
      </c>
      <c r="B1466">
        <v>21</v>
      </c>
      <c r="C1466" t="s">
        <v>36</v>
      </c>
      <c r="D1466" t="s">
        <v>20</v>
      </c>
      <c r="E1466">
        <f t="shared" ca="1" si="23"/>
        <v>297494142.01950121</v>
      </c>
    </row>
    <row r="1467" spans="1:5" hidden="1" x14ac:dyDescent="0.25">
      <c r="A1467">
        <v>36</v>
      </c>
      <c r="B1467">
        <v>22</v>
      </c>
      <c r="C1467" t="s">
        <v>36</v>
      </c>
      <c r="D1467" t="s">
        <v>21</v>
      </c>
      <c r="E1467">
        <f t="shared" ca="1" si="23"/>
        <v>744476074.41087353</v>
      </c>
    </row>
    <row r="1468" spans="1:5" hidden="1" x14ac:dyDescent="0.25">
      <c r="A1468">
        <v>36</v>
      </c>
      <c r="B1468">
        <v>23</v>
      </c>
      <c r="C1468" t="s">
        <v>36</v>
      </c>
      <c r="D1468" t="s">
        <v>22</v>
      </c>
      <c r="E1468">
        <f t="shared" ca="1" si="23"/>
        <v>151434828.86104873</v>
      </c>
    </row>
    <row r="1469" spans="1:5" hidden="1" x14ac:dyDescent="0.25">
      <c r="A1469">
        <v>36</v>
      </c>
      <c r="B1469">
        <v>24</v>
      </c>
      <c r="C1469" t="s">
        <v>36</v>
      </c>
      <c r="D1469" t="s">
        <v>23</v>
      </c>
      <c r="E1469">
        <f t="shared" ca="1" si="23"/>
        <v>180854920.90104872</v>
      </c>
    </row>
    <row r="1470" spans="1:5" hidden="1" x14ac:dyDescent="0.25">
      <c r="A1470">
        <v>36</v>
      </c>
      <c r="B1470">
        <v>25</v>
      </c>
      <c r="C1470" t="s">
        <v>36</v>
      </c>
      <c r="D1470" t="s">
        <v>24</v>
      </c>
      <c r="E1470">
        <f t="shared" ca="1" si="23"/>
        <v>156336954.76104873</v>
      </c>
    </row>
    <row r="1471" spans="1:5" hidden="1" x14ac:dyDescent="0.25">
      <c r="A1471">
        <v>36</v>
      </c>
      <c r="B1471">
        <v>26</v>
      </c>
      <c r="C1471" t="s">
        <v>36</v>
      </c>
      <c r="D1471" t="s">
        <v>25</v>
      </c>
      <c r="E1471">
        <f t="shared" ca="1" si="23"/>
        <v>293792505.78406751</v>
      </c>
    </row>
    <row r="1472" spans="1:5" hidden="1" x14ac:dyDescent="0.25">
      <c r="A1472">
        <v>36</v>
      </c>
      <c r="B1472">
        <v>27</v>
      </c>
      <c r="C1472" t="s">
        <v>36</v>
      </c>
      <c r="D1472" t="s">
        <v>145</v>
      </c>
      <c r="E1472">
        <f t="shared" ca="1" si="23"/>
        <v>311710419.68325841</v>
      </c>
    </row>
    <row r="1473" spans="1:10" hidden="1" x14ac:dyDescent="0.25">
      <c r="A1473">
        <v>36</v>
      </c>
      <c r="B1473">
        <v>28</v>
      </c>
      <c r="C1473" t="s">
        <v>36</v>
      </c>
      <c r="D1473" t="s">
        <v>147</v>
      </c>
      <c r="E1473">
        <f t="shared" ca="1" si="23"/>
        <v>666005882.6188736</v>
      </c>
    </row>
    <row r="1474" spans="1:10" hidden="1" x14ac:dyDescent="0.25">
      <c r="A1474">
        <v>36</v>
      </c>
      <c r="B1474">
        <v>29</v>
      </c>
      <c r="C1474" t="s">
        <v>36</v>
      </c>
      <c r="D1474" t="s">
        <v>146</v>
      </c>
      <c r="E1474">
        <f t="shared" ca="1" si="23"/>
        <v>153868993.50104874</v>
      </c>
    </row>
    <row r="1475" spans="1:10" hidden="1" x14ac:dyDescent="0.25">
      <c r="A1475">
        <v>36</v>
      </c>
      <c r="B1475">
        <v>30</v>
      </c>
      <c r="C1475" t="s">
        <v>36</v>
      </c>
      <c r="D1475" t="s">
        <v>30</v>
      </c>
      <c r="E1475">
        <f t="shared" ca="1" si="23"/>
        <v>590867468.29995155</v>
      </c>
    </row>
    <row r="1476" spans="1:10" hidden="1" x14ac:dyDescent="0.25">
      <c r="A1476">
        <v>36</v>
      </c>
      <c r="B1476">
        <v>31</v>
      </c>
      <c r="C1476" t="s">
        <v>36</v>
      </c>
      <c r="D1476" t="s">
        <v>31</v>
      </c>
      <c r="E1476">
        <f t="shared" ca="1" si="23"/>
        <v>1114154395.3570375</v>
      </c>
      <c r="J1476">
        <v>9</v>
      </c>
    </row>
    <row r="1477" spans="1:10" hidden="1" x14ac:dyDescent="0.25">
      <c r="A1477">
        <v>36</v>
      </c>
      <c r="B1477">
        <v>32</v>
      </c>
      <c r="C1477" t="s">
        <v>36</v>
      </c>
      <c r="D1477" t="s">
        <v>32</v>
      </c>
      <c r="E1477">
        <f t="shared" ca="1" si="23"/>
        <v>186393998.45303762</v>
      </c>
    </row>
    <row r="1478" spans="1:10" hidden="1" x14ac:dyDescent="0.25">
      <c r="A1478">
        <v>36</v>
      </c>
      <c r="B1478">
        <v>33</v>
      </c>
      <c r="C1478" t="s">
        <v>36</v>
      </c>
      <c r="D1478" t="s">
        <v>33</v>
      </c>
      <c r="E1478">
        <f t="shared" ca="1" si="23"/>
        <v>798878981.74924898</v>
      </c>
    </row>
    <row r="1479" spans="1:10" hidden="1" x14ac:dyDescent="0.25">
      <c r="A1479">
        <v>36</v>
      </c>
      <c r="B1479">
        <v>34</v>
      </c>
      <c r="C1479" t="s">
        <v>36</v>
      </c>
      <c r="D1479" t="s">
        <v>34</v>
      </c>
      <c r="E1479">
        <f t="shared" ca="1" si="23"/>
        <v>991362533.89324892</v>
      </c>
    </row>
    <row r="1480" spans="1:10" hidden="1" x14ac:dyDescent="0.25">
      <c r="A1480">
        <v>36</v>
      </c>
      <c r="B1480">
        <v>35</v>
      </c>
      <c r="C1480" t="s">
        <v>36</v>
      </c>
      <c r="D1480" t="s">
        <v>35</v>
      </c>
      <c r="E1480">
        <f t="shared" ca="1" si="23"/>
        <v>512076152.46710157</v>
      </c>
    </row>
    <row r="1481" spans="1:10" hidden="1" x14ac:dyDescent="0.25">
      <c r="A1481">
        <v>36</v>
      </c>
      <c r="B1481">
        <v>36</v>
      </c>
      <c r="C1481" t="s">
        <v>36</v>
      </c>
      <c r="D1481" t="s">
        <v>36</v>
      </c>
      <c r="E1481">
        <f t="shared" ca="1" si="23"/>
        <v>0</v>
      </c>
    </row>
    <row r="1482" spans="1:10" hidden="1" x14ac:dyDescent="0.25">
      <c r="A1482">
        <v>36</v>
      </c>
      <c r="B1482">
        <v>37</v>
      </c>
      <c r="C1482" t="s">
        <v>36</v>
      </c>
      <c r="D1482" t="s">
        <v>37</v>
      </c>
      <c r="E1482">
        <f t="shared" ca="1" si="23"/>
        <v>168979402.61462909</v>
      </c>
    </row>
    <row r="1483" spans="1:10" hidden="1" x14ac:dyDescent="0.25">
      <c r="A1483">
        <v>36</v>
      </c>
      <c r="B1483">
        <v>38</v>
      </c>
      <c r="C1483" t="s">
        <v>36</v>
      </c>
      <c r="D1483" t="s">
        <v>38</v>
      </c>
      <c r="E1483">
        <f t="shared" ca="1" si="23"/>
        <v>0</v>
      </c>
    </row>
    <row r="1484" spans="1:10" hidden="1" x14ac:dyDescent="0.25">
      <c r="A1484">
        <v>36</v>
      </c>
      <c r="B1484">
        <v>39</v>
      </c>
      <c r="C1484" t="s">
        <v>36</v>
      </c>
      <c r="D1484" t="s">
        <v>39</v>
      </c>
      <c r="E1484">
        <f t="shared" ca="1" si="23"/>
        <v>171784175.07336694</v>
      </c>
    </row>
    <row r="1485" spans="1:10" hidden="1" x14ac:dyDescent="0.25">
      <c r="A1485">
        <v>36</v>
      </c>
      <c r="B1485">
        <v>40</v>
      </c>
      <c r="C1485" t="s">
        <v>36</v>
      </c>
      <c r="D1485" t="s">
        <v>40</v>
      </c>
      <c r="E1485">
        <f t="shared" ca="1" si="23"/>
        <v>325945619.57462907</v>
      </c>
    </row>
    <row r="1486" spans="1:10" hidden="1" x14ac:dyDescent="0.25">
      <c r="A1486">
        <v>37</v>
      </c>
      <c r="B1486">
        <v>1</v>
      </c>
      <c r="C1486" t="s">
        <v>37</v>
      </c>
      <c r="D1486" t="s">
        <v>0</v>
      </c>
      <c r="E1486">
        <f t="shared" ca="1" si="23"/>
        <v>613476656.19860125</v>
      </c>
    </row>
    <row r="1487" spans="1:10" hidden="1" x14ac:dyDescent="0.25">
      <c r="A1487">
        <v>37</v>
      </c>
      <c r="B1487">
        <v>2</v>
      </c>
      <c r="C1487" t="s">
        <v>37</v>
      </c>
      <c r="D1487" t="s">
        <v>1</v>
      </c>
      <c r="E1487">
        <f t="shared" ca="1" si="23"/>
        <v>489945187.63717264</v>
      </c>
    </row>
    <row r="1488" spans="1:10" hidden="1" x14ac:dyDescent="0.25">
      <c r="A1488">
        <v>37</v>
      </c>
      <c r="B1488">
        <v>3</v>
      </c>
      <c r="C1488" t="s">
        <v>37</v>
      </c>
      <c r="D1488" t="s">
        <v>2</v>
      </c>
      <c r="E1488">
        <f t="shared" ca="1" si="23"/>
        <v>228270751.64191073</v>
      </c>
    </row>
    <row r="1489" spans="1:5" hidden="1" x14ac:dyDescent="0.25">
      <c r="A1489">
        <v>37</v>
      </c>
      <c r="B1489">
        <v>4</v>
      </c>
      <c r="C1489" t="s">
        <v>37</v>
      </c>
      <c r="D1489" t="s">
        <v>3</v>
      </c>
      <c r="E1489">
        <f t="shared" ca="1" si="23"/>
        <v>361459420.56774008</v>
      </c>
    </row>
    <row r="1490" spans="1:5" hidden="1" x14ac:dyDescent="0.25">
      <c r="A1490">
        <v>37</v>
      </c>
      <c r="B1490">
        <v>5</v>
      </c>
      <c r="C1490" t="s">
        <v>37</v>
      </c>
      <c r="D1490" t="s">
        <v>4</v>
      </c>
      <c r="E1490">
        <f t="shared" ca="1" si="23"/>
        <v>340813824.21482909</v>
      </c>
    </row>
    <row r="1491" spans="1:5" hidden="1" x14ac:dyDescent="0.25">
      <c r="A1491">
        <v>37</v>
      </c>
      <c r="B1491">
        <v>6</v>
      </c>
      <c r="C1491" t="s">
        <v>37</v>
      </c>
      <c r="D1491" t="s">
        <v>5</v>
      </c>
      <c r="E1491">
        <f t="shared" ca="1" si="23"/>
        <v>460270597.97768617</v>
      </c>
    </row>
    <row r="1492" spans="1:5" hidden="1" x14ac:dyDescent="0.25">
      <c r="A1492">
        <v>37</v>
      </c>
      <c r="B1492">
        <v>7</v>
      </c>
      <c r="C1492" t="s">
        <v>37</v>
      </c>
      <c r="D1492" t="s">
        <v>6</v>
      </c>
      <c r="E1492">
        <f t="shared" ca="1" si="23"/>
        <v>321581600.4434005</v>
      </c>
    </row>
    <row r="1493" spans="1:5" hidden="1" x14ac:dyDescent="0.25">
      <c r="A1493">
        <v>37</v>
      </c>
      <c r="B1493">
        <v>8</v>
      </c>
      <c r="C1493" t="s">
        <v>37</v>
      </c>
      <c r="D1493" t="s">
        <v>7</v>
      </c>
      <c r="E1493">
        <f t="shared" ca="1" si="23"/>
        <v>278523233.11116862</v>
      </c>
    </row>
    <row r="1494" spans="1:5" hidden="1" x14ac:dyDescent="0.25">
      <c r="A1494">
        <v>37</v>
      </c>
      <c r="B1494">
        <v>9</v>
      </c>
      <c r="C1494" t="s">
        <v>37</v>
      </c>
      <c r="D1494" t="s">
        <v>148</v>
      </c>
      <c r="E1494">
        <f t="shared" ca="1" si="23"/>
        <v>480816029.93717259</v>
      </c>
    </row>
    <row r="1495" spans="1:5" hidden="1" x14ac:dyDescent="0.25">
      <c r="A1495">
        <v>37</v>
      </c>
      <c r="B1495">
        <v>10</v>
      </c>
      <c r="C1495" t="s">
        <v>37</v>
      </c>
      <c r="D1495" t="s">
        <v>9</v>
      </c>
      <c r="E1495">
        <f t="shared" ca="1" si="23"/>
        <v>388149601.27482909</v>
      </c>
    </row>
    <row r="1496" spans="1:5" hidden="1" x14ac:dyDescent="0.25">
      <c r="A1496">
        <v>37</v>
      </c>
      <c r="B1496">
        <v>11</v>
      </c>
      <c r="C1496" t="s">
        <v>37</v>
      </c>
      <c r="D1496" t="s">
        <v>10</v>
      </c>
      <c r="E1496">
        <f t="shared" ca="1" si="23"/>
        <v>149804250.81197733</v>
      </c>
    </row>
    <row r="1497" spans="1:5" hidden="1" x14ac:dyDescent="0.25">
      <c r="A1497">
        <v>37</v>
      </c>
      <c r="B1497">
        <v>12</v>
      </c>
      <c r="C1497" t="s">
        <v>37</v>
      </c>
      <c r="D1497" t="s">
        <v>11</v>
      </c>
      <c r="E1497">
        <f t="shared" ca="1" si="23"/>
        <v>119565089.88541269</v>
      </c>
    </row>
    <row r="1498" spans="1:5" hidden="1" x14ac:dyDescent="0.25">
      <c r="A1498">
        <v>37</v>
      </c>
      <c r="B1498">
        <v>13</v>
      </c>
      <c r="C1498" t="s">
        <v>37</v>
      </c>
      <c r="D1498" t="s">
        <v>12</v>
      </c>
      <c r="E1498">
        <f t="shared" ca="1" si="23"/>
        <v>25112733.203740384</v>
      </c>
    </row>
    <row r="1499" spans="1:5" hidden="1" x14ac:dyDescent="0.25">
      <c r="A1499">
        <v>37</v>
      </c>
      <c r="B1499">
        <v>14</v>
      </c>
      <c r="C1499" t="s">
        <v>37</v>
      </c>
      <c r="D1499" t="s">
        <v>13</v>
      </c>
      <c r="E1499">
        <f t="shared" ca="1" si="23"/>
        <v>65235608.595740393</v>
      </c>
    </row>
    <row r="1500" spans="1:5" hidden="1" x14ac:dyDescent="0.25">
      <c r="A1500">
        <v>37</v>
      </c>
      <c r="B1500">
        <v>15</v>
      </c>
      <c r="C1500" t="s">
        <v>37</v>
      </c>
      <c r="D1500" t="s">
        <v>14</v>
      </c>
      <c r="E1500">
        <f t="shared" ca="1" si="23"/>
        <v>289141805.37415379</v>
      </c>
    </row>
    <row r="1501" spans="1:5" hidden="1" x14ac:dyDescent="0.25">
      <c r="A1501">
        <v>37</v>
      </c>
      <c r="B1501">
        <v>16</v>
      </c>
      <c r="C1501" t="s">
        <v>37</v>
      </c>
      <c r="D1501" t="s">
        <v>15</v>
      </c>
      <c r="E1501">
        <f t="shared" ca="1" si="23"/>
        <v>281544732.37646675</v>
      </c>
    </row>
    <row r="1502" spans="1:5" hidden="1" x14ac:dyDescent="0.25">
      <c r="A1502">
        <v>37</v>
      </c>
      <c r="B1502">
        <v>17</v>
      </c>
      <c r="C1502" t="s">
        <v>37</v>
      </c>
      <c r="D1502" t="s">
        <v>16</v>
      </c>
      <c r="E1502">
        <f t="shared" ca="1" si="23"/>
        <v>745099834.00380421</v>
      </c>
    </row>
    <row r="1503" spans="1:5" hidden="1" x14ac:dyDescent="0.25">
      <c r="A1503">
        <v>37</v>
      </c>
      <c r="B1503">
        <v>18</v>
      </c>
      <c r="C1503" t="s">
        <v>37</v>
      </c>
      <c r="D1503" t="s">
        <v>17</v>
      </c>
      <c r="E1503">
        <f t="shared" ca="1" si="23"/>
        <v>274957725.2844668</v>
      </c>
    </row>
    <row r="1504" spans="1:5" hidden="1" x14ac:dyDescent="0.25">
      <c r="A1504">
        <v>37</v>
      </c>
      <c r="B1504">
        <v>19</v>
      </c>
      <c r="C1504" t="s">
        <v>37</v>
      </c>
      <c r="D1504" t="s">
        <v>18</v>
      </c>
      <c r="E1504">
        <f t="shared" ca="1" si="23"/>
        <v>26096331.723872628</v>
      </c>
    </row>
    <row r="1505" spans="1:5" hidden="1" x14ac:dyDescent="0.25">
      <c r="A1505">
        <v>37</v>
      </c>
      <c r="B1505">
        <v>20</v>
      </c>
      <c r="C1505" t="s">
        <v>37</v>
      </c>
      <c r="D1505" t="s">
        <v>19</v>
      </c>
      <c r="E1505">
        <f t="shared" ca="1" si="23"/>
        <v>326218076.56172609</v>
      </c>
    </row>
    <row r="1506" spans="1:5" hidden="1" x14ac:dyDescent="0.25">
      <c r="A1506">
        <v>37</v>
      </c>
      <c r="B1506">
        <v>21</v>
      </c>
      <c r="C1506" t="s">
        <v>37</v>
      </c>
      <c r="D1506" t="s">
        <v>20</v>
      </c>
      <c r="E1506">
        <f t="shared" ref="E1506:E1567" ca="1" si="24">OFFSET($B$2,A1506,B1506)</f>
        <v>278701413.58029974</v>
      </c>
    </row>
    <row r="1507" spans="1:5" hidden="1" x14ac:dyDescent="0.25">
      <c r="A1507">
        <v>37</v>
      </c>
      <c r="B1507">
        <v>22</v>
      </c>
      <c r="C1507" t="s">
        <v>37</v>
      </c>
      <c r="D1507" t="s">
        <v>21</v>
      </c>
      <c r="E1507">
        <f t="shared" ca="1" si="24"/>
        <v>692563310.63464367</v>
      </c>
    </row>
    <row r="1508" spans="1:5" hidden="1" x14ac:dyDescent="0.25">
      <c r="A1508">
        <v>37</v>
      </c>
      <c r="B1508">
        <v>23</v>
      </c>
      <c r="C1508" t="s">
        <v>37</v>
      </c>
      <c r="D1508" t="s">
        <v>22</v>
      </c>
      <c r="E1508">
        <f t="shared" ca="1" si="24"/>
        <v>19134844.385523349</v>
      </c>
    </row>
    <row r="1509" spans="1:5" hidden="1" x14ac:dyDescent="0.25">
      <c r="A1509">
        <v>37</v>
      </c>
      <c r="B1509">
        <v>24</v>
      </c>
      <c r="C1509" t="s">
        <v>37</v>
      </c>
      <c r="D1509" t="s">
        <v>23</v>
      </c>
      <c r="E1509">
        <f t="shared" ca="1" si="24"/>
        <v>48554936.425523348</v>
      </c>
    </row>
    <row r="1510" spans="1:5" hidden="1" x14ac:dyDescent="0.25">
      <c r="A1510">
        <v>37</v>
      </c>
      <c r="B1510">
        <v>25</v>
      </c>
      <c r="C1510" t="s">
        <v>37</v>
      </c>
      <c r="D1510" t="s">
        <v>24</v>
      </c>
      <c r="E1510">
        <f t="shared" ca="1" si="24"/>
        <v>24036970.285523348</v>
      </c>
    </row>
    <row r="1511" spans="1:5" hidden="1" x14ac:dyDescent="0.25">
      <c r="A1511">
        <v>37</v>
      </c>
      <c r="B1511">
        <v>26</v>
      </c>
      <c r="C1511" t="s">
        <v>37</v>
      </c>
      <c r="D1511" t="s">
        <v>25</v>
      </c>
      <c r="E1511">
        <f t="shared" ca="1" si="24"/>
        <v>191947348.01415378</v>
      </c>
    </row>
    <row r="1512" spans="1:5" hidden="1" x14ac:dyDescent="0.25">
      <c r="A1512">
        <v>37</v>
      </c>
      <c r="B1512">
        <v>27</v>
      </c>
      <c r="C1512" t="s">
        <v>37</v>
      </c>
      <c r="D1512" t="s">
        <v>145</v>
      </c>
      <c r="E1512">
        <f t="shared" ca="1" si="24"/>
        <v>217716747.17372608</v>
      </c>
    </row>
    <row r="1513" spans="1:5" hidden="1" x14ac:dyDescent="0.25">
      <c r="A1513">
        <v>37</v>
      </c>
      <c r="B1513">
        <v>28</v>
      </c>
      <c r="C1513" t="s">
        <v>37</v>
      </c>
      <c r="D1513" t="s">
        <v>147</v>
      </c>
      <c r="E1513">
        <f t="shared" ca="1" si="24"/>
        <v>614093118.84264374</v>
      </c>
    </row>
    <row r="1514" spans="1:5" hidden="1" x14ac:dyDescent="0.25">
      <c r="A1514">
        <v>37</v>
      </c>
      <c r="B1514">
        <v>29</v>
      </c>
      <c r="C1514" t="s">
        <v>37</v>
      </c>
      <c r="D1514" t="s">
        <v>146</v>
      </c>
      <c r="E1514">
        <f t="shared" ca="1" si="24"/>
        <v>21569009.025523353</v>
      </c>
    </row>
    <row r="1515" spans="1:5" hidden="1" x14ac:dyDescent="0.25">
      <c r="A1515">
        <v>37</v>
      </c>
      <c r="B1515">
        <v>30</v>
      </c>
      <c r="C1515" t="s">
        <v>37</v>
      </c>
      <c r="D1515" t="s">
        <v>30</v>
      </c>
      <c r="E1515">
        <f t="shared" ca="1" si="24"/>
        <v>543163363.79631138</v>
      </c>
    </row>
    <row r="1516" spans="1:5" hidden="1" x14ac:dyDescent="0.25">
      <c r="A1516">
        <v>37</v>
      </c>
      <c r="B1516">
        <v>31</v>
      </c>
      <c r="C1516" t="s">
        <v>37</v>
      </c>
      <c r="D1516" t="s">
        <v>31</v>
      </c>
      <c r="E1516">
        <f t="shared" ca="1" si="24"/>
        <v>931733519.04679763</v>
      </c>
    </row>
    <row r="1517" spans="1:5" hidden="1" x14ac:dyDescent="0.25">
      <c r="A1517">
        <v>37</v>
      </c>
      <c r="B1517">
        <v>32</v>
      </c>
      <c r="C1517" t="s">
        <v>37</v>
      </c>
      <c r="D1517" t="s">
        <v>32</v>
      </c>
      <c r="E1517">
        <f t="shared" ca="1" si="24"/>
        <v>3973122.1427977597</v>
      </c>
    </row>
    <row r="1518" spans="1:5" hidden="1" x14ac:dyDescent="0.25">
      <c r="A1518">
        <v>37</v>
      </c>
      <c r="B1518">
        <v>33</v>
      </c>
      <c r="C1518" t="s">
        <v>37</v>
      </c>
      <c r="D1518" t="s">
        <v>33</v>
      </c>
      <c r="E1518">
        <f t="shared" ca="1" si="24"/>
        <v>856544431.30206549</v>
      </c>
    </row>
    <row r="1519" spans="1:5" hidden="1" x14ac:dyDescent="0.25">
      <c r="A1519">
        <v>37</v>
      </c>
      <c r="B1519">
        <v>34</v>
      </c>
      <c r="C1519" t="s">
        <v>37</v>
      </c>
      <c r="D1519" t="s">
        <v>34</v>
      </c>
      <c r="E1519">
        <f t="shared" ca="1" si="24"/>
        <v>1049027983.4460654</v>
      </c>
    </row>
    <row r="1520" spans="1:5" hidden="1" x14ac:dyDescent="0.25">
      <c r="A1520">
        <v>37</v>
      </c>
      <c r="B1520">
        <v>35</v>
      </c>
      <c r="C1520" t="s">
        <v>37</v>
      </c>
      <c r="D1520" t="s">
        <v>35</v>
      </c>
      <c r="E1520">
        <f t="shared" ca="1" si="24"/>
        <v>467747357.54117262</v>
      </c>
    </row>
    <row r="1521" spans="1:5" hidden="1" x14ac:dyDescent="0.25">
      <c r="A1521">
        <v>37</v>
      </c>
      <c r="B1521">
        <v>36</v>
      </c>
      <c r="C1521" t="s">
        <v>37</v>
      </c>
      <c r="D1521" t="s">
        <v>36</v>
      </c>
      <c r="E1521">
        <f t="shared" ca="1" si="24"/>
        <v>168979402.61462909</v>
      </c>
    </row>
    <row r="1522" spans="1:5" hidden="1" x14ac:dyDescent="0.25">
      <c r="A1522">
        <v>37</v>
      </c>
      <c r="B1522">
        <v>37</v>
      </c>
      <c r="C1522" t="s">
        <v>37</v>
      </c>
      <c r="D1522" t="s">
        <v>37</v>
      </c>
      <c r="E1522">
        <f t="shared" ca="1" si="24"/>
        <v>0</v>
      </c>
    </row>
    <row r="1523" spans="1:5" hidden="1" x14ac:dyDescent="0.25">
      <c r="A1523">
        <v>37</v>
      </c>
      <c r="B1523">
        <v>38</v>
      </c>
      <c r="C1523" t="s">
        <v>37</v>
      </c>
      <c r="D1523" t="s">
        <v>38</v>
      </c>
      <c r="E1523">
        <f t="shared" ca="1" si="24"/>
        <v>214172318.3270098</v>
      </c>
    </row>
    <row r="1524" spans="1:5" hidden="1" x14ac:dyDescent="0.25">
      <c r="A1524">
        <v>37</v>
      </c>
      <c r="B1524">
        <v>39</v>
      </c>
      <c r="C1524" t="s">
        <v>37</v>
      </c>
      <c r="D1524" t="s">
        <v>39</v>
      </c>
      <c r="E1524">
        <f t="shared" ca="1" si="24"/>
        <v>121279066.03200001</v>
      </c>
    </row>
    <row r="1525" spans="1:5" hidden="1" x14ac:dyDescent="0.25">
      <c r="A1525">
        <v>37</v>
      </c>
      <c r="B1525">
        <v>40</v>
      </c>
      <c r="C1525" t="s">
        <v>37</v>
      </c>
      <c r="D1525" t="s">
        <v>40</v>
      </c>
      <c r="E1525">
        <f t="shared" ca="1" si="24"/>
        <v>0</v>
      </c>
    </row>
    <row r="1526" spans="1:5" hidden="1" x14ac:dyDescent="0.25">
      <c r="A1526">
        <v>37</v>
      </c>
      <c r="B1526">
        <v>1</v>
      </c>
      <c r="C1526" t="s">
        <v>38</v>
      </c>
      <c r="D1526" t="s">
        <v>0</v>
      </c>
      <c r="E1526">
        <f t="shared" ca="1" si="24"/>
        <v>613476656.19860125</v>
      </c>
    </row>
    <row r="1527" spans="1:5" hidden="1" x14ac:dyDescent="0.25">
      <c r="A1527">
        <v>37</v>
      </c>
      <c r="B1527">
        <v>2</v>
      </c>
      <c r="C1527" t="s">
        <v>38</v>
      </c>
      <c r="D1527" t="s">
        <v>1</v>
      </c>
      <c r="E1527">
        <f t="shared" ca="1" si="24"/>
        <v>489945187.63717264</v>
      </c>
    </row>
    <row r="1528" spans="1:5" hidden="1" x14ac:dyDescent="0.25">
      <c r="A1528">
        <v>37</v>
      </c>
      <c r="B1528">
        <v>3</v>
      </c>
      <c r="C1528" t="s">
        <v>38</v>
      </c>
      <c r="D1528" t="s">
        <v>2</v>
      </c>
      <c r="E1528">
        <f t="shared" ca="1" si="24"/>
        <v>228270751.64191073</v>
      </c>
    </row>
    <row r="1529" spans="1:5" hidden="1" x14ac:dyDescent="0.25">
      <c r="A1529">
        <v>37</v>
      </c>
      <c r="B1529">
        <v>4</v>
      </c>
      <c r="C1529" t="s">
        <v>38</v>
      </c>
      <c r="D1529" t="s">
        <v>3</v>
      </c>
      <c r="E1529">
        <f t="shared" ca="1" si="24"/>
        <v>361459420.56774008</v>
      </c>
    </row>
    <row r="1530" spans="1:5" hidden="1" x14ac:dyDescent="0.25">
      <c r="A1530">
        <v>37</v>
      </c>
      <c r="B1530">
        <v>5</v>
      </c>
      <c r="C1530" t="s">
        <v>38</v>
      </c>
      <c r="D1530" t="s">
        <v>4</v>
      </c>
      <c r="E1530">
        <f t="shared" ca="1" si="24"/>
        <v>340813824.21482909</v>
      </c>
    </row>
    <row r="1531" spans="1:5" hidden="1" x14ac:dyDescent="0.25">
      <c r="A1531">
        <v>37</v>
      </c>
      <c r="B1531">
        <v>6</v>
      </c>
      <c r="C1531" t="s">
        <v>38</v>
      </c>
      <c r="D1531" t="s">
        <v>5</v>
      </c>
      <c r="E1531">
        <f t="shared" ca="1" si="24"/>
        <v>460270597.97768617</v>
      </c>
    </row>
    <row r="1532" spans="1:5" hidden="1" x14ac:dyDescent="0.25">
      <c r="A1532">
        <v>37</v>
      </c>
      <c r="B1532">
        <v>7</v>
      </c>
      <c r="C1532" t="s">
        <v>38</v>
      </c>
      <c r="D1532" t="s">
        <v>6</v>
      </c>
      <c r="E1532">
        <f t="shared" ca="1" si="24"/>
        <v>321581600.4434005</v>
      </c>
    </row>
    <row r="1533" spans="1:5" hidden="1" x14ac:dyDescent="0.25">
      <c r="A1533">
        <v>37</v>
      </c>
      <c r="B1533">
        <v>8</v>
      </c>
      <c r="C1533" t="s">
        <v>38</v>
      </c>
      <c r="D1533" t="s">
        <v>7</v>
      </c>
      <c r="E1533">
        <f t="shared" ca="1" si="24"/>
        <v>278523233.11116862</v>
      </c>
    </row>
    <row r="1534" spans="1:5" hidden="1" x14ac:dyDescent="0.25">
      <c r="A1534">
        <v>37</v>
      </c>
      <c r="B1534">
        <v>9</v>
      </c>
      <c r="C1534" t="s">
        <v>38</v>
      </c>
      <c r="D1534" t="s">
        <v>148</v>
      </c>
      <c r="E1534">
        <f t="shared" ca="1" si="24"/>
        <v>480816029.93717259</v>
      </c>
    </row>
    <row r="1535" spans="1:5" hidden="1" x14ac:dyDescent="0.25">
      <c r="A1535">
        <v>37</v>
      </c>
      <c r="B1535">
        <v>10</v>
      </c>
      <c r="C1535" t="s">
        <v>38</v>
      </c>
      <c r="D1535" t="s">
        <v>9</v>
      </c>
      <c r="E1535">
        <f t="shared" ca="1" si="24"/>
        <v>388149601.27482909</v>
      </c>
    </row>
    <row r="1536" spans="1:5" hidden="1" x14ac:dyDescent="0.25">
      <c r="A1536">
        <v>37</v>
      </c>
      <c r="B1536">
        <v>11</v>
      </c>
      <c r="C1536" t="s">
        <v>38</v>
      </c>
      <c r="D1536" t="s">
        <v>10</v>
      </c>
      <c r="E1536">
        <f t="shared" ca="1" si="24"/>
        <v>149804250.81197733</v>
      </c>
    </row>
    <row r="1537" spans="1:5" hidden="1" x14ac:dyDescent="0.25">
      <c r="A1537">
        <v>37</v>
      </c>
      <c r="B1537">
        <v>12</v>
      </c>
      <c r="C1537" t="s">
        <v>38</v>
      </c>
      <c r="D1537" t="s">
        <v>11</v>
      </c>
      <c r="E1537">
        <f t="shared" ca="1" si="24"/>
        <v>119565089.88541269</v>
      </c>
    </row>
    <row r="1538" spans="1:5" hidden="1" x14ac:dyDescent="0.25">
      <c r="A1538">
        <v>37</v>
      </c>
      <c r="B1538">
        <v>13</v>
      </c>
      <c r="C1538" t="s">
        <v>38</v>
      </c>
      <c r="D1538" t="s">
        <v>12</v>
      </c>
      <c r="E1538">
        <f t="shared" ca="1" si="24"/>
        <v>25112733.203740384</v>
      </c>
    </row>
    <row r="1539" spans="1:5" hidden="1" x14ac:dyDescent="0.25">
      <c r="A1539">
        <v>37</v>
      </c>
      <c r="B1539">
        <v>14</v>
      </c>
      <c r="C1539" t="s">
        <v>38</v>
      </c>
      <c r="D1539" t="s">
        <v>13</v>
      </c>
      <c r="E1539">
        <f t="shared" ca="1" si="24"/>
        <v>65235608.595740393</v>
      </c>
    </row>
    <row r="1540" spans="1:5" hidden="1" x14ac:dyDescent="0.25">
      <c r="A1540">
        <v>37</v>
      </c>
      <c r="B1540">
        <v>15</v>
      </c>
      <c r="C1540" t="s">
        <v>38</v>
      </c>
      <c r="D1540" t="s">
        <v>14</v>
      </c>
      <c r="E1540">
        <f t="shared" ca="1" si="24"/>
        <v>289141805.37415379</v>
      </c>
    </row>
    <row r="1541" spans="1:5" hidden="1" x14ac:dyDescent="0.25">
      <c r="A1541">
        <v>37</v>
      </c>
      <c r="B1541">
        <v>16</v>
      </c>
      <c r="C1541" t="s">
        <v>38</v>
      </c>
      <c r="D1541" t="s">
        <v>15</v>
      </c>
      <c r="E1541">
        <f t="shared" ca="1" si="24"/>
        <v>281544732.37646675</v>
      </c>
    </row>
    <row r="1542" spans="1:5" hidden="1" x14ac:dyDescent="0.25">
      <c r="A1542">
        <v>37</v>
      </c>
      <c r="B1542">
        <v>17</v>
      </c>
      <c r="C1542" t="s">
        <v>38</v>
      </c>
      <c r="D1542" t="s">
        <v>16</v>
      </c>
      <c r="E1542">
        <f t="shared" ca="1" si="24"/>
        <v>745099834.00380421</v>
      </c>
    </row>
    <row r="1543" spans="1:5" hidden="1" x14ac:dyDescent="0.25">
      <c r="A1543">
        <v>37</v>
      </c>
      <c r="B1543">
        <v>18</v>
      </c>
      <c r="C1543" t="s">
        <v>38</v>
      </c>
      <c r="D1543" t="s">
        <v>17</v>
      </c>
      <c r="E1543">
        <f t="shared" ca="1" si="24"/>
        <v>274957725.2844668</v>
      </c>
    </row>
    <row r="1544" spans="1:5" hidden="1" x14ac:dyDescent="0.25">
      <c r="A1544">
        <v>37</v>
      </c>
      <c r="B1544">
        <v>19</v>
      </c>
      <c r="C1544" t="s">
        <v>38</v>
      </c>
      <c r="D1544" t="s">
        <v>18</v>
      </c>
      <c r="E1544">
        <f t="shared" ca="1" si="24"/>
        <v>26096331.723872628</v>
      </c>
    </row>
    <row r="1545" spans="1:5" hidden="1" x14ac:dyDescent="0.25">
      <c r="A1545">
        <v>37</v>
      </c>
      <c r="B1545">
        <v>20</v>
      </c>
      <c r="C1545" t="s">
        <v>38</v>
      </c>
      <c r="D1545" t="s">
        <v>19</v>
      </c>
      <c r="E1545">
        <f t="shared" ca="1" si="24"/>
        <v>326218076.56172609</v>
      </c>
    </row>
    <row r="1546" spans="1:5" hidden="1" x14ac:dyDescent="0.25">
      <c r="A1546">
        <v>37</v>
      </c>
      <c r="B1546">
        <v>21</v>
      </c>
      <c r="C1546" t="s">
        <v>38</v>
      </c>
      <c r="D1546" t="s">
        <v>20</v>
      </c>
      <c r="E1546">
        <f t="shared" ca="1" si="24"/>
        <v>278701413.58029974</v>
      </c>
    </row>
    <row r="1547" spans="1:5" hidden="1" x14ac:dyDescent="0.25">
      <c r="A1547">
        <v>37</v>
      </c>
      <c r="B1547">
        <v>22</v>
      </c>
      <c r="C1547" t="s">
        <v>38</v>
      </c>
      <c r="D1547" t="s">
        <v>21</v>
      </c>
      <c r="E1547">
        <f t="shared" ca="1" si="24"/>
        <v>692563310.63464367</v>
      </c>
    </row>
    <row r="1548" spans="1:5" hidden="1" x14ac:dyDescent="0.25">
      <c r="A1548">
        <v>37</v>
      </c>
      <c r="B1548">
        <v>23</v>
      </c>
      <c r="C1548" t="s">
        <v>38</v>
      </c>
      <c r="D1548" t="s">
        <v>22</v>
      </c>
      <c r="E1548">
        <f t="shared" ca="1" si="24"/>
        <v>19134844.385523349</v>
      </c>
    </row>
    <row r="1549" spans="1:5" hidden="1" x14ac:dyDescent="0.25">
      <c r="A1549">
        <v>37</v>
      </c>
      <c r="B1549">
        <v>24</v>
      </c>
      <c r="C1549" t="s">
        <v>38</v>
      </c>
      <c r="D1549" t="s">
        <v>23</v>
      </c>
      <c r="E1549">
        <f t="shared" ca="1" si="24"/>
        <v>48554936.425523348</v>
      </c>
    </row>
    <row r="1550" spans="1:5" hidden="1" x14ac:dyDescent="0.25">
      <c r="A1550">
        <v>37</v>
      </c>
      <c r="B1550">
        <v>25</v>
      </c>
      <c r="C1550" t="s">
        <v>38</v>
      </c>
      <c r="D1550" t="s">
        <v>24</v>
      </c>
      <c r="E1550">
        <f t="shared" ca="1" si="24"/>
        <v>24036970.285523348</v>
      </c>
    </row>
    <row r="1551" spans="1:5" hidden="1" x14ac:dyDescent="0.25">
      <c r="A1551">
        <v>37</v>
      </c>
      <c r="B1551">
        <v>26</v>
      </c>
      <c r="C1551" t="s">
        <v>38</v>
      </c>
      <c r="D1551" t="s">
        <v>25</v>
      </c>
      <c r="E1551">
        <f t="shared" ca="1" si="24"/>
        <v>191947348.01415378</v>
      </c>
    </row>
    <row r="1552" spans="1:5" hidden="1" x14ac:dyDescent="0.25">
      <c r="A1552">
        <v>37</v>
      </c>
      <c r="B1552">
        <v>27</v>
      </c>
      <c r="C1552" t="s">
        <v>38</v>
      </c>
      <c r="D1552" t="s">
        <v>145</v>
      </c>
      <c r="E1552">
        <f t="shared" ca="1" si="24"/>
        <v>217716747.17372608</v>
      </c>
    </row>
    <row r="1553" spans="1:5" hidden="1" x14ac:dyDescent="0.25">
      <c r="A1553">
        <v>37</v>
      </c>
      <c r="B1553">
        <v>28</v>
      </c>
      <c r="C1553" t="s">
        <v>38</v>
      </c>
      <c r="D1553" t="s">
        <v>147</v>
      </c>
      <c r="E1553">
        <f t="shared" ca="1" si="24"/>
        <v>614093118.84264374</v>
      </c>
    </row>
    <row r="1554" spans="1:5" hidden="1" x14ac:dyDescent="0.25">
      <c r="A1554">
        <v>37</v>
      </c>
      <c r="B1554">
        <v>29</v>
      </c>
      <c r="C1554" t="s">
        <v>38</v>
      </c>
      <c r="D1554" t="s">
        <v>146</v>
      </c>
      <c r="E1554">
        <f t="shared" ca="1" si="24"/>
        <v>21569009.025523353</v>
      </c>
    </row>
    <row r="1555" spans="1:5" hidden="1" x14ac:dyDescent="0.25">
      <c r="A1555">
        <v>37</v>
      </c>
      <c r="B1555">
        <v>30</v>
      </c>
      <c r="C1555" t="s">
        <v>38</v>
      </c>
      <c r="D1555" t="s">
        <v>30</v>
      </c>
      <c r="E1555">
        <f t="shared" ca="1" si="24"/>
        <v>543163363.79631138</v>
      </c>
    </row>
    <row r="1556" spans="1:5" hidden="1" x14ac:dyDescent="0.25">
      <c r="A1556">
        <v>37</v>
      </c>
      <c r="B1556">
        <v>31</v>
      </c>
      <c r="C1556" t="s">
        <v>38</v>
      </c>
      <c r="D1556" t="s">
        <v>31</v>
      </c>
      <c r="E1556">
        <f t="shared" ca="1" si="24"/>
        <v>931733519.04679763</v>
      </c>
    </row>
    <row r="1557" spans="1:5" hidden="1" x14ac:dyDescent="0.25">
      <c r="A1557">
        <v>37</v>
      </c>
      <c r="B1557">
        <v>32</v>
      </c>
      <c r="C1557" t="s">
        <v>38</v>
      </c>
      <c r="D1557" t="s">
        <v>32</v>
      </c>
      <c r="E1557">
        <f t="shared" ca="1" si="24"/>
        <v>3973122.1427977597</v>
      </c>
    </row>
    <row r="1558" spans="1:5" hidden="1" x14ac:dyDescent="0.25">
      <c r="A1558">
        <v>37</v>
      </c>
      <c r="B1558">
        <v>33</v>
      </c>
      <c r="C1558" t="s">
        <v>38</v>
      </c>
      <c r="D1558" t="s">
        <v>33</v>
      </c>
      <c r="E1558">
        <f t="shared" ca="1" si="24"/>
        <v>856544431.30206549</v>
      </c>
    </row>
    <row r="1559" spans="1:5" hidden="1" x14ac:dyDescent="0.25">
      <c r="A1559">
        <v>37</v>
      </c>
      <c r="B1559">
        <v>34</v>
      </c>
      <c r="C1559" t="s">
        <v>38</v>
      </c>
      <c r="D1559" t="s">
        <v>34</v>
      </c>
      <c r="E1559">
        <f t="shared" ca="1" si="24"/>
        <v>1049027983.4460654</v>
      </c>
    </row>
    <row r="1560" spans="1:5" hidden="1" x14ac:dyDescent="0.25">
      <c r="A1560">
        <v>37</v>
      </c>
      <c r="B1560">
        <v>35</v>
      </c>
      <c r="C1560" t="s">
        <v>38</v>
      </c>
      <c r="D1560" t="s">
        <v>35</v>
      </c>
      <c r="E1560">
        <f t="shared" ca="1" si="24"/>
        <v>467747357.54117262</v>
      </c>
    </row>
    <row r="1561" spans="1:5" hidden="1" x14ac:dyDescent="0.25">
      <c r="A1561">
        <v>37</v>
      </c>
      <c r="B1561">
        <v>36</v>
      </c>
      <c r="C1561" t="s">
        <v>38</v>
      </c>
      <c r="D1561" t="s">
        <v>36</v>
      </c>
      <c r="E1561">
        <f t="shared" ca="1" si="24"/>
        <v>168979402.61462909</v>
      </c>
    </row>
    <row r="1562" spans="1:5" hidden="1" x14ac:dyDescent="0.25">
      <c r="A1562">
        <v>37</v>
      </c>
      <c r="B1562">
        <v>37</v>
      </c>
      <c r="C1562" t="s">
        <v>38</v>
      </c>
      <c r="D1562" t="s">
        <v>37</v>
      </c>
      <c r="E1562">
        <f t="shared" ca="1" si="24"/>
        <v>0</v>
      </c>
    </row>
    <row r="1563" spans="1:5" hidden="1" x14ac:dyDescent="0.25">
      <c r="A1563">
        <v>37</v>
      </c>
      <c r="B1563">
        <v>38</v>
      </c>
      <c r="C1563" t="s">
        <v>38</v>
      </c>
      <c r="D1563" t="s">
        <v>38</v>
      </c>
      <c r="E1563">
        <f t="shared" ca="1" si="24"/>
        <v>214172318.3270098</v>
      </c>
    </row>
    <row r="1564" spans="1:5" hidden="1" x14ac:dyDescent="0.25">
      <c r="A1564">
        <v>37</v>
      </c>
      <c r="B1564">
        <v>39</v>
      </c>
      <c r="C1564" t="s">
        <v>38</v>
      </c>
      <c r="D1564" t="s">
        <v>39</v>
      </c>
      <c r="E1564">
        <f t="shared" ca="1" si="24"/>
        <v>121279066.03200001</v>
      </c>
    </row>
    <row r="1565" spans="1:5" hidden="1" x14ac:dyDescent="0.25">
      <c r="A1565">
        <v>37</v>
      </c>
      <c r="B1565">
        <v>40</v>
      </c>
      <c r="C1565" t="s">
        <v>38</v>
      </c>
      <c r="D1565" t="s">
        <v>40</v>
      </c>
      <c r="E1565">
        <f t="shared" ca="1" si="24"/>
        <v>0</v>
      </c>
    </row>
    <row r="1566" spans="1:5" hidden="1" x14ac:dyDescent="0.25">
      <c r="A1566">
        <v>38</v>
      </c>
      <c r="B1566">
        <v>1</v>
      </c>
      <c r="C1566" t="s">
        <v>39</v>
      </c>
      <c r="D1566" t="s">
        <v>0</v>
      </c>
      <c r="E1566">
        <f t="shared" ca="1" si="24"/>
        <v>605147113.44453001</v>
      </c>
    </row>
    <row r="1567" spans="1:5" hidden="1" x14ac:dyDescent="0.25">
      <c r="A1567">
        <v>38</v>
      </c>
      <c r="B1567">
        <v>2</v>
      </c>
      <c r="C1567" t="s">
        <v>39</v>
      </c>
      <c r="D1567" t="s">
        <v>1</v>
      </c>
      <c r="E1567">
        <f t="shared" ca="1" si="24"/>
        <v>481615644.88310158</v>
      </c>
    </row>
    <row r="1568" spans="1:5" hidden="1" x14ac:dyDescent="0.25">
      <c r="A1568">
        <v>38</v>
      </c>
      <c r="B1568">
        <v>3</v>
      </c>
      <c r="C1568" t="s">
        <v>39</v>
      </c>
      <c r="D1568" t="s">
        <v>2</v>
      </c>
      <c r="E1568">
        <f t="shared" ref="E1568:E1630" ca="1" si="25">OFFSET($B$2,A1568,B1568)</f>
        <v>580053352.87923586</v>
      </c>
    </row>
    <row r="1569" spans="1:5" hidden="1" x14ac:dyDescent="0.25">
      <c r="A1569">
        <v>38</v>
      </c>
      <c r="B1569">
        <v>4</v>
      </c>
      <c r="C1569" t="s">
        <v>39</v>
      </c>
      <c r="D1569" t="s">
        <v>3</v>
      </c>
      <c r="E1569">
        <f t="shared" ca="1" si="25"/>
        <v>356505187.39138019</v>
      </c>
    </row>
    <row r="1570" spans="1:5" hidden="1" x14ac:dyDescent="0.25">
      <c r="A1570">
        <v>38</v>
      </c>
      <c r="B1570">
        <v>5</v>
      </c>
      <c r="C1570" t="s">
        <v>39</v>
      </c>
      <c r="D1570" t="s">
        <v>4</v>
      </c>
      <c r="E1570">
        <f t="shared" ca="1" si="25"/>
        <v>371968896.53190142</v>
      </c>
    </row>
    <row r="1571" spans="1:5" hidden="1" x14ac:dyDescent="0.25">
      <c r="A1571">
        <v>38</v>
      </c>
      <c r="B1571">
        <v>6</v>
      </c>
      <c r="C1571" t="s">
        <v>39</v>
      </c>
      <c r="D1571" t="s">
        <v>5</v>
      </c>
      <c r="E1571">
        <f t="shared" ca="1" si="25"/>
        <v>491425670.2947585</v>
      </c>
    </row>
    <row r="1572" spans="1:5" hidden="1" x14ac:dyDescent="0.25">
      <c r="A1572">
        <v>38</v>
      </c>
      <c r="B1572">
        <v>7</v>
      </c>
      <c r="C1572" t="s">
        <v>39</v>
      </c>
      <c r="D1572" t="s">
        <v>6</v>
      </c>
      <c r="E1572">
        <f t="shared" ca="1" si="25"/>
        <v>352736672.76047283</v>
      </c>
    </row>
    <row r="1573" spans="1:5" hidden="1" x14ac:dyDescent="0.25">
      <c r="A1573">
        <v>38</v>
      </c>
      <c r="B1573">
        <v>8</v>
      </c>
      <c r="C1573" t="s">
        <v>39</v>
      </c>
      <c r="D1573" t="s">
        <v>7</v>
      </c>
      <c r="E1573">
        <f t="shared" ca="1" si="25"/>
        <v>273568999.93480873</v>
      </c>
    </row>
    <row r="1574" spans="1:5" hidden="1" x14ac:dyDescent="0.25">
      <c r="A1574">
        <v>38</v>
      </c>
      <c r="B1574">
        <v>9</v>
      </c>
      <c r="C1574" t="s">
        <v>39</v>
      </c>
      <c r="D1574" t="s">
        <v>148</v>
      </c>
      <c r="E1574">
        <f t="shared" ca="1" si="25"/>
        <v>472486487.18310153</v>
      </c>
    </row>
    <row r="1575" spans="1:5" hidden="1" x14ac:dyDescent="0.25">
      <c r="A1575">
        <v>38</v>
      </c>
      <c r="B1575">
        <v>10</v>
      </c>
      <c r="C1575" t="s">
        <v>39</v>
      </c>
      <c r="D1575" t="s">
        <v>9</v>
      </c>
      <c r="E1575">
        <f t="shared" ca="1" si="25"/>
        <v>419304673.59190142</v>
      </c>
    </row>
    <row r="1576" spans="1:5" hidden="1" x14ac:dyDescent="0.25">
      <c r="A1576">
        <v>38</v>
      </c>
      <c r="B1576">
        <v>11</v>
      </c>
      <c r="C1576" t="s">
        <v>39</v>
      </c>
      <c r="D1576" t="s">
        <v>10</v>
      </c>
      <c r="E1576">
        <f t="shared" ca="1" si="25"/>
        <v>88916636.348492563</v>
      </c>
    </row>
    <row r="1577" spans="1:5" hidden="1" x14ac:dyDescent="0.25">
      <c r="A1577">
        <v>38</v>
      </c>
      <c r="B1577">
        <v>12</v>
      </c>
      <c r="C1577" t="s">
        <v>39</v>
      </c>
      <c r="D1577" t="s">
        <v>11</v>
      </c>
      <c r="E1577">
        <f t="shared" ca="1" si="25"/>
        <v>191088326.137936</v>
      </c>
    </row>
    <row r="1578" spans="1:5" hidden="1" x14ac:dyDescent="0.25">
      <c r="A1578">
        <v>38</v>
      </c>
      <c r="B1578">
        <v>13</v>
      </c>
      <c r="C1578" t="s">
        <v>39</v>
      </c>
      <c r="D1578" t="s">
        <v>12</v>
      </c>
      <c r="E1578">
        <f t="shared" ca="1" si="25"/>
        <v>79192884.055263549</v>
      </c>
    </row>
    <row r="1579" spans="1:5" hidden="1" x14ac:dyDescent="0.25">
      <c r="A1579">
        <v>38</v>
      </c>
      <c r="B1579">
        <v>14</v>
      </c>
      <c r="C1579" t="s">
        <v>39</v>
      </c>
      <c r="D1579" t="s">
        <v>13</v>
      </c>
      <c r="E1579">
        <f t="shared" ca="1" si="25"/>
        <v>119315759.44726355</v>
      </c>
    </row>
    <row r="1580" spans="1:5" hidden="1" x14ac:dyDescent="0.25">
      <c r="A1580">
        <v>38</v>
      </c>
      <c r="B1580">
        <v>15</v>
      </c>
      <c r="C1580" t="s">
        <v>39</v>
      </c>
      <c r="D1580" t="s">
        <v>14</v>
      </c>
      <c r="E1580">
        <f t="shared" ca="1" si="25"/>
        <v>338328625.46406752</v>
      </c>
    </row>
    <row r="1581" spans="1:5" hidden="1" x14ac:dyDescent="0.25">
      <c r="A1581">
        <v>38</v>
      </c>
      <c r="B1581">
        <v>16</v>
      </c>
      <c r="C1581" t="s">
        <v>39</v>
      </c>
      <c r="D1581" t="s">
        <v>15</v>
      </c>
      <c r="E1581">
        <f t="shared" ca="1" si="25"/>
        <v>316226970.82296628</v>
      </c>
    </row>
    <row r="1582" spans="1:5" hidden="1" x14ac:dyDescent="0.25">
      <c r="A1582">
        <v>38</v>
      </c>
      <c r="B1582">
        <v>17</v>
      </c>
      <c r="C1582" t="s">
        <v>39</v>
      </c>
      <c r="D1582" t="s">
        <v>16</v>
      </c>
      <c r="E1582">
        <f t="shared" ca="1" si="25"/>
        <v>769680285.63363147</v>
      </c>
    </row>
    <row r="1583" spans="1:5" hidden="1" x14ac:dyDescent="0.25">
      <c r="A1583">
        <v>38</v>
      </c>
      <c r="B1583">
        <v>18</v>
      </c>
      <c r="C1583" t="s">
        <v>39</v>
      </c>
      <c r="D1583" t="s">
        <v>17</v>
      </c>
      <c r="E1583">
        <f t="shared" ca="1" si="25"/>
        <v>309639963.73096633</v>
      </c>
    </row>
    <row r="1584" spans="1:5" hidden="1" x14ac:dyDescent="0.25">
      <c r="A1584">
        <v>38</v>
      </c>
      <c r="B1584">
        <v>19</v>
      </c>
      <c r="C1584" t="s">
        <v>39</v>
      </c>
      <c r="D1584" t="s">
        <v>18</v>
      </c>
      <c r="E1584">
        <f t="shared" ca="1" si="25"/>
        <v>138353681.87714833</v>
      </c>
    </row>
    <row r="1585" spans="1:5" hidden="1" x14ac:dyDescent="0.25">
      <c r="A1585">
        <v>38</v>
      </c>
      <c r="B1585">
        <v>20</v>
      </c>
      <c r="C1585" t="s">
        <v>39</v>
      </c>
      <c r="D1585" t="s">
        <v>19</v>
      </c>
      <c r="E1585">
        <f t="shared" ca="1" si="25"/>
        <v>367553411.39125842</v>
      </c>
    </row>
    <row r="1586" spans="1:5" hidden="1" x14ac:dyDescent="0.25">
      <c r="A1586">
        <v>38</v>
      </c>
      <c r="B1586">
        <v>21</v>
      </c>
      <c r="C1586" t="s">
        <v>39</v>
      </c>
      <c r="D1586" t="s">
        <v>20</v>
      </c>
      <c r="E1586">
        <f t="shared" ca="1" si="25"/>
        <v>244835804.3395012</v>
      </c>
    </row>
    <row r="1587" spans="1:5" hidden="1" x14ac:dyDescent="0.25">
      <c r="A1587">
        <v>38</v>
      </c>
      <c r="B1587">
        <v>22</v>
      </c>
      <c r="C1587" t="s">
        <v>39</v>
      </c>
      <c r="D1587" t="s">
        <v>21</v>
      </c>
      <c r="E1587">
        <f t="shared" ca="1" si="25"/>
        <v>691817736.73087347</v>
      </c>
    </row>
    <row r="1588" spans="1:5" hidden="1" x14ac:dyDescent="0.25">
      <c r="A1588">
        <v>38</v>
      </c>
      <c r="B1588">
        <v>23</v>
      </c>
      <c r="C1588" t="s">
        <v>39</v>
      </c>
      <c r="D1588" t="s">
        <v>22</v>
      </c>
      <c r="E1588">
        <f t="shared" ca="1" si="25"/>
        <v>98909482.638902575</v>
      </c>
    </row>
    <row r="1589" spans="1:5" hidden="1" x14ac:dyDescent="0.25">
      <c r="A1589">
        <v>38</v>
      </c>
      <c r="B1589">
        <v>24</v>
      </c>
      <c r="C1589" t="s">
        <v>39</v>
      </c>
      <c r="D1589" t="s">
        <v>23</v>
      </c>
      <c r="E1589">
        <f t="shared" ca="1" si="25"/>
        <v>128329574.67890258</v>
      </c>
    </row>
    <row r="1590" spans="1:5" hidden="1" x14ac:dyDescent="0.25">
      <c r="A1590">
        <v>38</v>
      </c>
      <c r="B1590">
        <v>25</v>
      </c>
      <c r="C1590" t="s">
        <v>39</v>
      </c>
      <c r="D1590" t="s">
        <v>24</v>
      </c>
      <c r="E1590">
        <f t="shared" ca="1" si="25"/>
        <v>103811608.53890257</v>
      </c>
    </row>
    <row r="1591" spans="1:5" hidden="1" x14ac:dyDescent="0.25">
      <c r="A1591">
        <v>38</v>
      </c>
      <c r="B1591">
        <v>26</v>
      </c>
      <c r="C1591" t="s">
        <v>39</v>
      </c>
      <c r="D1591" t="s">
        <v>25</v>
      </c>
      <c r="E1591">
        <f t="shared" ca="1" si="25"/>
        <v>242919560.29198879</v>
      </c>
    </row>
    <row r="1592" spans="1:5" hidden="1" x14ac:dyDescent="0.25">
      <c r="A1592">
        <v>38</v>
      </c>
      <c r="B1592">
        <v>27</v>
      </c>
      <c r="C1592" t="s">
        <v>39</v>
      </c>
      <c r="D1592" t="s">
        <v>145</v>
      </c>
      <c r="E1592">
        <f t="shared" ca="1" si="25"/>
        <v>259052082.00325841</v>
      </c>
    </row>
    <row r="1593" spans="1:5" hidden="1" x14ac:dyDescent="0.25">
      <c r="A1593">
        <v>38</v>
      </c>
      <c r="B1593">
        <v>28</v>
      </c>
      <c r="C1593" t="s">
        <v>39</v>
      </c>
      <c r="D1593" t="s">
        <v>147</v>
      </c>
      <c r="E1593">
        <f t="shared" ca="1" si="25"/>
        <v>613347544.93887353</v>
      </c>
    </row>
    <row r="1594" spans="1:5" hidden="1" x14ac:dyDescent="0.25">
      <c r="A1594">
        <v>38</v>
      </c>
      <c r="B1594">
        <v>29</v>
      </c>
      <c r="C1594" t="s">
        <v>39</v>
      </c>
      <c r="D1594" t="s">
        <v>146</v>
      </c>
      <c r="E1594">
        <f t="shared" ca="1" si="25"/>
        <v>101210655.82104872</v>
      </c>
    </row>
    <row r="1595" spans="1:5" hidden="1" x14ac:dyDescent="0.25">
      <c r="A1595">
        <v>38</v>
      </c>
      <c r="B1595">
        <v>30</v>
      </c>
      <c r="C1595" t="s">
        <v>39</v>
      </c>
      <c r="D1595" t="s">
        <v>30</v>
      </c>
      <c r="E1595">
        <f t="shared" ca="1" si="25"/>
        <v>538209130.61995149</v>
      </c>
    </row>
    <row r="1596" spans="1:5" hidden="1" x14ac:dyDescent="0.25">
      <c r="A1596">
        <v>38</v>
      </c>
      <c r="B1596">
        <v>31</v>
      </c>
      <c r="C1596" t="s">
        <v>39</v>
      </c>
      <c r="D1596" t="s">
        <v>31</v>
      </c>
      <c r="E1596">
        <f t="shared" ca="1" si="25"/>
        <v>1061496057.6770375</v>
      </c>
    </row>
    <row r="1597" spans="1:5" hidden="1" x14ac:dyDescent="0.25">
      <c r="A1597">
        <v>38</v>
      </c>
      <c r="B1597">
        <v>32</v>
      </c>
      <c r="C1597" t="s">
        <v>39</v>
      </c>
      <c r="D1597" t="s">
        <v>32</v>
      </c>
      <c r="E1597">
        <f t="shared" ca="1" si="25"/>
        <v>133735660.77303761</v>
      </c>
    </row>
    <row r="1598" spans="1:5" hidden="1" x14ac:dyDescent="0.25">
      <c r="A1598">
        <v>38</v>
      </c>
      <c r="B1598">
        <v>33</v>
      </c>
      <c r="C1598" t="s">
        <v>39</v>
      </c>
      <c r="D1598" t="s">
        <v>33</v>
      </c>
      <c r="E1598">
        <f t="shared" ca="1" si="25"/>
        <v>746220644.06924891</v>
      </c>
    </row>
    <row r="1599" spans="1:5" hidden="1" x14ac:dyDescent="0.25">
      <c r="A1599">
        <v>38</v>
      </c>
      <c r="B1599">
        <v>34</v>
      </c>
      <c r="C1599" t="s">
        <v>39</v>
      </c>
      <c r="D1599" t="s">
        <v>34</v>
      </c>
      <c r="E1599">
        <f t="shared" ca="1" si="25"/>
        <v>938704196.21324885</v>
      </c>
    </row>
    <row r="1600" spans="1:5" hidden="1" x14ac:dyDescent="0.25">
      <c r="A1600">
        <v>38</v>
      </c>
      <c r="B1600">
        <v>35</v>
      </c>
      <c r="C1600" t="s">
        <v>39</v>
      </c>
      <c r="D1600" t="s">
        <v>35</v>
      </c>
      <c r="E1600">
        <f t="shared" ca="1" si="25"/>
        <v>459417814.78710157</v>
      </c>
    </row>
    <row r="1601" spans="1:5" hidden="1" x14ac:dyDescent="0.25">
      <c r="A1601">
        <v>38</v>
      </c>
      <c r="B1601">
        <v>36</v>
      </c>
      <c r="C1601" t="s">
        <v>39</v>
      </c>
      <c r="D1601" t="s">
        <v>36</v>
      </c>
      <c r="E1601">
        <f t="shared" ca="1" si="25"/>
        <v>0</v>
      </c>
    </row>
    <row r="1602" spans="1:5" hidden="1" x14ac:dyDescent="0.25">
      <c r="A1602">
        <v>38</v>
      </c>
      <c r="B1602">
        <v>37</v>
      </c>
      <c r="C1602" t="s">
        <v>39</v>
      </c>
      <c r="D1602" t="s">
        <v>37</v>
      </c>
      <c r="E1602">
        <f t="shared" ca="1" si="25"/>
        <v>214172318.3270098</v>
      </c>
    </row>
    <row r="1603" spans="1:5" hidden="1" x14ac:dyDescent="0.25">
      <c r="A1603">
        <v>38</v>
      </c>
      <c r="B1603">
        <v>38</v>
      </c>
      <c r="C1603" t="s">
        <v>39</v>
      </c>
      <c r="D1603" t="s">
        <v>38</v>
      </c>
      <c r="E1603">
        <f t="shared" ca="1" si="25"/>
        <v>0</v>
      </c>
    </row>
    <row r="1604" spans="1:5" hidden="1" x14ac:dyDescent="0.25">
      <c r="A1604">
        <v>38</v>
      </c>
      <c r="B1604">
        <v>39</v>
      </c>
      <c r="C1604" t="s">
        <v>39</v>
      </c>
      <c r="D1604" t="s">
        <v>39</v>
      </c>
      <c r="E1604">
        <f t="shared" ca="1" si="25"/>
        <v>2828407.2319999998</v>
      </c>
    </row>
    <row r="1605" spans="1:5" hidden="1" x14ac:dyDescent="0.25">
      <c r="A1605">
        <v>38</v>
      </c>
      <c r="B1605">
        <v>40</v>
      </c>
      <c r="C1605" t="s">
        <v>39</v>
      </c>
      <c r="D1605" t="s">
        <v>40</v>
      </c>
      <c r="E1605">
        <f t="shared" ca="1" si="25"/>
        <v>156966216.96000001</v>
      </c>
    </row>
    <row r="1606" spans="1:5" hidden="1" x14ac:dyDescent="0.25">
      <c r="A1606">
        <v>39</v>
      </c>
      <c r="B1606">
        <v>1</v>
      </c>
      <c r="C1606" t="s">
        <v>40</v>
      </c>
      <c r="D1606" t="s">
        <v>0</v>
      </c>
      <c r="E1606">
        <f t="shared" ca="1" si="25"/>
        <v>727836972.150262</v>
      </c>
    </row>
    <row r="1607" spans="1:5" hidden="1" x14ac:dyDescent="0.25">
      <c r="A1607">
        <v>39</v>
      </c>
      <c r="B1607">
        <v>2</v>
      </c>
      <c r="C1607" t="s">
        <v>40</v>
      </c>
      <c r="D1607" t="s">
        <v>1</v>
      </c>
      <c r="E1607">
        <f t="shared" ca="1" si="25"/>
        <v>604305503.58883333</v>
      </c>
    </row>
    <row r="1608" spans="1:5" hidden="1" x14ac:dyDescent="0.25">
      <c r="A1608">
        <v>39</v>
      </c>
      <c r="B1608">
        <v>3</v>
      </c>
      <c r="C1608" t="s">
        <v>40</v>
      </c>
      <c r="D1608" t="s">
        <v>2</v>
      </c>
      <c r="E1608">
        <f t="shared" ca="1" si="25"/>
        <v>801586773.67050898</v>
      </c>
    </row>
    <row r="1609" spans="1:5" hidden="1" x14ac:dyDescent="0.25">
      <c r="A1609">
        <v>39</v>
      </c>
      <c r="B1609">
        <v>4</v>
      </c>
      <c r="C1609" t="s">
        <v>40</v>
      </c>
      <c r="D1609" t="s">
        <v>3</v>
      </c>
      <c r="E1609">
        <f t="shared" ca="1" si="25"/>
        <v>413446894.86839873</v>
      </c>
    </row>
    <row r="1610" spans="1:5" hidden="1" x14ac:dyDescent="0.25">
      <c r="A1610">
        <v>39</v>
      </c>
      <c r="B1610">
        <v>5</v>
      </c>
      <c r="C1610" t="s">
        <v>40</v>
      </c>
      <c r="D1610" t="s">
        <v>4</v>
      </c>
      <c r="E1610">
        <f t="shared" ca="1" si="25"/>
        <v>411996550.34181863</v>
      </c>
    </row>
    <row r="1611" spans="1:5" hidden="1" x14ac:dyDescent="0.25">
      <c r="A1611">
        <v>39</v>
      </c>
      <c r="B1611">
        <v>6</v>
      </c>
      <c r="C1611" t="s">
        <v>40</v>
      </c>
      <c r="D1611" t="s">
        <v>5</v>
      </c>
      <c r="E1611">
        <f t="shared" ca="1" si="25"/>
        <v>531453324.10467577</v>
      </c>
    </row>
    <row r="1612" spans="1:5" hidden="1" x14ac:dyDescent="0.25">
      <c r="A1612">
        <v>39</v>
      </c>
      <c r="B1612">
        <v>7</v>
      </c>
      <c r="C1612" t="s">
        <v>40</v>
      </c>
      <c r="D1612" t="s">
        <v>6</v>
      </c>
      <c r="E1612">
        <f t="shared" ca="1" si="25"/>
        <v>392764326.57039005</v>
      </c>
    </row>
    <row r="1613" spans="1:5" hidden="1" x14ac:dyDescent="0.25">
      <c r="A1613">
        <v>39</v>
      </c>
      <c r="B1613">
        <v>8</v>
      </c>
      <c r="C1613" t="s">
        <v>40</v>
      </c>
      <c r="D1613" t="s">
        <v>7</v>
      </c>
      <c r="E1613">
        <f t="shared" ca="1" si="25"/>
        <v>330510707.41182733</v>
      </c>
    </row>
    <row r="1614" spans="1:5" hidden="1" x14ac:dyDescent="0.25">
      <c r="A1614">
        <v>39</v>
      </c>
      <c r="B1614">
        <v>9</v>
      </c>
      <c r="C1614" t="s">
        <v>40</v>
      </c>
      <c r="D1614" t="s">
        <v>148</v>
      </c>
      <c r="E1614">
        <f t="shared" ca="1" si="25"/>
        <v>595176345.8888334</v>
      </c>
    </row>
    <row r="1615" spans="1:5" hidden="1" x14ac:dyDescent="0.25">
      <c r="A1615">
        <v>39</v>
      </c>
      <c r="B1615">
        <v>10</v>
      </c>
      <c r="C1615" t="s">
        <v>40</v>
      </c>
      <c r="D1615" t="s">
        <v>9</v>
      </c>
      <c r="E1615">
        <f t="shared" ca="1" si="25"/>
        <v>459332327.40181863</v>
      </c>
    </row>
    <row r="1616" spans="1:5" hidden="1" x14ac:dyDescent="0.25">
      <c r="A1616">
        <v>39</v>
      </c>
      <c r="B1616">
        <v>11</v>
      </c>
      <c r="C1616" t="s">
        <v>40</v>
      </c>
      <c r="D1616" t="s">
        <v>10</v>
      </c>
      <c r="E1616">
        <f t="shared" ca="1" si="25"/>
        <v>245158608.35347027</v>
      </c>
    </row>
    <row r="1617" spans="1:5" hidden="1" x14ac:dyDescent="0.25">
      <c r="A1617">
        <v>39</v>
      </c>
      <c r="B1617">
        <v>12</v>
      </c>
      <c r="C1617" t="s">
        <v>40</v>
      </c>
      <c r="D1617" t="s">
        <v>11</v>
      </c>
      <c r="E1617">
        <f t="shared" ca="1" si="25"/>
        <v>122386154.51936096</v>
      </c>
    </row>
    <row r="1618" spans="1:5" hidden="1" x14ac:dyDescent="0.25">
      <c r="A1618">
        <v>39</v>
      </c>
      <c r="B1618">
        <v>13</v>
      </c>
      <c r="C1618" t="s">
        <v>40</v>
      </c>
      <c r="D1618" t="s">
        <v>12</v>
      </c>
      <c r="E1618">
        <f t="shared" ca="1" si="25"/>
        <v>78993427.953550577</v>
      </c>
    </row>
    <row r="1619" spans="1:5" hidden="1" x14ac:dyDescent="0.25">
      <c r="A1619">
        <v>39</v>
      </c>
      <c r="B1619">
        <v>14</v>
      </c>
      <c r="C1619" t="s">
        <v>40</v>
      </c>
      <c r="D1619" t="s">
        <v>13</v>
      </c>
      <c r="E1619">
        <f t="shared" ca="1" si="25"/>
        <v>119116303.3455506</v>
      </c>
    </row>
    <row r="1620" spans="1:5" hidden="1" x14ac:dyDescent="0.25">
      <c r="A1620">
        <v>39</v>
      </c>
      <c r="B1620">
        <v>15</v>
      </c>
      <c r="C1620" t="s">
        <v>40</v>
      </c>
      <c r="D1620" t="s">
        <v>14</v>
      </c>
      <c r="E1620">
        <f t="shared" ca="1" si="25"/>
        <v>389612202.94063109</v>
      </c>
    </row>
    <row r="1621" spans="1:5" hidden="1" x14ac:dyDescent="0.25">
      <c r="A1621">
        <v>39</v>
      </c>
      <c r="B1621">
        <v>16</v>
      </c>
      <c r="C1621" t="s">
        <v>40</v>
      </c>
      <c r="D1621" t="s">
        <v>15</v>
      </c>
      <c r="E1621">
        <f t="shared" ca="1" si="25"/>
        <v>385033659.15949833</v>
      </c>
    </row>
    <row r="1622" spans="1:5" hidden="1" x14ac:dyDescent="0.25">
      <c r="A1622">
        <v>39</v>
      </c>
      <c r="B1622">
        <v>17</v>
      </c>
      <c r="C1622" t="s">
        <v>40</v>
      </c>
      <c r="D1622" t="s">
        <v>16</v>
      </c>
      <c r="E1622">
        <f t="shared" ca="1" si="25"/>
        <v>885818929.85196042</v>
      </c>
    </row>
    <row r="1623" spans="1:5" hidden="1" x14ac:dyDescent="0.25">
      <c r="A1623">
        <v>39</v>
      </c>
      <c r="B1623">
        <v>18</v>
      </c>
      <c r="C1623" t="s">
        <v>40</v>
      </c>
      <c r="D1623" t="s">
        <v>17</v>
      </c>
      <c r="E1623">
        <f t="shared" ca="1" si="25"/>
        <v>378446652.06749839</v>
      </c>
    </row>
    <row r="1624" spans="1:5" hidden="1" x14ac:dyDescent="0.25">
      <c r="A1624">
        <v>39</v>
      </c>
      <c r="B1624">
        <v>19</v>
      </c>
      <c r="C1624" t="s">
        <v>40</v>
      </c>
      <c r="D1624" t="s">
        <v>18</v>
      </c>
      <c r="E1624">
        <f t="shared" ca="1" si="25"/>
        <v>143960164.63494378</v>
      </c>
    </row>
    <row r="1625" spans="1:5" hidden="1" x14ac:dyDescent="0.25">
      <c r="A1625">
        <v>39</v>
      </c>
      <c r="B1625">
        <v>20</v>
      </c>
      <c r="C1625" t="s">
        <v>40</v>
      </c>
      <c r="D1625" t="s">
        <v>19</v>
      </c>
      <c r="E1625">
        <f t="shared" ca="1" si="25"/>
        <v>554977844.46318543</v>
      </c>
    </row>
    <row r="1626" spans="1:5" hidden="1" x14ac:dyDescent="0.25">
      <c r="A1626">
        <v>39</v>
      </c>
      <c r="B1626">
        <v>21</v>
      </c>
      <c r="C1626" t="s">
        <v>40</v>
      </c>
      <c r="D1626" t="s">
        <v>20</v>
      </c>
      <c r="E1626">
        <f t="shared" ca="1" si="25"/>
        <v>441894696.80872822</v>
      </c>
    </row>
    <row r="1627" spans="1:5" hidden="1" x14ac:dyDescent="0.25">
      <c r="A1627">
        <v>39</v>
      </c>
      <c r="B1627">
        <v>22</v>
      </c>
      <c r="C1627" t="s">
        <v>40</v>
      </c>
      <c r="D1627" t="s">
        <v>21</v>
      </c>
      <c r="E1627">
        <f t="shared" ca="1" si="25"/>
        <v>695426567.29357946</v>
      </c>
    </row>
    <row r="1628" spans="1:5" hidden="1" x14ac:dyDescent="0.25">
      <c r="A1628">
        <v>39</v>
      </c>
      <c r="B1628">
        <v>23</v>
      </c>
      <c r="C1628" t="s">
        <v>40</v>
      </c>
      <c r="D1628" t="s">
        <v>22</v>
      </c>
      <c r="E1628">
        <f t="shared" ca="1" si="25"/>
        <v>97551699.154128015</v>
      </c>
    </row>
    <row r="1629" spans="1:5" hidden="1" x14ac:dyDescent="0.25">
      <c r="A1629">
        <v>39</v>
      </c>
      <c r="B1629">
        <v>24</v>
      </c>
      <c r="C1629" t="s">
        <v>40</v>
      </c>
      <c r="D1629" t="s">
        <v>23</v>
      </c>
      <c r="E1629">
        <f t="shared" ca="1" si="25"/>
        <v>126971791.19412801</v>
      </c>
    </row>
    <row r="1630" spans="1:5" hidden="1" x14ac:dyDescent="0.25">
      <c r="A1630">
        <v>39</v>
      </c>
      <c r="B1630">
        <v>25</v>
      </c>
      <c r="C1630" t="s">
        <v>40</v>
      </c>
      <c r="D1630" t="s">
        <v>24</v>
      </c>
      <c r="E1630">
        <f t="shared" ca="1" si="25"/>
        <v>102453825.05412802</v>
      </c>
    </row>
    <row r="1631" spans="1:5" hidden="1" x14ac:dyDescent="0.25">
      <c r="A1631">
        <v>39</v>
      </c>
      <c r="B1631">
        <v>26</v>
      </c>
      <c r="C1631" t="s">
        <v>40</v>
      </c>
      <c r="D1631" t="s">
        <v>25</v>
      </c>
      <c r="E1631">
        <f t="shared" ref="E1631:E1645" ca="1" si="26">OFFSET($B$2,A1631,B1631)</f>
        <v>292417745.58063108</v>
      </c>
    </row>
    <row r="1632" spans="1:5" hidden="1" x14ac:dyDescent="0.25">
      <c r="A1632">
        <v>39</v>
      </c>
      <c r="B1632">
        <v>27</v>
      </c>
      <c r="C1632" t="s">
        <v>40</v>
      </c>
      <c r="D1632" t="s">
        <v>145</v>
      </c>
      <c r="E1632">
        <f t="shared" ca="1" si="26"/>
        <v>446476515.07518536</v>
      </c>
    </row>
    <row r="1633" spans="1:10" hidden="1" x14ac:dyDescent="0.25">
      <c r="A1633">
        <v>39</v>
      </c>
      <c r="B1633">
        <v>28</v>
      </c>
      <c r="C1633" t="s">
        <v>40</v>
      </c>
      <c r="D1633" t="s">
        <v>147</v>
      </c>
      <c r="E1633">
        <f t="shared" ca="1" si="26"/>
        <v>616956375.50157952</v>
      </c>
    </row>
    <row r="1634" spans="1:10" hidden="1" x14ac:dyDescent="0.25">
      <c r="A1634">
        <v>39</v>
      </c>
      <c r="B1634">
        <v>29</v>
      </c>
      <c r="C1634" t="s">
        <v>40</v>
      </c>
      <c r="D1634" t="s">
        <v>146</v>
      </c>
      <c r="E1634">
        <f t="shared" ca="1" si="26"/>
        <v>99985863.794128016</v>
      </c>
    </row>
    <row r="1635" spans="1:10" hidden="1" x14ac:dyDescent="0.25">
      <c r="A1635">
        <v>39</v>
      </c>
      <c r="B1635">
        <v>30</v>
      </c>
      <c r="C1635" t="s">
        <v>40</v>
      </c>
      <c r="D1635" t="s">
        <v>30</v>
      </c>
      <c r="E1635">
        <f t="shared" ca="1" si="26"/>
        <v>595150838.09697008</v>
      </c>
    </row>
    <row r="1636" spans="1:10" hidden="1" x14ac:dyDescent="0.25">
      <c r="A1636">
        <v>39</v>
      </c>
      <c r="B1636">
        <v>31</v>
      </c>
      <c r="C1636" t="s">
        <v>40</v>
      </c>
      <c r="D1636" t="s">
        <v>31</v>
      </c>
      <c r="E1636">
        <f t="shared" ca="1" si="26"/>
        <v>1071372063.9714243</v>
      </c>
    </row>
    <row r="1637" spans="1:10" hidden="1" x14ac:dyDescent="0.25">
      <c r="A1637">
        <v>39</v>
      </c>
      <c r="B1637">
        <v>32</v>
      </c>
      <c r="C1637" t="s">
        <v>40</v>
      </c>
      <c r="D1637" t="s">
        <v>32</v>
      </c>
      <c r="E1637">
        <f t="shared" ca="1" si="26"/>
        <v>143611667.06742454</v>
      </c>
    </row>
    <row r="1638" spans="1:10" hidden="1" x14ac:dyDescent="0.25">
      <c r="A1638">
        <v>39</v>
      </c>
      <c r="B1638">
        <v>33</v>
      </c>
      <c r="C1638" t="s">
        <v>40</v>
      </c>
      <c r="D1638" t="s">
        <v>33</v>
      </c>
      <c r="E1638">
        <f t="shared" ca="1" si="26"/>
        <v>859592694.14437628</v>
      </c>
    </row>
    <row r="1639" spans="1:10" hidden="1" x14ac:dyDescent="0.25">
      <c r="A1639">
        <v>39</v>
      </c>
      <c r="B1639">
        <v>34</v>
      </c>
      <c r="C1639" t="s">
        <v>40</v>
      </c>
      <c r="D1639" t="s">
        <v>34</v>
      </c>
      <c r="E1639">
        <f t="shared" ca="1" si="26"/>
        <v>1052076246.2883762</v>
      </c>
    </row>
    <row r="1640" spans="1:10" hidden="1" x14ac:dyDescent="0.25">
      <c r="A1640">
        <v>39</v>
      </c>
      <c r="B1640">
        <v>35</v>
      </c>
      <c r="C1640" t="s">
        <v>40</v>
      </c>
      <c r="D1640" t="s">
        <v>35</v>
      </c>
      <c r="E1640">
        <f t="shared" ca="1" si="26"/>
        <v>582107673.49283338</v>
      </c>
    </row>
    <row r="1641" spans="1:10" hidden="1" x14ac:dyDescent="0.25">
      <c r="A1641">
        <v>39</v>
      </c>
      <c r="B1641">
        <v>36</v>
      </c>
      <c r="C1641" t="s">
        <v>40</v>
      </c>
      <c r="D1641" t="s">
        <v>36</v>
      </c>
      <c r="E1641">
        <f t="shared" ca="1" si="26"/>
        <v>171784175.07336694</v>
      </c>
    </row>
    <row r="1642" spans="1:10" hidden="1" x14ac:dyDescent="0.25">
      <c r="A1642">
        <v>39</v>
      </c>
      <c r="B1642">
        <v>37</v>
      </c>
      <c r="C1642" t="s">
        <v>40</v>
      </c>
      <c r="D1642" t="s">
        <v>37</v>
      </c>
      <c r="E1642">
        <f t="shared" ca="1" si="26"/>
        <v>121279066.03200001</v>
      </c>
    </row>
    <row r="1643" spans="1:10" hidden="1" x14ac:dyDescent="0.25">
      <c r="A1643">
        <v>39</v>
      </c>
      <c r="B1643">
        <v>38</v>
      </c>
      <c r="C1643" t="s">
        <v>40</v>
      </c>
      <c r="D1643" t="s">
        <v>38</v>
      </c>
      <c r="E1643">
        <f t="shared" ca="1" si="26"/>
        <v>2828407.2319999998</v>
      </c>
    </row>
    <row r="1644" spans="1:10" hidden="1" x14ac:dyDescent="0.25">
      <c r="A1644">
        <v>39</v>
      </c>
      <c r="B1644">
        <v>39</v>
      </c>
      <c r="C1644" t="s">
        <v>40</v>
      </c>
      <c r="D1644" t="s">
        <v>39</v>
      </c>
      <c r="E1644">
        <f t="shared" ca="1" si="26"/>
        <v>0</v>
      </c>
    </row>
    <row r="1645" spans="1:10" hidden="1" x14ac:dyDescent="0.25">
      <c r="A1645">
        <v>39</v>
      </c>
      <c r="B1645">
        <v>40</v>
      </c>
      <c r="C1645" t="s">
        <v>40</v>
      </c>
      <c r="D1645" t="s">
        <v>40</v>
      </c>
      <c r="E1645">
        <f t="shared" ca="1" si="26"/>
        <v>156966216.96000001</v>
      </c>
    </row>
    <row r="1646" spans="1:10" x14ac:dyDescent="0.25">
      <c r="J1646">
        <v>2</v>
      </c>
    </row>
    <row r="1647" spans="1:10" x14ac:dyDescent="0.25">
      <c r="J1647">
        <v>14</v>
      </c>
    </row>
    <row r="1648" spans="1:10" x14ac:dyDescent="0.25">
      <c r="J1648">
        <v>16</v>
      </c>
    </row>
    <row r="1649" spans="10:10" x14ac:dyDescent="0.25">
      <c r="J1649">
        <v>28</v>
      </c>
    </row>
    <row r="1650" spans="10:10" x14ac:dyDescent="0.25">
      <c r="J1650">
        <v>36</v>
      </c>
    </row>
  </sheetData>
  <autoFilter ref="A45:E1645" xr:uid="{CC208EDF-E11B-4E3F-A9BE-AF04AD9D39EA}">
    <filterColumn colId="2">
      <filters>
        <filter val="BE25"/>
      </filters>
    </filterColumn>
  </autoFilter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6A169C-B5C9-49C9-8F9D-B90DD19E44B8}">
  <dimension ref="B2:AP42"/>
  <sheetViews>
    <sheetView topLeftCell="AA1" workbookViewId="0">
      <selection activeCell="C63" sqref="C63"/>
    </sheetView>
  </sheetViews>
  <sheetFormatPr baseColWidth="10" defaultRowHeight="15" x14ac:dyDescent="0.25"/>
  <sheetData>
    <row r="2" spans="2:42" x14ac:dyDescent="0.25">
      <c r="C2" t="s">
        <v>0</v>
      </c>
      <c r="D2" t="s">
        <v>1</v>
      </c>
      <c r="E2" t="s">
        <v>2</v>
      </c>
      <c r="F2" t="s">
        <v>3</v>
      </c>
      <c r="G2" t="s">
        <v>4</v>
      </c>
      <c r="H2" t="s">
        <v>5</v>
      </c>
      <c r="I2" t="s">
        <v>6</v>
      </c>
      <c r="J2" t="s">
        <v>7</v>
      </c>
      <c r="K2" t="s">
        <v>148</v>
      </c>
      <c r="L2" t="s">
        <v>9</v>
      </c>
      <c r="M2" t="s">
        <v>10</v>
      </c>
      <c r="N2" t="s">
        <v>11</v>
      </c>
      <c r="O2" t="s">
        <v>12</v>
      </c>
      <c r="P2" t="s">
        <v>13</v>
      </c>
      <c r="Q2" t="s">
        <v>14</v>
      </c>
      <c r="R2" t="s">
        <v>15</v>
      </c>
      <c r="S2" t="s">
        <v>16</v>
      </c>
      <c r="T2" t="s">
        <v>17</v>
      </c>
      <c r="U2" t="s">
        <v>145</v>
      </c>
      <c r="V2" t="s">
        <v>146</v>
      </c>
      <c r="W2" t="s">
        <v>18</v>
      </c>
      <c r="X2" t="s">
        <v>19</v>
      </c>
      <c r="Y2" t="s">
        <v>20</v>
      </c>
      <c r="Z2" t="s">
        <v>21</v>
      </c>
      <c r="AA2" t="s">
        <v>22</v>
      </c>
      <c r="AB2" t="s">
        <v>23</v>
      </c>
      <c r="AC2" t="s">
        <v>24</v>
      </c>
      <c r="AD2" t="s">
        <v>25</v>
      </c>
      <c r="AE2" t="s">
        <v>147</v>
      </c>
      <c r="AF2" t="s">
        <v>30</v>
      </c>
      <c r="AG2" t="s">
        <v>31</v>
      </c>
      <c r="AH2" t="s">
        <v>32</v>
      </c>
      <c r="AI2" t="s">
        <v>33</v>
      </c>
      <c r="AJ2" t="s">
        <v>34</v>
      </c>
      <c r="AK2" t="s">
        <v>35</v>
      </c>
      <c r="AL2" t="s">
        <v>36</v>
      </c>
      <c r="AM2" t="s">
        <v>37</v>
      </c>
      <c r="AN2" t="s">
        <v>38</v>
      </c>
      <c r="AO2" t="s">
        <v>39</v>
      </c>
      <c r="AP2" t="s">
        <v>40</v>
      </c>
    </row>
    <row r="3" spans="2:42" x14ac:dyDescent="0.25">
      <c r="B3" t="s">
        <v>0</v>
      </c>
      <c r="C3">
        <v>0</v>
      </c>
      <c r="D3">
        <v>0</v>
      </c>
      <c r="E3">
        <v>872717786.04490113</v>
      </c>
      <c r="F3">
        <v>717981925.12350547</v>
      </c>
      <c r="G3">
        <v>741059562.42128873</v>
      </c>
      <c r="H3">
        <v>741059562.42128873</v>
      </c>
      <c r="I3">
        <v>741059562.42128873</v>
      </c>
      <c r="J3">
        <v>717981925.12350547</v>
      </c>
      <c r="K3">
        <v>0</v>
      </c>
      <c r="L3">
        <v>741059562.42128873</v>
      </c>
      <c r="M3">
        <v>563145024.56339049</v>
      </c>
      <c r="N3">
        <v>498367234.11021096</v>
      </c>
      <c r="O3">
        <v>378558644.75431526</v>
      </c>
      <c r="P3">
        <v>378558644.75431526</v>
      </c>
      <c r="Q3">
        <v>301296730.35344291</v>
      </c>
      <c r="R3">
        <v>300241167.10205203</v>
      </c>
      <c r="S3">
        <v>751563768.80303359</v>
      </c>
      <c r="T3">
        <v>300241167.10205203</v>
      </c>
      <c r="U3">
        <v>744272517.42394555</v>
      </c>
      <c r="V3">
        <v>607408943.91668081</v>
      </c>
      <c r="W3">
        <v>872759476.89895844</v>
      </c>
      <c r="X3">
        <v>4245589763.6770844</v>
      </c>
      <c r="Y3">
        <v>418204834.71027011</v>
      </c>
      <c r="Z3">
        <v>418204834.71027011</v>
      </c>
      <c r="AA3">
        <v>418204834.71027011</v>
      </c>
      <c r="AB3">
        <v>301296730.35344291</v>
      </c>
      <c r="AC3">
        <v>607408943.91668081</v>
      </c>
      <c r="AD3">
        <v>418204834.71027011</v>
      </c>
      <c r="AE3">
        <v>717981925.12350547</v>
      </c>
      <c r="AF3">
        <v>342128377.77334028</v>
      </c>
      <c r="AG3">
        <v>342128377.77334028</v>
      </c>
      <c r="AH3">
        <v>2193966867.9333339</v>
      </c>
      <c r="AI3">
        <v>2193966867.9333339</v>
      </c>
      <c r="AJ3">
        <v>0</v>
      </c>
      <c r="AK3">
        <v>441482678.50809598</v>
      </c>
      <c r="AL3">
        <v>467243148.24347186</v>
      </c>
      <c r="AM3">
        <v>441482678.50809598</v>
      </c>
      <c r="AN3">
        <v>578770918.09302032</v>
      </c>
      <c r="AO3">
        <v>467243148.24347186</v>
      </c>
    </row>
    <row r="4" spans="2:42" x14ac:dyDescent="0.25">
      <c r="B4" t="s">
        <v>1</v>
      </c>
      <c r="C4">
        <v>0</v>
      </c>
      <c r="D4">
        <v>0</v>
      </c>
      <c r="E4">
        <v>872717786.04490113</v>
      </c>
      <c r="F4">
        <v>717981925.12350547</v>
      </c>
      <c r="G4">
        <v>741059562.42128873</v>
      </c>
      <c r="H4">
        <v>741059562.42128873</v>
      </c>
      <c r="I4">
        <v>741059562.42128873</v>
      </c>
      <c r="J4">
        <v>717981925.12350547</v>
      </c>
      <c r="K4">
        <v>0</v>
      </c>
      <c r="L4">
        <v>741059562.42128873</v>
      </c>
      <c r="M4">
        <v>563145024.56339049</v>
      </c>
      <c r="N4">
        <v>498367234.11021096</v>
      </c>
      <c r="O4">
        <v>378558644.75431526</v>
      </c>
      <c r="P4">
        <v>378558644.75431526</v>
      </c>
      <c r="Q4">
        <v>301296730.35344291</v>
      </c>
      <c r="R4">
        <v>300241167.10205203</v>
      </c>
      <c r="S4">
        <v>751563768.80303359</v>
      </c>
      <c r="T4">
        <v>300241167.10205203</v>
      </c>
      <c r="U4">
        <v>744272517.42394555</v>
      </c>
      <c r="V4">
        <v>607408943.91668081</v>
      </c>
      <c r="W4">
        <v>872759476.89895844</v>
      </c>
      <c r="X4">
        <v>4245589763.6770844</v>
      </c>
      <c r="Y4">
        <v>418204834.71027011</v>
      </c>
      <c r="Z4">
        <v>418204834.71027011</v>
      </c>
      <c r="AA4">
        <v>418204834.71027011</v>
      </c>
      <c r="AB4">
        <v>301296730.35344291</v>
      </c>
      <c r="AC4">
        <v>607408943.91668081</v>
      </c>
      <c r="AD4">
        <v>418204834.71027011</v>
      </c>
      <c r="AE4">
        <v>717981925.12350547</v>
      </c>
      <c r="AF4">
        <v>342128377.77334028</v>
      </c>
      <c r="AG4">
        <v>342128377.77334028</v>
      </c>
      <c r="AH4">
        <v>2193966867.9333339</v>
      </c>
      <c r="AI4">
        <v>2193966867.9333339</v>
      </c>
      <c r="AJ4">
        <v>0</v>
      </c>
      <c r="AK4">
        <v>441482678.50809598</v>
      </c>
      <c r="AL4">
        <v>467243148.24347186</v>
      </c>
      <c r="AM4">
        <v>441482678.50809598</v>
      </c>
      <c r="AN4">
        <v>578770918.09302032</v>
      </c>
      <c r="AO4">
        <v>467243148.24347186</v>
      </c>
    </row>
    <row r="5" spans="2:42" x14ac:dyDescent="0.25">
      <c r="B5" t="s">
        <v>2</v>
      </c>
      <c r="C5">
        <v>872717786.04490113</v>
      </c>
      <c r="D5">
        <v>872717786.04490113</v>
      </c>
      <c r="E5">
        <v>0</v>
      </c>
      <c r="F5">
        <v>367950341.75794429</v>
      </c>
      <c r="G5">
        <v>524551406.13536614</v>
      </c>
      <c r="H5">
        <v>524551406.13536614</v>
      </c>
      <c r="I5">
        <v>524551406.13536614</v>
      </c>
      <c r="J5">
        <v>367950341.75794429</v>
      </c>
      <c r="K5">
        <v>872717786.04490113</v>
      </c>
      <c r="L5">
        <v>524551406.13536614</v>
      </c>
      <c r="M5">
        <v>388139611.59904063</v>
      </c>
      <c r="N5">
        <v>447617371.2581535</v>
      </c>
      <c r="O5">
        <v>176992193.94545907</v>
      </c>
      <c r="P5">
        <v>176992193.94545907</v>
      </c>
      <c r="Q5">
        <v>605262179.13824165</v>
      </c>
      <c r="R5">
        <v>451999188.46926332</v>
      </c>
      <c r="S5">
        <v>830402837.39484024</v>
      </c>
      <c r="T5">
        <v>451999188.46926332</v>
      </c>
      <c r="U5">
        <v>240592427.4918597</v>
      </c>
      <c r="V5">
        <v>679550489.96115661</v>
      </c>
      <c r="W5">
        <v>513124343.96202743</v>
      </c>
      <c r="X5">
        <v>366612029.93662989</v>
      </c>
      <c r="Y5">
        <v>366961357.19985533</v>
      </c>
      <c r="Z5">
        <v>366961357.19985533</v>
      </c>
      <c r="AA5">
        <v>366961357.19985533</v>
      </c>
      <c r="AB5">
        <v>605262179.13824165</v>
      </c>
      <c r="AC5">
        <v>679550489.96115661</v>
      </c>
      <c r="AD5">
        <v>366961357.19985533</v>
      </c>
      <c r="AE5">
        <v>367950341.75794429</v>
      </c>
      <c r="AF5">
        <v>139106613.52869803</v>
      </c>
      <c r="AG5">
        <v>139106613.52869803</v>
      </c>
      <c r="AH5">
        <v>3330415730.6387501</v>
      </c>
      <c r="AI5">
        <v>3330415730.6387501</v>
      </c>
      <c r="AJ5">
        <v>872717786.04490113</v>
      </c>
      <c r="AK5">
        <v>497427347.94958073</v>
      </c>
      <c r="AL5">
        <v>409796456.30091602</v>
      </c>
      <c r="AM5">
        <v>497427347.94958073</v>
      </c>
      <c r="AN5">
        <v>733559976.68806398</v>
      </c>
      <c r="AO5">
        <v>409796456.30091602</v>
      </c>
    </row>
    <row r="6" spans="2:42" x14ac:dyDescent="0.25">
      <c r="B6" t="s">
        <v>3</v>
      </c>
      <c r="C6">
        <v>717981925.12350547</v>
      </c>
      <c r="D6">
        <v>717981925.12350547</v>
      </c>
      <c r="E6">
        <v>367950341.75794429</v>
      </c>
      <c r="F6">
        <v>0</v>
      </c>
      <c r="G6">
        <v>14957032664.764507</v>
      </c>
      <c r="H6">
        <v>14957032664.764507</v>
      </c>
      <c r="I6">
        <v>14957032664.764507</v>
      </c>
      <c r="J6">
        <v>0</v>
      </c>
      <c r="K6">
        <v>717981925.12350547</v>
      </c>
      <c r="L6">
        <v>14957032664.764507</v>
      </c>
      <c r="M6">
        <v>407012716.58167791</v>
      </c>
      <c r="N6">
        <v>365287846.37173587</v>
      </c>
      <c r="O6">
        <v>230028782.62441447</v>
      </c>
      <c r="P6">
        <v>230028782.62441447</v>
      </c>
      <c r="Q6">
        <v>454047881.11870295</v>
      </c>
      <c r="R6">
        <v>417717263.55181062</v>
      </c>
      <c r="S6">
        <v>738140028.09581339</v>
      </c>
      <c r="T6">
        <v>417717263.55181062</v>
      </c>
      <c r="U6">
        <v>349140766.36130357</v>
      </c>
      <c r="V6">
        <v>598395523.17086256</v>
      </c>
      <c r="W6">
        <v>204977106.22613132</v>
      </c>
      <c r="X6">
        <v>2638311584.8046145</v>
      </c>
      <c r="Y6">
        <v>262230385.68614584</v>
      </c>
      <c r="Z6">
        <v>262230385.68614584</v>
      </c>
      <c r="AA6">
        <v>262230385.68614584</v>
      </c>
      <c r="AB6">
        <v>454047881.11870295</v>
      </c>
      <c r="AC6">
        <v>598395523.17086256</v>
      </c>
      <c r="AD6">
        <v>262230385.68614584</v>
      </c>
      <c r="AE6">
        <v>0</v>
      </c>
      <c r="AF6">
        <v>197009718.81525612</v>
      </c>
      <c r="AG6">
        <v>197009718.81525612</v>
      </c>
      <c r="AH6">
        <v>1911173244.2243505</v>
      </c>
      <c r="AI6">
        <v>1911173244.2243505</v>
      </c>
      <c r="AJ6">
        <v>717981925.12350547</v>
      </c>
      <c r="AK6">
        <v>223657210.42485714</v>
      </c>
      <c r="AL6">
        <v>246042309.19120839</v>
      </c>
      <c r="AM6">
        <v>223657210.42485714</v>
      </c>
      <c r="AN6">
        <v>295114703.02756053</v>
      </c>
      <c r="AO6">
        <v>246042309.19120839</v>
      </c>
    </row>
    <row r="7" spans="2:42" x14ac:dyDescent="0.25">
      <c r="B7" t="s">
        <v>4</v>
      </c>
      <c r="C7">
        <v>741059562.42128873</v>
      </c>
      <c r="D7">
        <v>741059562.42128873</v>
      </c>
      <c r="E7">
        <v>524551406.13536614</v>
      </c>
      <c r="F7">
        <v>14957032664.764507</v>
      </c>
      <c r="G7">
        <v>0</v>
      </c>
      <c r="H7">
        <v>0</v>
      </c>
      <c r="I7">
        <v>0</v>
      </c>
      <c r="J7">
        <v>14957032664.764507</v>
      </c>
      <c r="K7">
        <v>741059562.42128873</v>
      </c>
      <c r="L7">
        <v>0</v>
      </c>
      <c r="M7">
        <v>444639868.61250371</v>
      </c>
      <c r="N7">
        <v>393894986.87516463</v>
      </c>
      <c r="O7">
        <v>276459629.34011221</v>
      </c>
      <c r="P7">
        <v>276459629.34011221</v>
      </c>
      <c r="Q7">
        <v>372566293.99048257</v>
      </c>
      <c r="R7">
        <v>404349373.26757532</v>
      </c>
      <c r="S7">
        <v>698414267.4979527</v>
      </c>
      <c r="T7">
        <v>404349373.26757532</v>
      </c>
      <c r="U7">
        <v>562957418.65001357</v>
      </c>
      <c r="V7">
        <v>469147610.92317307</v>
      </c>
      <c r="W7">
        <v>416109488.05452782</v>
      </c>
      <c r="X7">
        <v>2088385234.4853177</v>
      </c>
      <c r="Y7">
        <v>294682039.00230575</v>
      </c>
      <c r="Z7">
        <v>294682039.00230575</v>
      </c>
      <c r="AA7">
        <v>294682039.00230575</v>
      </c>
      <c r="AB7">
        <v>372566293.99048257</v>
      </c>
      <c r="AC7">
        <v>469147610.92317307</v>
      </c>
      <c r="AD7">
        <v>294682039.00230575</v>
      </c>
      <c r="AE7">
        <v>14957032664.764507</v>
      </c>
      <c r="AF7">
        <v>292534071.19447911</v>
      </c>
      <c r="AG7">
        <v>292534071.19447911</v>
      </c>
      <c r="AH7">
        <v>2377604492.9825392</v>
      </c>
      <c r="AI7">
        <v>2377604492.9825392</v>
      </c>
      <c r="AJ7">
        <v>741059562.42128873</v>
      </c>
      <c r="AK7">
        <v>327689626.72364122</v>
      </c>
      <c r="AL7">
        <v>313964951.14360976</v>
      </c>
      <c r="AM7">
        <v>327689626.72364122</v>
      </c>
      <c r="AN7">
        <v>382317831.51748949</v>
      </c>
      <c r="AO7">
        <v>313964951.14360976</v>
      </c>
    </row>
    <row r="8" spans="2:42" x14ac:dyDescent="0.25">
      <c r="B8" t="s">
        <v>5</v>
      </c>
      <c r="C8">
        <v>741059562.42128873</v>
      </c>
      <c r="D8">
        <v>741059562.42128873</v>
      </c>
      <c r="E8">
        <v>524551406.13536614</v>
      </c>
      <c r="F8">
        <v>14957032664.764507</v>
      </c>
      <c r="G8">
        <v>0</v>
      </c>
      <c r="H8">
        <v>0</v>
      </c>
      <c r="I8">
        <v>0</v>
      </c>
      <c r="J8">
        <v>14957032664.764507</v>
      </c>
      <c r="K8">
        <v>741059562.42128873</v>
      </c>
      <c r="L8">
        <v>0</v>
      </c>
      <c r="M8">
        <v>444639868.61250371</v>
      </c>
      <c r="N8">
        <v>393894986.87516463</v>
      </c>
      <c r="O8">
        <v>276459629.34011221</v>
      </c>
      <c r="P8">
        <v>276459629.34011221</v>
      </c>
      <c r="Q8">
        <v>372566293.99048257</v>
      </c>
      <c r="R8">
        <v>404349373.26757532</v>
      </c>
      <c r="S8">
        <v>698414267.4979527</v>
      </c>
      <c r="T8">
        <v>404349373.26757532</v>
      </c>
      <c r="U8">
        <v>562957418.65001357</v>
      </c>
      <c r="V8">
        <v>469147610.92317307</v>
      </c>
      <c r="W8">
        <v>416109488.05452782</v>
      </c>
      <c r="X8">
        <v>2088385234.4853177</v>
      </c>
      <c r="Y8">
        <v>294682039.00230575</v>
      </c>
      <c r="Z8">
        <v>294682039.00230575</v>
      </c>
      <c r="AA8">
        <v>294682039.00230575</v>
      </c>
      <c r="AB8">
        <v>372566293.99048257</v>
      </c>
      <c r="AC8">
        <v>469147610.92317307</v>
      </c>
      <c r="AD8">
        <v>294682039.00230575</v>
      </c>
      <c r="AE8">
        <v>14957032664.764507</v>
      </c>
      <c r="AF8">
        <v>292534071.19447911</v>
      </c>
      <c r="AG8">
        <v>292534071.19447911</v>
      </c>
      <c r="AH8">
        <v>2377604492.9825392</v>
      </c>
      <c r="AI8">
        <v>2377604492.9825392</v>
      </c>
      <c r="AJ8">
        <v>741059562.42128873</v>
      </c>
      <c r="AK8">
        <v>327689626.72364122</v>
      </c>
      <c r="AL8">
        <v>313964951.14360976</v>
      </c>
      <c r="AM8">
        <v>327689626.72364122</v>
      </c>
      <c r="AN8">
        <v>382317831.51748949</v>
      </c>
      <c r="AO8">
        <v>313964951.14360976</v>
      </c>
    </row>
    <row r="9" spans="2:42" x14ac:dyDescent="0.25">
      <c r="B9" t="s">
        <v>6</v>
      </c>
      <c r="C9">
        <v>741059562.42128873</v>
      </c>
      <c r="D9">
        <v>741059562.42128873</v>
      </c>
      <c r="E9">
        <v>524551406.13536614</v>
      </c>
      <c r="F9">
        <v>14957032664.764507</v>
      </c>
      <c r="G9">
        <v>0</v>
      </c>
      <c r="H9">
        <v>0</v>
      </c>
      <c r="I9">
        <v>0</v>
      </c>
      <c r="J9">
        <v>0</v>
      </c>
      <c r="K9">
        <v>741059562.42128873</v>
      </c>
      <c r="L9">
        <v>0</v>
      </c>
      <c r="M9">
        <v>444639868.61250371</v>
      </c>
      <c r="N9">
        <v>393894986.87516463</v>
      </c>
      <c r="O9">
        <v>276459629.34011221</v>
      </c>
      <c r="P9">
        <v>276459629.34011221</v>
      </c>
      <c r="Q9">
        <v>372566293.99048257</v>
      </c>
      <c r="R9">
        <v>404349373.26757532</v>
      </c>
      <c r="S9">
        <v>698414267.4979527</v>
      </c>
      <c r="T9">
        <v>404349373.26757532</v>
      </c>
      <c r="U9">
        <v>562957418.65001357</v>
      </c>
      <c r="V9">
        <v>469147610.92317307</v>
      </c>
      <c r="W9">
        <v>416109488.05452782</v>
      </c>
      <c r="X9">
        <v>2088385234.4853177</v>
      </c>
      <c r="Y9">
        <v>294682039.00230575</v>
      </c>
      <c r="Z9">
        <v>294682039.00230575</v>
      </c>
      <c r="AA9">
        <v>294682039.00230575</v>
      </c>
      <c r="AB9">
        <v>372566293.99048257</v>
      </c>
      <c r="AC9">
        <v>469147610.92317307</v>
      </c>
      <c r="AD9">
        <v>294682039.00230575</v>
      </c>
      <c r="AE9">
        <v>14957032664.764507</v>
      </c>
      <c r="AF9">
        <v>292534071.19447911</v>
      </c>
      <c r="AG9">
        <v>292534071.19447911</v>
      </c>
      <c r="AH9">
        <v>2377604492.9825392</v>
      </c>
      <c r="AI9">
        <v>2377604492.9825392</v>
      </c>
      <c r="AJ9">
        <v>741059562.42128873</v>
      </c>
      <c r="AK9">
        <v>327689626.72364122</v>
      </c>
      <c r="AL9">
        <v>313964951.14360976</v>
      </c>
      <c r="AM9">
        <v>327689626.72364122</v>
      </c>
      <c r="AN9">
        <v>382317831.51748949</v>
      </c>
      <c r="AO9">
        <v>313964951.14360976</v>
      </c>
    </row>
    <row r="10" spans="2:42" x14ac:dyDescent="0.25">
      <c r="B10" t="s">
        <v>7</v>
      </c>
      <c r="C10">
        <v>717981925.12350547</v>
      </c>
      <c r="D10">
        <v>717981925.12350547</v>
      </c>
      <c r="E10">
        <v>367950341.75794429</v>
      </c>
      <c r="F10">
        <v>0</v>
      </c>
      <c r="G10">
        <v>14957032664.764507</v>
      </c>
      <c r="H10">
        <v>14957032664.764507</v>
      </c>
      <c r="I10">
        <v>0</v>
      </c>
      <c r="J10">
        <v>0</v>
      </c>
      <c r="K10">
        <v>717981925.12350547</v>
      </c>
      <c r="L10">
        <v>14957032664.764507</v>
      </c>
      <c r="M10">
        <v>407012716.58167791</v>
      </c>
      <c r="N10">
        <v>365287846.37173587</v>
      </c>
      <c r="O10">
        <v>230028782.62441447</v>
      </c>
      <c r="P10">
        <v>230028782.62441447</v>
      </c>
      <c r="Q10">
        <v>454047881.11870295</v>
      </c>
      <c r="R10">
        <v>417717263.55181062</v>
      </c>
      <c r="S10">
        <v>738140028.09581339</v>
      </c>
      <c r="T10">
        <v>417717263.55181062</v>
      </c>
      <c r="U10">
        <v>349140766.36130357</v>
      </c>
      <c r="V10">
        <v>598395523.17086256</v>
      </c>
      <c r="W10">
        <v>204977106.22613132</v>
      </c>
      <c r="X10">
        <v>2638311584.8046145</v>
      </c>
      <c r="Y10">
        <v>262230385.68614584</v>
      </c>
      <c r="Z10">
        <v>262230385.68614584</v>
      </c>
      <c r="AA10">
        <v>262230385.68614584</v>
      </c>
      <c r="AB10">
        <v>454047881.11870295</v>
      </c>
      <c r="AC10">
        <v>598395523.17086256</v>
      </c>
      <c r="AD10">
        <v>262230385.68614584</v>
      </c>
      <c r="AE10">
        <v>0</v>
      </c>
      <c r="AF10">
        <v>197009718.81525612</v>
      </c>
      <c r="AG10">
        <v>197009718.81525612</v>
      </c>
      <c r="AH10">
        <v>1911173244.2243505</v>
      </c>
      <c r="AI10">
        <v>1911173244.2243505</v>
      </c>
      <c r="AJ10">
        <v>717981925.12350547</v>
      </c>
      <c r="AK10">
        <v>223657210.42485714</v>
      </c>
      <c r="AL10">
        <v>246042309.19120839</v>
      </c>
      <c r="AM10">
        <v>223657210.42485714</v>
      </c>
      <c r="AN10">
        <v>295114703.02756053</v>
      </c>
      <c r="AO10">
        <v>246042309.19120839</v>
      </c>
    </row>
    <row r="11" spans="2:42" x14ac:dyDescent="0.25">
      <c r="B11" t="s">
        <v>148</v>
      </c>
      <c r="C11">
        <v>0</v>
      </c>
      <c r="D11">
        <v>0</v>
      </c>
      <c r="E11">
        <v>872717786.04490113</v>
      </c>
      <c r="F11">
        <v>717981925.12350547</v>
      </c>
      <c r="G11">
        <v>741059562.42128873</v>
      </c>
      <c r="H11">
        <v>741059562.42128873</v>
      </c>
      <c r="I11">
        <v>741059562.42128873</v>
      </c>
      <c r="J11">
        <v>717981925.12350547</v>
      </c>
      <c r="K11">
        <v>0</v>
      </c>
      <c r="L11">
        <v>741059562.42128873</v>
      </c>
      <c r="M11">
        <v>563145024.56339049</v>
      </c>
      <c r="N11">
        <v>498367234.11021096</v>
      </c>
      <c r="O11">
        <v>378558644.75431526</v>
      </c>
      <c r="P11">
        <v>378558644.75431526</v>
      </c>
      <c r="Q11">
        <v>301296730.35344291</v>
      </c>
      <c r="R11">
        <v>300241167.10205203</v>
      </c>
      <c r="S11">
        <v>751563768.80303359</v>
      </c>
      <c r="T11">
        <v>300241167.10205203</v>
      </c>
      <c r="U11">
        <v>744272517.42394555</v>
      </c>
      <c r="V11">
        <v>607408943.91668081</v>
      </c>
      <c r="W11">
        <v>872759476.89895844</v>
      </c>
      <c r="X11">
        <v>4245589763.6770844</v>
      </c>
      <c r="Y11">
        <v>418204834.71027011</v>
      </c>
      <c r="Z11">
        <v>418204834.71027011</v>
      </c>
      <c r="AA11">
        <v>418204834.71027011</v>
      </c>
      <c r="AB11">
        <v>301296730.35344291</v>
      </c>
      <c r="AC11">
        <v>607408943.91668081</v>
      </c>
      <c r="AD11">
        <v>418204834.71027011</v>
      </c>
      <c r="AE11">
        <v>717981925.12350547</v>
      </c>
      <c r="AF11">
        <v>342128377.77334028</v>
      </c>
      <c r="AG11">
        <v>342128377.77334028</v>
      </c>
      <c r="AH11">
        <v>2193966867.9333339</v>
      </c>
      <c r="AI11">
        <v>2193966867.9333339</v>
      </c>
      <c r="AJ11">
        <v>0</v>
      </c>
      <c r="AK11">
        <v>441482678.50809598</v>
      </c>
      <c r="AL11">
        <v>467243148.24347186</v>
      </c>
      <c r="AM11">
        <v>441482678.50809598</v>
      </c>
      <c r="AN11">
        <v>578770918.09302032</v>
      </c>
      <c r="AO11">
        <v>467243148.24347186</v>
      </c>
    </row>
    <row r="12" spans="2:42" x14ac:dyDescent="0.25">
      <c r="B12" t="s">
        <v>9</v>
      </c>
      <c r="C12">
        <v>741059562.42128873</v>
      </c>
      <c r="D12">
        <v>741059562.42128873</v>
      </c>
      <c r="E12">
        <v>524551406.13536614</v>
      </c>
      <c r="F12">
        <v>14957032664.764507</v>
      </c>
      <c r="G12">
        <v>0</v>
      </c>
      <c r="H12">
        <v>0</v>
      </c>
      <c r="I12">
        <v>0</v>
      </c>
      <c r="J12">
        <v>14957032664.764507</v>
      </c>
      <c r="K12">
        <v>741059562.42128873</v>
      </c>
      <c r="L12">
        <v>0</v>
      </c>
      <c r="M12">
        <v>444639868.61250371</v>
      </c>
      <c r="N12">
        <v>393894986.87516463</v>
      </c>
      <c r="O12">
        <v>276459629.34011221</v>
      </c>
      <c r="P12">
        <v>276459629.34011221</v>
      </c>
      <c r="Q12">
        <v>372566293.99048257</v>
      </c>
      <c r="R12">
        <v>404349373.26757532</v>
      </c>
      <c r="S12">
        <v>698414267.4979527</v>
      </c>
      <c r="T12">
        <v>404349373.26757532</v>
      </c>
      <c r="U12">
        <v>562957418.65001357</v>
      </c>
      <c r="V12">
        <v>469147610.92317307</v>
      </c>
      <c r="W12">
        <v>416109488.05452782</v>
      </c>
      <c r="X12">
        <v>2088385234.4853177</v>
      </c>
      <c r="Y12">
        <v>294682039.00230575</v>
      </c>
      <c r="Z12">
        <v>294682039.00230575</v>
      </c>
      <c r="AA12">
        <v>294682039.00230575</v>
      </c>
      <c r="AB12">
        <v>372566293.99048257</v>
      </c>
      <c r="AC12">
        <v>469147610.92317307</v>
      </c>
      <c r="AD12">
        <v>294682039.00230575</v>
      </c>
      <c r="AE12">
        <v>14957032664.764507</v>
      </c>
      <c r="AF12">
        <v>292534071.19447911</v>
      </c>
      <c r="AG12">
        <v>292534071.19447911</v>
      </c>
      <c r="AH12">
        <v>2377604492.9825392</v>
      </c>
      <c r="AI12">
        <v>2377604492.9825392</v>
      </c>
      <c r="AJ12">
        <v>741059562.42128873</v>
      </c>
      <c r="AK12">
        <v>327689626.72364122</v>
      </c>
      <c r="AL12">
        <v>313964951.14360976</v>
      </c>
      <c r="AM12">
        <v>327689626.72364122</v>
      </c>
      <c r="AN12">
        <v>382317831.51748949</v>
      </c>
      <c r="AO12">
        <v>313964951.14360976</v>
      </c>
    </row>
    <row r="13" spans="2:42" x14ac:dyDescent="0.25">
      <c r="B13" t="s">
        <v>10</v>
      </c>
      <c r="C13">
        <v>563145024.56339049</v>
      </c>
      <c r="D13">
        <v>563145024.56339049</v>
      </c>
      <c r="E13">
        <v>388139611.59904063</v>
      </c>
      <c r="F13">
        <v>407012716.58167791</v>
      </c>
      <c r="G13">
        <v>444639868.61250371</v>
      </c>
      <c r="H13">
        <v>444639868.61250371</v>
      </c>
      <c r="I13">
        <v>444639868.61250371</v>
      </c>
      <c r="J13">
        <v>407012716.58167791</v>
      </c>
      <c r="K13">
        <v>563145024.56339049</v>
      </c>
      <c r="L13">
        <v>444639868.61250371</v>
      </c>
      <c r="M13">
        <v>0</v>
      </c>
      <c r="N13">
        <v>246620574.7920064</v>
      </c>
      <c r="O13">
        <v>83722094.051286235</v>
      </c>
      <c r="P13">
        <v>83722094.051286235</v>
      </c>
      <c r="Q13">
        <v>1818501603.7461126</v>
      </c>
      <c r="R13">
        <v>253508895.09648168</v>
      </c>
      <c r="S13">
        <v>327641445.58823436</v>
      </c>
      <c r="T13">
        <v>253508895.09648168</v>
      </c>
      <c r="U13">
        <v>128466246.14868599</v>
      </c>
      <c r="V13">
        <v>423567981.47396928</v>
      </c>
      <c r="W13">
        <v>302655177.12947899</v>
      </c>
      <c r="X13">
        <v>358926808.65520668</v>
      </c>
      <c r="Y13">
        <v>88471783.043242022</v>
      </c>
      <c r="Z13">
        <v>88471783.043242022</v>
      </c>
      <c r="AA13">
        <v>88471783.043242022</v>
      </c>
      <c r="AB13">
        <v>1818501603.7461126</v>
      </c>
      <c r="AC13">
        <v>423567981.47396928</v>
      </c>
      <c r="AD13">
        <v>88471783.043242022</v>
      </c>
      <c r="AE13">
        <v>407012716.58167791</v>
      </c>
      <c r="AF13">
        <v>64006650.206409298</v>
      </c>
      <c r="AG13">
        <v>64006650.206409298</v>
      </c>
      <c r="AH13">
        <v>2286810074.0775046</v>
      </c>
      <c r="AI13">
        <v>2286810074.0775046</v>
      </c>
      <c r="AJ13">
        <v>563145024.56339049</v>
      </c>
      <c r="AK13">
        <v>32394.010613519538</v>
      </c>
      <c r="AL13">
        <v>78353414.396606296</v>
      </c>
      <c r="AM13">
        <v>32394.010613519538</v>
      </c>
      <c r="AN13">
        <v>170875475.47768599</v>
      </c>
      <c r="AO13">
        <v>78353414.396606296</v>
      </c>
    </row>
    <row r="14" spans="2:42" x14ac:dyDescent="0.25">
      <c r="B14" t="s">
        <v>11</v>
      </c>
      <c r="C14">
        <v>498367234.11021096</v>
      </c>
      <c r="D14">
        <v>498367234.11021096</v>
      </c>
      <c r="E14">
        <v>447617371.2581535</v>
      </c>
      <c r="F14">
        <v>365287846.37173587</v>
      </c>
      <c r="G14">
        <v>393894986.87516463</v>
      </c>
      <c r="H14">
        <v>393894986.87516463</v>
      </c>
      <c r="I14">
        <v>393894986.87516463</v>
      </c>
      <c r="J14">
        <v>365287846.37173587</v>
      </c>
      <c r="K14">
        <v>498367234.11021096</v>
      </c>
      <c r="L14">
        <v>393894986.87516463</v>
      </c>
      <c r="M14">
        <v>246620574.7920064</v>
      </c>
      <c r="N14">
        <v>0</v>
      </c>
      <c r="O14">
        <v>47624240.318606533</v>
      </c>
      <c r="P14">
        <v>47624240.318606533</v>
      </c>
      <c r="Q14">
        <v>311202041.76738256</v>
      </c>
      <c r="R14">
        <v>330973823.1744796</v>
      </c>
      <c r="S14">
        <v>397154751.70532185</v>
      </c>
      <c r="T14">
        <v>330973823.1744796</v>
      </c>
      <c r="U14">
        <v>68126079.984912366</v>
      </c>
      <c r="V14">
        <v>277194928.83889401</v>
      </c>
      <c r="W14">
        <v>248436541.76334676</v>
      </c>
      <c r="X14">
        <v>861223351.85211134</v>
      </c>
      <c r="Y14">
        <v>55757713.604952373</v>
      </c>
      <c r="Z14">
        <v>55757713.604952373</v>
      </c>
      <c r="AA14">
        <v>55757713.604952373</v>
      </c>
      <c r="AB14">
        <v>311202041.76738256</v>
      </c>
      <c r="AC14">
        <v>277194928.83889401</v>
      </c>
      <c r="AD14">
        <v>55757713.604952373</v>
      </c>
      <c r="AE14">
        <v>365287846.37173587</v>
      </c>
      <c r="AF14">
        <v>364032392.04785162</v>
      </c>
      <c r="AG14">
        <v>364032392.04785162</v>
      </c>
      <c r="AH14">
        <v>2162009609.7166762</v>
      </c>
      <c r="AI14">
        <v>2162009609.7166762</v>
      </c>
      <c r="AJ14">
        <v>498367234.11021096</v>
      </c>
      <c r="AK14">
        <v>91346497.835189387</v>
      </c>
      <c r="AL14">
        <v>32277600.151614141</v>
      </c>
      <c r="AM14">
        <v>91346497.835189387</v>
      </c>
      <c r="AN14">
        <v>32270257.553562403</v>
      </c>
      <c r="AO14">
        <v>91502109.981904164</v>
      </c>
    </row>
    <row r="15" spans="2:42" x14ac:dyDescent="0.25">
      <c r="B15" t="s">
        <v>12</v>
      </c>
      <c r="C15">
        <v>378558644.75431526</v>
      </c>
      <c r="D15">
        <v>378558644.75431526</v>
      </c>
      <c r="E15">
        <v>176992193.94545907</v>
      </c>
      <c r="F15">
        <v>230028782.62441447</v>
      </c>
      <c r="G15">
        <v>276459629.34011221</v>
      </c>
      <c r="H15">
        <v>276459629.34011221</v>
      </c>
      <c r="I15">
        <v>276459629.34011221</v>
      </c>
      <c r="J15">
        <v>230028782.62441447</v>
      </c>
      <c r="K15">
        <v>378558644.75431526</v>
      </c>
      <c r="L15">
        <v>276459629.34011221</v>
      </c>
      <c r="M15">
        <v>83722094.051286235</v>
      </c>
      <c r="N15">
        <v>47624240.318606533</v>
      </c>
      <c r="O15">
        <v>0</v>
      </c>
      <c r="P15">
        <v>0</v>
      </c>
      <c r="Q15">
        <v>262985842.43861797</v>
      </c>
      <c r="R15">
        <v>262660300.87552249</v>
      </c>
      <c r="S15">
        <v>378659738.16349232</v>
      </c>
      <c r="T15">
        <v>262660300.87552249</v>
      </c>
      <c r="U15">
        <v>30051333.712703507</v>
      </c>
      <c r="V15">
        <v>298596702.67684287</v>
      </c>
      <c r="W15">
        <v>206204371.01316407</v>
      </c>
      <c r="X15">
        <v>195674480619.96033</v>
      </c>
      <c r="Y15">
        <v>2548170.4704858307</v>
      </c>
      <c r="Z15">
        <v>2548170.4704858307</v>
      </c>
      <c r="AA15">
        <v>2548170.4704858307</v>
      </c>
      <c r="AB15">
        <v>262985842.43861797</v>
      </c>
      <c r="AC15">
        <v>298596702.67684287</v>
      </c>
      <c r="AD15">
        <v>2548170.4704858307</v>
      </c>
      <c r="AE15">
        <v>230028782.62441447</v>
      </c>
      <c r="AF15">
        <v>310305945.11983061</v>
      </c>
      <c r="AG15">
        <v>310305945.11983061</v>
      </c>
      <c r="AH15">
        <v>1938798306.8291271</v>
      </c>
      <c r="AI15">
        <v>1938798306.8291271</v>
      </c>
      <c r="AJ15">
        <v>378558644.75431526</v>
      </c>
      <c r="AK15">
        <v>48528241.437982425</v>
      </c>
      <c r="AL15">
        <v>10151715.983726965</v>
      </c>
      <c r="AM15">
        <v>48528241.437982425</v>
      </c>
      <c r="AN15">
        <v>62930677.90741691</v>
      </c>
      <c r="AO15">
        <v>10151715.983726965</v>
      </c>
    </row>
    <row r="16" spans="2:42" x14ac:dyDescent="0.25">
      <c r="B16" t="s">
        <v>13</v>
      </c>
      <c r="C16">
        <v>378558644.75431526</v>
      </c>
      <c r="D16">
        <v>378558644.75431526</v>
      </c>
      <c r="E16">
        <v>176992193.94545907</v>
      </c>
      <c r="F16">
        <v>230028782.62441447</v>
      </c>
      <c r="G16">
        <v>276459629.34011221</v>
      </c>
      <c r="H16">
        <v>276459629.34011221</v>
      </c>
      <c r="I16">
        <v>276459629.34011221</v>
      </c>
      <c r="J16">
        <v>230028782.62441447</v>
      </c>
      <c r="K16">
        <v>378558644.75431526</v>
      </c>
      <c r="L16">
        <v>276459629.34011221</v>
      </c>
      <c r="M16">
        <v>83722094.051286235</v>
      </c>
      <c r="N16">
        <v>47624240.318606533</v>
      </c>
      <c r="O16">
        <v>0</v>
      </c>
      <c r="P16">
        <v>0</v>
      </c>
      <c r="Q16">
        <v>262985842.43861797</v>
      </c>
      <c r="R16">
        <v>262660300.87552249</v>
      </c>
      <c r="S16">
        <v>378659738.16349232</v>
      </c>
      <c r="T16">
        <v>262660300.87552249</v>
      </c>
      <c r="U16">
        <v>30051333.712703507</v>
      </c>
      <c r="V16">
        <v>298596702.67684287</v>
      </c>
      <c r="W16">
        <v>206204371.01316407</v>
      </c>
      <c r="X16">
        <v>195674480619.96033</v>
      </c>
      <c r="Y16">
        <v>2548170.4704858307</v>
      </c>
      <c r="Z16">
        <v>2548170.4704858307</v>
      </c>
      <c r="AA16">
        <v>2548170.4704858307</v>
      </c>
      <c r="AB16">
        <v>262985842.43861797</v>
      </c>
      <c r="AC16">
        <v>298596702.67684287</v>
      </c>
      <c r="AD16">
        <v>2548170.4704858307</v>
      </c>
      <c r="AE16">
        <v>230028782.62441447</v>
      </c>
      <c r="AF16">
        <v>310305945.11983061</v>
      </c>
      <c r="AG16">
        <v>310305945.11983061</v>
      </c>
      <c r="AH16">
        <v>1938798306.8291271</v>
      </c>
      <c r="AI16">
        <v>1938798306.8291271</v>
      </c>
      <c r="AJ16">
        <v>378558644.75431526</v>
      </c>
      <c r="AK16">
        <v>48528241.437982425</v>
      </c>
      <c r="AL16">
        <v>10151715.983726965</v>
      </c>
      <c r="AM16">
        <v>48528241.437982425</v>
      </c>
      <c r="AN16">
        <v>62930677.90741691</v>
      </c>
      <c r="AO16">
        <v>10151715.983726965</v>
      </c>
    </row>
    <row r="17" spans="2:41" x14ac:dyDescent="0.25">
      <c r="B17" t="s">
        <v>14</v>
      </c>
      <c r="C17">
        <v>301296730.35344291</v>
      </c>
      <c r="D17">
        <v>301296730.35344291</v>
      </c>
      <c r="E17">
        <v>605262179.13824165</v>
      </c>
      <c r="F17">
        <v>454047881.11870295</v>
      </c>
      <c r="G17">
        <v>372566293.99048257</v>
      </c>
      <c r="H17">
        <v>372566293.99048257</v>
      </c>
      <c r="I17">
        <v>372566293.99048257</v>
      </c>
      <c r="J17">
        <v>454047881.11870295</v>
      </c>
      <c r="K17">
        <v>301296730.35344291</v>
      </c>
      <c r="L17">
        <v>372566293.99048257</v>
      </c>
      <c r="M17">
        <v>1818501603.7461126</v>
      </c>
      <c r="N17">
        <v>311202041.76738256</v>
      </c>
      <c r="O17">
        <v>262985842.43861797</v>
      </c>
      <c r="P17">
        <v>262985842.43861797</v>
      </c>
      <c r="Q17">
        <v>0</v>
      </c>
      <c r="R17">
        <v>0</v>
      </c>
      <c r="S17">
        <v>248212833.54235879</v>
      </c>
      <c r="T17">
        <v>0</v>
      </c>
      <c r="U17">
        <v>266079716.09237963</v>
      </c>
      <c r="V17">
        <v>101481973749.94421</v>
      </c>
      <c r="W17">
        <v>356689161.26164597</v>
      </c>
      <c r="X17">
        <v>269362094.15241051</v>
      </c>
      <c r="Y17">
        <v>269431795.44780761</v>
      </c>
      <c r="Z17">
        <v>269431795.44780761</v>
      </c>
      <c r="AA17">
        <v>269431795.44780761</v>
      </c>
      <c r="AB17">
        <v>0</v>
      </c>
      <c r="AC17">
        <v>101481973749.94421</v>
      </c>
      <c r="AD17">
        <v>269431795.44780761</v>
      </c>
      <c r="AE17">
        <v>454047881.11870295</v>
      </c>
      <c r="AF17">
        <v>455479482.57706159</v>
      </c>
      <c r="AG17">
        <v>455479482.57706159</v>
      </c>
      <c r="AH17">
        <v>2136640724.7242038</v>
      </c>
      <c r="AI17">
        <v>2136640724.7242038</v>
      </c>
      <c r="AJ17">
        <v>301296730.35344291</v>
      </c>
      <c r="AK17">
        <v>201741230.649167</v>
      </c>
      <c r="AL17">
        <v>169951703.65607873</v>
      </c>
      <c r="AM17">
        <v>201741230.649167</v>
      </c>
      <c r="AN17">
        <v>267594785.69601342</v>
      </c>
      <c r="AO17">
        <v>169951703.65607873</v>
      </c>
    </row>
    <row r="18" spans="2:41" x14ac:dyDescent="0.25">
      <c r="B18" t="s">
        <v>15</v>
      </c>
      <c r="C18">
        <v>300241167.10205203</v>
      </c>
      <c r="D18">
        <v>300241167.10205203</v>
      </c>
      <c r="E18">
        <v>451999188.46926332</v>
      </c>
      <c r="F18">
        <v>417717263.55181062</v>
      </c>
      <c r="G18">
        <v>404349373.26757532</v>
      </c>
      <c r="H18">
        <v>404349373.26757532</v>
      </c>
      <c r="I18">
        <v>404349373.26757532</v>
      </c>
      <c r="J18">
        <v>417717263.55181062</v>
      </c>
      <c r="K18">
        <v>300241167.10205203</v>
      </c>
      <c r="L18">
        <v>404349373.26757532</v>
      </c>
      <c r="M18">
        <v>253508895.09648168</v>
      </c>
      <c r="N18">
        <v>330973823.1744796</v>
      </c>
      <c r="O18">
        <v>262660300.87552249</v>
      </c>
      <c r="P18">
        <v>262660300.87552249</v>
      </c>
      <c r="Q18">
        <v>0</v>
      </c>
      <c r="R18">
        <v>0</v>
      </c>
      <c r="S18">
        <v>493136020.55569714</v>
      </c>
      <c r="T18">
        <v>0</v>
      </c>
      <c r="U18">
        <v>315946996.10201514</v>
      </c>
      <c r="V18">
        <v>801233544.34388137</v>
      </c>
      <c r="W18">
        <v>332418798.6167227</v>
      </c>
      <c r="X18">
        <v>594279168.16616082</v>
      </c>
      <c r="Y18">
        <v>39553691840.478416</v>
      </c>
      <c r="Z18">
        <v>39553691840.478416</v>
      </c>
      <c r="AA18">
        <v>39553691840.478416</v>
      </c>
      <c r="AB18">
        <v>0</v>
      </c>
      <c r="AC18">
        <v>801233544.34388137</v>
      </c>
      <c r="AD18">
        <v>39553691840.478416</v>
      </c>
      <c r="AE18">
        <v>417717263.55181062</v>
      </c>
      <c r="AF18">
        <v>144964288.14303789</v>
      </c>
      <c r="AG18">
        <v>144964288.14303789</v>
      </c>
      <c r="AH18">
        <v>1932605480.7893453</v>
      </c>
      <c r="AI18">
        <v>1932605480.7893453</v>
      </c>
      <c r="AJ18">
        <v>339671812.02692801</v>
      </c>
      <c r="AK18">
        <v>209019449.73059258</v>
      </c>
      <c r="AL18">
        <v>191733440.90193048</v>
      </c>
      <c r="AM18">
        <v>209019449.73059258</v>
      </c>
      <c r="AN18">
        <v>292395495.67933685</v>
      </c>
      <c r="AO18">
        <v>191733440.90193048</v>
      </c>
    </row>
    <row r="19" spans="2:41" x14ac:dyDescent="0.25">
      <c r="B19" t="s">
        <v>16</v>
      </c>
      <c r="C19">
        <v>751563768.80303359</v>
      </c>
      <c r="D19">
        <v>751563768.80303359</v>
      </c>
      <c r="E19">
        <v>830402837.39484024</v>
      </c>
      <c r="F19">
        <v>738140028.09581339</v>
      </c>
      <c r="G19">
        <v>698414267.4979527</v>
      </c>
      <c r="H19">
        <v>698414267.4979527</v>
      </c>
      <c r="I19">
        <v>698414267.4979527</v>
      </c>
      <c r="J19">
        <v>738140028.09581339</v>
      </c>
      <c r="K19">
        <v>751563768.80303359</v>
      </c>
      <c r="L19">
        <v>698414267.4979527</v>
      </c>
      <c r="M19">
        <v>327641445.58823436</v>
      </c>
      <c r="N19">
        <v>397154751.70532185</v>
      </c>
      <c r="O19">
        <v>378659738.16349232</v>
      </c>
      <c r="P19">
        <v>378659738.16349232</v>
      </c>
      <c r="Q19">
        <v>248212833.54235879</v>
      </c>
      <c r="R19">
        <v>493136020.55569714</v>
      </c>
      <c r="S19">
        <v>0</v>
      </c>
      <c r="T19">
        <v>493136020.55569714</v>
      </c>
      <c r="U19">
        <v>576202379.21182394</v>
      </c>
      <c r="V19">
        <v>467363457.99852872</v>
      </c>
      <c r="W19">
        <v>552264990.42662752</v>
      </c>
      <c r="X19">
        <v>3109756253.5949578</v>
      </c>
      <c r="Y19">
        <v>315209628.83386004</v>
      </c>
      <c r="Z19">
        <v>315209628.83386004</v>
      </c>
      <c r="AA19">
        <v>315209628.83386004</v>
      </c>
      <c r="AB19">
        <v>248212833.54235879</v>
      </c>
      <c r="AC19">
        <v>467363457.99852872</v>
      </c>
      <c r="AD19">
        <v>315209628.83386004</v>
      </c>
      <c r="AE19">
        <v>738140028.09581339</v>
      </c>
      <c r="AF19">
        <v>297698362.97373915</v>
      </c>
      <c r="AG19">
        <v>297698362.97373915</v>
      </c>
      <c r="AH19">
        <v>2579588304.4609599</v>
      </c>
      <c r="AI19">
        <v>2579588304.4609599</v>
      </c>
      <c r="AJ19">
        <v>751563768.80303359</v>
      </c>
      <c r="AK19">
        <v>387141146.53122079</v>
      </c>
      <c r="AL19">
        <v>379955132.14299858</v>
      </c>
      <c r="AM19">
        <v>387141146.53122079</v>
      </c>
      <c r="AN19">
        <v>517850795.0970943</v>
      </c>
      <c r="AO19">
        <v>379955132.14299858</v>
      </c>
    </row>
    <row r="20" spans="2:41" x14ac:dyDescent="0.25">
      <c r="B20" t="s">
        <v>17</v>
      </c>
      <c r="C20">
        <v>300241167.10205203</v>
      </c>
      <c r="D20">
        <v>300241167.10205203</v>
      </c>
      <c r="E20">
        <v>451999188.46926332</v>
      </c>
      <c r="F20">
        <v>417717263.55181062</v>
      </c>
      <c r="G20">
        <v>404349373.26757532</v>
      </c>
      <c r="H20">
        <v>404349373.26757532</v>
      </c>
      <c r="I20">
        <v>404349373.26757532</v>
      </c>
      <c r="J20">
        <v>417717263.55181062</v>
      </c>
      <c r="K20">
        <v>300241167.10205203</v>
      </c>
      <c r="L20">
        <v>404349373.26757532</v>
      </c>
      <c r="M20">
        <v>253508895.09648168</v>
      </c>
      <c r="N20">
        <v>330973823.1744796</v>
      </c>
      <c r="O20">
        <v>262660300.87552249</v>
      </c>
      <c r="P20">
        <v>262660300.87552249</v>
      </c>
      <c r="Q20">
        <v>0</v>
      </c>
      <c r="R20">
        <v>0</v>
      </c>
      <c r="S20">
        <v>493136020.55569714</v>
      </c>
      <c r="T20">
        <v>0</v>
      </c>
      <c r="U20">
        <v>315946996.10201514</v>
      </c>
      <c r="V20">
        <v>801233544.34388137</v>
      </c>
      <c r="W20">
        <v>332418798.6167227</v>
      </c>
      <c r="X20">
        <v>594279168.16616082</v>
      </c>
      <c r="Y20">
        <v>39553691840.478416</v>
      </c>
      <c r="Z20">
        <v>39553691840.478416</v>
      </c>
      <c r="AA20">
        <v>39553691840.478416</v>
      </c>
      <c r="AB20">
        <v>0</v>
      </c>
      <c r="AC20">
        <v>801233544.34388137</v>
      </c>
      <c r="AD20">
        <v>39553691840.478416</v>
      </c>
      <c r="AE20">
        <v>417717263.55181062</v>
      </c>
      <c r="AF20">
        <v>144964288.14303789</v>
      </c>
      <c r="AG20">
        <v>144964288.14303789</v>
      </c>
      <c r="AH20">
        <v>1932605480.7893453</v>
      </c>
      <c r="AI20">
        <v>1932605480.7893453</v>
      </c>
      <c r="AJ20">
        <v>339671812.02692801</v>
      </c>
      <c r="AK20">
        <v>209019449.73059258</v>
      </c>
      <c r="AL20">
        <v>191733440.90193048</v>
      </c>
      <c r="AM20">
        <v>209019449.73059258</v>
      </c>
      <c r="AN20">
        <v>292395495.67933685</v>
      </c>
      <c r="AO20">
        <v>191733440.90193048</v>
      </c>
    </row>
    <row r="21" spans="2:41" x14ac:dyDescent="0.25">
      <c r="B21" t="s">
        <v>145</v>
      </c>
      <c r="C21">
        <v>744272517.42394555</v>
      </c>
      <c r="D21">
        <v>744272517.42394555</v>
      </c>
      <c r="E21">
        <v>240592427.4918597</v>
      </c>
      <c r="F21">
        <v>349140766.36130357</v>
      </c>
      <c r="G21">
        <v>562957418.65001357</v>
      </c>
      <c r="H21">
        <v>562957418.65001357</v>
      </c>
      <c r="I21">
        <v>562957418.65001357</v>
      </c>
      <c r="J21">
        <v>349140766.36130357</v>
      </c>
      <c r="K21">
        <v>744272517.42394555</v>
      </c>
      <c r="L21">
        <v>562957418.65001357</v>
      </c>
      <c r="M21">
        <v>128466246.14868599</v>
      </c>
      <c r="N21">
        <v>68126079.984912366</v>
      </c>
      <c r="O21">
        <v>30051333.712703507</v>
      </c>
      <c r="P21">
        <v>30051333.712703507</v>
      </c>
      <c r="Q21">
        <v>266079716.09237963</v>
      </c>
      <c r="R21">
        <v>315946996.10201514</v>
      </c>
      <c r="S21">
        <v>576202379.21182394</v>
      </c>
      <c r="T21">
        <v>315946996.10201514</v>
      </c>
      <c r="U21">
        <v>0</v>
      </c>
      <c r="V21">
        <v>557993510.5374918</v>
      </c>
      <c r="W21">
        <v>389803743.45828426</v>
      </c>
      <c r="X21">
        <v>338456245.94679952</v>
      </c>
      <c r="Y21">
        <v>82337369.832882792</v>
      </c>
      <c r="Z21">
        <v>82337369.832882792</v>
      </c>
      <c r="AA21">
        <v>82337369.832882792</v>
      </c>
      <c r="AB21">
        <v>266079716.09237963</v>
      </c>
      <c r="AC21">
        <v>557993510.5374918</v>
      </c>
      <c r="AD21">
        <v>82337369.832882792</v>
      </c>
      <c r="AE21">
        <v>349140766.36130357</v>
      </c>
      <c r="AF21">
        <v>109549.25893666115</v>
      </c>
      <c r="AG21">
        <v>109549.25893666115</v>
      </c>
      <c r="AH21">
        <v>2652220330.5001311</v>
      </c>
      <c r="AI21">
        <v>2652220330.5001311</v>
      </c>
      <c r="AJ21">
        <v>744272517.42394555</v>
      </c>
      <c r="AK21">
        <v>115805737.58002523</v>
      </c>
      <c r="AL21">
        <v>20979671.704035226</v>
      </c>
      <c r="AM21">
        <v>115805737.58002523</v>
      </c>
      <c r="AN21">
        <v>135970273.16674384</v>
      </c>
      <c r="AO21">
        <v>20979671.704035226</v>
      </c>
    </row>
    <row r="22" spans="2:41" x14ac:dyDescent="0.25">
      <c r="B22" t="s">
        <v>146</v>
      </c>
      <c r="C22">
        <v>607408943.91668081</v>
      </c>
      <c r="D22">
        <v>607408943.91668081</v>
      </c>
      <c r="E22">
        <v>679550489.96115661</v>
      </c>
      <c r="F22">
        <v>598395523.17086256</v>
      </c>
      <c r="G22">
        <v>469147610.92317307</v>
      </c>
      <c r="H22">
        <v>469147610.92317307</v>
      </c>
      <c r="I22">
        <v>469147610.92317307</v>
      </c>
      <c r="J22">
        <v>598395523.17086256</v>
      </c>
      <c r="K22">
        <v>607408943.91668081</v>
      </c>
      <c r="L22">
        <v>469147610.92317307</v>
      </c>
      <c r="M22">
        <v>423567981.47396928</v>
      </c>
      <c r="N22">
        <v>277194928.83889401</v>
      </c>
      <c r="O22">
        <v>298596702.67684287</v>
      </c>
      <c r="P22">
        <v>298596702.67684287</v>
      </c>
      <c r="Q22">
        <v>101481973749.94421</v>
      </c>
      <c r="R22">
        <v>801233544.34388137</v>
      </c>
      <c r="S22">
        <v>467363457.99852872</v>
      </c>
      <c r="T22">
        <v>801233544.34388137</v>
      </c>
      <c r="U22">
        <v>557993510.5374918</v>
      </c>
      <c r="V22">
        <v>0</v>
      </c>
      <c r="W22">
        <v>166931249.75356638</v>
      </c>
      <c r="X22">
        <v>301892062.44884855</v>
      </c>
      <c r="Y22">
        <v>302257216.17083436</v>
      </c>
      <c r="Z22">
        <v>302257216.17083436</v>
      </c>
      <c r="AA22">
        <v>302257216.17083436</v>
      </c>
      <c r="AB22">
        <v>801808423.51964438</v>
      </c>
      <c r="AC22">
        <v>0</v>
      </c>
      <c r="AD22">
        <v>302257216.17083436</v>
      </c>
      <c r="AE22">
        <v>598395523.17086256</v>
      </c>
      <c r="AF22">
        <v>149666346.59112582</v>
      </c>
      <c r="AG22">
        <v>149666346.59112582</v>
      </c>
      <c r="AH22">
        <v>2098514333.145844</v>
      </c>
      <c r="AI22">
        <v>2098514333.145844</v>
      </c>
      <c r="AJ22">
        <v>607408943.91668081</v>
      </c>
      <c r="AK22">
        <v>220817575.62094778</v>
      </c>
      <c r="AL22">
        <v>243456866.20957723</v>
      </c>
      <c r="AM22">
        <v>220817575.62094778</v>
      </c>
      <c r="AN22">
        <v>422840884.60754865</v>
      </c>
      <c r="AO22">
        <v>243456866.20957723</v>
      </c>
    </row>
    <row r="23" spans="2:41" x14ac:dyDescent="0.25">
      <c r="B23" t="s">
        <v>18</v>
      </c>
      <c r="C23">
        <v>872759476.89895844</v>
      </c>
      <c r="D23">
        <v>872759476.89895844</v>
      </c>
      <c r="E23">
        <v>513124343.96202743</v>
      </c>
      <c r="F23">
        <v>204977106.22613132</v>
      </c>
      <c r="G23">
        <v>416109488.05452782</v>
      </c>
      <c r="H23">
        <v>416109488.05452782</v>
      </c>
      <c r="I23">
        <v>416109488.05452782</v>
      </c>
      <c r="J23">
        <v>204977106.22613132</v>
      </c>
      <c r="K23">
        <v>872759476.89895844</v>
      </c>
      <c r="L23">
        <v>416109488.05452782</v>
      </c>
      <c r="M23">
        <v>302655177.12947899</v>
      </c>
      <c r="N23">
        <v>248436541.76334676</v>
      </c>
      <c r="O23">
        <v>206204371.01316407</v>
      </c>
      <c r="P23">
        <v>206204371.01316407</v>
      </c>
      <c r="Q23">
        <v>356689161.26164597</v>
      </c>
      <c r="R23">
        <v>332418798.6167227</v>
      </c>
      <c r="S23">
        <v>552264990.42662752</v>
      </c>
      <c r="T23">
        <v>332418798.6167227</v>
      </c>
      <c r="U23">
        <v>389803743.45828426</v>
      </c>
      <c r="V23">
        <v>166931249.75356638</v>
      </c>
      <c r="W23">
        <v>0</v>
      </c>
      <c r="X23">
        <v>447284425.92445362</v>
      </c>
      <c r="Y23">
        <v>165379537.3238402</v>
      </c>
      <c r="Z23">
        <v>165379537.3238402</v>
      </c>
      <c r="AA23">
        <v>165379537.3238402</v>
      </c>
      <c r="AB23">
        <v>356689161.26164597</v>
      </c>
      <c r="AC23">
        <v>166931249.75356638</v>
      </c>
      <c r="AD23">
        <v>165379537.3238402</v>
      </c>
      <c r="AE23">
        <v>204977106.22613132</v>
      </c>
      <c r="AF23">
        <v>117070454.63932201</v>
      </c>
      <c r="AG23">
        <v>117070454.63932201</v>
      </c>
      <c r="AH23">
        <v>2154836391.8427372</v>
      </c>
      <c r="AI23">
        <v>2154836391.8427372</v>
      </c>
      <c r="AJ23">
        <v>269810428.67121834</v>
      </c>
      <c r="AK23">
        <v>100241932.39745283</v>
      </c>
      <c r="AL23">
        <v>44225106852.592789</v>
      </c>
      <c r="AM23">
        <v>100241932.39745283</v>
      </c>
      <c r="AN23">
        <v>311899139.87801367</v>
      </c>
      <c r="AO23">
        <v>44225106852.592789</v>
      </c>
    </row>
    <row r="24" spans="2:41" x14ac:dyDescent="0.25">
      <c r="B24" t="s">
        <v>19</v>
      </c>
      <c r="C24">
        <v>4245589763.6770844</v>
      </c>
      <c r="D24">
        <v>4245589763.6770844</v>
      </c>
      <c r="E24">
        <v>366612029.93662989</v>
      </c>
      <c r="F24">
        <v>2638311584.8046145</v>
      </c>
      <c r="G24">
        <v>2088385234.4853177</v>
      </c>
      <c r="H24">
        <v>2088385234.4853177</v>
      </c>
      <c r="I24">
        <v>2088385234.4853177</v>
      </c>
      <c r="J24">
        <v>2638311584.8046145</v>
      </c>
      <c r="K24">
        <v>4245589763.6770844</v>
      </c>
      <c r="L24">
        <v>2088385234.4853177</v>
      </c>
      <c r="M24">
        <v>358926808.65520668</v>
      </c>
      <c r="N24">
        <v>861223351.85211134</v>
      </c>
      <c r="O24">
        <v>195674480619.96033</v>
      </c>
      <c r="P24">
        <v>195674480619.96033</v>
      </c>
      <c r="Q24">
        <v>269362094.15241051</v>
      </c>
      <c r="R24">
        <v>594279168.16616082</v>
      </c>
      <c r="S24">
        <v>3109756253.5949578</v>
      </c>
      <c r="T24">
        <v>594279168.16616082</v>
      </c>
      <c r="U24">
        <v>338456245.94679952</v>
      </c>
      <c r="V24">
        <v>301892062.44884855</v>
      </c>
      <c r="W24">
        <v>447284425.92445362</v>
      </c>
      <c r="X24">
        <v>0</v>
      </c>
      <c r="Y24">
        <v>150248307.94914448</v>
      </c>
      <c r="Z24">
        <v>150248307.94914448</v>
      </c>
      <c r="AA24">
        <v>150248307.94914448</v>
      </c>
      <c r="AB24">
        <v>594589764.74099433</v>
      </c>
      <c r="AC24">
        <v>1237103.9334142937</v>
      </c>
      <c r="AD24">
        <v>150248307.94914448</v>
      </c>
      <c r="AE24">
        <v>2638672017.7878456</v>
      </c>
      <c r="AF24">
        <v>82306194.372133747</v>
      </c>
      <c r="AG24">
        <v>82306194.372133747</v>
      </c>
      <c r="AH24">
        <v>3266328160.6311183</v>
      </c>
      <c r="AI24">
        <v>3266328160.6311183</v>
      </c>
      <c r="AJ24">
        <v>4245589763.6770844</v>
      </c>
      <c r="AK24">
        <v>584150048.95322084</v>
      </c>
      <c r="AL24">
        <v>152913119274.92456</v>
      </c>
      <c r="AM24">
        <v>584150048.95322084</v>
      </c>
      <c r="AN24">
        <v>152913154124.3515</v>
      </c>
      <c r="AO24">
        <v>152913119274.92456</v>
      </c>
    </row>
    <row r="25" spans="2:41" x14ac:dyDescent="0.25">
      <c r="B25" t="s">
        <v>20</v>
      </c>
      <c r="C25">
        <v>418204834.71027011</v>
      </c>
      <c r="D25">
        <v>418204834.71027011</v>
      </c>
      <c r="E25">
        <v>366961357.19985533</v>
      </c>
      <c r="F25">
        <v>262230385.68614584</v>
      </c>
      <c r="G25">
        <v>294682039.00230575</v>
      </c>
      <c r="H25">
        <v>294682039.00230575</v>
      </c>
      <c r="I25">
        <v>294682039.00230575</v>
      </c>
      <c r="J25">
        <v>262230385.68614584</v>
      </c>
      <c r="K25">
        <v>418204834.71027011</v>
      </c>
      <c r="L25">
        <v>294682039.00230575</v>
      </c>
      <c r="M25">
        <v>88471783.043242022</v>
      </c>
      <c r="N25">
        <v>55757713.604952373</v>
      </c>
      <c r="O25">
        <v>2548170.4704858307</v>
      </c>
      <c r="P25">
        <v>2548170.4704858307</v>
      </c>
      <c r="Q25">
        <v>269431795.44780761</v>
      </c>
      <c r="R25">
        <v>39553691840.478416</v>
      </c>
      <c r="S25">
        <v>315209628.83386004</v>
      </c>
      <c r="T25">
        <v>39553691840.478416</v>
      </c>
      <c r="U25">
        <v>82337369.832882792</v>
      </c>
      <c r="V25">
        <v>302257216.17083436</v>
      </c>
      <c r="W25">
        <v>165379537.3238402</v>
      </c>
      <c r="X25">
        <v>150248307.94914448</v>
      </c>
      <c r="Y25">
        <v>0</v>
      </c>
      <c r="Z25">
        <v>0</v>
      </c>
      <c r="AA25">
        <v>0</v>
      </c>
      <c r="AB25">
        <v>269431795.44780761</v>
      </c>
      <c r="AC25">
        <v>302257216.17083436</v>
      </c>
      <c r="AD25">
        <v>0</v>
      </c>
      <c r="AE25">
        <v>262230385.68614584</v>
      </c>
      <c r="AF25">
        <v>220050.29650473988</v>
      </c>
      <c r="AG25">
        <v>220050.29650473988</v>
      </c>
      <c r="AH25">
        <v>2101789566.6097956</v>
      </c>
      <c r="AI25">
        <v>2101789566.6097956</v>
      </c>
      <c r="AJ25">
        <v>418204834.71027011</v>
      </c>
      <c r="AK25">
        <v>68216939.761293232</v>
      </c>
      <c r="AL25">
        <v>6001122.7350547593</v>
      </c>
      <c r="AM25">
        <v>68349931.219147086</v>
      </c>
      <c r="AN25">
        <v>81583391.294949472</v>
      </c>
      <c r="AO25">
        <v>6001122.7350547593</v>
      </c>
    </row>
    <row r="26" spans="2:41" x14ac:dyDescent="0.25">
      <c r="B26" t="s">
        <v>21</v>
      </c>
      <c r="C26">
        <v>418204834.71027011</v>
      </c>
      <c r="D26">
        <v>418204834.71027011</v>
      </c>
      <c r="E26">
        <v>366961357.19985533</v>
      </c>
      <c r="F26">
        <v>262230385.68614584</v>
      </c>
      <c r="G26">
        <v>294682039.00230575</v>
      </c>
      <c r="H26">
        <v>294682039.00230575</v>
      </c>
      <c r="I26">
        <v>294682039.00230575</v>
      </c>
      <c r="J26">
        <v>262230385.68614584</v>
      </c>
      <c r="K26">
        <v>418204834.71027011</v>
      </c>
      <c r="L26">
        <v>294682039.00230575</v>
      </c>
      <c r="M26">
        <v>88471783.043242022</v>
      </c>
      <c r="N26">
        <v>55757713.604952373</v>
      </c>
      <c r="O26">
        <v>2548170.4704858307</v>
      </c>
      <c r="P26">
        <v>2548170.4704858307</v>
      </c>
      <c r="Q26">
        <v>269431795.44780761</v>
      </c>
      <c r="R26">
        <v>39553691840.478416</v>
      </c>
      <c r="S26">
        <v>315209628.83386004</v>
      </c>
      <c r="T26">
        <v>39553691840.478416</v>
      </c>
      <c r="U26">
        <v>82337369.832882792</v>
      </c>
      <c r="V26">
        <v>302257216.17083436</v>
      </c>
      <c r="W26">
        <v>165379537.3238402</v>
      </c>
      <c r="X26">
        <v>150248307.94914448</v>
      </c>
      <c r="Y26">
        <v>0</v>
      </c>
      <c r="Z26">
        <v>0</v>
      </c>
      <c r="AA26">
        <v>0</v>
      </c>
      <c r="AB26">
        <v>269431795.44780761</v>
      </c>
      <c r="AC26">
        <v>302257216.17083436</v>
      </c>
      <c r="AD26">
        <v>0</v>
      </c>
      <c r="AE26">
        <v>262230385.68614584</v>
      </c>
      <c r="AF26">
        <v>220050.29650473988</v>
      </c>
      <c r="AG26">
        <v>220050.29650473988</v>
      </c>
      <c r="AH26">
        <v>2101789566.6097956</v>
      </c>
      <c r="AI26">
        <v>2101789566.6097956</v>
      </c>
      <c r="AJ26">
        <v>418204834.71027011</v>
      </c>
      <c r="AK26">
        <v>68216939.761293232</v>
      </c>
      <c r="AL26">
        <v>6001122.7350547593</v>
      </c>
      <c r="AM26">
        <v>68349931.219147086</v>
      </c>
      <c r="AN26">
        <v>81583391.294949472</v>
      </c>
      <c r="AO26">
        <v>6001122.7350547593</v>
      </c>
    </row>
    <row r="27" spans="2:41" x14ac:dyDescent="0.25">
      <c r="B27" t="s">
        <v>22</v>
      </c>
      <c r="C27">
        <v>418204834.71027011</v>
      </c>
      <c r="D27">
        <v>418204834.71027011</v>
      </c>
      <c r="E27">
        <v>366961357.19985533</v>
      </c>
      <c r="F27">
        <v>262230385.68614584</v>
      </c>
      <c r="G27">
        <v>294682039.00230575</v>
      </c>
      <c r="H27">
        <v>294682039.00230575</v>
      </c>
      <c r="I27">
        <v>294682039.00230575</v>
      </c>
      <c r="J27">
        <v>262230385.68614584</v>
      </c>
      <c r="K27">
        <v>418204834.71027011</v>
      </c>
      <c r="L27">
        <v>294682039.00230575</v>
      </c>
      <c r="M27">
        <v>88471783.043242022</v>
      </c>
      <c r="N27">
        <v>55757713.604952373</v>
      </c>
      <c r="O27">
        <v>2548170.4704858307</v>
      </c>
      <c r="P27">
        <v>2548170.4704858307</v>
      </c>
      <c r="Q27">
        <v>269431795.44780761</v>
      </c>
      <c r="R27">
        <v>39553691840.478416</v>
      </c>
      <c r="S27">
        <v>315209628.83386004</v>
      </c>
      <c r="T27">
        <v>39553691840.478416</v>
      </c>
      <c r="U27">
        <v>82337369.832882792</v>
      </c>
      <c r="V27">
        <v>302257216.17083436</v>
      </c>
      <c r="W27">
        <v>165379537.3238402</v>
      </c>
      <c r="X27">
        <v>150248307.94914448</v>
      </c>
      <c r="Y27">
        <v>0</v>
      </c>
      <c r="Z27">
        <v>0</v>
      </c>
      <c r="AA27">
        <v>0</v>
      </c>
      <c r="AB27">
        <v>269431795.44780761</v>
      </c>
      <c r="AC27">
        <v>302257216.17083436</v>
      </c>
      <c r="AD27">
        <v>0</v>
      </c>
      <c r="AE27">
        <v>262230385.68614584</v>
      </c>
      <c r="AF27">
        <v>220050.29650473988</v>
      </c>
      <c r="AG27">
        <v>220050.29650473988</v>
      </c>
      <c r="AH27">
        <v>2101789566.6097956</v>
      </c>
      <c r="AI27">
        <v>2101789566.6097956</v>
      </c>
      <c r="AJ27">
        <v>418204834.71027011</v>
      </c>
      <c r="AK27">
        <v>68216939.761293232</v>
      </c>
      <c r="AL27">
        <v>6001122.7350547593</v>
      </c>
      <c r="AM27">
        <v>68349931.219147086</v>
      </c>
      <c r="AN27">
        <v>81583391.294949472</v>
      </c>
      <c r="AO27">
        <v>6001122.7350547593</v>
      </c>
    </row>
    <row r="28" spans="2:41" x14ac:dyDescent="0.25">
      <c r="B28" t="s">
        <v>23</v>
      </c>
      <c r="C28">
        <v>301296730.35344291</v>
      </c>
      <c r="D28">
        <v>301296730.35344291</v>
      </c>
      <c r="E28">
        <v>605262179.13824165</v>
      </c>
      <c r="F28">
        <v>454047881.11870295</v>
      </c>
      <c r="G28">
        <v>372566293.99048257</v>
      </c>
      <c r="H28">
        <v>372566293.99048257</v>
      </c>
      <c r="I28">
        <v>372566293.99048257</v>
      </c>
      <c r="J28">
        <v>454047881.11870295</v>
      </c>
      <c r="K28">
        <v>301296730.35344291</v>
      </c>
      <c r="L28">
        <v>372566293.99048257</v>
      </c>
      <c r="M28">
        <v>1818501603.7461126</v>
      </c>
      <c r="N28">
        <v>311202041.76738256</v>
      </c>
      <c r="O28">
        <v>262985842.43861797</v>
      </c>
      <c r="P28">
        <v>262985842.43861797</v>
      </c>
      <c r="Q28">
        <v>0</v>
      </c>
      <c r="R28">
        <v>0</v>
      </c>
      <c r="S28">
        <v>248212833.54235879</v>
      </c>
      <c r="T28">
        <v>0</v>
      </c>
      <c r="U28">
        <v>266079716.09237963</v>
      </c>
      <c r="V28">
        <v>801808423.51964438</v>
      </c>
      <c r="W28">
        <v>356689161.26164597</v>
      </c>
      <c r="X28">
        <v>594589764.74099433</v>
      </c>
      <c r="Y28">
        <v>269431795.44780761</v>
      </c>
      <c r="Z28">
        <v>269431795.44780761</v>
      </c>
      <c r="AA28">
        <v>269431795.44780761</v>
      </c>
      <c r="AB28">
        <v>0</v>
      </c>
      <c r="AC28">
        <v>266210103.37443718</v>
      </c>
      <c r="AD28">
        <v>269431795.44780761</v>
      </c>
      <c r="AE28">
        <v>454047881.11870295</v>
      </c>
      <c r="AF28">
        <v>455479482.57706159</v>
      </c>
      <c r="AG28">
        <v>455479482.57706159</v>
      </c>
      <c r="AH28">
        <v>2136640724.7242038</v>
      </c>
      <c r="AI28">
        <v>2136640724.7242038</v>
      </c>
      <c r="AJ28">
        <v>301296730.35344291</v>
      </c>
      <c r="AK28">
        <v>201741230.649167</v>
      </c>
      <c r="AL28">
        <v>169951703.65607873</v>
      </c>
      <c r="AM28">
        <v>203526622.83708829</v>
      </c>
      <c r="AN28">
        <v>267594785.69601342</v>
      </c>
      <c r="AO28">
        <v>169951703.65607873</v>
      </c>
    </row>
    <row r="29" spans="2:41" x14ac:dyDescent="0.25">
      <c r="B29" t="s">
        <v>24</v>
      </c>
      <c r="C29">
        <v>607408943.91668081</v>
      </c>
      <c r="D29">
        <v>607408943.91668081</v>
      </c>
      <c r="E29">
        <v>679550489.96115661</v>
      </c>
      <c r="F29">
        <v>598395523.17086256</v>
      </c>
      <c r="G29">
        <v>469147610.92317307</v>
      </c>
      <c r="H29">
        <v>469147610.92317307</v>
      </c>
      <c r="I29">
        <v>469147610.92317307</v>
      </c>
      <c r="J29">
        <v>598395523.17086256</v>
      </c>
      <c r="K29">
        <v>607408943.91668081</v>
      </c>
      <c r="L29">
        <v>469147610.92317307</v>
      </c>
      <c r="M29">
        <v>423567981.47396928</v>
      </c>
      <c r="N29">
        <v>277194928.83889401</v>
      </c>
      <c r="O29">
        <v>298596702.67684287</v>
      </c>
      <c r="P29">
        <v>298596702.67684287</v>
      </c>
      <c r="Q29">
        <v>101481973749.94421</v>
      </c>
      <c r="R29">
        <v>801233544.34388137</v>
      </c>
      <c r="S29">
        <v>467363457.99852872</v>
      </c>
      <c r="T29">
        <v>801233544.34388137</v>
      </c>
      <c r="U29">
        <v>557993510.5374918</v>
      </c>
      <c r="V29">
        <v>0</v>
      </c>
      <c r="W29">
        <v>166931249.75356638</v>
      </c>
      <c r="X29">
        <v>1237103.9334142937</v>
      </c>
      <c r="Y29">
        <v>302257216.17083436</v>
      </c>
      <c r="Z29">
        <v>302257216.17083436</v>
      </c>
      <c r="AA29">
        <v>302257216.17083436</v>
      </c>
      <c r="AB29">
        <v>266210103.37443718</v>
      </c>
      <c r="AC29">
        <v>0</v>
      </c>
      <c r="AD29">
        <v>302257216.17083436</v>
      </c>
      <c r="AE29">
        <v>598395523.17086256</v>
      </c>
      <c r="AF29">
        <v>149666346.59112582</v>
      </c>
      <c r="AG29">
        <v>149666346.59112582</v>
      </c>
      <c r="AH29">
        <v>2098514333.145844</v>
      </c>
      <c r="AI29">
        <v>2098514333.145844</v>
      </c>
      <c r="AJ29">
        <v>607408943.91668081</v>
      </c>
      <c r="AK29">
        <v>220817575.62094778</v>
      </c>
      <c r="AL29">
        <v>243456866.20957723</v>
      </c>
      <c r="AM29">
        <v>220817575.62094778</v>
      </c>
      <c r="AN29">
        <v>422840884.60754865</v>
      </c>
      <c r="AO29">
        <v>243456866.20957723</v>
      </c>
    </row>
    <row r="30" spans="2:41" x14ac:dyDescent="0.25">
      <c r="B30" t="s">
        <v>25</v>
      </c>
      <c r="C30">
        <v>418204834.71027011</v>
      </c>
      <c r="D30">
        <v>418204834.71027011</v>
      </c>
      <c r="E30">
        <v>366961357.19985533</v>
      </c>
      <c r="F30">
        <v>262230385.68614584</v>
      </c>
      <c r="G30">
        <v>294682039.00230575</v>
      </c>
      <c r="H30">
        <v>294682039.00230575</v>
      </c>
      <c r="I30">
        <v>294682039.00230575</v>
      </c>
      <c r="J30">
        <v>262230385.68614584</v>
      </c>
      <c r="K30">
        <v>418204834.71027011</v>
      </c>
      <c r="L30">
        <v>294682039.00230575</v>
      </c>
      <c r="M30">
        <v>88471783.043242022</v>
      </c>
      <c r="N30">
        <v>55757713.604952373</v>
      </c>
      <c r="O30">
        <v>2548170.4704858307</v>
      </c>
      <c r="P30">
        <v>2548170.4704858307</v>
      </c>
      <c r="Q30">
        <v>269431795.44780761</v>
      </c>
      <c r="R30">
        <v>39553691840.478416</v>
      </c>
      <c r="S30">
        <v>315209628.83386004</v>
      </c>
      <c r="T30">
        <v>39553691840.478416</v>
      </c>
      <c r="U30">
        <v>82337369.832882792</v>
      </c>
      <c r="V30">
        <v>302257216.17083436</v>
      </c>
      <c r="W30">
        <v>165379537.3238402</v>
      </c>
      <c r="X30">
        <v>150248307.94914448</v>
      </c>
      <c r="Y30">
        <v>0</v>
      </c>
      <c r="Z30">
        <v>0</v>
      </c>
      <c r="AA30">
        <v>0</v>
      </c>
      <c r="AB30">
        <v>269431795.44780761</v>
      </c>
      <c r="AC30">
        <v>302257216.17083436</v>
      </c>
      <c r="AD30">
        <v>0</v>
      </c>
      <c r="AE30">
        <v>262230385.68614584</v>
      </c>
      <c r="AF30">
        <v>220050.29650473988</v>
      </c>
      <c r="AG30">
        <v>220050.29650473988</v>
      </c>
      <c r="AH30">
        <v>2101789566.6097956</v>
      </c>
      <c r="AI30">
        <v>2101789566.6097956</v>
      </c>
      <c r="AJ30">
        <v>418204834.71027011</v>
      </c>
      <c r="AK30">
        <v>68216939.761293232</v>
      </c>
      <c r="AL30">
        <v>6001122.7350547593</v>
      </c>
      <c r="AM30">
        <v>68216939.761293232</v>
      </c>
      <c r="AN30">
        <v>81583391.294949472</v>
      </c>
      <c r="AO30">
        <v>6001122.7350547593</v>
      </c>
    </row>
    <row r="31" spans="2:41" x14ac:dyDescent="0.25">
      <c r="B31" t="s">
        <v>147</v>
      </c>
      <c r="C31">
        <v>717981925.12350547</v>
      </c>
      <c r="D31">
        <v>717981925.12350547</v>
      </c>
      <c r="E31">
        <v>367950341.75794429</v>
      </c>
      <c r="F31">
        <v>0</v>
      </c>
      <c r="G31">
        <v>14957032664.764507</v>
      </c>
      <c r="H31">
        <v>14957032664.764507</v>
      </c>
      <c r="I31">
        <v>14957032664.764507</v>
      </c>
      <c r="J31">
        <v>0</v>
      </c>
      <c r="K31">
        <v>717981925.12350547</v>
      </c>
      <c r="L31">
        <v>14957032664.764507</v>
      </c>
      <c r="M31">
        <v>407012716.58167791</v>
      </c>
      <c r="N31">
        <v>365287846.37173587</v>
      </c>
      <c r="O31">
        <v>230028782.62441447</v>
      </c>
      <c r="P31">
        <v>230028782.62441447</v>
      </c>
      <c r="Q31">
        <v>454047881.11870295</v>
      </c>
      <c r="R31">
        <v>417717263.55181062</v>
      </c>
      <c r="S31">
        <v>738140028.09581339</v>
      </c>
      <c r="T31">
        <v>417717263.55181062</v>
      </c>
      <c r="U31">
        <v>349140766.36130357</v>
      </c>
      <c r="V31">
        <v>598395523.17086256</v>
      </c>
      <c r="W31">
        <v>204977106.22613132</v>
      </c>
      <c r="X31">
        <v>2638672017.7878456</v>
      </c>
      <c r="Y31">
        <v>262230385.68614584</v>
      </c>
      <c r="Z31">
        <v>262230385.68614584</v>
      </c>
      <c r="AA31">
        <v>262230385.68614584</v>
      </c>
      <c r="AB31">
        <v>454047881.11870295</v>
      </c>
      <c r="AC31">
        <v>598395523.17086256</v>
      </c>
      <c r="AD31">
        <v>262230385.68614584</v>
      </c>
      <c r="AE31">
        <v>0</v>
      </c>
      <c r="AF31">
        <v>197009718.81525612</v>
      </c>
      <c r="AG31">
        <v>197009718.81525612</v>
      </c>
      <c r="AH31">
        <v>1911173244.2243505</v>
      </c>
      <c r="AI31">
        <v>1911173244.2243505</v>
      </c>
      <c r="AJ31">
        <v>717981925.12350547</v>
      </c>
      <c r="AK31">
        <v>223657210.42485714</v>
      </c>
      <c r="AL31">
        <v>246042309.19120839</v>
      </c>
      <c r="AM31">
        <v>223657210.42485714</v>
      </c>
      <c r="AN31">
        <v>295114703.02756053</v>
      </c>
      <c r="AO31">
        <v>246042309.19120839</v>
      </c>
    </row>
    <row r="32" spans="2:41" x14ac:dyDescent="0.25">
      <c r="B32" t="s">
        <v>30</v>
      </c>
      <c r="C32">
        <v>342128377.77334028</v>
      </c>
      <c r="D32">
        <v>342128377.77334028</v>
      </c>
      <c r="E32">
        <v>139106613.52869803</v>
      </c>
      <c r="F32">
        <v>197009718.81525612</v>
      </c>
      <c r="G32">
        <v>292534071.19447911</v>
      </c>
      <c r="H32">
        <v>292534071.19447911</v>
      </c>
      <c r="I32">
        <v>292534071.19447911</v>
      </c>
      <c r="J32">
        <v>197009718.81525612</v>
      </c>
      <c r="K32">
        <v>342128377.77334028</v>
      </c>
      <c r="L32">
        <v>292534071.19447911</v>
      </c>
      <c r="M32">
        <v>64006650.206409298</v>
      </c>
      <c r="N32">
        <v>364032392.04785162</v>
      </c>
      <c r="O32">
        <v>310305945.11983061</v>
      </c>
      <c r="P32">
        <v>310305945.11983061</v>
      </c>
      <c r="Q32">
        <v>455479482.57706159</v>
      </c>
      <c r="R32">
        <v>144964288.14303789</v>
      </c>
      <c r="S32">
        <v>297698362.97373915</v>
      </c>
      <c r="T32">
        <v>144964288.14303789</v>
      </c>
      <c r="U32">
        <v>109549.25893666115</v>
      </c>
      <c r="V32">
        <v>149666346.59112582</v>
      </c>
      <c r="W32">
        <v>117070454.63932201</v>
      </c>
      <c r="X32">
        <v>82306194.372133747</v>
      </c>
      <c r="Y32">
        <v>220050.29650473988</v>
      </c>
      <c r="Z32">
        <v>220050.29650473988</v>
      </c>
      <c r="AA32">
        <v>220050.29650473988</v>
      </c>
      <c r="AB32">
        <v>455479482.57706159</v>
      </c>
      <c r="AC32">
        <v>149666346.59112582</v>
      </c>
      <c r="AD32">
        <v>220050.29650473988</v>
      </c>
      <c r="AE32">
        <v>197009718.81525612</v>
      </c>
      <c r="AF32">
        <v>0</v>
      </c>
      <c r="AG32">
        <v>0</v>
      </c>
      <c r="AH32">
        <v>1590896619.8862255</v>
      </c>
      <c r="AI32">
        <v>1590896619.8862255</v>
      </c>
      <c r="AJ32">
        <v>342128377.77334028</v>
      </c>
      <c r="AK32">
        <v>113581285.49513839</v>
      </c>
      <c r="AL32">
        <v>229953552.45454261</v>
      </c>
      <c r="AM32">
        <v>113581285.49513839</v>
      </c>
      <c r="AN32">
        <v>138057938.50476411</v>
      </c>
      <c r="AO32">
        <v>229953552.45454261</v>
      </c>
    </row>
    <row r="33" spans="2:41" x14ac:dyDescent="0.25">
      <c r="B33" t="s">
        <v>31</v>
      </c>
      <c r="C33">
        <v>342128377.77334028</v>
      </c>
      <c r="D33">
        <v>342128377.77334028</v>
      </c>
      <c r="E33">
        <v>139106613.52869803</v>
      </c>
      <c r="F33">
        <v>197009718.81525612</v>
      </c>
      <c r="G33">
        <v>292534071.19447911</v>
      </c>
      <c r="H33">
        <v>292534071.19447911</v>
      </c>
      <c r="I33">
        <v>292534071.19447911</v>
      </c>
      <c r="J33">
        <v>197009718.81525612</v>
      </c>
      <c r="K33">
        <v>342128377.77334028</v>
      </c>
      <c r="L33">
        <v>292534071.19447911</v>
      </c>
      <c r="M33">
        <v>64006650.206409298</v>
      </c>
      <c r="N33">
        <v>364032392.04785162</v>
      </c>
      <c r="O33">
        <v>310305945.11983061</v>
      </c>
      <c r="P33">
        <v>310305945.11983061</v>
      </c>
      <c r="Q33">
        <v>455479482.57706159</v>
      </c>
      <c r="R33">
        <v>144964288.14303789</v>
      </c>
      <c r="S33">
        <v>297698362.97373915</v>
      </c>
      <c r="T33">
        <v>144964288.14303789</v>
      </c>
      <c r="U33">
        <v>109549.25893666115</v>
      </c>
      <c r="V33">
        <v>149666346.59112582</v>
      </c>
      <c r="W33">
        <v>117070454.63932201</v>
      </c>
      <c r="X33">
        <v>82306194.372133747</v>
      </c>
      <c r="Y33">
        <v>220050.29650473988</v>
      </c>
      <c r="Z33">
        <v>220050.29650473988</v>
      </c>
      <c r="AA33">
        <v>220050.29650473988</v>
      </c>
      <c r="AB33">
        <v>455479482.57706159</v>
      </c>
      <c r="AC33">
        <v>149666346.59112582</v>
      </c>
      <c r="AD33">
        <v>220050.29650473988</v>
      </c>
      <c r="AE33">
        <v>197009718.81525612</v>
      </c>
      <c r="AF33">
        <v>0</v>
      </c>
      <c r="AG33">
        <v>0</v>
      </c>
      <c r="AH33">
        <v>1590896619.8862255</v>
      </c>
      <c r="AI33">
        <v>1590896619.8862255</v>
      </c>
      <c r="AJ33">
        <v>342128377.77334028</v>
      </c>
      <c r="AK33">
        <v>113581285.49513839</v>
      </c>
      <c r="AL33">
        <v>229953552.45454261</v>
      </c>
      <c r="AM33">
        <v>113581285.49513839</v>
      </c>
      <c r="AN33">
        <v>138057938.50476411</v>
      </c>
      <c r="AO33">
        <v>229953552.45454261</v>
      </c>
    </row>
    <row r="34" spans="2:41" x14ac:dyDescent="0.25">
      <c r="B34" t="s">
        <v>32</v>
      </c>
      <c r="C34">
        <v>2193966867.9333339</v>
      </c>
      <c r="D34">
        <v>2193966867.9333339</v>
      </c>
      <c r="E34">
        <v>3330415730.6387501</v>
      </c>
      <c r="F34">
        <v>1911173244.2243505</v>
      </c>
      <c r="G34">
        <v>2377604492.9825392</v>
      </c>
      <c r="H34">
        <v>2377604492.9825392</v>
      </c>
      <c r="I34">
        <v>2377604492.9825392</v>
      </c>
      <c r="J34">
        <v>1911173244.2243505</v>
      </c>
      <c r="K34">
        <v>2193966867.9333339</v>
      </c>
      <c r="L34">
        <v>2377604492.9825392</v>
      </c>
      <c r="M34">
        <v>2286810074.0775046</v>
      </c>
      <c r="N34">
        <v>2162009609.7166762</v>
      </c>
      <c r="O34">
        <v>1938798306.8291271</v>
      </c>
      <c r="P34">
        <v>1938798306.8291271</v>
      </c>
      <c r="Q34">
        <v>2136640724.7242038</v>
      </c>
      <c r="R34">
        <v>1932605480.7893453</v>
      </c>
      <c r="S34">
        <v>2579588304.4609599</v>
      </c>
      <c r="T34">
        <v>1932605480.7893453</v>
      </c>
      <c r="U34">
        <v>2652220330.5001311</v>
      </c>
      <c r="V34">
        <v>2098514333.145844</v>
      </c>
      <c r="W34">
        <v>2154836391.8427372</v>
      </c>
      <c r="X34">
        <v>3266328160.6311183</v>
      </c>
      <c r="Y34">
        <v>2101789566.6097956</v>
      </c>
      <c r="Z34">
        <v>2101789566.6097956</v>
      </c>
      <c r="AA34">
        <v>2101789566.6097956</v>
      </c>
      <c r="AB34">
        <v>2136640724.7242038</v>
      </c>
      <c r="AC34">
        <v>2098514333.145844</v>
      </c>
      <c r="AD34">
        <v>2101789566.6097956</v>
      </c>
      <c r="AE34">
        <v>1911173244.2243505</v>
      </c>
      <c r="AF34">
        <v>1590896619.8862255</v>
      </c>
      <c r="AG34">
        <v>1590896619.8862255</v>
      </c>
      <c r="AH34">
        <v>0</v>
      </c>
      <c r="AI34">
        <v>0</v>
      </c>
      <c r="AJ34">
        <v>2193966867.9333339</v>
      </c>
      <c r="AK34">
        <v>722972192.87184024</v>
      </c>
      <c r="AL34">
        <v>793467524.14639163</v>
      </c>
      <c r="AM34">
        <v>722972192.87184024</v>
      </c>
      <c r="AN34">
        <v>850943467.2182498</v>
      </c>
      <c r="AO34">
        <v>793467524.14639163</v>
      </c>
    </row>
    <row r="35" spans="2:41" x14ac:dyDescent="0.25">
      <c r="B35" t="s">
        <v>33</v>
      </c>
      <c r="C35">
        <v>2193966867.9333339</v>
      </c>
      <c r="D35">
        <v>2193966867.9333339</v>
      </c>
      <c r="E35">
        <v>3330415730.6387501</v>
      </c>
      <c r="F35">
        <v>1911173244.2243505</v>
      </c>
      <c r="G35">
        <v>2377604492.9825392</v>
      </c>
      <c r="H35">
        <v>2377604492.9825392</v>
      </c>
      <c r="I35">
        <v>2377604492.9825392</v>
      </c>
      <c r="J35">
        <v>1911173244.2243505</v>
      </c>
      <c r="K35">
        <v>2193966867.9333339</v>
      </c>
      <c r="L35">
        <v>2377604492.9825392</v>
      </c>
      <c r="M35">
        <v>2286810074.0775046</v>
      </c>
      <c r="N35">
        <v>2162009609.7166762</v>
      </c>
      <c r="O35">
        <v>1938798306.8291271</v>
      </c>
      <c r="P35">
        <v>1938798306.8291271</v>
      </c>
      <c r="Q35">
        <v>2136640724.7242038</v>
      </c>
      <c r="R35">
        <v>1932605480.7893453</v>
      </c>
      <c r="S35">
        <v>2579588304.4609599</v>
      </c>
      <c r="T35">
        <v>1932605480.7893453</v>
      </c>
      <c r="U35">
        <v>2652220330.5001311</v>
      </c>
      <c r="V35">
        <v>2098514333.145844</v>
      </c>
      <c r="W35">
        <v>2154836391.8427372</v>
      </c>
      <c r="X35">
        <v>3266328160.6311183</v>
      </c>
      <c r="Y35">
        <v>2101789566.6097956</v>
      </c>
      <c r="Z35">
        <v>2101789566.6097956</v>
      </c>
      <c r="AA35">
        <v>2101789566.6097956</v>
      </c>
      <c r="AB35">
        <v>2136640724.7242038</v>
      </c>
      <c r="AC35">
        <v>2098514333.145844</v>
      </c>
      <c r="AD35">
        <v>2101789566.6097956</v>
      </c>
      <c r="AE35">
        <v>1911173244.2243505</v>
      </c>
      <c r="AF35">
        <v>1590896619.8862255</v>
      </c>
      <c r="AG35">
        <v>1590896619.8862255</v>
      </c>
      <c r="AH35">
        <v>0</v>
      </c>
      <c r="AI35">
        <v>0</v>
      </c>
      <c r="AJ35">
        <v>2193966867.9333339</v>
      </c>
      <c r="AK35">
        <v>722972192.87184024</v>
      </c>
      <c r="AL35">
        <v>793467524.14639163</v>
      </c>
      <c r="AM35">
        <v>722972192.87184024</v>
      </c>
      <c r="AN35">
        <v>850943467.2182498</v>
      </c>
      <c r="AO35">
        <v>793467524.14639163</v>
      </c>
    </row>
    <row r="36" spans="2:41" x14ac:dyDescent="0.25">
      <c r="B36" t="s">
        <v>34</v>
      </c>
      <c r="C36">
        <v>0</v>
      </c>
      <c r="D36">
        <v>0</v>
      </c>
      <c r="E36">
        <v>872717786.04490113</v>
      </c>
      <c r="F36">
        <v>717981925.12350547</v>
      </c>
      <c r="G36">
        <v>741059562.42128873</v>
      </c>
      <c r="H36">
        <v>741059562.42128873</v>
      </c>
      <c r="I36">
        <v>741059562.42128873</v>
      </c>
      <c r="J36">
        <v>717981925.12350547</v>
      </c>
      <c r="K36">
        <v>0</v>
      </c>
      <c r="L36">
        <v>741059562.42128873</v>
      </c>
      <c r="M36">
        <v>563145024.56339049</v>
      </c>
      <c r="N36">
        <v>498367234.11021096</v>
      </c>
      <c r="O36">
        <v>378558644.75431526</v>
      </c>
      <c r="P36">
        <v>378558644.75431526</v>
      </c>
      <c r="Q36">
        <v>301296730.35344291</v>
      </c>
      <c r="R36">
        <v>339671812.02692801</v>
      </c>
      <c r="S36">
        <v>751563768.80303359</v>
      </c>
      <c r="T36">
        <v>339671812.02692801</v>
      </c>
      <c r="U36">
        <v>744272517.42394555</v>
      </c>
      <c r="V36">
        <v>607408943.91668081</v>
      </c>
      <c r="W36">
        <v>269810428.67121834</v>
      </c>
      <c r="X36">
        <v>4245589763.6770844</v>
      </c>
      <c r="Y36">
        <v>418204834.71027011</v>
      </c>
      <c r="Z36">
        <v>418204834.71027011</v>
      </c>
      <c r="AA36">
        <v>418204834.71027011</v>
      </c>
      <c r="AB36">
        <v>301296730.35344291</v>
      </c>
      <c r="AC36">
        <v>607408943.91668081</v>
      </c>
      <c r="AD36">
        <v>418204834.71027011</v>
      </c>
      <c r="AE36">
        <v>717981925.12350547</v>
      </c>
      <c r="AF36">
        <v>342128377.77334028</v>
      </c>
      <c r="AG36">
        <v>342128377.77334028</v>
      </c>
      <c r="AH36">
        <v>2193966867.9333339</v>
      </c>
      <c r="AI36">
        <v>2193966867.9333339</v>
      </c>
      <c r="AJ36">
        <v>0</v>
      </c>
      <c r="AK36">
        <v>441482678.50809598</v>
      </c>
      <c r="AL36">
        <v>467243148.24347186</v>
      </c>
      <c r="AM36">
        <v>441482678.50809598</v>
      </c>
      <c r="AN36">
        <v>578770918.09302032</v>
      </c>
      <c r="AO36">
        <v>467243148.24347186</v>
      </c>
    </row>
    <row r="37" spans="2:41" x14ac:dyDescent="0.25">
      <c r="B37" t="s">
        <v>35</v>
      </c>
      <c r="C37">
        <v>441482678.50809598</v>
      </c>
      <c r="D37">
        <v>441482678.50809598</v>
      </c>
      <c r="E37">
        <v>497427347.94958073</v>
      </c>
      <c r="F37">
        <v>223657210.42485714</v>
      </c>
      <c r="G37">
        <v>327689626.72364122</v>
      </c>
      <c r="H37">
        <v>327689626.72364122</v>
      </c>
      <c r="I37">
        <v>327689626.72364122</v>
      </c>
      <c r="J37">
        <v>223657210.42485714</v>
      </c>
      <c r="K37">
        <v>441482678.50809598</v>
      </c>
      <c r="L37">
        <v>327689626.72364122</v>
      </c>
      <c r="M37">
        <v>32394.010613519538</v>
      </c>
      <c r="N37">
        <v>91346497.835189387</v>
      </c>
      <c r="O37">
        <v>48528241.437982425</v>
      </c>
      <c r="P37">
        <v>48528241.437982425</v>
      </c>
      <c r="Q37">
        <v>201741230.649167</v>
      </c>
      <c r="R37">
        <v>209019449.73059258</v>
      </c>
      <c r="S37">
        <v>387141146.53122079</v>
      </c>
      <c r="T37">
        <v>209019449.73059258</v>
      </c>
      <c r="U37">
        <v>115805737.58002523</v>
      </c>
      <c r="V37">
        <v>220817575.62094778</v>
      </c>
      <c r="W37">
        <v>100241932.39745283</v>
      </c>
      <c r="X37">
        <v>584150048.95322084</v>
      </c>
      <c r="Y37">
        <v>68216939.761293232</v>
      </c>
      <c r="Z37">
        <v>68216939.761293232</v>
      </c>
      <c r="AA37">
        <v>68216939.761293232</v>
      </c>
      <c r="AB37">
        <v>201741230.649167</v>
      </c>
      <c r="AC37">
        <v>220817575.62094778</v>
      </c>
      <c r="AD37">
        <v>68216939.761293232</v>
      </c>
      <c r="AE37">
        <v>223657210.42485714</v>
      </c>
      <c r="AF37">
        <v>113581285.49513839</v>
      </c>
      <c r="AG37">
        <v>113581285.49513839</v>
      </c>
      <c r="AH37">
        <v>722972192.87184024</v>
      </c>
      <c r="AI37">
        <v>722972192.87184024</v>
      </c>
      <c r="AJ37">
        <v>441482678.50809598</v>
      </c>
      <c r="AK37">
        <v>0</v>
      </c>
      <c r="AL37">
        <v>114608095.39161734</v>
      </c>
      <c r="AM37">
        <v>0</v>
      </c>
      <c r="AN37">
        <v>114584460.61835523</v>
      </c>
      <c r="AO37">
        <v>114608095.39161734</v>
      </c>
    </row>
    <row r="38" spans="2:41" x14ac:dyDescent="0.25">
      <c r="B38" t="s">
        <v>36</v>
      </c>
      <c r="C38">
        <v>467243148.24347186</v>
      </c>
      <c r="D38">
        <v>467243148.24347186</v>
      </c>
      <c r="E38">
        <v>409796456.30091602</v>
      </c>
      <c r="F38">
        <v>246042309.19120839</v>
      </c>
      <c r="G38">
        <v>313964951.14360976</v>
      </c>
      <c r="H38">
        <v>313964951.14360976</v>
      </c>
      <c r="I38">
        <v>313964951.14360976</v>
      </c>
      <c r="J38">
        <v>246042309.19120839</v>
      </c>
      <c r="K38">
        <v>467243148.24347186</v>
      </c>
      <c r="L38">
        <v>313964951.14360976</v>
      </c>
      <c r="M38">
        <v>78353414.396606296</v>
      </c>
      <c r="N38">
        <v>32277600.151614141</v>
      </c>
      <c r="O38">
        <v>10151715.983726965</v>
      </c>
      <c r="P38">
        <v>10151715.983726965</v>
      </c>
      <c r="Q38">
        <v>169951703.65607873</v>
      </c>
      <c r="R38">
        <v>191733440.90193048</v>
      </c>
      <c r="S38">
        <v>379955132.14299858</v>
      </c>
      <c r="T38">
        <v>191733440.90193048</v>
      </c>
      <c r="U38">
        <v>20979671.704035226</v>
      </c>
      <c r="V38">
        <v>243456866.20957723</v>
      </c>
      <c r="W38">
        <v>44225106852.592789</v>
      </c>
      <c r="X38">
        <v>152913119274.92456</v>
      </c>
      <c r="Y38">
        <v>6001122.7350547593</v>
      </c>
      <c r="Z38">
        <v>6001122.7350547593</v>
      </c>
      <c r="AA38">
        <v>6001122.7350547593</v>
      </c>
      <c r="AB38">
        <v>169951703.65607873</v>
      </c>
      <c r="AC38">
        <v>243456866.20957723</v>
      </c>
      <c r="AD38">
        <v>6001122.7350547593</v>
      </c>
      <c r="AE38">
        <v>246042309.19120839</v>
      </c>
      <c r="AF38">
        <v>229953552.45454261</v>
      </c>
      <c r="AG38">
        <v>229953552.45454261</v>
      </c>
      <c r="AH38">
        <v>793467524.14639163</v>
      </c>
      <c r="AI38">
        <v>793467524.14639163</v>
      </c>
      <c r="AJ38">
        <v>467243148.24347186</v>
      </c>
      <c r="AK38">
        <v>114608095.39161734</v>
      </c>
      <c r="AL38">
        <v>0</v>
      </c>
      <c r="AM38">
        <v>78329416.711638749</v>
      </c>
      <c r="AN38">
        <v>0</v>
      </c>
      <c r="AO38">
        <v>0</v>
      </c>
    </row>
    <row r="39" spans="2:41" x14ac:dyDescent="0.25">
      <c r="B39" t="s">
        <v>37</v>
      </c>
      <c r="C39">
        <v>441482678.50809598</v>
      </c>
      <c r="D39">
        <v>441482678.50809598</v>
      </c>
      <c r="E39">
        <v>497427347.94958073</v>
      </c>
      <c r="F39">
        <v>223657210.42485714</v>
      </c>
      <c r="G39">
        <v>327689626.72364122</v>
      </c>
      <c r="H39">
        <v>327689626.72364122</v>
      </c>
      <c r="I39">
        <v>327689626.72364122</v>
      </c>
      <c r="J39">
        <v>223657210.42485714</v>
      </c>
      <c r="K39">
        <v>441482678.50809598</v>
      </c>
      <c r="L39">
        <v>327689626.72364122</v>
      </c>
      <c r="M39">
        <v>32394.010613519538</v>
      </c>
      <c r="N39">
        <v>91346497.835189387</v>
      </c>
      <c r="O39">
        <v>48528241.437982425</v>
      </c>
      <c r="P39">
        <v>48528241.437982425</v>
      </c>
      <c r="Q39">
        <v>201741230.649167</v>
      </c>
      <c r="R39">
        <v>209019449.73059258</v>
      </c>
      <c r="S39">
        <v>387141146.53122079</v>
      </c>
      <c r="T39">
        <v>209019449.73059258</v>
      </c>
      <c r="U39">
        <v>115805737.58002523</v>
      </c>
      <c r="V39">
        <v>220817575.62094778</v>
      </c>
      <c r="W39">
        <v>100241932.39745283</v>
      </c>
      <c r="X39">
        <v>584150048.95322084</v>
      </c>
      <c r="Y39">
        <v>68349931.219147086</v>
      </c>
      <c r="Z39">
        <v>68349931.219147086</v>
      </c>
      <c r="AA39">
        <v>68349931.219147086</v>
      </c>
      <c r="AB39">
        <v>203526622.83708829</v>
      </c>
      <c r="AC39">
        <v>220817575.62094778</v>
      </c>
      <c r="AD39">
        <v>68216939.761293232</v>
      </c>
      <c r="AE39">
        <v>223657210.42485714</v>
      </c>
      <c r="AF39">
        <v>113581285.49513839</v>
      </c>
      <c r="AG39">
        <v>113581285.49513839</v>
      </c>
      <c r="AH39">
        <v>722972192.87184024</v>
      </c>
      <c r="AI39">
        <v>722972192.87184024</v>
      </c>
      <c r="AJ39">
        <v>441482678.50809598</v>
      </c>
      <c r="AK39">
        <v>0</v>
      </c>
      <c r="AL39">
        <v>78329416.711638749</v>
      </c>
      <c r="AM39">
        <v>0</v>
      </c>
      <c r="AN39">
        <v>0</v>
      </c>
      <c r="AO39">
        <v>0</v>
      </c>
    </row>
    <row r="40" spans="2:41" x14ac:dyDescent="0.25">
      <c r="B40" t="s">
        <v>38</v>
      </c>
      <c r="C40">
        <v>578770918.09302032</v>
      </c>
      <c r="D40">
        <v>578770918.09302032</v>
      </c>
      <c r="E40">
        <v>733559976.68806398</v>
      </c>
      <c r="F40">
        <v>295114703.02756053</v>
      </c>
      <c r="G40">
        <v>382317831.51748949</v>
      </c>
      <c r="H40">
        <v>382317831.51748949</v>
      </c>
      <c r="I40">
        <v>382317831.51748949</v>
      </c>
      <c r="J40">
        <v>295114703.02756053</v>
      </c>
      <c r="K40">
        <v>578770918.09302032</v>
      </c>
      <c r="L40">
        <v>382317831.51748949</v>
      </c>
      <c r="M40">
        <v>170875475.47768599</v>
      </c>
      <c r="N40">
        <v>32270257.553562403</v>
      </c>
      <c r="O40">
        <v>62930677.90741691</v>
      </c>
      <c r="P40">
        <v>62930677.90741691</v>
      </c>
      <c r="Q40">
        <v>267594785.69601342</v>
      </c>
      <c r="R40">
        <v>292395495.67933685</v>
      </c>
      <c r="S40">
        <v>517850795.0970943</v>
      </c>
      <c r="T40">
        <v>292395495.67933685</v>
      </c>
      <c r="U40">
        <v>135970273.16674384</v>
      </c>
      <c r="V40">
        <v>422840884.60754865</v>
      </c>
      <c r="W40">
        <v>311899139.87801367</v>
      </c>
      <c r="X40">
        <v>152913154124.3515</v>
      </c>
      <c r="Y40">
        <v>81583391.294949472</v>
      </c>
      <c r="Z40">
        <v>81583391.294949472</v>
      </c>
      <c r="AA40">
        <v>81583391.294949472</v>
      </c>
      <c r="AB40">
        <v>267594785.69601342</v>
      </c>
      <c r="AC40">
        <v>422840884.60754865</v>
      </c>
      <c r="AD40">
        <v>81583391.294949472</v>
      </c>
      <c r="AE40">
        <v>295114703.02756053</v>
      </c>
      <c r="AF40">
        <v>138057938.50476411</v>
      </c>
      <c r="AG40">
        <v>138057938.50476411</v>
      </c>
      <c r="AH40">
        <v>850943467.2182498</v>
      </c>
      <c r="AI40">
        <v>850943467.2182498</v>
      </c>
      <c r="AJ40">
        <v>578770918.09302032</v>
      </c>
      <c r="AK40">
        <v>114584460.61835523</v>
      </c>
      <c r="AL40">
        <v>0</v>
      </c>
      <c r="AM40">
        <v>0</v>
      </c>
      <c r="AN40">
        <v>0</v>
      </c>
      <c r="AO40">
        <v>0</v>
      </c>
    </row>
    <row r="41" spans="2:41" x14ac:dyDescent="0.25">
      <c r="B41" t="s">
        <v>39</v>
      </c>
      <c r="C41">
        <v>467243148.24347186</v>
      </c>
      <c r="D41">
        <v>467243148.24347186</v>
      </c>
      <c r="E41">
        <v>409796456.30091602</v>
      </c>
      <c r="F41">
        <v>246042309.19120839</v>
      </c>
      <c r="G41">
        <v>313964951.14360976</v>
      </c>
      <c r="H41">
        <v>313964951.14360976</v>
      </c>
      <c r="I41">
        <v>313964951.14360976</v>
      </c>
      <c r="J41">
        <v>246042309.19120839</v>
      </c>
      <c r="K41">
        <v>467243148.24347186</v>
      </c>
      <c r="L41">
        <v>313964951.14360976</v>
      </c>
      <c r="M41">
        <v>78353414.396606296</v>
      </c>
      <c r="N41">
        <v>91502109.981904164</v>
      </c>
      <c r="O41">
        <v>10151715.983726965</v>
      </c>
      <c r="P41">
        <v>10151715.983726965</v>
      </c>
      <c r="Q41">
        <v>169951703.65607873</v>
      </c>
      <c r="R41">
        <v>191733440.90193048</v>
      </c>
      <c r="S41">
        <v>379955132.14299858</v>
      </c>
      <c r="T41">
        <v>191733440.90193048</v>
      </c>
      <c r="U41">
        <v>20979671.704035226</v>
      </c>
      <c r="V41">
        <v>243456866.20957723</v>
      </c>
      <c r="W41">
        <v>44225106852.592789</v>
      </c>
      <c r="X41">
        <v>152913119274.92456</v>
      </c>
      <c r="Y41">
        <v>6001122.7350547593</v>
      </c>
      <c r="Z41">
        <v>6001122.7350547593</v>
      </c>
      <c r="AA41">
        <v>6001122.7350547593</v>
      </c>
      <c r="AB41">
        <v>169951703.65607873</v>
      </c>
      <c r="AC41">
        <v>243456866.20957723</v>
      </c>
      <c r="AD41">
        <v>6001122.7350547593</v>
      </c>
      <c r="AE41">
        <v>246042309.19120839</v>
      </c>
      <c r="AF41">
        <v>229953552.45454261</v>
      </c>
      <c r="AG41">
        <v>229953552.45454261</v>
      </c>
      <c r="AH41">
        <v>793467524.14639163</v>
      </c>
      <c r="AI41">
        <v>793467524.14639163</v>
      </c>
      <c r="AJ41">
        <v>467243148.24347186</v>
      </c>
      <c r="AK41">
        <v>114608095.39161734</v>
      </c>
      <c r="AL41">
        <v>0</v>
      </c>
      <c r="AM41">
        <v>0</v>
      </c>
      <c r="AN41">
        <v>0</v>
      </c>
      <c r="AO41">
        <v>0</v>
      </c>
    </row>
    <row r="42" spans="2:41" x14ac:dyDescent="0.25">
      <c r="B42" t="s">
        <v>40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258EEE-EE2C-457F-97B4-F4790EA35A12}">
  <sheetPr filterMode="1"/>
  <dimension ref="A3:AP1645"/>
  <sheetViews>
    <sheetView topLeftCell="A44" zoomScale="90" zoomScaleNormal="90" workbookViewId="0">
      <selection activeCell="B44" sqref="B44"/>
    </sheetView>
  </sheetViews>
  <sheetFormatPr baseColWidth="10" defaultRowHeight="15" x14ac:dyDescent="0.25"/>
  <sheetData>
    <row r="3" spans="2:42" x14ac:dyDescent="0.25">
      <c r="C3" t="s">
        <v>0</v>
      </c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K3" t="s">
        <v>148</v>
      </c>
      <c r="L3" t="s">
        <v>9</v>
      </c>
      <c r="M3" t="s">
        <v>10</v>
      </c>
      <c r="N3" t="s">
        <v>11</v>
      </c>
      <c r="O3" t="s">
        <v>12</v>
      </c>
      <c r="P3" t="s">
        <v>13</v>
      </c>
      <c r="Q3" t="s">
        <v>14</v>
      </c>
      <c r="R3" t="s">
        <v>15</v>
      </c>
      <c r="S3" t="s">
        <v>16</v>
      </c>
      <c r="T3" t="s">
        <v>17</v>
      </c>
      <c r="U3" t="s">
        <v>145</v>
      </c>
      <c r="V3" t="s">
        <v>146</v>
      </c>
      <c r="W3" t="s">
        <v>18</v>
      </c>
      <c r="X3" t="s">
        <v>19</v>
      </c>
      <c r="Y3" t="s">
        <v>20</v>
      </c>
      <c r="Z3" t="s">
        <v>21</v>
      </c>
      <c r="AA3" t="s">
        <v>22</v>
      </c>
      <c r="AB3" t="s">
        <v>23</v>
      </c>
      <c r="AC3" t="s">
        <v>24</v>
      </c>
      <c r="AD3" t="s">
        <v>25</v>
      </c>
      <c r="AE3" t="s">
        <v>147</v>
      </c>
      <c r="AF3" t="s">
        <v>30</v>
      </c>
      <c r="AG3" t="s">
        <v>31</v>
      </c>
      <c r="AH3" t="s">
        <v>32</v>
      </c>
      <c r="AI3" t="s">
        <v>33</v>
      </c>
      <c r="AJ3" t="s">
        <v>34</v>
      </c>
      <c r="AK3" t="s">
        <v>35</v>
      </c>
      <c r="AL3" t="s">
        <v>36</v>
      </c>
      <c r="AM3" t="s">
        <v>37</v>
      </c>
      <c r="AN3" t="s">
        <v>38</v>
      </c>
      <c r="AO3" t="s">
        <v>39</v>
      </c>
      <c r="AP3" t="s">
        <v>40</v>
      </c>
    </row>
    <row r="4" spans="2:42" x14ac:dyDescent="0.25">
      <c r="B4" t="s">
        <v>0</v>
      </c>
      <c r="C4">
        <v>0</v>
      </c>
      <c r="D4">
        <v>0</v>
      </c>
      <c r="E4">
        <v>19.54573780946474</v>
      </c>
      <c r="F4">
        <v>31.301570660015486</v>
      </c>
      <c r="G4">
        <v>31.280547182925115</v>
      </c>
      <c r="H4">
        <v>33.824991627369556</v>
      </c>
      <c r="I4">
        <v>31.719436071814002</v>
      </c>
      <c r="J4">
        <v>31.454903993348818</v>
      </c>
      <c r="K4">
        <v>0</v>
      </c>
      <c r="L4">
        <v>32.268324960702891</v>
      </c>
      <c r="M4">
        <v>61.483080846471466</v>
      </c>
      <c r="N4">
        <v>56.839622299056863</v>
      </c>
      <c r="O4">
        <v>53.304349893839145</v>
      </c>
      <c r="P4">
        <v>52.806572116061368</v>
      </c>
      <c r="Q4">
        <v>116.400722949512</v>
      </c>
      <c r="R4">
        <v>90.066406631240611</v>
      </c>
      <c r="S4">
        <v>92.625820552974844</v>
      </c>
      <c r="T4">
        <v>90.531962186796164</v>
      </c>
      <c r="U4">
        <v>26.681948319901934</v>
      </c>
      <c r="V4">
        <v>25.893622900243997</v>
      </c>
      <c r="W4">
        <v>19.785737809464738</v>
      </c>
      <c r="X4">
        <v>67.784198329312972</v>
      </c>
      <c r="Y4">
        <v>53.401714421452695</v>
      </c>
      <c r="Z4">
        <v>52.690603310341587</v>
      </c>
      <c r="AA4">
        <v>51.351714421452698</v>
      </c>
      <c r="AB4">
        <v>119.09961183840089</v>
      </c>
      <c r="AC4">
        <v>27.340289566910663</v>
      </c>
      <c r="AD4">
        <v>68.228642773757414</v>
      </c>
      <c r="AE4">
        <v>51.879492199230477</v>
      </c>
      <c r="AF4">
        <v>32.557126215571039</v>
      </c>
      <c r="AG4">
        <v>26.360456920543591</v>
      </c>
      <c r="AH4">
        <v>25.052679142765811</v>
      </c>
      <c r="AI4">
        <v>18.849199381876993</v>
      </c>
      <c r="AJ4">
        <v>19.77364382632144</v>
      </c>
      <c r="AK4">
        <v>0</v>
      </c>
      <c r="AL4">
        <v>72.792894818646786</v>
      </c>
      <c r="AM4">
        <v>84.419556065831458</v>
      </c>
      <c r="AN4">
        <v>72.515117040869015</v>
      </c>
      <c r="AO4">
        <v>80.75419183910472</v>
      </c>
      <c r="AP4">
        <v>83.819556065831449</v>
      </c>
    </row>
    <row r="5" spans="2:42" x14ac:dyDescent="0.25">
      <c r="B5" t="s">
        <v>1</v>
      </c>
      <c r="C5">
        <v>0</v>
      </c>
      <c r="D5">
        <v>0</v>
      </c>
      <c r="E5">
        <v>19.923515587242516</v>
      </c>
      <c r="F5">
        <v>31.679348437793262</v>
      </c>
      <c r="G5">
        <v>31.658324960702892</v>
      </c>
      <c r="H5">
        <v>34.202769405147336</v>
      </c>
      <c r="I5">
        <v>32.097213849591782</v>
      </c>
      <c r="J5">
        <v>31.832681771126598</v>
      </c>
      <c r="K5">
        <v>0</v>
      </c>
      <c r="L5">
        <v>32.646102738480671</v>
      </c>
      <c r="M5">
        <v>61.860858624249239</v>
      </c>
      <c r="N5">
        <v>57.217400076834643</v>
      </c>
      <c r="O5">
        <v>53.682127671616925</v>
      </c>
      <c r="P5">
        <v>53.184349893839148</v>
      </c>
      <c r="Q5">
        <v>116.77850072728978</v>
      </c>
      <c r="R5">
        <v>90.444184409018391</v>
      </c>
      <c r="S5">
        <v>93.003598330752624</v>
      </c>
      <c r="T5">
        <v>90.909739964573944</v>
      </c>
      <c r="U5">
        <v>27.059726097679711</v>
      </c>
      <c r="V5">
        <v>26.271400678021774</v>
      </c>
      <c r="W5">
        <v>20.163515587242518</v>
      </c>
      <c r="X5">
        <v>68.161976107090751</v>
      </c>
      <c r="Y5">
        <v>53.779492199230475</v>
      </c>
      <c r="Z5">
        <v>53.068381088119366</v>
      </c>
      <c r="AA5">
        <v>51.729492199230478</v>
      </c>
      <c r="AB5">
        <v>119.47738961617867</v>
      </c>
      <c r="AC5">
        <v>27.718067344688439</v>
      </c>
      <c r="AD5">
        <v>68.606420551535194</v>
      </c>
      <c r="AE5">
        <v>52.257269977008249</v>
      </c>
      <c r="AF5">
        <v>32.934903993348819</v>
      </c>
      <c r="AG5">
        <v>26.738234698321367</v>
      </c>
      <c r="AH5">
        <v>25.430456920543591</v>
      </c>
      <c r="AI5">
        <v>19.226977159654773</v>
      </c>
      <c r="AJ5">
        <v>20.151421604099216</v>
      </c>
      <c r="AK5">
        <v>0</v>
      </c>
      <c r="AL5">
        <v>73.170672596424566</v>
      </c>
      <c r="AM5">
        <v>84.797333843609223</v>
      </c>
      <c r="AN5">
        <v>72.892894818646781</v>
      </c>
      <c r="AO5">
        <v>81.1319696168825</v>
      </c>
      <c r="AP5">
        <v>84.197333843609229</v>
      </c>
    </row>
    <row r="6" spans="2:42" x14ac:dyDescent="0.25">
      <c r="B6" t="s">
        <v>2</v>
      </c>
      <c r="C6">
        <v>19.54573780946474</v>
      </c>
      <c r="D6">
        <v>19.923515587242516</v>
      </c>
      <c r="E6">
        <v>0</v>
      </c>
      <c r="F6">
        <v>31.059883110160939</v>
      </c>
      <c r="G6">
        <v>33.028321995823951</v>
      </c>
      <c r="H6">
        <v>35.572766440268396</v>
      </c>
      <c r="I6">
        <v>33.467210884712841</v>
      </c>
      <c r="J6">
        <v>31.213216443494275</v>
      </c>
      <c r="K6">
        <v>22.006848920575852</v>
      </c>
      <c r="L6">
        <v>34.016099773601724</v>
      </c>
      <c r="M6">
        <v>60.697962201459269</v>
      </c>
      <c r="N6">
        <v>56.635189060153905</v>
      </c>
      <c r="O6">
        <v>53.093321330119181</v>
      </c>
      <c r="P6">
        <v>52.595543552341404</v>
      </c>
      <c r="Q6">
        <v>118.19448504950263</v>
      </c>
      <c r="R6">
        <v>111.57074785918732</v>
      </c>
      <c r="S6">
        <v>93.531128525009379</v>
      </c>
      <c r="T6">
        <v>112.03630341474287</v>
      </c>
      <c r="U6">
        <v>23.461803248316677</v>
      </c>
      <c r="V6">
        <v>22.742215831676404</v>
      </c>
      <c r="W6">
        <v>16.78316482122381</v>
      </c>
      <c r="X6">
        <v>24.882344642982826</v>
      </c>
      <c r="Y6">
        <v>25.760122420760602</v>
      </c>
      <c r="Z6">
        <v>25.049011309649494</v>
      </c>
      <c r="AA6">
        <v>23.710122420760605</v>
      </c>
      <c r="AB6">
        <v>120.89337393839152</v>
      </c>
      <c r="AC6">
        <v>51.703965421476155</v>
      </c>
      <c r="AD6">
        <v>25.326789087427269</v>
      </c>
      <c r="AE6">
        <v>24.23790019853838</v>
      </c>
      <c r="AF6">
        <v>32.315438665716499</v>
      </c>
      <c r="AG6">
        <v>28.700676075978322</v>
      </c>
      <c r="AH6">
        <v>27.392898298200546</v>
      </c>
      <c r="AI6">
        <v>44.827244351773651</v>
      </c>
      <c r="AJ6">
        <v>45.751688796218097</v>
      </c>
      <c r="AK6">
        <v>20.165737809464737</v>
      </c>
      <c r="AL6">
        <v>65.307741184543914</v>
      </c>
      <c r="AM6">
        <v>76.778452561936945</v>
      </c>
      <c r="AN6">
        <v>65.029963406766129</v>
      </c>
      <c r="AO6">
        <v>73.865783876454572</v>
      </c>
      <c r="AP6">
        <v>76.178452561936936</v>
      </c>
    </row>
    <row r="7" spans="2:42" x14ac:dyDescent="0.25">
      <c r="B7" t="s">
        <v>3</v>
      </c>
      <c r="C7">
        <v>31.301570660015486</v>
      </c>
      <c r="D7">
        <v>31.679348437793262</v>
      </c>
      <c r="E7">
        <v>31.059883110160939</v>
      </c>
      <c r="F7">
        <v>0</v>
      </c>
      <c r="G7">
        <v>17.354104022235123</v>
      </c>
      <c r="H7">
        <v>19.898548466679571</v>
      </c>
      <c r="I7">
        <v>17.792992911124013</v>
      </c>
      <c r="J7">
        <v>0</v>
      </c>
      <c r="K7">
        <v>33.762681771126594</v>
      </c>
      <c r="L7">
        <v>18.341881800012903</v>
      </c>
      <c r="M7">
        <v>76.857317485454203</v>
      </c>
      <c r="N7">
        <v>71.697890821485544</v>
      </c>
      <c r="O7">
        <v>67.109263792112415</v>
      </c>
      <c r="P7">
        <v>66.611486014334631</v>
      </c>
      <c r="Q7">
        <v>133.46256516281909</v>
      </c>
      <c r="R7">
        <v>126.37050663945195</v>
      </c>
      <c r="S7">
        <v>109.03002710327515</v>
      </c>
      <c r="T7">
        <v>126.8360621950075</v>
      </c>
      <c r="U7">
        <v>39.234595669399866</v>
      </c>
      <c r="V7">
        <v>39.518504532364396</v>
      </c>
      <c r="W7">
        <v>31.25593944725976</v>
      </c>
      <c r="X7">
        <v>84.476017452843465</v>
      </c>
      <c r="Y7">
        <v>69.566125390038465</v>
      </c>
      <c r="Z7">
        <v>68.855014278927356</v>
      </c>
      <c r="AA7">
        <v>67.516125390038468</v>
      </c>
      <c r="AB7">
        <v>136.16145405170798</v>
      </c>
      <c r="AC7">
        <v>40.965171199031062</v>
      </c>
      <c r="AD7">
        <v>84.920461897287908</v>
      </c>
      <c r="AE7">
        <v>68.043903167816239</v>
      </c>
      <c r="AF7">
        <v>0</v>
      </c>
      <c r="AG7">
        <v>23.902478379258163</v>
      </c>
      <c r="AH7">
        <v>22.594700601480387</v>
      </c>
      <c r="AI7">
        <v>25.850527299760696</v>
      </c>
      <c r="AJ7">
        <v>26.774971744205139</v>
      </c>
      <c r="AK7">
        <v>31.921570660015487</v>
      </c>
      <c r="AL7">
        <v>81.339699289132867</v>
      </c>
      <c r="AM7">
        <v>91.922065508868243</v>
      </c>
      <c r="AN7">
        <v>81.061921511355095</v>
      </c>
      <c r="AO7">
        <v>27.706552653288053</v>
      </c>
      <c r="AP7">
        <v>91.322065508868235</v>
      </c>
    </row>
    <row r="8" spans="2:42" x14ac:dyDescent="0.25">
      <c r="B8" t="s">
        <v>4</v>
      </c>
      <c r="C8">
        <v>31.280547182925115</v>
      </c>
      <c r="D8">
        <v>31.658324960702892</v>
      </c>
      <c r="E8">
        <v>33.028321995823951</v>
      </c>
      <c r="F8">
        <v>17.354104022235123</v>
      </c>
      <c r="G8">
        <v>0</v>
      </c>
      <c r="H8">
        <v>0</v>
      </c>
      <c r="I8">
        <v>0</v>
      </c>
      <c r="J8">
        <v>17.507437355568459</v>
      </c>
      <c r="K8">
        <v>33.741658294036228</v>
      </c>
      <c r="L8">
        <v>0</v>
      </c>
      <c r="M8">
        <v>79.545309725741376</v>
      </c>
      <c r="N8">
        <v>73.982994944162911</v>
      </c>
      <c r="O8">
        <v>68.950810587931684</v>
      </c>
      <c r="P8">
        <v>68.4530328101539</v>
      </c>
      <c r="Q8">
        <v>131.54410549221095</v>
      </c>
      <c r="R8">
        <v>122.65114694772898</v>
      </c>
      <c r="S8">
        <v>110.86237903528527</v>
      </c>
      <c r="T8">
        <v>123.11670250328454</v>
      </c>
      <c r="U8">
        <v>40.38431391792183</v>
      </c>
      <c r="V8">
        <v>39.864317190725885</v>
      </c>
      <c r="W8">
        <v>33.683888929945574</v>
      </c>
      <c r="X8">
        <v>83.936266080377251</v>
      </c>
      <c r="Y8">
        <v>66.26737710562125</v>
      </c>
      <c r="Z8">
        <v>65.556265994510127</v>
      </c>
      <c r="AA8">
        <v>64.217377105621239</v>
      </c>
      <c r="AB8">
        <v>134.24299438109983</v>
      </c>
      <c r="AC8">
        <v>41.31098385739255</v>
      </c>
      <c r="AD8">
        <v>84.380710524821694</v>
      </c>
      <c r="AE8">
        <v>64.745154883399024</v>
      </c>
      <c r="AF8">
        <v>18.60965957779068</v>
      </c>
      <c r="AG8">
        <v>27.204605536933418</v>
      </c>
      <c r="AH8">
        <v>25.896827759155642</v>
      </c>
      <c r="AI8">
        <v>28.039069681253519</v>
      </c>
      <c r="AJ8">
        <v>28.963514125697962</v>
      </c>
      <c r="AK8">
        <v>31.900547182925113</v>
      </c>
      <c r="AL8">
        <v>78.547071016328829</v>
      </c>
      <c r="AM8">
        <v>89.791150707347967</v>
      </c>
      <c r="AN8">
        <v>78.269293238551057</v>
      </c>
      <c r="AO8">
        <v>88.074140840840826</v>
      </c>
      <c r="AP8">
        <v>89.191150707347973</v>
      </c>
    </row>
    <row r="9" spans="2:42" x14ac:dyDescent="0.25">
      <c r="B9" t="s">
        <v>5</v>
      </c>
      <c r="C9">
        <v>33.824991627369556</v>
      </c>
      <c r="D9">
        <v>34.202769405147336</v>
      </c>
      <c r="E9">
        <v>35.572766440268396</v>
      </c>
      <c r="F9">
        <v>19.898548466679571</v>
      </c>
      <c r="G9">
        <v>0</v>
      </c>
      <c r="H9">
        <v>0</v>
      </c>
      <c r="I9">
        <v>0</v>
      </c>
      <c r="J9">
        <v>20.051881800012904</v>
      </c>
      <c r="K9">
        <v>36.286102738480672</v>
      </c>
      <c r="L9">
        <v>20.186326244457348</v>
      </c>
      <c r="M9">
        <v>82.089754170185813</v>
      </c>
      <c r="N9">
        <v>76.527439388607348</v>
      </c>
      <c r="O9">
        <v>71.495255032376122</v>
      </c>
      <c r="P9">
        <v>70.997477254598351</v>
      </c>
      <c r="Q9">
        <v>134.0885499366554</v>
      </c>
      <c r="R9">
        <v>125.19559139217343</v>
      </c>
      <c r="S9">
        <v>113.40682347972972</v>
      </c>
      <c r="T9">
        <v>125.66114694772898</v>
      </c>
      <c r="U9">
        <v>42.928758362366274</v>
      </c>
      <c r="V9">
        <v>42.408761635170322</v>
      </c>
      <c r="W9">
        <v>36.228333374390019</v>
      </c>
      <c r="X9">
        <v>86.480710524821703</v>
      </c>
      <c r="Y9">
        <v>68.811821550065687</v>
      </c>
      <c r="Z9">
        <v>68.100710438954579</v>
      </c>
      <c r="AA9">
        <v>66.76182155006569</v>
      </c>
      <c r="AB9">
        <v>136.78743882554429</v>
      </c>
      <c r="AC9">
        <v>43.855428301836994</v>
      </c>
      <c r="AD9">
        <v>86.925154969266146</v>
      </c>
      <c r="AE9">
        <v>67.289599327843462</v>
      </c>
      <c r="AF9">
        <v>21.154104022235124</v>
      </c>
      <c r="AG9">
        <v>29.749049981377862</v>
      </c>
      <c r="AH9">
        <v>28.441272203600086</v>
      </c>
      <c r="AI9">
        <v>30.583514125697963</v>
      </c>
      <c r="AJ9">
        <v>31.507958570142407</v>
      </c>
      <c r="AK9">
        <v>34.444991627369561</v>
      </c>
      <c r="AL9">
        <v>81.09151546077328</v>
      </c>
      <c r="AM9">
        <v>92.335595151792404</v>
      </c>
      <c r="AN9">
        <v>80.813737682995495</v>
      </c>
      <c r="AO9">
        <v>90.618585285285278</v>
      </c>
      <c r="AP9">
        <v>91.73559515179241</v>
      </c>
    </row>
    <row r="10" spans="2:42" x14ac:dyDescent="0.25">
      <c r="B10" t="s">
        <v>6</v>
      </c>
      <c r="C10">
        <v>31.719436071814002</v>
      </c>
      <c r="D10">
        <v>32.097213849591782</v>
      </c>
      <c r="E10">
        <v>33.467210884712841</v>
      </c>
      <c r="F10">
        <v>17.792992911124013</v>
      </c>
      <c r="G10">
        <v>0</v>
      </c>
      <c r="H10">
        <v>0</v>
      </c>
      <c r="I10">
        <v>0</v>
      </c>
      <c r="J10">
        <v>17.946326244457346</v>
      </c>
      <c r="K10">
        <v>34.180547182925118</v>
      </c>
      <c r="L10">
        <v>18.080770688901794</v>
      </c>
      <c r="M10">
        <v>79.984198614630259</v>
      </c>
      <c r="N10">
        <v>74.421883833051794</v>
      </c>
      <c r="O10">
        <v>69.389699476820567</v>
      </c>
      <c r="P10">
        <v>68.891921699042797</v>
      </c>
      <c r="Q10">
        <v>131.98299438109984</v>
      </c>
      <c r="R10">
        <v>30.843059911962744</v>
      </c>
      <c r="S10">
        <v>111.30126792417417</v>
      </c>
      <c r="T10">
        <v>123.55559139217343</v>
      </c>
      <c r="U10">
        <v>40.82320280681072</v>
      </c>
      <c r="V10">
        <v>40.303206079614768</v>
      </c>
      <c r="W10">
        <v>34.122777818834464</v>
      </c>
      <c r="X10">
        <v>84.375154969266148</v>
      </c>
      <c r="Y10">
        <v>66.706265994510133</v>
      </c>
      <c r="Z10">
        <v>65.995154883399024</v>
      </c>
      <c r="AA10">
        <v>64.656265994510136</v>
      </c>
      <c r="AB10">
        <v>134.68188326998873</v>
      </c>
      <c r="AC10">
        <v>41.74987274628144</v>
      </c>
      <c r="AD10">
        <v>84.819599413710591</v>
      </c>
      <c r="AE10">
        <v>65.184043772287907</v>
      </c>
      <c r="AF10">
        <v>19.04854846667957</v>
      </c>
      <c r="AG10">
        <v>27.643494425822308</v>
      </c>
      <c r="AH10">
        <v>26.335716648044528</v>
      </c>
      <c r="AI10">
        <v>28.477958570142405</v>
      </c>
      <c r="AJ10">
        <v>29.402403014586852</v>
      </c>
      <c r="AK10">
        <v>32.339436071814006</v>
      </c>
      <c r="AL10">
        <v>78.985959905217726</v>
      </c>
      <c r="AM10">
        <v>90.23003959623685</v>
      </c>
      <c r="AN10">
        <v>78.70818212743994</v>
      </c>
      <c r="AO10">
        <v>88.513029729729723</v>
      </c>
      <c r="AP10">
        <v>89.961918618618611</v>
      </c>
    </row>
    <row r="11" spans="2:42" x14ac:dyDescent="0.25">
      <c r="B11" t="s">
        <v>7</v>
      </c>
      <c r="C11">
        <v>31.454903993348818</v>
      </c>
      <c r="D11">
        <v>31.832681771126598</v>
      </c>
      <c r="E11">
        <v>31.213216443494275</v>
      </c>
      <c r="F11">
        <v>0</v>
      </c>
      <c r="G11">
        <v>17.507437355568459</v>
      </c>
      <c r="H11">
        <v>20.051881800012904</v>
      </c>
      <c r="I11">
        <v>17.946326244457346</v>
      </c>
      <c r="J11">
        <v>0</v>
      </c>
      <c r="K11">
        <v>33.91601510445993</v>
      </c>
      <c r="L11">
        <v>18.495215133346235</v>
      </c>
      <c r="M11">
        <v>77.010650818787525</v>
      </c>
      <c r="N11">
        <v>71.85122415481888</v>
      </c>
      <c r="O11">
        <v>67.262597125445751</v>
      </c>
      <c r="P11">
        <v>66.764819347667967</v>
      </c>
      <c r="Q11">
        <v>133.6158984961524</v>
      </c>
      <c r="R11">
        <v>126.52383997278528</v>
      </c>
      <c r="S11">
        <v>109.18336043660848</v>
      </c>
      <c r="T11">
        <v>126.98939552834084</v>
      </c>
      <c r="U11">
        <v>39.387929002733202</v>
      </c>
      <c r="V11">
        <v>39.671837865697732</v>
      </c>
      <c r="W11">
        <v>31.409272780593092</v>
      </c>
      <c r="X11">
        <v>84.629350786176801</v>
      </c>
      <c r="Y11">
        <v>69.719458723371801</v>
      </c>
      <c r="Z11">
        <v>69.008347612260678</v>
      </c>
      <c r="AA11">
        <v>67.66945872337179</v>
      </c>
      <c r="AB11">
        <v>136.31478738504131</v>
      </c>
      <c r="AC11">
        <v>41.118504532364398</v>
      </c>
      <c r="AD11">
        <v>85.073795230621243</v>
      </c>
      <c r="AE11">
        <v>68.197236501149575</v>
      </c>
      <c r="AF11">
        <v>0</v>
      </c>
      <c r="AG11">
        <v>24.055811712591499</v>
      </c>
      <c r="AH11">
        <v>22.748033934813719</v>
      </c>
      <c r="AI11">
        <v>26.003860633094028</v>
      </c>
      <c r="AJ11">
        <v>26.928305077538475</v>
      </c>
      <c r="AK11">
        <v>32.074903993348819</v>
      </c>
      <c r="AL11">
        <v>81.493032622466202</v>
      </c>
      <c r="AM11">
        <v>92.075398842201579</v>
      </c>
      <c r="AN11">
        <v>81.215254844688431</v>
      </c>
      <c r="AO11">
        <v>27.859885986621386</v>
      </c>
      <c r="AP11">
        <v>91.475398842201571</v>
      </c>
    </row>
    <row r="12" spans="2:42" x14ac:dyDescent="0.25">
      <c r="B12" t="s">
        <v>148</v>
      </c>
      <c r="C12">
        <v>0</v>
      </c>
      <c r="D12">
        <v>0</v>
      </c>
      <c r="E12">
        <v>22.006848920575852</v>
      </c>
      <c r="F12">
        <v>33.762681771126594</v>
      </c>
      <c r="G12">
        <v>33.741658294036228</v>
      </c>
      <c r="H12">
        <v>36.286102738480672</v>
      </c>
      <c r="I12">
        <v>34.180547182925118</v>
      </c>
      <c r="J12">
        <v>33.91601510445993</v>
      </c>
      <c r="K12">
        <v>0</v>
      </c>
      <c r="L12">
        <v>34.729436071814007</v>
      </c>
      <c r="M12">
        <v>63.944191957582575</v>
      </c>
      <c r="N12">
        <v>59.300733410167979</v>
      </c>
      <c r="O12">
        <v>55.765461004950261</v>
      </c>
      <c r="P12">
        <v>55.267683227172483</v>
      </c>
      <c r="Q12">
        <v>118.86183406062311</v>
      </c>
      <c r="R12">
        <v>118.86183406062311</v>
      </c>
      <c r="S12">
        <v>95.086931664085952</v>
      </c>
      <c r="T12">
        <v>119.32738961617866</v>
      </c>
      <c r="U12">
        <v>29.143059431013047</v>
      </c>
      <c r="V12">
        <v>28.354734011355106</v>
      </c>
      <c r="W12">
        <v>22.24684892057585</v>
      </c>
      <c r="X12">
        <v>70.24530944042408</v>
      </c>
      <c r="Y12">
        <v>55.862825532563811</v>
      </c>
      <c r="Z12">
        <v>55.151714421452695</v>
      </c>
      <c r="AA12">
        <v>53.812825532563807</v>
      </c>
      <c r="AB12">
        <v>121.560722949512</v>
      </c>
      <c r="AC12">
        <v>29.801400678021771</v>
      </c>
      <c r="AD12">
        <v>70.689753884868523</v>
      </c>
      <c r="AE12">
        <v>54.340603310341585</v>
      </c>
      <c r="AF12">
        <v>35.018237326682154</v>
      </c>
      <c r="AG12">
        <v>28.821568031654699</v>
      </c>
      <c r="AH12">
        <v>27.513790253876923</v>
      </c>
      <c r="AI12">
        <v>21.310310492988105</v>
      </c>
      <c r="AJ12">
        <v>22.234754937432548</v>
      </c>
      <c r="AK12">
        <v>0</v>
      </c>
      <c r="AL12">
        <v>75.254005929757895</v>
      </c>
      <c r="AM12">
        <v>86.880667176942566</v>
      </c>
      <c r="AN12">
        <v>74.976228151980123</v>
      </c>
      <c r="AO12">
        <v>83.215302950215829</v>
      </c>
      <c r="AP12">
        <v>86.280667176942558</v>
      </c>
    </row>
    <row r="13" spans="2:42" x14ac:dyDescent="0.25">
      <c r="B13" t="s">
        <v>9</v>
      </c>
      <c r="C13">
        <v>32.268324960702891</v>
      </c>
      <c r="D13">
        <v>32.646102738480671</v>
      </c>
      <c r="E13">
        <v>34.016099773601724</v>
      </c>
      <c r="F13">
        <v>18.341881800012903</v>
      </c>
      <c r="G13">
        <v>0</v>
      </c>
      <c r="H13">
        <v>20.186326244457348</v>
      </c>
      <c r="I13">
        <v>18.080770688901794</v>
      </c>
      <c r="J13">
        <v>18.495215133346235</v>
      </c>
      <c r="K13">
        <v>34.729436071814007</v>
      </c>
      <c r="L13">
        <v>0</v>
      </c>
      <c r="M13">
        <v>80.533087503519155</v>
      </c>
      <c r="N13">
        <v>74.970772721940676</v>
      </c>
      <c r="O13">
        <v>69.938588365709464</v>
      </c>
      <c r="P13">
        <v>69.440810587931679</v>
      </c>
      <c r="Q13">
        <v>132.53188326998873</v>
      </c>
      <c r="R13">
        <v>123.63892472550675</v>
      </c>
      <c r="S13">
        <v>111.85015681306305</v>
      </c>
      <c r="T13">
        <v>124.10448028106231</v>
      </c>
      <c r="U13">
        <v>41.372091695699609</v>
      </c>
      <c r="V13">
        <v>40.852094968503657</v>
      </c>
      <c r="W13">
        <v>34.671666707723354</v>
      </c>
      <c r="X13">
        <v>84.924043858155031</v>
      </c>
      <c r="Y13">
        <v>67.255154883399015</v>
      </c>
      <c r="Z13">
        <v>66.544043772287907</v>
      </c>
      <c r="AA13">
        <v>65.205154883399018</v>
      </c>
      <c r="AB13">
        <v>135.23077215887761</v>
      </c>
      <c r="AC13">
        <v>42.298761635170322</v>
      </c>
      <c r="AD13">
        <v>85.368488302599474</v>
      </c>
      <c r="AE13">
        <v>65.732932661176804</v>
      </c>
      <c r="AF13">
        <v>19.597437355568459</v>
      </c>
      <c r="AG13">
        <v>28.192383314711197</v>
      </c>
      <c r="AH13">
        <v>26.884605536933417</v>
      </c>
      <c r="AI13">
        <v>29.026847459031295</v>
      </c>
      <c r="AJ13">
        <v>29.951291903475742</v>
      </c>
      <c r="AK13">
        <v>32.888324960702889</v>
      </c>
      <c r="AL13">
        <v>79.534848794106608</v>
      </c>
      <c r="AM13">
        <v>90.778928485125746</v>
      </c>
      <c r="AN13">
        <v>79.257071016328837</v>
      </c>
      <c r="AO13">
        <v>89.061918618618606</v>
      </c>
      <c r="AP13">
        <v>90.178928485125738</v>
      </c>
    </row>
    <row r="14" spans="2:42" x14ac:dyDescent="0.25">
      <c r="B14" t="s">
        <v>10</v>
      </c>
      <c r="C14">
        <v>61.483080846471466</v>
      </c>
      <c r="D14">
        <v>61.860858624249239</v>
      </c>
      <c r="E14">
        <v>60.697962201459269</v>
      </c>
      <c r="F14">
        <v>76.857317485454203</v>
      </c>
      <c r="G14">
        <v>79.545309725741376</v>
      </c>
      <c r="H14">
        <v>82.089754170185813</v>
      </c>
      <c r="I14">
        <v>79.984198614630259</v>
      </c>
      <c r="J14">
        <v>77.010650818787525</v>
      </c>
      <c r="K14">
        <v>63.944191957582575</v>
      </c>
      <c r="L14">
        <v>80.533087503519155</v>
      </c>
      <c r="M14">
        <v>0</v>
      </c>
      <c r="N14">
        <v>28.369068842524165</v>
      </c>
      <c r="O14">
        <v>37.194639850788285</v>
      </c>
      <c r="P14">
        <v>36.696862073010507</v>
      </c>
      <c r="Q14">
        <v>76.217467975788296</v>
      </c>
      <c r="R14">
        <v>69.218133076435819</v>
      </c>
      <c r="S14">
        <v>53.205553966075449</v>
      </c>
      <c r="T14">
        <v>69.683688631991373</v>
      </c>
      <c r="U14">
        <v>54.486137466568131</v>
      </c>
      <c r="V14">
        <v>59.122341708896386</v>
      </c>
      <c r="W14">
        <v>61.36723400255724</v>
      </c>
      <c r="X14">
        <v>51.314900956620683</v>
      </c>
      <c r="Y14">
        <v>49.018702145504875</v>
      </c>
      <c r="Z14">
        <v>48.307591034393766</v>
      </c>
      <c r="AA14">
        <v>46.968702145504878</v>
      </c>
      <c r="AB14">
        <v>78.916356864677184</v>
      </c>
      <c r="AC14">
        <v>60.569008375563058</v>
      </c>
      <c r="AD14">
        <v>51.759345401065133</v>
      </c>
      <c r="AE14">
        <v>47.496479923282649</v>
      </c>
      <c r="AF14">
        <v>78.112873041009749</v>
      </c>
      <c r="AG14">
        <v>76.582949318459086</v>
      </c>
      <c r="AH14">
        <v>75.275171540681313</v>
      </c>
      <c r="AI14">
        <v>61.741943758211335</v>
      </c>
      <c r="AJ14">
        <v>62.666388202655774</v>
      </c>
      <c r="AK14">
        <v>62.103080846471464</v>
      </c>
      <c r="AL14">
        <v>0</v>
      </c>
      <c r="AM14">
        <v>34.54916179998358</v>
      </c>
      <c r="AN14">
        <v>0</v>
      </c>
      <c r="AO14">
        <v>31.063918917745873</v>
      </c>
      <c r="AP14">
        <v>33.949161799983578</v>
      </c>
    </row>
    <row r="15" spans="2:42" x14ac:dyDescent="0.25">
      <c r="B15" t="s">
        <v>11</v>
      </c>
      <c r="C15">
        <v>56.839622299056863</v>
      </c>
      <c r="D15">
        <v>57.217400076834643</v>
      </c>
      <c r="E15">
        <v>56.635189060153905</v>
      </c>
      <c r="F15">
        <v>71.697890821485544</v>
      </c>
      <c r="G15">
        <v>73.982994944162911</v>
      </c>
      <c r="H15">
        <v>76.527439388607348</v>
      </c>
      <c r="I15">
        <v>74.421883833051794</v>
      </c>
      <c r="J15">
        <v>71.85122415481888</v>
      </c>
      <c r="K15">
        <v>59.300733410167979</v>
      </c>
      <c r="L15">
        <v>74.970772721940676</v>
      </c>
      <c r="M15">
        <v>28.369068842524165</v>
      </c>
      <c r="N15">
        <v>0</v>
      </c>
      <c r="O15">
        <v>31.719510719459695</v>
      </c>
      <c r="P15">
        <v>31.221732941681918</v>
      </c>
      <c r="Q15">
        <v>84.36148775924363</v>
      </c>
      <c r="R15">
        <v>79.004965782188449</v>
      </c>
      <c r="S15">
        <v>74.397439388607353</v>
      </c>
      <c r="T15">
        <v>79.470521337744003</v>
      </c>
      <c r="U15">
        <v>49.373361685904655</v>
      </c>
      <c r="V15">
        <v>50.67724412009666</v>
      </c>
      <c r="W15">
        <v>52.023897094359981</v>
      </c>
      <c r="X15">
        <v>61.686316997994091</v>
      </c>
      <c r="Y15">
        <v>39.679240144930084</v>
      </c>
      <c r="Z15">
        <v>38.968129033818968</v>
      </c>
      <c r="AA15">
        <v>37.62924014493008</v>
      </c>
      <c r="AB15">
        <v>87.060376648132518</v>
      </c>
      <c r="AC15">
        <v>52.123910786763325</v>
      </c>
      <c r="AD15">
        <v>62.130761442438533</v>
      </c>
      <c r="AE15">
        <v>38.157017922707858</v>
      </c>
      <c r="AF15">
        <v>72.953446377041104</v>
      </c>
      <c r="AG15">
        <v>72.067001460444814</v>
      </c>
      <c r="AH15">
        <v>70.759223682667042</v>
      </c>
      <c r="AI15">
        <v>56.232119211007877</v>
      </c>
      <c r="AJ15">
        <v>57.156563655452324</v>
      </c>
      <c r="AK15">
        <v>57.459622299056868</v>
      </c>
      <c r="AL15">
        <v>28.378812216269008</v>
      </c>
      <c r="AM15">
        <v>40.555188476562492</v>
      </c>
      <c r="AN15">
        <v>28.101034438491229</v>
      </c>
      <c r="AO15">
        <v>36.62016740158127</v>
      </c>
      <c r="AP15">
        <v>39.955188476562498</v>
      </c>
    </row>
    <row r="16" spans="2:42" x14ac:dyDescent="0.25">
      <c r="B16" t="s">
        <v>12</v>
      </c>
      <c r="C16">
        <v>53.304349893839145</v>
      </c>
      <c r="D16">
        <v>53.682127671616925</v>
      </c>
      <c r="E16">
        <v>53.093321330119181</v>
      </c>
      <c r="F16">
        <v>67.109263792112415</v>
      </c>
      <c r="G16">
        <v>68.950810587931684</v>
      </c>
      <c r="H16">
        <v>71.495255032376122</v>
      </c>
      <c r="I16">
        <v>69.389699476820567</v>
      </c>
      <c r="J16">
        <v>67.262597125445751</v>
      </c>
      <c r="K16">
        <v>55.765461004950261</v>
      </c>
      <c r="L16">
        <v>69.938588365709464</v>
      </c>
      <c r="M16">
        <v>37.194639850788285</v>
      </c>
      <c r="N16">
        <v>31.719510719459695</v>
      </c>
      <c r="O16">
        <v>0</v>
      </c>
      <c r="P16">
        <v>0</v>
      </c>
      <c r="Q16">
        <v>89.801761701154291</v>
      </c>
      <c r="R16">
        <v>89.801761701154291</v>
      </c>
      <c r="S16">
        <v>71.033282842412717</v>
      </c>
      <c r="T16">
        <v>90.267317256709845</v>
      </c>
      <c r="U16" s="15">
        <v>45.973752058699318</v>
      </c>
      <c r="V16">
        <v>44.68574546910191</v>
      </c>
      <c r="W16">
        <v>50.207163311749241</v>
      </c>
      <c r="X16">
        <v>57.086035162573793</v>
      </c>
      <c r="Y16">
        <v>28.282622065180416</v>
      </c>
      <c r="Z16">
        <v>27.571510954069304</v>
      </c>
      <c r="AA16">
        <v>26.232622065180415</v>
      </c>
      <c r="AB16">
        <v>92.500650590043179</v>
      </c>
      <c r="AC16">
        <v>46.132412135768575</v>
      </c>
      <c r="AD16">
        <v>57.530479607018236</v>
      </c>
      <c r="AE16">
        <v>26.760399842958194</v>
      </c>
      <c r="AF16">
        <v>72.602831400736676</v>
      </c>
      <c r="AG16">
        <v>64.481508668825072</v>
      </c>
      <c r="AH16">
        <v>63.173730891047292</v>
      </c>
      <c r="AI16">
        <v>55.589655874624619</v>
      </c>
      <c r="AJ16">
        <v>56.514100319069065</v>
      </c>
      <c r="AK16">
        <v>53.92434989383915</v>
      </c>
      <c r="AL16">
        <v>40.80063951940221</v>
      </c>
      <c r="AM16">
        <v>51.502977761941629</v>
      </c>
      <c r="AN16">
        <v>40.522861741624432</v>
      </c>
      <c r="AO16">
        <v>54.288357297531903</v>
      </c>
      <c r="AP16">
        <v>50.902977761941628</v>
      </c>
    </row>
    <row r="17" spans="2:42" x14ac:dyDescent="0.25">
      <c r="B17" t="s">
        <v>13</v>
      </c>
      <c r="C17">
        <v>52.806572116061368</v>
      </c>
      <c r="D17">
        <v>53.184349893839148</v>
      </c>
      <c r="E17">
        <v>52.595543552341404</v>
      </c>
      <c r="F17">
        <v>66.611486014334631</v>
      </c>
      <c r="G17">
        <v>68.4530328101539</v>
      </c>
      <c r="H17">
        <v>70.997477254598351</v>
      </c>
      <c r="I17">
        <v>68.891921699042797</v>
      </c>
      <c r="J17">
        <v>66.764819347667967</v>
      </c>
      <c r="K17">
        <v>55.267683227172483</v>
      </c>
      <c r="L17">
        <v>69.440810587931679</v>
      </c>
      <c r="M17">
        <v>36.696862073010507</v>
      </c>
      <c r="N17">
        <v>31.221732941681918</v>
      </c>
      <c r="O17">
        <v>0</v>
      </c>
      <c r="P17">
        <v>0</v>
      </c>
      <c r="Q17">
        <v>89.303983923376521</v>
      </c>
      <c r="R17">
        <v>89.303983923376521</v>
      </c>
      <c r="S17">
        <v>70.535505064634947</v>
      </c>
      <c r="T17">
        <v>89.769539478932074</v>
      </c>
      <c r="U17" s="15">
        <v>45.475974280921541</v>
      </c>
      <c r="V17">
        <v>44.187967691324133</v>
      </c>
      <c r="W17">
        <v>49.709385533971464</v>
      </c>
      <c r="X17">
        <v>56.588257384796016</v>
      </c>
      <c r="Y17">
        <v>27.784844287402638</v>
      </c>
      <c r="Z17">
        <v>27.073733176291526</v>
      </c>
      <c r="AA17">
        <v>25.734844287402638</v>
      </c>
      <c r="AB17">
        <v>92.002872812265409</v>
      </c>
      <c r="AC17">
        <v>45.634634357990798</v>
      </c>
      <c r="AD17">
        <v>57.032701829240459</v>
      </c>
      <c r="AE17">
        <v>26.262622065180416</v>
      </c>
      <c r="AF17">
        <v>72.105053622958891</v>
      </c>
      <c r="AG17">
        <v>63.983730891047294</v>
      </c>
      <c r="AH17">
        <v>62.675953113269514</v>
      </c>
      <c r="AI17">
        <v>55.091878096846841</v>
      </c>
      <c r="AJ17">
        <v>56.016322541291288</v>
      </c>
      <c r="AK17">
        <v>53.426572116061372</v>
      </c>
      <c r="AL17">
        <v>40.302861741624433</v>
      </c>
      <c r="AM17">
        <v>51.005199984163852</v>
      </c>
      <c r="AN17">
        <v>40.025083963846654</v>
      </c>
      <c r="AO17">
        <v>53.790579519754125</v>
      </c>
      <c r="AP17">
        <v>50.405199984163851</v>
      </c>
    </row>
    <row r="18" spans="2:42" x14ac:dyDescent="0.25">
      <c r="B18" t="s">
        <v>14</v>
      </c>
      <c r="C18">
        <v>116.400722949512</v>
      </c>
      <c r="D18">
        <v>116.77850072728978</v>
      </c>
      <c r="E18">
        <v>118.19448504950263</v>
      </c>
      <c r="F18">
        <v>133.46256516281909</v>
      </c>
      <c r="G18">
        <v>131.54410549221095</v>
      </c>
      <c r="H18">
        <v>134.0885499366554</v>
      </c>
      <c r="I18">
        <v>131.98299438109984</v>
      </c>
      <c r="J18">
        <v>133.6158984961524</v>
      </c>
      <c r="K18">
        <v>118.86183406062311</v>
      </c>
      <c r="L18">
        <v>132.53188326998873</v>
      </c>
      <c r="M18">
        <v>76.217467975788296</v>
      </c>
      <c r="N18">
        <v>84.36148775924363</v>
      </c>
      <c r="O18">
        <v>89.801761701154291</v>
      </c>
      <c r="P18">
        <v>89.303983923376521</v>
      </c>
      <c r="Q18">
        <v>0</v>
      </c>
      <c r="R18">
        <v>0</v>
      </c>
      <c r="S18">
        <v>43.147308558558557</v>
      </c>
      <c r="T18">
        <v>0</v>
      </c>
      <c r="U18" s="15">
        <v>109.13957015413853</v>
      </c>
      <c r="V18">
        <v>107.97955868172862</v>
      </c>
      <c r="W18">
        <v>112.29391283666479</v>
      </c>
      <c r="X18">
        <v>101.71886811420796</v>
      </c>
      <c r="Y18">
        <v>102.59664589198574</v>
      </c>
      <c r="Z18">
        <v>101.88553478087464</v>
      </c>
      <c r="AA18">
        <v>100.54664589198575</v>
      </c>
      <c r="AB18">
        <v>0</v>
      </c>
      <c r="AC18">
        <v>109.42622534839528</v>
      </c>
      <c r="AD18">
        <v>102.16331255865241</v>
      </c>
      <c r="AE18">
        <v>101.07442366976352</v>
      </c>
      <c r="AF18">
        <v>134.71812071837462</v>
      </c>
      <c r="AG18">
        <v>133.09750205283405</v>
      </c>
      <c r="AH18">
        <v>131.78972427505627</v>
      </c>
      <c r="AI18">
        <v>122.68254850553679</v>
      </c>
      <c r="AJ18">
        <v>123.60699294998123</v>
      </c>
      <c r="AK18">
        <v>117.02072294951201</v>
      </c>
      <c r="AL18">
        <v>71.492831400736662</v>
      </c>
      <c r="AM18">
        <v>58.851323737800293</v>
      </c>
      <c r="AN18">
        <v>71.215053622958891</v>
      </c>
      <c r="AO18">
        <v>58.960588250164228</v>
      </c>
      <c r="AP18">
        <v>58.251323737800291</v>
      </c>
    </row>
    <row r="19" spans="2:42" x14ac:dyDescent="0.25">
      <c r="B19" t="s">
        <v>15</v>
      </c>
      <c r="C19">
        <v>90.066406631240611</v>
      </c>
      <c r="D19">
        <v>90.444184409018391</v>
      </c>
      <c r="E19">
        <v>111.57074785918732</v>
      </c>
      <c r="F19">
        <v>126.37050663945195</v>
      </c>
      <c r="G19">
        <v>122.65114694772898</v>
      </c>
      <c r="H19">
        <v>125.19559139217343</v>
      </c>
      <c r="I19">
        <v>30.843059911962744</v>
      </c>
      <c r="J19">
        <v>126.52383997278528</v>
      </c>
      <c r="K19">
        <v>118.86183406062311</v>
      </c>
      <c r="L19">
        <v>123.63892472550675</v>
      </c>
      <c r="M19">
        <v>69.218133076435819</v>
      </c>
      <c r="N19">
        <v>79.004965782188449</v>
      </c>
      <c r="O19">
        <v>89.801761701154291</v>
      </c>
      <c r="P19">
        <v>89.303983923376521</v>
      </c>
      <c r="Q19">
        <v>0</v>
      </c>
      <c r="R19">
        <v>0</v>
      </c>
      <c r="S19">
        <v>36.68290851984797</v>
      </c>
      <c r="T19">
        <v>0</v>
      </c>
      <c r="U19">
        <v>121.29902394777591</v>
      </c>
      <c r="V19">
        <v>109.63543294270833</v>
      </c>
      <c r="W19">
        <v>108.13159588494746</v>
      </c>
      <c r="X19">
        <v>108.42524098254503</v>
      </c>
      <c r="Y19">
        <v>100.89863162185624</v>
      </c>
      <c r="Z19">
        <v>100.18752051074513</v>
      </c>
      <c r="AA19">
        <v>98.848631621856242</v>
      </c>
      <c r="AB19">
        <v>0</v>
      </c>
      <c r="AC19">
        <v>111.08209960937501</v>
      </c>
      <c r="AD19">
        <v>108.86968542698949</v>
      </c>
      <c r="AE19">
        <v>99.376409399634014</v>
      </c>
      <c r="AF19">
        <v>127.2060621950075</v>
      </c>
      <c r="AG19">
        <v>120.59335500539602</v>
      </c>
      <c r="AH19">
        <v>119.28557722761825</v>
      </c>
      <c r="AI19">
        <v>121.39575919669669</v>
      </c>
      <c r="AJ19">
        <v>122.32020364114113</v>
      </c>
      <c r="AK19">
        <v>113.73647470908409</v>
      </c>
      <c r="AL19">
        <v>68.430608577327348</v>
      </c>
      <c r="AM19">
        <v>55.022446793473158</v>
      </c>
      <c r="AN19">
        <v>68.152830799549562</v>
      </c>
      <c r="AO19">
        <v>55.451053612987998</v>
      </c>
      <c r="AP19">
        <v>54.422446793473156</v>
      </c>
    </row>
    <row r="20" spans="2:42" x14ac:dyDescent="0.25">
      <c r="B20" t="s">
        <v>16</v>
      </c>
      <c r="C20">
        <v>92.625820552974844</v>
      </c>
      <c r="D20">
        <v>93.003598330752624</v>
      </c>
      <c r="E20">
        <v>93.531128525009379</v>
      </c>
      <c r="F20">
        <v>109.03002710327515</v>
      </c>
      <c r="G20">
        <v>110.86237903528527</v>
      </c>
      <c r="H20">
        <v>113.40682347972972</v>
      </c>
      <c r="I20">
        <v>111.30126792417417</v>
      </c>
      <c r="J20">
        <v>109.18336043660848</v>
      </c>
      <c r="K20">
        <v>95.086931664085952</v>
      </c>
      <c r="L20">
        <v>111.85015681306305</v>
      </c>
      <c r="M20">
        <v>53.205553966075449</v>
      </c>
      <c r="N20">
        <v>74.397439388607353</v>
      </c>
      <c r="O20">
        <v>71.033282842412717</v>
      </c>
      <c r="P20">
        <v>70.535505064634947</v>
      </c>
      <c r="Q20">
        <v>43.147308558558557</v>
      </c>
      <c r="R20">
        <v>36.68290851984797</v>
      </c>
      <c r="S20">
        <v>0</v>
      </c>
      <c r="T20">
        <v>38.454019630959081</v>
      </c>
      <c r="U20">
        <v>49.587829978415911</v>
      </c>
      <c r="V20">
        <v>87.29179644097222</v>
      </c>
      <c r="W20">
        <v>92.458877387152782</v>
      </c>
      <c r="X20">
        <v>99.259799795185813</v>
      </c>
      <c r="Y20">
        <v>81.85117705987237</v>
      </c>
      <c r="Z20">
        <v>81.140065948761261</v>
      </c>
      <c r="AA20">
        <v>79.801177059872373</v>
      </c>
      <c r="AB20">
        <v>0</v>
      </c>
      <c r="AC20">
        <v>88.738463107638893</v>
      </c>
      <c r="AD20">
        <v>99.70424423963027</v>
      </c>
      <c r="AE20">
        <v>80.328954837650144</v>
      </c>
      <c r="AF20">
        <v>111.17113821438626</v>
      </c>
      <c r="AG20">
        <v>102.05984308136262</v>
      </c>
      <c r="AH20">
        <v>100.75206530358484</v>
      </c>
      <c r="AI20">
        <v>93.895786687077717</v>
      </c>
      <c r="AJ20">
        <v>94.820231131522164</v>
      </c>
      <c r="AK20">
        <v>94.131376108530404</v>
      </c>
      <c r="AL20">
        <v>49.462740559895828</v>
      </c>
      <c r="AM20">
        <v>34.762011107298704</v>
      </c>
      <c r="AN20">
        <v>49.184962782118049</v>
      </c>
      <c r="AO20">
        <v>50.879942306564367</v>
      </c>
      <c r="AP20">
        <v>34.162011107298703</v>
      </c>
    </row>
    <row r="21" spans="2:42" x14ac:dyDescent="0.25">
      <c r="B21" t="s">
        <v>17</v>
      </c>
      <c r="C21">
        <v>90.531962186796164</v>
      </c>
      <c r="D21">
        <v>90.909739964573944</v>
      </c>
      <c r="E21">
        <v>112.03630341474287</v>
      </c>
      <c r="F21">
        <v>126.8360621950075</v>
      </c>
      <c r="G21">
        <v>123.11670250328454</v>
      </c>
      <c r="H21">
        <v>125.66114694772898</v>
      </c>
      <c r="I21">
        <v>123.55559139217343</v>
      </c>
      <c r="J21">
        <v>126.98939552834084</v>
      </c>
      <c r="K21">
        <v>119.32738961617866</v>
      </c>
      <c r="L21">
        <v>124.10448028106231</v>
      </c>
      <c r="M21">
        <v>69.683688631991373</v>
      </c>
      <c r="N21">
        <v>79.470521337744003</v>
      </c>
      <c r="O21">
        <v>90.267317256709845</v>
      </c>
      <c r="P21">
        <v>89.769539478932074</v>
      </c>
      <c r="Q21">
        <v>0</v>
      </c>
      <c r="R21">
        <v>0</v>
      </c>
      <c r="S21">
        <v>38.454019630959081</v>
      </c>
      <c r="T21">
        <v>0</v>
      </c>
      <c r="U21">
        <v>123.34013505888701</v>
      </c>
      <c r="V21">
        <v>111.67654405381944</v>
      </c>
      <c r="W21">
        <v>110.17270699605857</v>
      </c>
      <c r="X21">
        <v>110.46635209365616</v>
      </c>
      <c r="Y21">
        <v>102.93974273296735</v>
      </c>
      <c r="Z21">
        <v>102.22863162185624</v>
      </c>
      <c r="AA21">
        <v>100.88974273296735</v>
      </c>
      <c r="AB21">
        <v>0</v>
      </c>
      <c r="AC21">
        <v>113.12321072048611</v>
      </c>
      <c r="AD21">
        <v>110.9107965381006</v>
      </c>
      <c r="AE21">
        <v>101.41752051074513</v>
      </c>
      <c r="AF21">
        <v>129.24717330611861</v>
      </c>
      <c r="AG21">
        <v>122.63446611650713</v>
      </c>
      <c r="AH21">
        <v>121.32668833872935</v>
      </c>
      <c r="AI21">
        <v>123.43687030780779</v>
      </c>
      <c r="AJ21">
        <v>124.36131475225224</v>
      </c>
      <c r="AK21">
        <v>115.7775858201952</v>
      </c>
      <c r="AL21">
        <v>70.471719688438455</v>
      </c>
      <c r="AM21">
        <v>57.063557904584272</v>
      </c>
      <c r="AN21">
        <v>70.193941910660669</v>
      </c>
      <c r="AO21">
        <v>57.492164724099112</v>
      </c>
      <c r="AP21">
        <v>56.46355790458427</v>
      </c>
    </row>
    <row r="22" spans="2:42" x14ac:dyDescent="0.25">
      <c r="B22" t="s">
        <v>145</v>
      </c>
      <c r="C22">
        <v>26.681948319901934</v>
      </c>
      <c r="D22">
        <v>27.059726097679711</v>
      </c>
      <c r="E22">
        <v>23.461803248316677</v>
      </c>
      <c r="F22">
        <v>39.234595669399866</v>
      </c>
      <c r="G22">
        <v>40.38431391792183</v>
      </c>
      <c r="H22">
        <v>42.928758362366274</v>
      </c>
      <c r="I22">
        <v>40.82320280681072</v>
      </c>
      <c r="J22">
        <v>39.387929002733202</v>
      </c>
      <c r="K22">
        <v>29.143059431013047</v>
      </c>
      <c r="L22">
        <v>41.372091695699609</v>
      </c>
      <c r="M22">
        <v>54.486137466568131</v>
      </c>
      <c r="N22">
        <v>49.373361685904655</v>
      </c>
      <c r="O22" s="15">
        <v>45.973752058699318</v>
      </c>
      <c r="P22" s="15">
        <v>45.475974280921541</v>
      </c>
      <c r="Q22" s="15">
        <v>109.13957015413853</v>
      </c>
      <c r="R22">
        <v>121.29902394777591</v>
      </c>
      <c r="S22">
        <v>49.587829978415911</v>
      </c>
      <c r="T22">
        <v>123.34013505888701</v>
      </c>
      <c r="U22">
        <v>0</v>
      </c>
      <c r="V22">
        <v>17.638845826844911</v>
      </c>
      <c r="W22">
        <v>23.453819058071744</v>
      </c>
      <c r="X22">
        <v>46.003839494768194</v>
      </c>
      <c r="Y22">
        <v>44.329094046194626</v>
      </c>
      <c r="Z22">
        <v>43.617982935083518</v>
      </c>
      <c r="AA22">
        <v>42.279094046194629</v>
      </c>
      <c r="AB22">
        <v>111.83845904302741</v>
      </c>
      <c r="AC22">
        <v>19.08551249351158</v>
      </c>
      <c r="AD22">
        <v>46.448283939212644</v>
      </c>
      <c r="AE22">
        <v>42.806871823972408</v>
      </c>
      <c r="AF22">
        <v>40.490151224955426</v>
      </c>
      <c r="AG22">
        <v>36.617390597140108</v>
      </c>
      <c r="AH22">
        <v>35.309612819362329</v>
      </c>
      <c r="AI22">
        <v>28.201937775666295</v>
      </c>
      <c r="AJ22">
        <v>29.126382220110738</v>
      </c>
      <c r="AK22">
        <v>27.301948319901935</v>
      </c>
      <c r="AL22">
        <v>57.461482310435429</v>
      </c>
      <c r="AM22">
        <v>69.345939561631937</v>
      </c>
      <c r="AN22">
        <v>57.18370453265765</v>
      </c>
      <c r="AO22">
        <v>36.325306186362141</v>
      </c>
      <c r="AP22">
        <v>68.745939561631943</v>
      </c>
    </row>
    <row r="23" spans="2:42" x14ac:dyDescent="0.25">
      <c r="B23" t="s">
        <v>146</v>
      </c>
      <c r="C23">
        <v>25.893622900243997</v>
      </c>
      <c r="D23">
        <v>26.271400678021774</v>
      </c>
      <c r="E23">
        <v>22.742215831676404</v>
      </c>
      <c r="F23">
        <v>39.518504532364396</v>
      </c>
      <c r="G23">
        <v>39.864317190725885</v>
      </c>
      <c r="H23">
        <v>42.408761635170322</v>
      </c>
      <c r="I23">
        <v>40.303206079614768</v>
      </c>
      <c r="J23">
        <v>39.671837865697732</v>
      </c>
      <c r="K23">
        <v>28.354734011355106</v>
      </c>
      <c r="L23">
        <v>40.852094968503657</v>
      </c>
      <c r="M23">
        <v>59.122341708896386</v>
      </c>
      <c r="N23">
        <v>50.67724412009666</v>
      </c>
      <c r="O23">
        <v>44.68574546910191</v>
      </c>
      <c r="P23">
        <v>44.187967691324133</v>
      </c>
      <c r="Q23">
        <v>107.97955868172862</v>
      </c>
      <c r="R23">
        <v>109.63543294270833</v>
      </c>
      <c r="S23">
        <v>87.29179644097222</v>
      </c>
      <c r="T23">
        <v>111.67654405381944</v>
      </c>
      <c r="U23">
        <v>17.638845826844911</v>
      </c>
      <c r="V23">
        <v>0</v>
      </c>
      <c r="W23">
        <v>22.720284283428938</v>
      </c>
      <c r="X23">
        <v>46.678418354389542</v>
      </c>
      <c r="Y23">
        <v>46.783496002838774</v>
      </c>
      <c r="Z23">
        <v>46.072384891727665</v>
      </c>
      <c r="AA23">
        <v>44.733496002838777</v>
      </c>
      <c r="AB23">
        <v>112.75432183159722</v>
      </c>
      <c r="AC23">
        <v>0</v>
      </c>
      <c r="AD23">
        <v>47.122862798833992</v>
      </c>
      <c r="AE23">
        <v>45.261273780616548</v>
      </c>
      <c r="AF23">
        <v>40.774060087919949</v>
      </c>
      <c r="AG23">
        <v>34.990375280065223</v>
      </c>
      <c r="AH23">
        <v>33.68259750228745</v>
      </c>
      <c r="AI23">
        <v>27.733101110143345</v>
      </c>
      <c r="AJ23">
        <v>28.657545554587788</v>
      </c>
      <c r="AK23">
        <v>26.513622900243995</v>
      </c>
      <c r="AL23">
        <v>64.553242832676432</v>
      </c>
      <c r="AM23">
        <v>72.3482291432057</v>
      </c>
      <c r="AN23">
        <v>64.275465054898646</v>
      </c>
      <c r="AO23">
        <v>72.871717587509394</v>
      </c>
      <c r="AP23">
        <v>71.748229143205705</v>
      </c>
    </row>
    <row r="24" spans="2:42" x14ac:dyDescent="0.25">
      <c r="B24" t="s">
        <v>18</v>
      </c>
      <c r="C24">
        <v>19.785737809464738</v>
      </c>
      <c r="D24">
        <v>20.163515587242518</v>
      </c>
      <c r="E24">
        <v>16.78316482122381</v>
      </c>
      <c r="F24">
        <v>31.25593944725976</v>
      </c>
      <c r="G24">
        <v>33.683888929945574</v>
      </c>
      <c r="H24">
        <v>36.228333374390019</v>
      </c>
      <c r="I24">
        <v>34.122777818834464</v>
      </c>
      <c r="J24">
        <v>31.409272780593092</v>
      </c>
      <c r="K24">
        <v>22.24684892057585</v>
      </c>
      <c r="L24">
        <v>34.671666707723354</v>
      </c>
      <c r="M24">
        <v>61.36723400255724</v>
      </c>
      <c r="N24">
        <v>52.023897094359981</v>
      </c>
      <c r="O24">
        <v>50.207163311749241</v>
      </c>
      <c r="P24">
        <v>49.709385533971464</v>
      </c>
      <c r="Q24">
        <v>112.29391283666479</v>
      </c>
      <c r="R24">
        <v>108.13159588494746</v>
      </c>
      <c r="S24">
        <v>92.458877387152782</v>
      </c>
      <c r="T24">
        <v>110.17270699605857</v>
      </c>
      <c r="U24">
        <v>23.453819058071744</v>
      </c>
      <c r="V24">
        <v>22.720284283428938</v>
      </c>
      <c r="W24">
        <v>0</v>
      </c>
      <c r="X24">
        <v>49.972166816230292</v>
      </c>
      <c r="Y24">
        <v>52.057444330072251</v>
      </c>
      <c r="Z24">
        <v>51.346333218961142</v>
      </c>
      <c r="AA24">
        <v>50.007444330072254</v>
      </c>
      <c r="AB24">
        <v>114.99280172555369</v>
      </c>
      <c r="AC24">
        <v>24.166950950095604</v>
      </c>
      <c r="AD24">
        <v>50.416611260674735</v>
      </c>
      <c r="AE24">
        <v>50.535222107850032</v>
      </c>
      <c r="AF24">
        <v>32.511495002815316</v>
      </c>
      <c r="AG24">
        <v>30.212817816107126</v>
      </c>
      <c r="AH24">
        <v>28.905040038329346</v>
      </c>
      <c r="AI24">
        <v>21.69365599596178</v>
      </c>
      <c r="AJ24">
        <v>22.618100440406227</v>
      </c>
      <c r="AK24">
        <v>19.443466218965547</v>
      </c>
      <c r="AL24">
        <v>66.793094181095157</v>
      </c>
      <c r="AM24">
        <v>77.448329778997746</v>
      </c>
      <c r="AN24">
        <v>66.515316403317371</v>
      </c>
      <c r="AO24">
        <v>74.706866259618991</v>
      </c>
      <c r="AP24">
        <v>76.848329778997751</v>
      </c>
    </row>
    <row r="25" spans="2:42" x14ac:dyDescent="0.25">
      <c r="B25" t="s">
        <v>19</v>
      </c>
      <c r="C25">
        <v>67.784198329312972</v>
      </c>
      <c r="D25">
        <v>68.161976107090751</v>
      </c>
      <c r="E25">
        <v>24.882344642982826</v>
      </c>
      <c r="F25">
        <v>84.476017452843465</v>
      </c>
      <c r="G25">
        <v>83.936266080377251</v>
      </c>
      <c r="H25">
        <v>86.480710524821703</v>
      </c>
      <c r="I25">
        <v>84.375154969266148</v>
      </c>
      <c r="J25">
        <v>84.629350786176801</v>
      </c>
      <c r="K25">
        <v>70.24530944042408</v>
      </c>
      <c r="L25">
        <v>84.924043858155031</v>
      </c>
      <c r="M25">
        <v>51.314900956620683</v>
      </c>
      <c r="N25">
        <v>61.686316997994091</v>
      </c>
      <c r="O25">
        <v>57.086035162573793</v>
      </c>
      <c r="P25">
        <v>56.588257384796016</v>
      </c>
      <c r="Q25">
        <v>101.71886811420796</v>
      </c>
      <c r="R25">
        <v>108.42524098254503</v>
      </c>
      <c r="S25">
        <v>99.259799795185813</v>
      </c>
      <c r="T25">
        <v>110.46635209365616</v>
      </c>
      <c r="U25">
        <v>46.003839494768194</v>
      </c>
      <c r="V25">
        <v>46.678418354389542</v>
      </c>
      <c r="W25">
        <v>49.972166816230292</v>
      </c>
      <c r="X25">
        <v>0</v>
      </c>
      <c r="Y25">
        <v>31.576215591568129</v>
      </c>
      <c r="Z25">
        <v>30.865104480457017</v>
      </c>
      <c r="AA25">
        <v>29.526215591568128</v>
      </c>
      <c r="AB25">
        <v>111.54412987143392</v>
      </c>
      <c r="AC25">
        <v>48.125085021056208</v>
      </c>
      <c r="AD25">
        <v>0</v>
      </c>
      <c r="AE25">
        <v>30.053993369345907</v>
      </c>
      <c r="AF25">
        <v>85.731573008399025</v>
      </c>
      <c r="AG25">
        <v>62.226756577866922</v>
      </c>
      <c r="AH25">
        <v>60.91897880008915</v>
      </c>
      <c r="AI25">
        <v>52.295953456386073</v>
      </c>
      <c r="AJ25">
        <v>53.220397900830513</v>
      </c>
      <c r="AK25">
        <v>37.625168374917884</v>
      </c>
      <c r="AL25">
        <v>72.095274445969395</v>
      </c>
      <c r="AM25">
        <v>90.540914737706458</v>
      </c>
      <c r="AN25">
        <v>71.817496668191623</v>
      </c>
      <c r="AO25">
        <v>88.492025848817562</v>
      </c>
      <c r="AP25">
        <v>89.94091473770645</v>
      </c>
    </row>
    <row r="26" spans="2:42" x14ac:dyDescent="0.25">
      <c r="B26" t="s">
        <v>20</v>
      </c>
      <c r="C26">
        <v>53.401714421452695</v>
      </c>
      <c r="D26">
        <v>53.779492199230475</v>
      </c>
      <c r="E26">
        <v>25.760122420760602</v>
      </c>
      <c r="F26">
        <v>69.566125390038465</v>
      </c>
      <c r="G26">
        <v>66.26737710562125</v>
      </c>
      <c r="H26">
        <v>68.811821550065687</v>
      </c>
      <c r="I26">
        <v>66.706265994510133</v>
      </c>
      <c r="J26">
        <v>69.719458723371801</v>
      </c>
      <c r="K26">
        <v>55.862825532563811</v>
      </c>
      <c r="L26">
        <v>67.255154883399015</v>
      </c>
      <c r="M26">
        <v>49.018702145504875</v>
      </c>
      <c r="N26">
        <v>39.679240144930084</v>
      </c>
      <c r="O26">
        <v>28.282622065180416</v>
      </c>
      <c r="P26">
        <v>27.784844287402638</v>
      </c>
      <c r="Q26">
        <v>102.59664589198574</v>
      </c>
      <c r="R26">
        <v>100.89863162185624</v>
      </c>
      <c r="S26">
        <v>81.85117705987237</v>
      </c>
      <c r="T26">
        <v>102.93974273296735</v>
      </c>
      <c r="U26">
        <v>44.329094046194626</v>
      </c>
      <c r="V26">
        <v>46.783496002838774</v>
      </c>
      <c r="W26">
        <v>52.057444330072251</v>
      </c>
      <c r="X26">
        <v>31.576215591568129</v>
      </c>
      <c r="Y26">
        <v>0</v>
      </c>
      <c r="Z26">
        <v>0</v>
      </c>
      <c r="AA26">
        <v>0</v>
      </c>
      <c r="AB26">
        <v>105.29553478087463</v>
      </c>
      <c r="AC26">
        <v>48.23016266950544</v>
      </c>
      <c r="AD26">
        <v>32.020660036012572</v>
      </c>
      <c r="AE26">
        <v>0</v>
      </c>
      <c r="AF26">
        <v>70.821680945594011</v>
      </c>
      <c r="AG26">
        <v>62.009857281109227</v>
      </c>
      <c r="AH26">
        <v>60.702079503331447</v>
      </c>
      <c r="AI26">
        <v>60.996523947775891</v>
      </c>
      <c r="AJ26">
        <v>61.920968392220338</v>
      </c>
      <c r="AK26">
        <v>54.0217144214527</v>
      </c>
      <c r="AL26">
        <v>54.984024026956639</v>
      </c>
      <c r="AM26">
        <v>62.932947599943688</v>
      </c>
      <c r="AN26">
        <v>54.706246249178861</v>
      </c>
      <c r="AO26">
        <v>57.795606757929789</v>
      </c>
      <c r="AP26">
        <v>62.332947599943694</v>
      </c>
    </row>
    <row r="27" spans="2:42" x14ac:dyDescent="0.25">
      <c r="B27" t="s">
        <v>21</v>
      </c>
      <c r="C27">
        <v>52.690603310341587</v>
      </c>
      <c r="D27">
        <v>53.068381088119366</v>
      </c>
      <c r="E27">
        <v>25.049011309649494</v>
      </c>
      <c r="F27">
        <v>68.855014278927356</v>
      </c>
      <c r="G27">
        <v>65.556265994510127</v>
      </c>
      <c r="H27">
        <v>68.100710438954579</v>
      </c>
      <c r="I27">
        <v>65.995154883399024</v>
      </c>
      <c r="J27">
        <v>69.008347612260678</v>
      </c>
      <c r="K27">
        <v>55.151714421452695</v>
      </c>
      <c r="L27">
        <v>66.544043772287907</v>
      </c>
      <c r="M27">
        <v>48.307591034393766</v>
      </c>
      <c r="N27">
        <v>38.968129033818968</v>
      </c>
      <c r="O27">
        <v>27.571510954069304</v>
      </c>
      <c r="P27">
        <v>27.073733176291526</v>
      </c>
      <c r="Q27">
        <v>101.88553478087464</v>
      </c>
      <c r="R27">
        <v>100.18752051074513</v>
      </c>
      <c r="S27">
        <v>81.140065948761261</v>
      </c>
      <c r="T27">
        <v>102.22863162185624</v>
      </c>
      <c r="U27">
        <v>43.617982935083518</v>
      </c>
      <c r="V27">
        <v>46.072384891727665</v>
      </c>
      <c r="W27">
        <v>51.346333218961142</v>
      </c>
      <c r="X27">
        <v>30.865104480457017</v>
      </c>
      <c r="Y27">
        <v>0</v>
      </c>
      <c r="Z27">
        <v>0</v>
      </c>
      <c r="AA27">
        <v>0</v>
      </c>
      <c r="AB27">
        <v>104.58442366976352</v>
      </c>
      <c r="AC27">
        <v>47.519051558394331</v>
      </c>
      <c r="AD27">
        <v>31.309548924901463</v>
      </c>
      <c r="AE27">
        <v>0</v>
      </c>
      <c r="AF27">
        <v>70.110569834482902</v>
      </c>
      <c r="AG27">
        <v>61.298746169998118</v>
      </c>
      <c r="AH27">
        <v>59.990968392220339</v>
      </c>
      <c r="AI27">
        <v>60.285412836664783</v>
      </c>
      <c r="AJ27">
        <v>61.20985728110923</v>
      </c>
      <c r="AK27">
        <v>53.310603310341584</v>
      </c>
      <c r="AL27">
        <v>54.272912915845531</v>
      </c>
      <c r="AM27">
        <v>62.221836488832579</v>
      </c>
      <c r="AN27">
        <v>53.995135138067752</v>
      </c>
      <c r="AO27">
        <v>57.084495646818681</v>
      </c>
      <c r="AP27">
        <v>61.621836488832578</v>
      </c>
    </row>
    <row r="28" spans="2:42" x14ac:dyDescent="0.25">
      <c r="B28" t="s">
        <v>22</v>
      </c>
      <c r="C28">
        <v>51.351714421452698</v>
      </c>
      <c r="D28">
        <v>51.729492199230478</v>
      </c>
      <c r="E28">
        <v>23.710122420760605</v>
      </c>
      <c r="F28">
        <v>67.516125390038468</v>
      </c>
      <c r="G28">
        <v>64.217377105621239</v>
      </c>
      <c r="H28">
        <v>66.76182155006569</v>
      </c>
      <c r="I28">
        <v>64.656265994510136</v>
      </c>
      <c r="J28">
        <v>67.66945872337179</v>
      </c>
      <c r="K28">
        <v>53.812825532563807</v>
      </c>
      <c r="L28">
        <v>65.205154883399018</v>
      </c>
      <c r="M28">
        <v>46.968702145504878</v>
      </c>
      <c r="N28">
        <v>37.62924014493008</v>
      </c>
      <c r="O28">
        <v>26.232622065180415</v>
      </c>
      <c r="P28">
        <v>25.734844287402638</v>
      </c>
      <c r="Q28">
        <v>100.54664589198575</v>
      </c>
      <c r="R28">
        <v>98.848631621856242</v>
      </c>
      <c r="S28">
        <v>79.801177059872373</v>
      </c>
      <c r="T28">
        <v>100.88974273296735</v>
      </c>
      <c r="U28">
        <v>42.279094046194629</v>
      </c>
      <c r="V28">
        <v>44.733496002838777</v>
      </c>
      <c r="W28">
        <v>50.007444330072254</v>
      </c>
      <c r="X28">
        <v>29.526215591568128</v>
      </c>
      <c r="Y28">
        <v>0</v>
      </c>
      <c r="Z28">
        <v>0</v>
      </c>
      <c r="AA28">
        <v>0</v>
      </c>
      <c r="AB28">
        <v>103.24553478087464</v>
      </c>
      <c r="AC28">
        <v>46.180162669505442</v>
      </c>
      <c r="AD28">
        <v>29.970660036012571</v>
      </c>
      <c r="AE28">
        <v>0</v>
      </c>
      <c r="AF28">
        <v>68.771680945594014</v>
      </c>
      <c r="AG28">
        <v>59.95985728110923</v>
      </c>
      <c r="AH28">
        <v>58.65207950333145</v>
      </c>
      <c r="AI28">
        <v>58.946523947775894</v>
      </c>
      <c r="AJ28">
        <v>59.870968392220341</v>
      </c>
      <c r="AK28">
        <v>51.971714421452695</v>
      </c>
      <c r="AL28">
        <v>52.934024026956642</v>
      </c>
      <c r="AM28">
        <v>60.882947599943691</v>
      </c>
      <c r="AN28">
        <v>52.656246249178864</v>
      </c>
      <c r="AO28">
        <v>55.745606757929792</v>
      </c>
      <c r="AP28">
        <v>60.282947599943689</v>
      </c>
    </row>
    <row r="29" spans="2:42" x14ac:dyDescent="0.25">
      <c r="B29" t="s">
        <v>23</v>
      </c>
      <c r="C29">
        <v>119.09961183840089</v>
      </c>
      <c r="D29">
        <v>119.47738961617867</v>
      </c>
      <c r="E29">
        <v>120.89337393839152</v>
      </c>
      <c r="F29">
        <v>136.16145405170798</v>
      </c>
      <c r="G29">
        <v>134.24299438109983</v>
      </c>
      <c r="H29">
        <v>136.78743882554429</v>
      </c>
      <c r="I29">
        <v>134.68188326998873</v>
      </c>
      <c r="J29">
        <v>136.31478738504131</v>
      </c>
      <c r="K29">
        <v>121.560722949512</v>
      </c>
      <c r="L29">
        <v>135.23077215887761</v>
      </c>
      <c r="M29">
        <v>78.916356864677184</v>
      </c>
      <c r="N29">
        <v>87.060376648132518</v>
      </c>
      <c r="O29">
        <v>92.500650590043179</v>
      </c>
      <c r="P29">
        <v>92.002872812265409</v>
      </c>
      <c r="Q29">
        <v>0</v>
      </c>
      <c r="R29">
        <v>0</v>
      </c>
      <c r="S29">
        <v>0</v>
      </c>
      <c r="T29">
        <v>0</v>
      </c>
      <c r="U29">
        <v>111.83845904302741</v>
      </c>
      <c r="V29">
        <v>112.75432183159722</v>
      </c>
      <c r="W29">
        <v>114.99280172555369</v>
      </c>
      <c r="X29">
        <v>111.54412987143392</v>
      </c>
      <c r="Y29">
        <v>105.29553478087463</v>
      </c>
      <c r="Z29">
        <v>104.58442366976352</v>
      </c>
      <c r="AA29">
        <v>103.24553478087464</v>
      </c>
      <c r="AB29">
        <v>0</v>
      </c>
      <c r="AC29">
        <v>114.20098849826388</v>
      </c>
      <c r="AD29">
        <v>113.8873479319163</v>
      </c>
      <c r="AE29">
        <v>103.77331255865241</v>
      </c>
      <c r="AF29">
        <v>137.41700960726351</v>
      </c>
      <c r="AG29">
        <v>135.79639094172293</v>
      </c>
      <c r="AH29">
        <v>134.48861316394516</v>
      </c>
      <c r="AI29">
        <v>125.38143739442567</v>
      </c>
      <c r="AJ29">
        <v>126.30588183887012</v>
      </c>
      <c r="AK29">
        <v>119.71961183840089</v>
      </c>
      <c r="AL29">
        <v>74.19172028962555</v>
      </c>
      <c r="AM29">
        <v>61.550212626689181</v>
      </c>
      <c r="AN29">
        <v>73.913942511847779</v>
      </c>
      <c r="AO29">
        <v>61.659477139053116</v>
      </c>
      <c r="AP29">
        <v>60.950212626689179</v>
      </c>
    </row>
    <row r="30" spans="2:42" x14ac:dyDescent="0.25">
      <c r="B30" t="s">
        <v>24</v>
      </c>
      <c r="C30">
        <v>27.340289566910663</v>
      </c>
      <c r="D30">
        <v>27.718067344688439</v>
      </c>
      <c r="E30">
        <v>51.703965421476155</v>
      </c>
      <c r="F30">
        <v>40.965171199031062</v>
      </c>
      <c r="G30">
        <v>41.31098385739255</v>
      </c>
      <c r="H30">
        <v>43.855428301836994</v>
      </c>
      <c r="I30">
        <v>41.74987274628144</v>
      </c>
      <c r="J30">
        <v>41.118504532364398</v>
      </c>
      <c r="K30">
        <v>29.801400678021771</v>
      </c>
      <c r="L30">
        <v>42.298761635170322</v>
      </c>
      <c r="M30">
        <v>60.569008375563058</v>
      </c>
      <c r="N30">
        <v>52.123910786763325</v>
      </c>
      <c r="O30">
        <v>46.132412135768575</v>
      </c>
      <c r="P30">
        <v>45.634634357990798</v>
      </c>
      <c r="Q30">
        <v>109.42622534839528</v>
      </c>
      <c r="R30">
        <v>111.08209960937501</v>
      </c>
      <c r="S30">
        <v>88.738463107638893</v>
      </c>
      <c r="T30">
        <v>113.12321072048611</v>
      </c>
      <c r="U30">
        <v>19.08551249351158</v>
      </c>
      <c r="V30">
        <v>0</v>
      </c>
      <c r="W30">
        <v>24.166950950095604</v>
      </c>
      <c r="X30">
        <v>48.125085021056208</v>
      </c>
      <c r="Y30">
        <v>48.23016266950544</v>
      </c>
      <c r="Z30">
        <v>47.519051558394331</v>
      </c>
      <c r="AA30">
        <v>46.180162669505442</v>
      </c>
      <c r="AB30">
        <v>114.20098849826388</v>
      </c>
      <c r="AC30">
        <v>0</v>
      </c>
      <c r="AD30">
        <v>48.569529465500658</v>
      </c>
      <c r="AE30">
        <v>46.707940447283221</v>
      </c>
      <c r="AF30">
        <v>42.220726754586622</v>
      </c>
      <c r="AG30">
        <v>36.437041946731895</v>
      </c>
      <c r="AH30">
        <v>35.129264168954116</v>
      </c>
      <c r="AI30">
        <v>328750.94136752165</v>
      </c>
      <c r="AJ30">
        <v>328751.86581196613</v>
      </c>
      <c r="AK30">
        <v>27.96028956691066</v>
      </c>
      <c r="AL30">
        <v>65.99990949934309</v>
      </c>
      <c r="AM30">
        <v>73.794895809872372</v>
      </c>
      <c r="AN30">
        <v>65.722131721565319</v>
      </c>
      <c r="AO30">
        <v>83.998488302599469</v>
      </c>
      <c r="AP30">
        <v>73.194895809872378</v>
      </c>
    </row>
    <row r="31" spans="2:42" x14ac:dyDescent="0.25">
      <c r="B31" t="s">
        <v>25</v>
      </c>
      <c r="C31">
        <v>68.228642773757414</v>
      </c>
      <c r="D31">
        <v>68.606420551535194</v>
      </c>
      <c r="E31">
        <v>25.326789087427269</v>
      </c>
      <c r="F31">
        <v>84.920461897287908</v>
      </c>
      <c r="G31">
        <v>84.380710524821694</v>
      </c>
      <c r="H31">
        <v>86.925154969266146</v>
      </c>
      <c r="I31">
        <v>84.819599413710591</v>
      </c>
      <c r="J31">
        <v>85.073795230621243</v>
      </c>
      <c r="K31">
        <v>70.689753884868523</v>
      </c>
      <c r="L31">
        <v>85.368488302599474</v>
      </c>
      <c r="M31">
        <v>51.759345401065133</v>
      </c>
      <c r="N31">
        <v>62.130761442438533</v>
      </c>
      <c r="O31">
        <v>57.530479607018236</v>
      </c>
      <c r="P31">
        <v>57.032701829240459</v>
      </c>
      <c r="Q31">
        <v>102.16331255865241</v>
      </c>
      <c r="R31">
        <v>108.86968542698949</v>
      </c>
      <c r="S31">
        <v>99.70424423963027</v>
      </c>
      <c r="T31">
        <v>110.9107965381006</v>
      </c>
      <c r="U31">
        <v>46.448283939212644</v>
      </c>
      <c r="V31">
        <v>47.122862798833992</v>
      </c>
      <c r="W31">
        <v>50.416611260674735</v>
      </c>
      <c r="X31">
        <v>0</v>
      </c>
      <c r="Y31">
        <v>32.020660036012572</v>
      </c>
      <c r="Z31">
        <v>31.309548924901463</v>
      </c>
      <c r="AA31">
        <v>29.970660036012571</v>
      </c>
      <c r="AB31">
        <v>113.8873479319163</v>
      </c>
      <c r="AC31">
        <v>48.569529465500658</v>
      </c>
      <c r="AD31">
        <v>0</v>
      </c>
      <c r="AE31">
        <v>47.802862798833992</v>
      </c>
      <c r="AF31">
        <v>86.176017452843467</v>
      </c>
      <c r="AG31">
        <v>62.671201022311372</v>
      </c>
      <c r="AH31">
        <v>61.363423244533593</v>
      </c>
      <c r="AI31">
        <v>52.740397900830516</v>
      </c>
      <c r="AJ31">
        <v>53.664842345274963</v>
      </c>
      <c r="AK31">
        <v>68.848642773757419</v>
      </c>
      <c r="AL31">
        <v>72.539718890413837</v>
      </c>
      <c r="AM31">
        <v>90.985359182150901</v>
      </c>
      <c r="AN31">
        <v>72.261941112636066</v>
      </c>
      <c r="AO31">
        <v>88.936470293262005</v>
      </c>
      <c r="AP31">
        <v>90.385359182150893</v>
      </c>
    </row>
    <row r="32" spans="2:42" x14ac:dyDescent="0.25">
      <c r="B32" t="s">
        <v>147</v>
      </c>
      <c r="C32">
        <v>51.879492199230477</v>
      </c>
      <c r="D32">
        <v>52.257269977008249</v>
      </c>
      <c r="E32">
        <v>24.23790019853838</v>
      </c>
      <c r="F32">
        <v>68.043903167816239</v>
      </c>
      <c r="G32">
        <v>64.745154883399024</v>
      </c>
      <c r="H32">
        <v>67.289599327843462</v>
      </c>
      <c r="I32">
        <v>65.184043772287907</v>
      </c>
      <c r="J32">
        <v>68.197236501149575</v>
      </c>
      <c r="K32">
        <v>54.340603310341585</v>
      </c>
      <c r="L32">
        <v>65.732932661176804</v>
      </c>
      <c r="M32">
        <v>47.496479923282649</v>
      </c>
      <c r="N32">
        <v>38.157017922707858</v>
      </c>
      <c r="O32">
        <v>26.760399842958194</v>
      </c>
      <c r="P32">
        <v>26.262622065180416</v>
      </c>
      <c r="Q32">
        <v>101.07442366976352</v>
      </c>
      <c r="R32">
        <v>99.376409399634014</v>
      </c>
      <c r="S32">
        <v>80.328954837650144</v>
      </c>
      <c r="T32">
        <v>101.41752051074513</v>
      </c>
      <c r="U32">
        <v>42.806871823972408</v>
      </c>
      <c r="V32">
        <v>45.261273780616548</v>
      </c>
      <c r="W32">
        <v>50.535222107850032</v>
      </c>
      <c r="X32">
        <v>30.053993369345907</v>
      </c>
      <c r="Y32">
        <v>0</v>
      </c>
      <c r="Z32">
        <v>0</v>
      </c>
      <c r="AA32">
        <v>0</v>
      </c>
      <c r="AB32">
        <v>103.77331255865241</v>
      </c>
      <c r="AC32">
        <v>46.707940447283221</v>
      </c>
      <c r="AD32">
        <v>47.802862798833992</v>
      </c>
      <c r="AE32">
        <v>0</v>
      </c>
      <c r="AF32">
        <v>69.299458723371799</v>
      </c>
      <c r="AG32">
        <v>60.487635058887008</v>
      </c>
      <c r="AH32">
        <v>59.179857281109228</v>
      </c>
      <c r="AI32">
        <v>59.474301725553673</v>
      </c>
      <c r="AJ32">
        <v>60.39874616999812</v>
      </c>
      <c r="AK32">
        <v>52.499492199230474</v>
      </c>
      <c r="AL32">
        <v>53.461801804734421</v>
      </c>
      <c r="AM32">
        <v>61.410725377721469</v>
      </c>
      <c r="AN32">
        <v>53.184024026956642</v>
      </c>
      <c r="AO32">
        <v>56.273384535707571</v>
      </c>
      <c r="AP32">
        <v>60.810725377721468</v>
      </c>
    </row>
    <row r="33" spans="1:42" x14ac:dyDescent="0.25">
      <c r="B33" t="s">
        <v>30</v>
      </c>
      <c r="C33">
        <v>32.557126215571039</v>
      </c>
      <c r="D33">
        <v>32.934903993348819</v>
      </c>
      <c r="E33">
        <v>32.315438665716499</v>
      </c>
      <c r="F33">
        <v>0</v>
      </c>
      <c r="G33">
        <v>18.60965957779068</v>
      </c>
      <c r="H33">
        <v>21.154104022235124</v>
      </c>
      <c r="I33">
        <v>19.04854846667957</v>
      </c>
      <c r="J33">
        <v>0</v>
      </c>
      <c r="K33">
        <v>35.018237326682154</v>
      </c>
      <c r="L33">
        <v>19.597437355568459</v>
      </c>
      <c r="M33">
        <v>78.112873041009749</v>
      </c>
      <c r="N33">
        <v>72.953446377041104</v>
      </c>
      <c r="O33">
        <v>72.602831400736676</v>
      </c>
      <c r="P33">
        <v>72.105053622958891</v>
      </c>
      <c r="Q33">
        <v>134.71812071837462</v>
      </c>
      <c r="R33">
        <v>127.2060621950075</v>
      </c>
      <c r="S33">
        <v>111.17113821438626</v>
      </c>
      <c r="T33">
        <v>129.24717330611861</v>
      </c>
      <c r="U33">
        <v>40.490151224955426</v>
      </c>
      <c r="V33">
        <v>40.774060087919949</v>
      </c>
      <c r="W33">
        <v>32.511495002815316</v>
      </c>
      <c r="X33">
        <v>85.731573008399025</v>
      </c>
      <c r="Y33">
        <v>70.821680945594011</v>
      </c>
      <c r="Z33">
        <v>70.110569834482902</v>
      </c>
      <c r="AA33">
        <v>68.771680945594014</v>
      </c>
      <c r="AB33">
        <v>137.41700960726351</v>
      </c>
      <c r="AC33">
        <v>42.220726754586622</v>
      </c>
      <c r="AD33">
        <v>86.176017452843467</v>
      </c>
      <c r="AE33">
        <v>69.299458723371799</v>
      </c>
      <c r="AF33">
        <v>0</v>
      </c>
      <c r="AG33">
        <v>25.158033934813719</v>
      </c>
      <c r="AH33">
        <v>23.850256157035943</v>
      </c>
      <c r="AI33">
        <v>27.106082855316252</v>
      </c>
      <c r="AJ33">
        <v>28.030527299760696</v>
      </c>
      <c r="AK33">
        <v>33.177126215571043</v>
      </c>
      <c r="AL33">
        <v>82.595254844688426</v>
      </c>
      <c r="AM33">
        <v>93.177621064423789</v>
      </c>
      <c r="AN33">
        <v>82.317477066910641</v>
      </c>
      <c r="AO33">
        <v>28.96210820884361</v>
      </c>
      <c r="AP33">
        <v>92.577621064423795</v>
      </c>
    </row>
    <row r="34" spans="1:42" x14ac:dyDescent="0.25">
      <c r="B34" t="s">
        <v>31</v>
      </c>
      <c r="C34">
        <v>26.360456920543591</v>
      </c>
      <c r="D34">
        <v>26.738234698321367</v>
      </c>
      <c r="E34">
        <v>28.700676075978322</v>
      </c>
      <c r="F34">
        <v>23.902478379258163</v>
      </c>
      <c r="G34">
        <v>27.204605536933418</v>
      </c>
      <c r="H34">
        <v>29.749049981377862</v>
      </c>
      <c r="I34">
        <v>27.643494425822308</v>
      </c>
      <c r="J34">
        <v>24.055811712591499</v>
      </c>
      <c r="K34">
        <v>28.821568031654699</v>
      </c>
      <c r="L34">
        <v>28.192383314711197</v>
      </c>
      <c r="M34">
        <v>76.582949318459086</v>
      </c>
      <c r="N34">
        <v>72.067001460444814</v>
      </c>
      <c r="O34">
        <v>64.481508668825072</v>
      </c>
      <c r="P34">
        <v>63.983730891047294</v>
      </c>
      <c r="Q34">
        <v>133.09750205283405</v>
      </c>
      <c r="R34">
        <v>120.59335500539602</v>
      </c>
      <c r="S34">
        <v>102.05984308136262</v>
      </c>
      <c r="T34">
        <v>122.63446611650713</v>
      </c>
      <c r="U34">
        <v>36.617390597140108</v>
      </c>
      <c r="V34">
        <v>34.990375280065223</v>
      </c>
      <c r="W34">
        <v>30.212817816107126</v>
      </c>
      <c r="X34">
        <v>62.226756577866922</v>
      </c>
      <c r="Y34">
        <v>62.009857281109227</v>
      </c>
      <c r="Z34">
        <v>61.298746169998118</v>
      </c>
      <c r="AA34">
        <v>59.95985728110923</v>
      </c>
      <c r="AB34">
        <v>135.79639094172293</v>
      </c>
      <c r="AC34">
        <v>36.437041946731895</v>
      </c>
      <c r="AD34">
        <v>62.671201022311372</v>
      </c>
      <c r="AE34">
        <v>60.487635058887008</v>
      </c>
      <c r="AF34">
        <v>25.158033934813719</v>
      </c>
      <c r="AG34">
        <v>0</v>
      </c>
      <c r="AH34">
        <v>0</v>
      </c>
      <c r="AI34">
        <v>29.005956067151136</v>
      </c>
      <c r="AJ34">
        <v>29.930400511595579</v>
      </c>
      <c r="AK34">
        <v>26.980456920543588</v>
      </c>
      <c r="AL34">
        <v>80.9929269308371</v>
      </c>
      <c r="AM34">
        <v>93.363338582723344</v>
      </c>
      <c r="AN34">
        <v>80.715149153059315</v>
      </c>
      <c r="AO34">
        <v>90.589068757038291</v>
      </c>
      <c r="AP34">
        <v>92.76333858272335</v>
      </c>
    </row>
    <row r="35" spans="1:42" x14ac:dyDescent="0.25">
      <c r="B35" t="s">
        <v>32</v>
      </c>
      <c r="C35">
        <v>25.052679142765811</v>
      </c>
      <c r="D35">
        <v>25.430456920543591</v>
      </c>
      <c r="E35">
        <v>27.392898298200546</v>
      </c>
      <c r="F35">
        <v>22.594700601480387</v>
      </c>
      <c r="G35">
        <v>25.896827759155642</v>
      </c>
      <c r="H35">
        <v>28.441272203600086</v>
      </c>
      <c r="I35">
        <v>26.335716648044528</v>
      </c>
      <c r="J35">
        <v>22.748033934813719</v>
      </c>
      <c r="K35">
        <v>27.513790253876923</v>
      </c>
      <c r="L35">
        <v>26.884605536933417</v>
      </c>
      <c r="M35">
        <v>75.275171540681313</v>
      </c>
      <c r="N35">
        <v>70.759223682667042</v>
      </c>
      <c r="O35">
        <v>63.173730891047292</v>
      </c>
      <c r="P35">
        <v>62.675953113269514</v>
      </c>
      <c r="Q35">
        <v>131.78972427505627</v>
      </c>
      <c r="R35">
        <v>119.28557722761825</v>
      </c>
      <c r="S35">
        <v>100.75206530358484</v>
      </c>
      <c r="T35">
        <v>121.32668833872935</v>
      </c>
      <c r="U35">
        <v>35.309612819362329</v>
      </c>
      <c r="V35">
        <v>33.68259750228745</v>
      </c>
      <c r="W35">
        <v>28.905040038329346</v>
      </c>
      <c r="X35">
        <v>60.91897880008915</v>
      </c>
      <c r="Y35">
        <v>60.702079503331447</v>
      </c>
      <c r="Z35">
        <v>59.990968392220339</v>
      </c>
      <c r="AA35">
        <v>58.65207950333145</v>
      </c>
      <c r="AB35">
        <v>134.48861316394516</v>
      </c>
      <c r="AC35">
        <v>35.129264168954116</v>
      </c>
      <c r="AD35">
        <v>61.363423244533593</v>
      </c>
      <c r="AE35">
        <v>59.179857281109228</v>
      </c>
      <c r="AF35">
        <v>23.850256157035943</v>
      </c>
      <c r="AG35">
        <v>0</v>
      </c>
      <c r="AH35">
        <v>0</v>
      </c>
      <c r="AI35">
        <v>27.698178289373356</v>
      </c>
      <c r="AJ35">
        <v>28.622622733817803</v>
      </c>
      <c r="AK35">
        <v>25.672679142765812</v>
      </c>
      <c r="AL35">
        <v>79.685149153059328</v>
      </c>
      <c r="AM35">
        <v>92.055560804945571</v>
      </c>
      <c r="AN35">
        <v>79.407371375281542</v>
      </c>
      <c r="AO35">
        <v>89.281290979260518</v>
      </c>
      <c r="AP35">
        <v>91.455560804945577</v>
      </c>
    </row>
    <row r="36" spans="1:42" x14ac:dyDescent="0.25">
      <c r="B36" t="s">
        <v>33</v>
      </c>
      <c r="C36">
        <v>18.849199381876993</v>
      </c>
      <c r="D36">
        <v>19.226977159654773</v>
      </c>
      <c r="E36">
        <v>44.827244351773651</v>
      </c>
      <c r="F36">
        <v>25.850527299760696</v>
      </c>
      <c r="G36">
        <v>28.039069681253519</v>
      </c>
      <c r="H36">
        <v>30.583514125697963</v>
      </c>
      <c r="I36">
        <v>28.477958570142405</v>
      </c>
      <c r="J36">
        <v>26.003860633094028</v>
      </c>
      <c r="K36">
        <v>21.310310492988105</v>
      </c>
      <c r="L36">
        <v>29.026847459031295</v>
      </c>
      <c r="M36">
        <v>61.741943758211335</v>
      </c>
      <c r="N36">
        <v>56.232119211007877</v>
      </c>
      <c r="O36">
        <v>55.589655874624619</v>
      </c>
      <c r="P36">
        <v>55.091878096846841</v>
      </c>
      <c r="Q36">
        <v>122.68254850553679</v>
      </c>
      <c r="R36">
        <v>121.39575919669669</v>
      </c>
      <c r="S36">
        <v>93.895786687077717</v>
      </c>
      <c r="T36">
        <v>123.43687030780779</v>
      </c>
      <c r="U36">
        <v>28.201937775666295</v>
      </c>
      <c r="V36">
        <v>328749.49470085499</v>
      </c>
      <c r="W36">
        <v>21.69365599596178</v>
      </c>
      <c r="X36">
        <v>52.295953456386073</v>
      </c>
      <c r="Y36">
        <v>60.996523947775891</v>
      </c>
      <c r="Z36">
        <v>60.285412836664783</v>
      </c>
      <c r="AA36">
        <v>58.946523947775894</v>
      </c>
      <c r="AB36">
        <v>125.38143739442567</v>
      </c>
      <c r="AC36">
        <v>328750.94136752165</v>
      </c>
      <c r="AD36">
        <v>52.740397900830516</v>
      </c>
      <c r="AE36">
        <v>59.474301725553673</v>
      </c>
      <c r="AF36">
        <v>27.106082855316252</v>
      </c>
      <c r="AG36">
        <v>29.005956067151136</v>
      </c>
      <c r="AH36">
        <v>27.698178289373356</v>
      </c>
      <c r="AI36">
        <v>0</v>
      </c>
      <c r="AJ36">
        <v>0</v>
      </c>
      <c r="AK36">
        <v>19.469199381876994</v>
      </c>
      <c r="AL36">
        <v>72.063602078641139</v>
      </c>
      <c r="AM36">
        <v>84.885747155358501</v>
      </c>
      <c r="AN36">
        <v>71.785824300863368</v>
      </c>
      <c r="AO36">
        <v>80.633422906109232</v>
      </c>
      <c r="AP36">
        <v>84.285747155358493</v>
      </c>
    </row>
    <row r="37" spans="1:42" x14ac:dyDescent="0.25">
      <c r="B37" t="s">
        <v>34</v>
      </c>
      <c r="C37">
        <v>19.77364382632144</v>
      </c>
      <c r="D37">
        <v>20.151421604099216</v>
      </c>
      <c r="E37">
        <v>45.751688796218097</v>
      </c>
      <c r="F37">
        <v>26.774971744205139</v>
      </c>
      <c r="G37">
        <v>28.963514125697962</v>
      </c>
      <c r="H37">
        <v>31.507958570142407</v>
      </c>
      <c r="I37">
        <v>29.402403014586852</v>
      </c>
      <c r="J37">
        <v>26.928305077538475</v>
      </c>
      <c r="K37">
        <v>22.234754937432548</v>
      </c>
      <c r="L37">
        <v>29.951291903475742</v>
      </c>
      <c r="M37">
        <v>62.666388202655774</v>
      </c>
      <c r="N37">
        <v>57.156563655452324</v>
      </c>
      <c r="O37">
        <v>56.514100319069065</v>
      </c>
      <c r="P37">
        <v>56.016322541291288</v>
      </c>
      <c r="Q37">
        <v>123.60699294998123</v>
      </c>
      <c r="R37">
        <v>122.32020364114113</v>
      </c>
      <c r="S37">
        <v>94.820231131522164</v>
      </c>
      <c r="T37">
        <v>124.36131475225224</v>
      </c>
      <c r="U37">
        <v>29.126382220110738</v>
      </c>
      <c r="V37">
        <v>328750.41914529947</v>
      </c>
      <c r="W37">
        <v>22.618100440406227</v>
      </c>
      <c r="X37">
        <v>53.220397900830513</v>
      </c>
      <c r="Y37">
        <v>61.920968392220338</v>
      </c>
      <c r="Z37">
        <v>61.20985728110923</v>
      </c>
      <c r="AA37">
        <v>59.870968392220341</v>
      </c>
      <c r="AB37">
        <v>126.30588183887012</v>
      </c>
      <c r="AC37">
        <v>328751.86581196613</v>
      </c>
      <c r="AD37">
        <v>53.664842345274963</v>
      </c>
      <c r="AE37">
        <v>60.39874616999812</v>
      </c>
      <c r="AF37">
        <v>28.030527299760696</v>
      </c>
      <c r="AG37">
        <v>29.930400511595579</v>
      </c>
      <c r="AH37">
        <v>28.622622733817803</v>
      </c>
      <c r="AI37">
        <v>0</v>
      </c>
      <c r="AJ37">
        <v>0</v>
      </c>
      <c r="AK37">
        <v>20.393643826321437</v>
      </c>
      <c r="AL37">
        <v>72.988046523085586</v>
      </c>
      <c r="AM37">
        <v>85.810191599802934</v>
      </c>
      <c r="AN37">
        <v>72.7102687453078</v>
      </c>
      <c r="AO37">
        <v>81.557867350553678</v>
      </c>
      <c r="AP37">
        <v>85.21019159980294</v>
      </c>
    </row>
    <row r="38" spans="1:42" x14ac:dyDescent="0.25">
      <c r="B38" t="s">
        <v>35</v>
      </c>
      <c r="C38">
        <v>0</v>
      </c>
      <c r="D38">
        <v>0</v>
      </c>
      <c r="E38">
        <v>20.165737809464737</v>
      </c>
      <c r="F38">
        <v>31.921570660015487</v>
      </c>
      <c r="G38">
        <v>31.900547182925113</v>
      </c>
      <c r="H38">
        <v>34.444991627369561</v>
      </c>
      <c r="I38">
        <v>32.339436071814006</v>
      </c>
      <c r="J38">
        <v>32.074903993348819</v>
      </c>
      <c r="K38">
        <v>0</v>
      </c>
      <c r="L38">
        <v>32.888324960702889</v>
      </c>
      <c r="M38">
        <v>62.103080846471464</v>
      </c>
      <c r="N38">
        <v>57.459622299056868</v>
      </c>
      <c r="O38">
        <v>53.92434989383915</v>
      </c>
      <c r="P38">
        <v>53.426572116061372</v>
      </c>
      <c r="Q38">
        <v>117.02072294951201</v>
      </c>
      <c r="R38">
        <v>113.73647470908409</v>
      </c>
      <c r="S38">
        <v>94.131376108530404</v>
      </c>
      <c r="T38">
        <v>115.7775858201952</v>
      </c>
      <c r="U38">
        <v>27.301948319901935</v>
      </c>
      <c r="V38">
        <v>26.513622900243995</v>
      </c>
      <c r="W38">
        <v>19.443466218965547</v>
      </c>
      <c r="X38">
        <v>37.625168374917884</v>
      </c>
      <c r="Y38">
        <v>54.0217144214527</v>
      </c>
      <c r="Z38">
        <v>53.310603310341584</v>
      </c>
      <c r="AA38">
        <v>51.971714421452695</v>
      </c>
      <c r="AB38">
        <v>119.71961183840089</v>
      </c>
      <c r="AC38">
        <v>27.96028956691066</v>
      </c>
      <c r="AD38">
        <v>68.848642773757419</v>
      </c>
      <c r="AE38">
        <v>52.499492199230474</v>
      </c>
      <c r="AF38">
        <v>33.177126215571043</v>
      </c>
      <c r="AG38">
        <v>26.980456920543588</v>
      </c>
      <c r="AH38">
        <v>25.672679142765812</v>
      </c>
      <c r="AI38">
        <v>19.469199381876994</v>
      </c>
      <c r="AJ38">
        <v>20.393643826321437</v>
      </c>
      <c r="AK38">
        <v>0</v>
      </c>
      <c r="AL38">
        <v>73.412894818646791</v>
      </c>
      <c r="AM38">
        <v>85.039556065831448</v>
      </c>
      <c r="AN38">
        <v>73.135117040869005</v>
      </c>
      <c r="AO38">
        <v>81.374191839104725</v>
      </c>
      <c r="AP38">
        <v>84.439556065831454</v>
      </c>
    </row>
    <row r="39" spans="1:42" x14ac:dyDescent="0.25">
      <c r="B39" t="s">
        <v>36</v>
      </c>
      <c r="C39">
        <v>72.792894818646786</v>
      </c>
      <c r="D39">
        <v>73.170672596424566</v>
      </c>
      <c r="E39">
        <v>65.307741184543914</v>
      </c>
      <c r="F39">
        <v>81.339699289132867</v>
      </c>
      <c r="G39">
        <v>78.547071016328829</v>
      </c>
      <c r="H39">
        <v>81.09151546077328</v>
      </c>
      <c r="I39">
        <v>78.985959905217726</v>
      </c>
      <c r="J39">
        <v>81.493032622466202</v>
      </c>
      <c r="K39">
        <v>75.254005929757895</v>
      </c>
      <c r="L39">
        <v>79.534848794106608</v>
      </c>
      <c r="M39">
        <v>0</v>
      </c>
      <c r="N39">
        <v>28.378812216269008</v>
      </c>
      <c r="O39">
        <v>40.80063951940221</v>
      </c>
      <c r="P39">
        <v>40.302861741624433</v>
      </c>
      <c r="Q39">
        <v>71.492831400736662</v>
      </c>
      <c r="R39">
        <v>68.430608577327348</v>
      </c>
      <c r="S39">
        <v>49.462740559895828</v>
      </c>
      <c r="T39">
        <v>70.471719688438455</v>
      </c>
      <c r="U39">
        <v>57.461482310435429</v>
      </c>
      <c r="V39">
        <v>64.553242832676432</v>
      </c>
      <c r="W39">
        <v>66.793094181095157</v>
      </c>
      <c r="X39">
        <v>72.095274445969395</v>
      </c>
      <c r="Y39">
        <v>54.984024026956639</v>
      </c>
      <c r="Z39">
        <v>54.272912915845531</v>
      </c>
      <c r="AA39">
        <v>52.934024026956642</v>
      </c>
      <c r="AB39">
        <v>74.19172028962555</v>
      </c>
      <c r="AC39">
        <v>65.99990949934309</v>
      </c>
      <c r="AD39">
        <v>72.539718890413837</v>
      </c>
      <c r="AE39">
        <v>53.461801804734421</v>
      </c>
      <c r="AF39">
        <v>82.595254844688426</v>
      </c>
      <c r="AG39">
        <v>80.9929269308371</v>
      </c>
      <c r="AH39">
        <v>79.685149153059328</v>
      </c>
      <c r="AI39">
        <v>72.063602078641139</v>
      </c>
      <c r="AJ39">
        <v>72.988046523085586</v>
      </c>
      <c r="AK39">
        <v>73.412894818646791</v>
      </c>
      <c r="AL39">
        <v>0</v>
      </c>
      <c r="AM39">
        <v>30.760026825702653</v>
      </c>
      <c r="AN39">
        <v>0</v>
      </c>
      <c r="AO39">
        <v>28.711137936813763</v>
      </c>
      <c r="AP39">
        <v>30.160026825702651</v>
      </c>
    </row>
    <row r="40" spans="1:42" x14ac:dyDescent="0.25">
      <c r="B40" t="s">
        <v>37</v>
      </c>
      <c r="C40">
        <v>84.419556065831458</v>
      </c>
      <c r="D40">
        <v>84.797333843609223</v>
      </c>
      <c r="E40">
        <v>76.778452561936945</v>
      </c>
      <c r="F40">
        <v>91.922065508868243</v>
      </c>
      <c r="G40">
        <v>89.791150707347967</v>
      </c>
      <c r="H40">
        <v>92.335595151792404</v>
      </c>
      <c r="I40">
        <v>90.23003959623685</v>
      </c>
      <c r="J40">
        <v>92.075398842201579</v>
      </c>
      <c r="K40">
        <v>86.880667176942566</v>
      </c>
      <c r="L40">
        <v>90.778928485125746</v>
      </c>
      <c r="M40">
        <v>34.54916179998358</v>
      </c>
      <c r="N40">
        <v>40.555188476562492</v>
      </c>
      <c r="O40">
        <v>51.502977761941629</v>
      </c>
      <c r="P40">
        <v>51.005199984163852</v>
      </c>
      <c r="Q40">
        <v>58.851323737800293</v>
      </c>
      <c r="R40">
        <v>55.022446793473158</v>
      </c>
      <c r="S40">
        <v>34.762011107298704</v>
      </c>
      <c r="T40">
        <v>57.063557904584272</v>
      </c>
      <c r="U40">
        <v>69.345939561631937</v>
      </c>
      <c r="V40">
        <v>72.3482291432057</v>
      </c>
      <c r="W40">
        <v>77.448329778997746</v>
      </c>
      <c r="X40">
        <v>90.540914737706458</v>
      </c>
      <c r="Y40">
        <v>62.932947599943688</v>
      </c>
      <c r="Z40">
        <v>62.221836488832579</v>
      </c>
      <c r="AA40">
        <v>60.882947599943691</v>
      </c>
      <c r="AB40">
        <v>61.550212626689181</v>
      </c>
      <c r="AC40">
        <v>73.794895809872372</v>
      </c>
      <c r="AD40">
        <v>90.985359182150901</v>
      </c>
      <c r="AE40">
        <v>61.410725377721469</v>
      </c>
      <c r="AF40">
        <v>93.177621064423789</v>
      </c>
      <c r="AG40">
        <v>93.363338582723344</v>
      </c>
      <c r="AH40">
        <v>92.055560804945571</v>
      </c>
      <c r="AI40">
        <v>84.885747155358501</v>
      </c>
      <c r="AJ40">
        <v>85.810191599802934</v>
      </c>
      <c r="AK40">
        <v>85.039556065831448</v>
      </c>
      <c r="AL40">
        <v>30.760026825702653</v>
      </c>
      <c r="AM40">
        <v>0</v>
      </c>
      <c r="AN40">
        <v>30.482249047924874</v>
      </c>
      <c r="AO40">
        <v>0</v>
      </c>
      <c r="AP40">
        <v>0</v>
      </c>
    </row>
    <row r="41" spans="1:42" x14ac:dyDescent="0.25">
      <c r="B41" t="s">
        <v>38</v>
      </c>
      <c r="C41">
        <v>72.515117040869015</v>
      </c>
      <c r="D41">
        <v>72.892894818646781</v>
      </c>
      <c r="E41">
        <v>65.029963406766129</v>
      </c>
      <c r="F41">
        <v>81.061921511355095</v>
      </c>
      <c r="G41">
        <v>78.269293238551057</v>
      </c>
      <c r="H41">
        <v>80.813737682995495</v>
      </c>
      <c r="I41">
        <v>76.947071016328835</v>
      </c>
      <c r="J41">
        <v>81.215254844688431</v>
      </c>
      <c r="K41">
        <v>74.976228151980123</v>
      </c>
      <c r="L41">
        <v>79.257071016328837</v>
      </c>
      <c r="M41">
        <v>0</v>
      </c>
      <c r="N41">
        <v>28.101034438491229</v>
      </c>
      <c r="O41">
        <v>40.522861741624432</v>
      </c>
      <c r="P41">
        <v>40.025083963846654</v>
      </c>
      <c r="Q41">
        <v>71.215053622958891</v>
      </c>
      <c r="R41">
        <v>68.152830799549562</v>
      </c>
      <c r="S41">
        <v>49.184962782118049</v>
      </c>
      <c r="T41">
        <v>70.193941910660669</v>
      </c>
      <c r="U41">
        <v>57.18370453265765</v>
      </c>
      <c r="V41">
        <v>64.275465054898646</v>
      </c>
      <c r="W41">
        <v>66.515316403317371</v>
      </c>
      <c r="X41">
        <v>71.817496668191623</v>
      </c>
      <c r="Y41">
        <v>54.706246249178861</v>
      </c>
      <c r="Z41">
        <v>53.995135138067752</v>
      </c>
      <c r="AA41">
        <v>52.656246249178864</v>
      </c>
      <c r="AB41">
        <v>73.913942511847779</v>
      </c>
      <c r="AC41">
        <v>65.722131721565319</v>
      </c>
      <c r="AD41">
        <v>72.261941112636066</v>
      </c>
      <c r="AE41">
        <v>53.184024026956642</v>
      </c>
      <c r="AF41">
        <v>82.317477066910641</v>
      </c>
      <c r="AG41">
        <v>80.715149153059315</v>
      </c>
      <c r="AH41">
        <v>79.407371375281542</v>
      </c>
      <c r="AI41">
        <v>71.785824300863368</v>
      </c>
      <c r="AJ41">
        <v>72.7102687453078</v>
      </c>
      <c r="AK41">
        <v>73.135117040869005</v>
      </c>
      <c r="AL41">
        <v>0</v>
      </c>
      <c r="AM41">
        <v>30.482249047924874</v>
      </c>
      <c r="AN41">
        <v>0</v>
      </c>
      <c r="AO41">
        <v>28.433360159035985</v>
      </c>
      <c r="AP41">
        <v>29.882249047924876</v>
      </c>
    </row>
    <row r="42" spans="1:42" x14ac:dyDescent="0.25">
      <c r="B42" t="s">
        <v>39</v>
      </c>
      <c r="C42">
        <v>80.75419183910472</v>
      </c>
      <c r="D42">
        <v>81.1319696168825</v>
      </c>
      <c r="E42">
        <v>73.865783876454572</v>
      </c>
      <c r="F42">
        <v>27.706552653288053</v>
      </c>
      <c r="G42">
        <v>88.074140840840826</v>
      </c>
      <c r="H42">
        <v>90.618585285285278</v>
      </c>
      <c r="I42">
        <v>88.513029729729723</v>
      </c>
      <c r="J42">
        <v>27.859885986621386</v>
      </c>
      <c r="K42">
        <v>83.215302950215829</v>
      </c>
      <c r="L42">
        <v>89.061918618618606</v>
      </c>
      <c r="M42">
        <v>31.063918917745873</v>
      </c>
      <c r="N42">
        <v>36.62016740158127</v>
      </c>
      <c r="O42">
        <v>54.288357297531903</v>
      </c>
      <c r="P42">
        <v>53.790579519754125</v>
      </c>
      <c r="Q42">
        <v>58.960588250164228</v>
      </c>
      <c r="R42">
        <v>55.451053612987998</v>
      </c>
      <c r="S42">
        <v>50.879942306564367</v>
      </c>
      <c r="T42">
        <v>57.492164724099112</v>
      </c>
      <c r="U42">
        <v>36.325306186362141</v>
      </c>
      <c r="V42">
        <v>72.871717587509394</v>
      </c>
      <c r="W42">
        <v>74.706866259618991</v>
      </c>
      <c r="X42">
        <v>88.492025848817562</v>
      </c>
      <c r="Y42">
        <v>57.795606757929789</v>
      </c>
      <c r="Z42">
        <v>57.084495646818681</v>
      </c>
      <c r="AA42">
        <v>55.745606757929792</v>
      </c>
      <c r="AB42">
        <v>61.659477139053116</v>
      </c>
      <c r="AC42">
        <v>83.998488302599469</v>
      </c>
      <c r="AD42">
        <v>88.936470293262005</v>
      </c>
      <c r="AE42">
        <v>56.273384535707571</v>
      </c>
      <c r="AF42">
        <v>28.96210820884361</v>
      </c>
      <c r="AG42">
        <v>90.589068757038291</v>
      </c>
      <c r="AH42">
        <v>89.281290979260518</v>
      </c>
      <c r="AI42">
        <v>80.633422906109232</v>
      </c>
      <c r="AJ42">
        <v>81.557867350553678</v>
      </c>
      <c r="AK42">
        <v>81.374191839104725</v>
      </c>
      <c r="AL42">
        <v>28.711137936813763</v>
      </c>
      <c r="AM42">
        <v>0</v>
      </c>
      <c r="AN42">
        <v>28.433360159035985</v>
      </c>
      <c r="AO42">
        <v>0</v>
      </c>
      <c r="AP42">
        <v>0</v>
      </c>
    </row>
    <row r="43" spans="1:42" x14ac:dyDescent="0.25">
      <c r="B43" t="s">
        <v>40</v>
      </c>
      <c r="C43">
        <v>83.819556065831449</v>
      </c>
      <c r="D43">
        <v>84.197333843609229</v>
      </c>
      <c r="E43">
        <v>76.178452561936936</v>
      </c>
      <c r="F43">
        <v>91.322065508868235</v>
      </c>
      <c r="G43">
        <v>89.191150707347973</v>
      </c>
      <c r="H43">
        <v>91.73559515179241</v>
      </c>
      <c r="I43">
        <v>89.961918618618611</v>
      </c>
      <c r="J43">
        <v>91.475398842201571</v>
      </c>
      <c r="K43">
        <v>86.280667176942558</v>
      </c>
      <c r="L43">
        <v>90.178928485125738</v>
      </c>
      <c r="M43">
        <v>33.949161799983578</v>
      </c>
      <c r="N43">
        <v>39.955188476562498</v>
      </c>
      <c r="O43">
        <v>50.902977761941628</v>
      </c>
      <c r="P43">
        <v>50.405199984163851</v>
      </c>
      <c r="Q43">
        <v>58.251323737800291</v>
      </c>
      <c r="R43">
        <v>54.422446793473156</v>
      </c>
      <c r="S43">
        <v>34.162011107298703</v>
      </c>
      <c r="T43">
        <v>56.46355790458427</v>
      </c>
      <c r="U43">
        <v>68.745939561631943</v>
      </c>
      <c r="V43">
        <v>71.748229143205705</v>
      </c>
      <c r="W43">
        <v>76.848329778997751</v>
      </c>
      <c r="X43">
        <v>89.94091473770645</v>
      </c>
      <c r="Y43">
        <v>62.332947599943694</v>
      </c>
      <c r="Z43">
        <v>61.621836488832578</v>
      </c>
      <c r="AA43">
        <v>60.282947599943689</v>
      </c>
      <c r="AB43">
        <v>60.950212626689179</v>
      </c>
      <c r="AC43">
        <v>73.194895809872378</v>
      </c>
      <c r="AD43">
        <v>90.385359182150893</v>
      </c>
      <c r="AE43">
        <v>60.810725377721468</v>
      </c>
      <c r="AF43">
        <v>92.577621064423795</v>
      </c>
      <c r="AG43">
        <v>92.76333858272335</v>
      </c>
      <c r="AH43">
        <v>91.455560804945577</v>
      </c>
      <c r="AI43">
        <v>84.285747155358493</v>
      </c>
      <c r="AJ43">
        <v>85.21019159980294</v>
      </c>
      <c r="AK43">
        <v>84.439556065831454</v>
      </c>
      <c r="AL43">
        <v>30.160026825702651</v>
      </c>
      <c r="AM43">
        <v>0</v>
      </c>
      <c r="AN43">
        <v>29.882249047924876</v>
      </c>
      <c r="AO43">
        <v>29.882249047924876</v>
      </c>
      <c r="AP43">
        <v>0</v>
      </c>
    </row>
    <row r="45" spans="1:42" x14ac:dyDescent="0.25">
      <c r="A45" t="s">
        <v>117</v>
      </c>
      <c r="B45" t="s">
        <v>118</v>
      </c>
      <c r="C45" t="s">
        <v>119</v>
      </c>
      <c r="D45" t="s">
        <v>120</v>
      </c>
      <c r="E45" t="s">
        <v>125</v>
      </c>
    </row>
    <row r="46" spans="1:42" hidden="1" x14ac:dyDescent="0.25">
      <c r="A46">
        <v>1</v>
      </c>
      <c r="B46">
        <v>1</v>
      </c>
      <c r="C46" t="s">
        <v>0</v>
      </c>
      <c r="D46" t="s">
        <v>0</v>
      </c>
      <c r="E46">
        <f ca="1">OFFSET($B$3,A46,B46)</f>
        <v>0</v>
      </c>
    </row>
    <row r="47" spans="1:42" hidden="1" x14ac:dyDescent="0.25">
      <c r="A47">
        <v>1</v>
      </c>
      <c r="B47">
        <v>2</v>
      </c>
      <c r="C47" t="s">
        <v>0</v>
      </c>
      <c r="D47" t="s">
        <v>1</v>
      </c>
      <c r="E47">
        <f t="shared" ref="E47:E109" ca="1" si="0">OFFSET($B$3,A47,B47)</f>
        <v>0</v>
      </c>
    </row>
    <row r="48" spans="1:42" hidden="1" x14ac:dyDescent="0.25">
      <c r="A48">
        <v>1</v>
      </c>
      <c r="B48">
        <v>3</v>
      </c>
      <c r="C48" t="s">
        <v>0</v>
      </c>
      <c r="D48" t="s">
        <v>2</v>
      </c>
      <c r="E48">
        <f t="shared" ca="1" si="0"/>
        <v>19.54573780946474</v>
      </c>
    </row>
    <row r="49" spans="1:5" hidden="1" x14ac:dyDescent="0.25">
      <c r="A49">
        <v>1</v>
      </c>
      <c r="B49">
        <v>4</v>
      </c>
      <c r="C49" t="s">
        <v>0</v>
      </c>
      <c r="D49" t="s">
        <v>3</v>
      </c>
      <c r="E49">
        <f t="shared" ca="1" si="0"/>
        <v>31.301570660015486</v>
      </c>
    </row>
    <row r="50" spans="1:5" hidden="1" x14ac:dyDescent="0.25">
      <c r="A50">
        <v>1</v>
      </c>
      <c r="B50">
        <v>5</v>
      </c>
      <c r="C50" t="s">
        <v>0</v>
      </c>
      <c r="D50" t="s">
        <v>4</v>
      </c>
      <c r="E50">
        <f t="shared" ca="1" si="0"/>
        <v>31.280547182925115</v>
      </c>
    </row>
    <row r="51" spans="1:5" hidden="1" x14ac:dyDescent="0.25">
      <c r="A51">
        <v>1</v>
      </c>
      <c r="B51">
        <v>6</v>
      </c>
      <c r="C51" t="s">
        <v>0</v>
      </c>
      <c r="D51" t="s">
        <v>5</v>
      </c>
      <c r="E51">
        <f t="shared" ca="1" si="0"/>
        <v>33.824991627369556</v>
      </c>
    </row>
    <row r="52" spans="1:5" hidden="1" x14ac:dyDescent="0.25">
      <c r="A52">
        <v>1</v>
      </c>
      <c r="B52">
        <v>7</v>
      </c>
      <c r="C52" t="s">
        <v>0</v>
      </c>
      <c r="D52" t="s">
        <v>6</v>
      </c>
      <c r="E52">
        <f t="shared" ca="1" si="0"/>
        <v>31.719436071814002</v>
      </c>
    </row>
    <row r="53" spans="1:5" hidden="1" x14ac:dyDescent="0.25">
      <c r="A53">
        <v>1</v>
      </c>
      <c r="B53">
        <v>8</v>
      </c>
      <c r="C53" t="s">
        <v>0</v>
      </c>
      <c r="D53" t="s">
        <v>7</v>
      </c>
      <c r="E53">
        <f t="shared" ca="1" si="0"/>
        <v>31.454903993348818</v>
      </c>
    </row>
    <row r="54" spans="1:5" hidden="1" x14ac:dyDescent="0.25">
      <c r="A54">
        <v>1</v>
      </c>
      <c r="B54">
        <v>9</v>
      </c>
      <c r="C54" t="s">
        <v>0</v>
      </c>
      <c r="D54" t="s">
        <v>148</v>
      </c>
      <c r="E54">
        <f t="shared" ca="1" si="0"/>
        <v>0</v>
      </c>
    </row>
    <row r="55" spans="1:5" hidden="1" x14ac:dyDescent="0.25">
      <c r="A55">
        <v>1</v>
      </c>
      <c r="B55">
        <v>10</v>
      </c>
      <c r="C55" t="s">
        <v>0</v>
      </c>
      <c r="D55" t="s">
        <v>9</v>
      </c>
      <c r="E55">
        <f t="shared" ca="1" si="0"/>
        <v>32.268324960702891</v>
      </c>
    </row>
    <row r="56" spans="1:5" hidden="1" x14ac:dyDescent="0.25">
      <c r="A56">
        <v>1</v>
      </c>
      <c r="B56">
        <v>11</v>
      </c>
      <c r="C56" t="s">
        <v>0</v>
      </c>
      <c r="D56" t="s">
        <v>10</v>
      </c>
      <c r="E56">
        <f t="shared" ca="1" si="0"/>
        <v>61.483080846471466</v>
      </c>
    </row>
    <row r="57" spans="1:5" hidden="1" x14ac:dyDescent="0.25">
      <c r="A57">
        <v>1</v>
      </c>
      <c r="B57">
        <v>12</v>
      </c>
      <c r="C57" t="s">
        <v>0</v>
      </c>
      <c r="D57" t="s">
        <v>11</v>
      </c>
      <c r="E57">
        <f t="shared" ca="1" si="0"/>
        <v>56.839622299056863</v>
      </c>
    </row>
    <row r="58" spans="1:5" hidden="1" x14ac:dyDescent="0.25">
      <c r="A58">
        <v>1</v>
      </c>
      <c r="B58">
        <v>13</v>
      </c>
      <c r="C58" t="s">
        <v>0</v>
      </c>
      <c r="D58" t="s">
        <v>12</v>
      </c>
      <c r="E58">
        <f t="shared" ca="1" si="0"/>
        <v>53.304349893839145</v>
      </c>
    </row>
    <row r="59" spans="1:5" hidden="1" x14ac:dyDescent="0.25">
      <c r="A59">
        <v>1</v>
      </c>
      <c r="B59">
        <v>14</v>
      </c>
      <c r="C59" t="s">
        <v>0</v>
      </c>
      <c r="D59" t="s">
        <v>13</v>
      </c>
      <c r="E59">
        <f t="shared" ca="1" si="0"/>
        <v>52.806572116061368</v>
      </c>
    </row>
    <row r="60" spans="1:5" hidden="1" x14ac:dyDescent="0.25">
      <c r="A60">
        <v>1</v>
      </c>
      <c r="B60">
        <v>15</v>
      </c>
      <c r="C60" t="s">
        <v>0</v>
      </c>
      <c r="D60" t="s">
        <v>14</v>
      </c>
      <c r="E60">
        <f t="shared" ca="1" si="0"/>
        <v>116.400722949512</v>
      </c>
    </row>
    <row r="61" spans="1:5" hidden="1" x14ac:dyDescent="0.25">
      <c r="A61">
        <v>1</v>
      </c>
      <c r="B61">
        <v>16</v>
      </c>
      <c r="C61" t="s">
        <v>0</v>
      </c>
      <c r="D61" t="s">
        <v>15</v>
      </c>
      <c r="E61">
        <f t="shared" ca="1" si="0"/>
        <v>90.066406631240611</v>
      </c>
    </row>
    <row r="62" spans="1:5" hidden="1" x14ac:dyDescent="0.25">
      <c r="A62">
        <v>1</v>
      </c>
      <c r="B62">
        <v>17</v>
      </c>
      <c r="C62" t="s">
        <v>0</v>
      </c>
      <c r="D62" t="s">
        <v>16</v>
      </c>
      <c r="E62">
        <f t="shared" ca="1" si="0"/>
        <v>92.625820552974844</v>
      </c>
    </row>
    <row r="63" spans="1:5" hidden="1" x14ac:dyDescent="0.25">
      <c r="A63">
        <v>1</v>
      </c>
      <c r="B63">
        <v>18</v>
      </c>
      <c r="C63" t="s">
        <v>0</v>
      </c>
      <c r="D63" t="s">
        <v>17</v>
      </c>
      <c r="E63">
        <f t="shared" ca="1" si="0"/>
        <v>90.531962186796164</v>
      </c>
    </row>
    <row r="64" spans="1:5" hidden="1" x14ac:dyDescent="0.25">
      <c r="A64">
        <v>1</v>
      </c>
      <c r="B64">
        <v>19</v>
      </c>
      <c r="C64" t="s">
        <v>0</v>
      </c>
      <c r="D64" t="s">
        <v>18</v>
      </c>
      <c r="E64">
        <f t="shared" ca="1" si="0"/>
        <v>26.681948319901934</v>
      </c>
    </row>
    <row r="65" spans="1:5" hidden="1" x14ac:dyDescent="0.25">
      <c r="A65">
        <v>1</v>
      </c>
      <c r="B65">
        <v>20</v>
      </c>
      <c r="C65" t="s">
        <v>0</v>
      </c>
      <c r="D65" t="s">
        <v>19</v>
      </c>
      <c r="E65">
        <f t="shared" ca="1" si="0"/>
        <v>25.893622900243997</v>
      </c>
    </row>
    <row r="66" spans="1:5" hidden="1" x14ac:dyDescent="0.25">
      <c r="A66">
        <v>1</v>
      </c>
      <c r="B66">
        <v>21</v>
      </c>
      <c r="C66" t="s">
        <v>0</v>
      </c>
      <c r="D66" t="s">
        <v>20</v>
      </c>
      <c r="E66">
        <f t="shared" ca="1" si="0"/>
        <v>19.785737809464738</v>
      </c>
    </row>
    <row r="67" spans="1:5" hidden="1" x14ac:dyDescent="0.25">
      <c r="A67">
        <v>1</v>
      </c>
      <c r="B67">
        <v>22</v>
      </c>
      <c r="C67" t="s">
        <v>0</v>
      </c>
      <c r="D67" t="s">
        <v>21</v>
      </c>
      <c r="E67">
        <f t="shared" ca="1" si="0"/>
        <v>67.784198329312972</v>
      </c>
    </row>
    <row r="68" spans="1:5" hidden="1" x14ac:dyDescent="0.25">
      <c r="A68">
        <v>1</v>
      </c>
      <c r="B68">
        <v>23</v>
      </c>
      <c r="C68" t="s">
        <v>0</v>
      </c>
      <c r="D68" t="s">
        <v>22</v>
      </c>
      <c r="E68">
        <f t="shared" ca="1" si="0"/>
        <v>53.401714421452695</v>
      </c>
    </row>
    <row r="69" spans="1:5" hidden="1" x14ac:dyDescent="0.25">
      <c r="A69">
        <v>1</v>
      </c>
      <c r="B69">
        <v>24</v>
      </c>
      <c r="C69" t="s">
        <v>0</v>
      </c>
      <c r="D69" t="s">
        <v>23</v>
      </c>
      <c r="E69">
        <f t="shared" ca="1" si="0"/>
        <v>52.690603310341587</v>
      </c>
    </row>
    <row r="70" spans="1:5" hidden="1" x14ac:dyDescent="0.25">
      <c r="A70">
        <v>1</v>
      </c>
      <c r="B70">
        <v>25</v>
      </c>
      <c r="C70" t="s">
        <v>0</v>
      </c>
      <c r="D70" t="s">
        <v>24</v>
      </c>
      <c r="E70">
        <f t="shared" ca="1" si="0"/>
        <v>51.351714421452698</v>
      </c>
    </row>
    <row r="71" spans="1:5" hidden="1" x14ac:dyDescent="0.25">
      <c r="A71">
        <v>1</v>
      </c>
      <c r="B71">
        <v>26</v>
      </c>
      <c r="C71" t="s">
        <v>0</v>
      </c>
      <c r="D71" t="s">
        <v>25</v>
      </c>
      <c r="E71">
        <f t="shared" ca="1" si="0"/>
        <v>119.09961183840089</v>
      </c>
    </row>
    <row r="72" spans="1:5" hidden="1" x14ac:dyDescent="0.25">
      <c r="A72">
        <v>1</v>
      </c>
      <c r="B72">
        <v>27</v>
      </c>
      <c r="C72" t="s">
        <v>0</v>
      </c>
      <c r="D72" t="s">
        <v>145</v>
      </c>
      <c r="E72">
        <f t="shared" ca="1" si="0"/>
        <v>27.340289566910663</v>
      </c>
    </row>
    <row r="73" spans="1:5" hidden="1" x14ac:dyDescent="0.25">
      <c r="A73">
        <v>1</v>
      </c>
      <c r="B73">
        <v>28</v>
      </c>
      <c r="C73" t="s">
        <v>0</v>
      </c>
      <c r="D73" t="s">
        <v>147</v>
      </c>
      <c r="E73">
        <f t="shared" ca="1" si="0"/>
        <v>68.228642773757414</v>
      </c>
    </row>
    <row r="74" spans="1:5" hidden="1" x14ac:dyDescent="0.25">
      <c r="A74">
        <v>1</v>
      </c>
      <c r="B74">
        <v>29</v>
      </c>
      <c r="C74" t="s">
        <v>0</v>
      </c>
      <c r="D74" t="s">
        <v>146</v>
      </c>
      <c r="E74">
        <f t="shared" ca="1" si="0"/>
        <v>51.879492199230477</v>
      </c>
    </row>
    <row r="75" spans="1:5" hidden="1" x14ac:dyDescent="0.25">
      <c r="A75">
        <v>1</v>
      </c>
      <c r="B75">
        <v>30</v>
      </c>
      <c r="C75" t="s">
        <v>0</v>
      </c>
      <c r="D75" t="s">
        <v>30</v>
      </c>
      <c r="E75">
        <f t="shared" ca="1" si="0"/>
        <v>32.557126215571039</v>
      </c>
    </row>
    <row r="76" spans="1:5" hidden="1" x14ac:dyDescent="0.25">
      <c r="A76">
        <v>1</v>
      </c>
      <c r="B76">
        <v>31</v>
      </c>
      <c r="C76" t="s">
        <v>0</v>
      </c>
      <c r="D76" t="s">
        <v>31</v>
      </c>
      <c r="E76">
        <f t="shared" ca="1" si="0"/>
        <v>26.360456920543591</v>
      </c>
    </row>
    <row r="77" spans="1:5" hidden="1" x14ac:dyDescent="0.25">
      <c r="A77">
        <v>1</v>
      </c>
      <c r="B77">
        <v>32</v>
      </c>
      <c r="C77" t="s">
        <v>0</v>
      </c>
      <c r="D77" t="s">
        <v>32</v>
      </c>
      <c r="E77">
        <f t="shared" ca="1" si="0"/>
        <v>25.052679142765811</v>
      </c>
    </row>
    <row r="78" spans="1:5" hidden="1" x14ac:dyDescent="0.25">
      <c r="A78">
        <v>1</v>
      </c>
      <c r="B78">
        <v>33</v>
      </c>
      <c r="C78" t="s">
        <v>0</v>
      </c>
      <c r="D78" t="s">
        <v>33</v>
      </c>
      <c r="E78">
        <f t="shared" ca="1" si="0"/>
        <v>18.849199381876993</v>
      </c>
    </row>
    <row r="79" spans="1:5" hidden="1" x14ac:dyDescent="0.25">
      <c r="A79">
        <v>1</v>
      </c>
      <c r="B79">
        <v>34</v>
      </c>
      <c r="C79" t="s">
        <v>0</v>
      </c>
      <c r="D79" t="s">
        <v>34</v>
      </c>
      <c r="E79">
        <f t="shared" ca="1" si="0"/>
        <v>19.77364382632144</v>
      </c>
    </row>
    <row r="80" spans="1:5" hidden="1" x14ac:dyDescent="0.25">
      <c r="A80">
        <v>1</v>
      </c>
      <c r="B80">
        <v>35</v>
      </c>
      <c r="C80" t="s">
        <v>0</v>
      </c>
      <c r="D80" t="s">
        <v>35</v>
      </c>
      <c r="E80">
        <f t="shared" ca="1" si="0"/>
        <v>0</v>
      </c>
    </row>
    <row r="81" spans="1:8" hidden="1" x14ac:dyDescent="0.25">
      <c r="A81">
        <v>1</v>
      </c>
      <c r="B81">
        <v>36</v>
      </c>
      <c r="C81" t="s">
        <v>0</v>
      </c>
      <c r="D81" t="s">
        <v>36</v>
      </c>
      <c r="E81">
        <f t="shared" ca="1" si="0"/>
        <v>72.792894818646786</v>
      </c>
    </row>
    <row r="82" spans="1:8" hidden="1" x14ac:dyDescent="0.25">
      <c r="A82">
        <v>1</v>
      </c>
      <c r="B82">
        <v>37</v>
      </c>
      <c r="C82" t="s">
        <v>0</v>
      </c>
      <c r="D82" t="s">
        <v>37</v>
      </c>
      <c r="E82">
        <f t="shared" ca="1" si="0"/>
        <v>84.419556065831458</v>
      </c>
    </row>
    <row r="83" spans="1:8" hidden="1" x14ac:dyDescent="0.25">
      <c r="A83">
        <v>1</v>
      </c>
      <c r="B83">
        <v>38</v>
      </c>
      <c r="C83" t="s">
        <v>0</v>
      </c>
      <c r="D83" t="s">
        <v>38</v>
      </c>
      <c r="E83">
        <f t="shared" ca="1" si="0"/>
        <v>72.515117040869015</v>
      </c>
    </row>
    <row r="84" spans="1:8" hidden="1" x14ac:dyDescent="0.25">
      <c r="A84">
        <v>1</v>
      </c>
      <c r="B84">
        <v>39</v>
      </c>
      <c r="C84" t="s">
        <v>0</v>
      </c>
      <c r="D84" t="s">
        <v>39</v>
      </c>
      <c r="E84">
        <f t="shared" ca="1" si="0"/>
        <v>80.75419183910472</v>
      </c>
    </row>
    <row r="85" spans="1:8" hidden="1" x14ac:dyDescent="0.25">
      <c r="A85">
        <v>1</v>
      </c>
      <c r="B85">
        <v>40</v>
      </c>
      <c r="C85" t="s">
        <v>0</v>
      </c>
      <c r="D85" t="s">
        <v>40</v>
      </c>
      <c r="E85">
        <f t="shared" ca="1" si="0"/>
        <v>83.819556065831449</v>
      </c>
    </row>
    <row r="86" spans="1:8" hidden="1" x14ac:dyDescent="0.25">
      <c r="A86">
        <v>2</v>
      </c>
      <c r="B86">
        <v>1</v>
      </c>
      <c r="C86" t="s">
        <v>1</v>
      </c>
      <c r="D86" t="s">
        <v>0</v>
      </c>
      <c r="E86">
        <f t="shared" ca="1" si="0"/>
        <v>0</v>
      </c>
    </row>
    <row r="87" spans="1:8" hidden="1" x14ac:dyDescent="0.25">
      <c r="A87">
        <v>2</v>
      </c>
      <c r="B87">
        <v>2</v>
      </c>
      <c r="C87" t="s">
        <v>1</v>
      </c>
      <c r="D87" t="s">
        <v>1</v>
      </c>
      <c r="E87">
        <f t="shared" ca="1" si="0"/>
        <v>0</v>
      </c>
      <c r="H87">
        <v>5</v>
      </c>
    </row>
    <row r="88" spans="1:8" hidden="1" x14ac:dyDescent="0.25">
      <c r="A88">
        <v>2</v>
      </c>
      <c r="B88">
        <v>3</v>
      </c>
      <c r="C88" t="s">
        <v>1</v>
      </c>
      <c r="D88" t="s">
        <v>2</v>
      </c>
      <c r="E88">
        <f t="shared" ca="1" si="0"/>
        <v>19.923515587242516</v>
      </c>
      <c r="H88">
        <v>7</v>
      </c>
    </row>
    <row r="89" spans="1:8" hidden="1" x14ac:dyDescent="0.25">
      <c r="A89">
        <v>2</v>
      </c>
      <c r="B89">
        <v>4</v>
      </c>
      <c r="C89" t="s">
        <v>1</v>
      </c>
      <c r="D89" t="s">
        <v>3</v>
      </c>
      <c r="E89">
        <f t="shared" ca="1" si="0"/>
        <v>31.679348437793262</v>
      </c>
    </row>
    <row r="90" spans="1:8" hidden="1" x14ac:dyDescent="0.25">
      <c r="A90">
        <v>2</v>
      </c>
      <c r="B90">
        <v>5</v>
      </c>
      <c r="C90" t="s">
        <v>1</v>
      </c>
      <c r="D90" t="s">
        <v>4</v>
      </c>
      <c r="E90">
        <f t="shared" ca="1" si="0"/>
        <v>31.658324960702892</v>
      </c>
    </row>
    <row r="91" spans="1:8" hidden="1" x14ac:dyDescent="0.25">
      <c r="A91">
        <v>2</v>
      </c>
      <c r="B91">
        <v>6</v>
      </c>
      <c r="C91" t="s">
        <v>1</v>
      </c>
      <c r="D91" t="s">
        <v>5</v>
      </c>
      <c r="E91">
        <f t="shared" ca="1" si="0"/>
        <v>34.202769405147336</v>
      </c>
    </row>
    <row r="92" spans="1:8" hidden="1" x14ac:dyDescent="0.25">
      <c r="A92">
        <v>2</v>
      </c>
      <c r="B92">
        <v>7</v>
      </c>
      <c r="C92" t="s">
        <v>1</v>
      </c>
      <c r="D92" t="s">
        <v>6</v>
      </c>
      <c r="E92">
        <f t="shared" ca="1" si="0"/>
        <v>32.097213849591782</v>
      </c>
    </row>
    <row r="93" spans="1:8" hidden="1" x14ac:dyDescent="0.25">
      <c r="A93">
        <v>2</v>
      </c>
      <c r="B93">
        <v>8</v>
      </c>
      <c r="C93" t="s">
        <v>1</v>
      </c>
      <c r="D93" t="s">
        <v>7</v>
      </c>
      <c r="E93">
        <f t="shared" ca="1" si="0"/>
        <v>31.832681771126598</v>
      </c>
    </row>
    <row r="94" spans="1:8" hidden="1" x14ac:dyDescent="0.25">
      <c r="A94">
        <v>2</v>
      </c>
      <c r="B94">
        <v>9</v>
      </c>
      <c r="C94" t="s">
        <v>1</v>
      </c>
      <c r="D94" t="s">
        <v>148</v>
      </c>
      <c r="E94">
        <f t="shared" ca="1" si="0"/>
        <v>0</v>
      </c>
    </row>
    <row r="95" spans="1:8" hidden="1" x14ac:dyDescent="0.25">
      <c r="A95">
        <v>2</v>
      </c>
      <c r="B95">
        <v>10</v>
      </c>
      <c r="C95" t="s">
        <v>1</v>
      </c>
      <c r="D95" t="s">
        <v>9</v>
      </c>
      <c r="E95">
        <f t="shared" ca="1" si="0"/>
        <v>32.646102738480671</v>
      </c>
    </row>
    <row r="96" spans="1:8" hidden="1" x14ac:dyDescent="0.25">
      <c r="A96">
        <v>2</v>
      </c>
      <c r="B96">
        <v>11</v>
      </c>
      <c r="C96" t="s">
        <v>1</v>
      </c>
      <c r="D96" t="s">
        <v>10</v>
      </c>
      <c r="E96">
        <f t="shared" ca="1" si="0"/>
        <v>61.860858624249239</v>
      </c>
    </row>
    <row r="97" spans="1:5" hidden="1" x14ac:dyDescent="0.25">
      <c r="A97">
        <v>2</v>
      </c>
      <c r="B97">
        <v>12</v>
      </c>
      <c r="C97" t="s">
        <v>1</v>
      </c>
      <c r="D97" t="s">
        <v>11</v>
      </c>
      <c r="E97">
        <f t="shared" ca="1" si="0"/>
        <v>57.217400076834643</v>
      </c>
    </row>
    <row r="98" spans="1:5" hidden="1" x14ac:dyDescent="0.25">
      <c r="A98">
        <v>2</v>
      </c>
      <c r="B98">
        <v>13</v>
      </c>
      <c r="C98" t="s">
        <v>1</v>
      </c>
      <c r="D98" t="s">
        <v>12</v>
      </c>
      <c r="E98">
        <f t="shared" ca="1" si="0"/>
        <v>53.682127671616925</v>
      </c>
    </row>
    <row r="99" spans="1:5" hidden="1" x14ac:dyDescent="0.25">
      <c r="A99">
        <v>2</v>
      </c>
      <c r="B99">
        <v>14</v>
      </c>
      <c r="C99" t="s">
        <v>1</v>
      </c>
      <c r="D99" t="s">
        <v>13</v>
      </c>
      <c r="E99">
        <f t="shared" ca="1" si="0"/>
        <v>53.184349893839148</v>
      </c>
    </row>
    <row r="100" spans="1:5" hidden="1" x14ac:dyDescent="0.25">
      <c r="A100">
        <v>2</v>
      </c>
      <c r="B100">
        <v>15</v>
      </c>
      <c r="C100" t="s">
        <v>1</v>
      </c>
      <c r="D100" t="s">
        <v>14</v>
      </c>
      <c r="E100">
        <f t="shared" ca="1" si="0"/>
        <v>116.77850072728978</v>
      </c>
    </row>
    <row r="101" spans="1:5" hidden="1" x14ac:dyDescent="0.25">
      <c r="A101">
        <v>2</v>
      </c>
      <c r="B101">
        <v>16</v>
      </c>
      <c r="C101" t="s">
        <v>1</v>
      </c>
      <c r="D101" t="s">
        <v>15</v>
      </c>
      <c r="E101">
        <f t="shared" ca="1" si="0"/>
        <v>90.444184409018391</v>
      </c>
    </row>
    <row r="102" spans="1:5" hidden="1" x14ac:dyDescent="0.25">
      <c r="A102">
        <v>2</v>
      </c>
      <c r="B102">
        <v>17</v>
      </c>
      <c r="C102" t="s">
        <v>1</v>
      </c>
      <c r="D102" t="s">
        <v>16</v>
      </c>
      <c r="E102">
        <f t="shared" ca="1" si="0"/>
        <v>93.003598330752624</v>
      </c>
    </row>
    <row r="103" spans="1:5" hidden="1" x14ac:dyDescent="0.25">
      <c r="A103">
        <v>2</v>
      </c>
      <c r="B103">
        <v>18</v>
      </c>
      <c r="C103" t="s">
        <v>1</v>
      </c>
      <c r="D103" t="s">
        <v>17</v>
      </c>
      <c r="E103">
        <f t="shared" ca="1" si="0"/>
        <v>90.909739964573944</v>
      </c>
    </row>
    <row r="104" spans="1:5" hidden="1" x14ac:dyDescent="0.25">
      <c r="A104">
        <v>2</v>
      </c>
      <c r="B104">
        <v>19</v>
      </c>
      <c r="C104" t="s">
        <v>1</v>
      </c>
      <c r="D104" t="s">
        <v>18</v>
      </c>
      <c r="E104">
        <f t="shared" ca="1" si="0"/>
        <v>27.059726097679711</v>
      </c>
    </row>
    <row r="105" spans="1:5" hidden="1" x14ac:dyDescent="0.25">
      <c r="A105">
        <v>2</v>
      </c>
      <c r="B105">
        <v>20</v>
      </c>
      <c r="C105" t="s">
        <v>1</v>
      </c>
      <c r="D105" t="s">
        <v>19</v>
      </c>
      <c r="E105">
        <f t="shared" ca="1" si="0"/>
        <v>26.271400678021774</v>
      </c>
    </row>
    <row r="106" spans="1:5" hidden="1" x14ac:dyDescent="0.25">
      <c r="A106">
        <v>2</v>
      </c>
      <c r="B106">
        <v>21</v>
      </c>
      <c r="C106" t="s">
        <v>1</v>
      </c>
      <c r="D106" t="s">
        <v>20</v>
      </c>
      <c r="E106">
        <f t="shared" ca="1" si="0"/>
        <v>20.163515587242518</v>
      </c>
    </row>
    <row r="107" spans="1:5" hidden="1" x14ac:dyDescent="0.25">
      <c r="A107">
        <v>2</v>
      </c>
      <c r="B107">
        <v>22</v>
      </c>
      <c r="C107" t="s">
        <v>1</v>
      </c>
      <c r="D107" t="s">
        <v>21</v>
      </c>
      <c r="E107">
        <f t="shared" ca="1" si="0"/>
        <v>68.161976107090751</v>
      </c>
    </row>
    <row r="108" spans="1:5" hidden="1" x14ac:dyDescent="0.25">
      <c r="A108">
        <v>2</v>
      </c>
      <c r="B108">
        <v>23</v>
      </c>
      <c r="C108" t="s">
        <v>1</v>
      </c>
      <c r="D108" t="s">
        <v>22</v>
      </c>
      <c r="E108">
        <f t="shared" ca="1" si="0"/>
        <v>53.779492199230475</v>
      </c>
    </row>
    <row r="109" spans="1:5" hidden="1" x14ac:dyDescent="0.25">
      <c r="A109">
        <v>2</v>
      </c>
      <c r="B109">
        <v>24</v>
      </c>
      <c r="C109" t="s">
        <v>1</v>
      </c>
      <c r="D109" t="s">
        <v>23</v>
      </c>
      <c r="E109">
        <f t="shared" ca="1" si="0"/>
        <v>53.068381088119366</v>
      </c>
    </row>
    <row r="110" spans="1:5" hidden="1" x14ac:dyDescent="0.25">
      <c r="A110">
        <v>2</v>
      </c>
      <c r="B110">
        <v>25</v>
      </c>
      <c r="C110" t="s">
        <v>1</v>
      </c>
      <c r="D110" t="s">
        <v>24</v>
      </c>
      <c r="E110">
        <f t="shared" ref="E110:E171" ca="1" si="1">OFFSET($B$3,A110,B110)</f>
        <v>51.729492199230478</v>
      </c>
    </row>
    <row r="111" spans="1:5" hidden="1" x14ac:dyDescent="0.25">
      <c r="A111">
        <v>2</v>
      </c>
      <c r="B111">
        <v>26</v>
      </c>
      <c r="C111" t="s">
        <v>1</v>
      </c>
      <c r="D111" t="s">
        <v>25</v>
      </c>
      <c r="E111">
        <f t="shared" ca="1" si="1"/>
        <v>119.47738961617867</v>
      </c>
    </row>
    <row r="112" spans="1:5" hidden="1" x14ac:dyDescent="0.25">
      <c r="A112">
        <v>2</v>
      </c>
      <c r="B112">
        <v>27</v>
      </c>
      <c r="C112" t="s">
        <v>1</v>
      </c>
      <c r="D112" t="s">
        <v>145</v>
      </c>
      <c r="E112">
        <f t="shared" ca="1" si="1"/>
        <v>27.718067344688439</v>
      </c>
    </row>
    <row r="113" spans="1:5" hidden="1" x14ac:dyDescent="0.25">
      <c r="A113">
        <v>2</v>
      </c>
      <c r="B113">
        <v>28</v>
      </c>
      <c r="C113" t="s">
        <v>1</v>
      </c>
      <c r="D113" t="s">
        <v>147</v>
      </c>
      <c r="E113">
        <f t="shared" ca="1" si="1"/>
        <v>68.606420551535194</v>
      </c>
    </row>
    <row r="114" spans="1:5" hidden="1" x14ac:dyDescent="0.25">
      <c r="A114">
        <v>2</v>
      </c>
      <c r="B114">
        <v>29</v>
      </c>
      <c r="C114" t="s">
        <v>1</v>
      </c>
      <c r="D114" t="s">
        <v>146</v>
      </c>
      <c r="E114">
        <f t="shared" ca="1" si="1"/>
        <v>52.257269977008249</v>
      </c>
    </row>
    <row r="115" spans="1:5" hidden="1" x14ac:dyDescent="0.25">
      <c r="A115">
        <v>2</v>
      </c>
      <c r="B115">
        <v>30</v>
      </c>
      <c r="C115" t="s">
        <v>1</v>
      </c>
      <c r="D115" t="s">
        <v>30</v>
      </c>
      <c r="E115">
        <f t="shared" ca="1" si="1"/>
        <v>32.934903993348819</v>
      </c>
    </row>
    <row r="116" spans="1:5" hidden="1" x14ac:dyDescent="0.25">
      <c r="A116">
        <v>2</v>
      </c>
      <c r="B116">
        <v>31</v>
      </c>
      <c r="C116" t="s">
        <v>1</v>
      </c>
      <c r="D116" t="s">
        <v>31</v>
      </c>
      <c r="E116">
        <f t="shared" ca="1" si="1"/>
        <v>26.738234698321367</v>
      </c>
    </row>
    <row r="117" spans="1:5" hidden="1" x14ac:dyDescent="0.25">
      <c r="A117">
        <v>2</v>
      </c>
      <c r="B117">
        <v>32</v>
      </c>
      <c r="C117" t="s">
        <v>1</v>
      </c>
      <c r="D117" t="s">
        <v>32</v>
      </c>
      <c r="E117">
        <f t="shared" ca="1" si="1"/>
        <v>25.430456920543591</v>
      </c>
    </row>
    <row r="118" spans="1:5" hidden="1" x14ac:dyDescent="0.25">
      <c r="A118">
        <v>2</v>
      </c>
      <c r="B118">
        <v>33</v>
      </c>
      <c r="C118" t="s">
        <v>1</v>
      </c>
      <c r="D118" t="s">
        <v>33</v>
      </c>
      <c r="E118">
        <f t="shared" ca="1" si="1"/>
        <v>19.226977159654773</v>
      </c>
    </row>
    <row r="119" spans="1:5" hidden="1" x14ac:dyDescent="0.25">
      <c r="A119">
        <v>2</v>
      </c>
      <c r="B119">
        <v>34</v>
      </c>
      <c r="C119" t="s">
        <v>1</v>
      </c>
      <c r="D119" t="s">
        <v>34</v>
      </c>
      <c r="E119">
        <f t="shared" ca="1" si="1"/>
        <v>20.151421604099216</v>
      </c>
    </row>
    <row r="120" spans="1:5" hidden="1" x14ac:dyDescent="0.25">
      <c r="A120">
        <v>2</v>
      </c>
      <c r="B120">
        <v>35</v>
      </c>
      <c r="C120" t="s">
        <v>1</v>
      </c>
      <c r="D120" t="s">
        <v>35</v>
      </c>
      <c r="E120">
        <f t="shared" ca="1" si="1"/>
        <v>0</v>
      </c>
    </row>
    <row r="121" spans="1:5" hidden="1" x14ac:dyDescent="0.25">
      <c r="A121">
        <v>2</v>
      </c>
      <c r="B121">
        <v>36</v>
      </c>
      <c r="C121" t="s">
        <v>1</v>
      </c>
      <c r="D121" t="s">
        <v>36</v>
      </c>
      <c r="E121">
        <f t="shared" ca="1" si="1"/>
        <v>73.170672596424566</v>
      </c>
    </row>
    <row r="122" spans="1:5" hidden="1" x14ac:dyDescent="0.25">
      <c r="A122">
        <v>2</v>
      </c>
      <c r="B122">
        <v>37</v>
      </c>
      <c r="C122" t="s">
        <v>1</v>
      </c>
      <c r="D122" t="s">
        <v>37</v>
      </c>
      <c r="E122">
        <f t="shared" ca="1" si="1"/>
        <v>84.797333843609223</v>
      </c>
    </row>
    <row r="123" spans="1:5" hidden="1" x14ac:dyDescent="0.25">
      <c r="A123">
        <v>2</v>
      </c>
      <c r="B123">
        <v>38</v>
      </c>
      <c r="C123" t="s">
        <v>1</v>
      </c>
      <c r="D123" t="s">
        <v>38</v>
      </c>
      <c r="E123">
        <f t="shared" ca="1" si="1"/>
        <v>72.892894818646781</v>
      </c>
    </row>
    <row r="124" spans="1:5" hidden="1" x14ac:dyDescent="0.25">
      <c r="A124">
        <v>2</v>
      </c>
      <c r="B124">
        <v>39</v>
      </c>
      <c r="C124" t="s">
        <v>1</v>
      </c>
      <c r="D124" t="s">
        <v>39</v>
      </c>
      <c r="E124">
        <f t="shared" ca="1" si="1"/>
        <v>81.1319696168825</v>
      </c>
    </row>
    <row r="125" spans="1:5" hidden="1" x14ac:dyDescent="0.25">
      <c r="A125">
        <v>2</v>
      </c>
      <c r="B125">
        <v>40</v>
      </c>
      <c r="C125" t="s">
        <v>1</v>
      </c>
      <c r="D125" t="s">
        <v>40</v>
      </c>
      <c r="E125">
        <f t="shared" ca="1" si="1"/>
        <v>84.197333843609229</v>
      </c>
    </row>
    <row r="126" spans="1:5" x14ac:dyDescent="0.25">
      <c r="A126">
        <v>3</v>
      </c>
      <c r="B126">
        <v>1</v>
      </c>
      <c r="C126" t="s">
        <v>2</v>
      </c>
      <c r="D126" t="s">
        <v>0</v>
      </c>
      <c r="E126">
        <f t="shared" ca="1" si="1"/>
        <v>19.54573780946474</v>
      </c>
    </row>
    <row r="127" spans="1:5" x14ac:dyDescent="0.25">
      <c r="A127">
        <v>3</v>
      </c>
      <c r="B127">
        <v>2</v>
      </c>
      <c r="C127" t="s">
        <v>2</v>
      </c>
      <c r="D127" t="s">
        <v>1</v>
      </c>
      <c r="E127">
        <f t="shared" ca="1" si="1"/>
        <v>19.923515587242516</v>
      </c>
    </row>
    <row r="128" spans="1:5" x14ac:dyDescent="0.25">
      <c r="A128">
        <v>3</v>
      </c>
      <c r="B128">
        <v>3</v>
      </c>
      <c r="C128" t="s">
        <v>2</v>
      </c>
      <c r="D128" t="s">
        <v>2</v>
      </c>
      <c r="E128">
        <f t="shared" ca="1" si="1"/>
        <v>0</v>
      </c>
    </row>
    <row r="129" spans="1:5" x14ac:dyDescent="0.25">
      <c r="A129">
        <v>3</v>
      </c>
      <c r="B129">
        <v>4</v>
      </c>
      <c r="C129" t="s">
        <v>2</v>
      </c>
      <c r="D129" t="s">
        <v>3</v>
      </c>
      <c r="E129">
        <f t="shared" ca="1" si="1"/>
        <v>31.059883110160939</v>
      </c>
    </row>
    <row r="130" spans="1:5" x14ac:dyDescent="0.25">
      <c r="A130">
        <v>3</v>
      </c>
      <c r="B130">
        <v>5</v>
      </c>
      <c r="C130" t="s">
        <v>2</v>
      </c>
      <c r="D130" t="s">
        <v>4</v>
      </c>
      <c r="E130">
        <f t="shared" ca="1" si="1"/>
        <v>33.028321995823951</v>
      </c>
    </row>
    <row r="131" spans="1:5" x14ac:dyDescent="0.25">
      <c r="A131">
        <v>3</v>
      </c>
      <c r="B131">
        <v>6</v>
      </c>
      <c r="C131" t="s">
        <v>2</v>
      </c>
      <c r="D131" t="s">
        <v>5</v>
      </c>
      <c r="E131">
        <f t="shared" ca="1" si="1"/>
        <v>35.572766440268396</v>
      </c>
    </row>
    <row r="132" spans="1:5" x14ac:dyDescent="0.25">
      <c r="A132">
        <v>3</v>
      </c>
      <c r="B132">
        <v>7</v>
      </c>
      <c r="C132" t="s">
        <v>2</v>
      </c>
      <c r="D132" t="s">
        <v>6</v>
      </c>
      <c r="E132">
        <f t="shared" ca="1" si="1"/>
        <v>33.467210884712841</v>
      </c>
    </row>
    <row r="133" spans="1:5" x14ac:dyDescent="0.25">
      <c r="A133">
        <v>3</v>
      </c>
      <c r="B133">
        <v>8</v>
      </c>
      <c r="C133" t="s">
        <v>2</v>
      </c>
      <c r="D133" t="s">
        <v>7</v>
      </c>
      <c r="E133">
        <f t="shared" ca="1" si="1"/>
        <v>31.213216443494275</v>
      </c>
    </row>
    <row r="134" spans="1:5" x14ac:dyDescent="0.25">
      <c r="A134">
        <v>3</v>
      </c>
      <c r="B134">
        <v>9</v>
      </c>
      <c r="C134" t="s">
        <v>2</v>
      </c>
      <c r="D134" t="s">
        <v>148</v>
      </c>
      <c r="E134">
        <f t="shared" ca="1" si="1"/>
        <v>22.006848920575852</v>
      </c>
    </row>
    <row r="135" spans="1:5" x14ac:dyDescent="0.25">
      <c r="A135">
        <v>3</v>
      </c>
      <c r="B135">
        <v>10</v>
      </c>
      <c r="C135" t="s">
        <v>2</v>
      </c>
      <c r="D135" t="s">
        <v>9</v>
      </c>
      <c r="E135">
        <f t="shared" ca="1" si="1"/>
        <v>34.016099773601724</v>
      </c>
    </row>
    <row r="136" spans="1:5" x14ac:dyDescent="0.25">
      <c r="A136">
        <v>3</v>
      </c>
      <c r="B136">
        <v>11</v>
      </c>
      <c r="C136" t="s">
        <v>2</v>
      </c>
      <c r="D136" t="s">
        <v>10</v>
      </c>
      <c r="E136">
        <f t="shared" ca="1" si="1"/>
        <v>60.697962201459269</v>
      </c>
    </row>
    <row r="137" spans="1:5" x14ac:dyDescent="0.25">
      <c r="A137">
        <v>3</v>
      </c>
      <c r="B137">
        <v>12</v>
      </c>
      <c r="C137" t="s">
        <v>2</v>
      </c>
      <c r="D137" t="s">
        <v>11</v>
      </c>
      <c r="E137">
        <f t="shared" ca="1" si="1"/>
        <v>56.635189060153905</v>
      </c>
    </row>
    <row r="138" spans="1:5" x14ac:dyDescent="0.25">
      <c r="A138">
        <v>3</v>
      </c>
      <c r="B138">
        <v>13</v>
      </c>
      <c r="C138" t="s">
        <v>2</v>
      </c>
      <c r="D138" t="s">
        <v>12</v>
      </c>
      <c r="E138">
        <f t="shared" ca="1" si="1"/>
        <v>53.093321330119181</v>
      </c>
    </row>
    <row r="139" spans="1:5" x14ac:dyDescent="0.25">
      <c r="A139">
        <v>3</v>
      </c>
      <c r="B139">
        <v>14</v>
      </c>
      <c r="C139" t="s">
        <v>2</v>
      </c>
      <c r="D139" t="s">
        <v>13</v>
      </c>
      <c r="E139">
        <f t="shared" ca="1" si="1"/>
        <v>52.595543552341404</v>
      </c>
    </row>
    <row r="140" spans="1:5" x14ac:dyDescent="0.25">
      <c r="A140">
        <v>3</v>
      </c>
      <c r="B140">
        <v>15</v>
      </c>
      <c r="C140" t="s">
        <v>2</v>
      </c>
      <c r="D140" t="s">
        <v>14</v>
      </c>
      <c r="E140">
        <f t="shared" ca="1" si="1"/>
        <v>118.19448504950263</v>
      </c>
    </row>
    <row r="141" spans="1:5" x14ac:dyDescent="0.25">
      <c r="A141">
        <v>3</v>
      </c>
      <c r="B141">
        <v>16</v>
      </c>
      <c r="C141" t="s">
        <v>2</v>
      </c>
      <c r="D141" t="s">
        <v>15</v>
      </c>
      <c r="E141">
        <f t="shared" ca="1" si="1"/>
        <v>111.57074785918732</v>
      </c>
    </row>
    <row r="142" spans="1:5" x14ac:dyDescent="0.25">
      <c r="A142">
        <v>3</v>
      </c>
      <c r="B142">
        <v>17</v>
      </c>
      <c r="C142" t="s">
        <v>2</v>
      </c>
      <c r="D142" t="s">
        <v>16</v>
      </c>
      <c r="E142">
        <f t="shared" ca="1" si="1"/>
        <v>93.531128525009379</v>
      </c>
    </row>
    <row r="143" spans="1:5" x14ac:dyDescent="0.25">
      <c r="A143">
        <v>3</v>
      </c>
      <c r="B143">
        <v>18</v>
      </c>
      <c r="C143" t="s">
        <v>2</v>
      </c>
      <c r="D143" t="s">
        <v>17</v>
      </c>
      <c r="E143">
        <f t="shared" ca="1" si="1"/>
        <v>112.03630341474287</v>
      </c>
    </row>
    <row r="144" spans="1:5" x14ac:dyDescent="0.25">
      <c r="A144">
        <v>3</v>
      </c>
      <c r="B144">
        <v>19</v>
      </c>
      <c r="C144" t="s">
        <v>2</v>
      </c>
      <c r="D144" t="s">
        <v>18</v>
      </c>
      <c r="E144">
        <f t="shared" ca="1" si="1"/>
        <v>23.461803248316677</v>
      </c>
    </row>
    <row r="145" spans="1:5" x14ac:dyDescent="0.25">
      <c r="A145">
        <v>3</v>
      </c>
      <c r="B145">
        <v>20</v>
      </c>
      <c r="C145" t="s">
        <v>2</v>
      </c>
      <c r="D145" t="s">
        <v>19</v>
      </c>
      <c r="E145">
        <f t="shared" ca="1" si="1"/>
        <v>22.742215831676404</v>
      </c>
    </row>
    <row r="146" spans="1:5" x14ac:dyDescent="0.25">
      <c r="A146">
        <v>3</v>
      </c>
      <c r="B146">
        <v>21</v>
      </c>
      <c r="C146" t="s">
        <v>2</v>
      </c>
      <c r="D146" t="s">
        <v>20</v>
      </c>
      <c r="E146">
        <f t="shared" ca="1" si="1"/>
        <v>16.78316482122381</v>
      </c>
    </row>
    <row r="147" spans="1:5" x14ac:dyDescent="0.25">
      <c r="A147">
        <v>3</v>
      </c>
      <c r="B147">
        <v>22</v>
      </c>
      <c r="C147" t="s">
        <v>2</v>
      </c>
      <c r="D147" t="s">
        <v>21</v>
      </c>
      <c r="E147">
        <f t="shared" ca="1" si="1"/>
        <v>24.882344642982826</v>
      </c>
    </row>
    <row r="148" spans="1:5" x14ac:dyDescent="0.25">
      <c r="A148">
        <v>3</v>
      </c>
      <c r="B148">
        <v>23</v>
      </c>
      <c r="C148" t="s">
        <v>2</v>
      </c>
      <c r="D148" t="s">
        <v>22</v>
      </c>
      <c r="E148">
        <f t="shared" ca="1" si="1"/>
        <v>25.760122420760602</v>
      </c>
    </row>
    <row r="149" spans="1:5" x14ac:dyDescent="0.25">
      <c r="A149">
        <v>3</v>
      </c>
      <c r="B149">
        <v>24</v>
      </c>
      <c r="C149" t="s">
        <v>2</v>
      </c>
      <c r="D149" t="s">
        <v>23</v>
      </c>
      <c r="E149">
        <f t="shared" ca="1" si="1"/>
        <v>25.049011309649494</v>
      </c>
    </row>
    <row r="150" spans="1:5" x14ac:dyDescent="0.25">
      <c r="A150">
        <v>3</v>
      </c>
      <c r="B150">
        <v>25</v>
      </c>
      <c r="C150" t="s">
        <v>2</v>
      </c>
      <c r="D150" t="s">
        <v>24</v>
      </c>
      <c r="E150">
        <f t="shared" ca="1" si="1"/>
        <v>23.710122420760605</v>
      </c>
    </row>
    <row r="151" spans="1:5" x14ac:dyDescent="0.25">
      <c r="A151">
        <v>3</v>
      </c>
      <c r="B151">
        <v>26</v>
      </c>
      <c r="C151" t="s">
        <v>2</v>
      </c>
      <c r="D151" t="s">
        <v>25</v>
      </c>
      <c r="E151">
        <f t="shared" ca="1" si="1"/>
        <v>120.89337393839152</v>
      </c>
    </row>
    <row r="152" spans="1:5" x14ac:dyDescent="0.25">
      <c r="A152">
        <v>3</v>
      </c>
      <c r="B152">
        <v>27</v>
      </c>
      <c r="C152" t="s">
        <v>2</v>
      </c>
      <c r="D152" t="s">
        <v>145</v>
      </c>
      <c r="E152">
        <f t="shared" ca="1" si="1"/>
        <v>51.703965421476155</v>
      </c>
    </row>
    <row r="153" spans="1:5" x14ac:dyDescent="0.25">
      <c r="A153">
        <v>3</v>
      </c>
      <c r="B153">
        <v>28</v>
      </c>
      <c r="C153" t="s">
        <v>2</v>
      </c>
      <c r="D153" t="s">
        <v>147</v>
      </c>
      <c r="E153">
        <f t="shared" ca="1" si="1"/>
        <v>25.326789087427269</v>
      </c>
    </row>
    <row r="154" spans="1:5" x14ac:dyDescent="0.25">
      <c r="A154">
        <v>3</v>
      </c>
      <c r="B154">
        <v>29</v>
      </c>
      <c r="C154" t="s">
        <v>2</v>
      </c>
      <c r="D154" t="s">
        <v>146</v>
      </c>
      <c r="E154">
        <f t="shared" ca="1" si="1"/>
        <v>24.23790019853838</v>
      </c>
    </row>
    <row r="155" spans="1:5" x14ac:dyDescent="0.25">
      <c r="A155">
        <v>3</v>
      </c>
      <c r="B155">
        <v>30</v>
      </c>
      <c r="C155" t="s">
        <v>2</v>
      </c>
      <c r="D155" t="s">
        <v>30</v>
      </c>
      <c r="E155">
        <f t="shared" ca="1" si="1"/>
        <v>32.315438665716499</v>
      </c>
    </row>
    <row r="156" spans="1:5" x14ac:dyDescent="0.25">
      <c r="A156">
        <v>3</v>
      </c>
      <c r="B156">
        <v>31</v>
      </c>
      <c r="C156" t="s">
        <v>2</v>
      </c>
      <c r="D156" t="s">
        <v>31</v>
      </c>
      <c r="E156">
        <f t="shared" ca="1" si="1"/>
        <v>28.700676075978322</v>
      </c>
    </row>
    <row r="157" spans="1:5" x14ac:dyDescent="0.25">
      <c r="A157">
        <v>3</v>
      </c>
      <c r="B157">
        <v>32</v>
      </c>
      <c r="C157" t="s">
        <v>2</v>
      </c>
      <c r="D157" t="s">
        <v>32</v>
      </c>
      <c r="E157">
        <f t="shared" ca="1" si="1"/>
        <v>27.392898298200546</v>
      </c>
    </row>
    <row r="158" spans="1:5" x14ac:dyDescent="0.25">
      <c r="A158">
        <v>3</v>
      </c>
      <c r="B158">
        <v>33</v>
      </c>
      <c r="C158" t="s">
        <v>2</v>
      </c>
      <c r="D158" t="s">
        <v>33</v>
      </c>
      <c r="E158">
        <f t="shared" ca="1" si="1"/>
        <v>44.827244351773651</v>
      </c>
    </row>
    <row r="159" spans="1:5" x14ac:dyDescent="0.25">
      <c r="A159">
        <v>3</v>
      </c>
      <c r="B159">
        <v>34</v>
      </c>
      <c r="C159" t="s">
        <v>2</v>
      </c>
      <c r="D159" t="s">
        <v>34</v>
      </c>
      <c r="E159">
        <f t="shared" ca="1" si="1"/>
        <v>45.751688796218097</v>
      </c>
    </row>
    <row r="160" spans="1:5" x14ac:dyDescent="0.25">
      <c r="A160">
        <v>3</v>
      </c>
      <c r="B160">
        <v>35</v>
      </c>
      <c r="C160" t="s">
        <v>2</v>
      </c>
      <c r="D160" t="s">
        <v>35</v>
      </c>
      <c r="E160">
        <f t="shared" ca="1" si="1"/>
        <v>20.165737809464737</v>
      </c>
    </row>
    <row r="161" spans="1:5" x14ac:dyDescent="0.25">
      <c r="A161">
        <v>3</v>
      </c>
      <c r="B161">
        <v>36</v>
      </c>
      <c r="C161" t="s">
        <v>2</v>
      </c>
      <c r="D161" t="s">
        <v>36</v>
      </c>
      <c r="E161">
        <f t="shared" ca="1" si="1"/>
        <v>65.307741184543914</v>
      </c>
    </row>
    <row r="162" spans="1:5" x14ac:dyDescent="0.25">
      <c r="A162">
        <v>3</v>
      </c>
      <c r="B162">
        <v>37</v>
      </c>
      <c r="C162" t="s">
        <v>2</v>
      </c>
      <c r="D162" t="s">
        <v>37</v>
      </c>
      <c r="E162">
        <f t="shared" ca="1" si="1"/>
        <v>76.778452561936945</v>
      </c>
    </row>
    <row r="163" spans="1:5" x14ac:dyDescent="0.25">
      <c r="A163">
        <v>3</v>
      </c>
      <c r="B163">
        <v>38</v>
      </c>
      <c r="C163" t="s">
        <v>2</v>
      </c>
      <c r="D163" t="s">
        <v>38</v>
      </c>
      <c r="E163">
        <f t="shared" ca="1" si="1"/>
        <v>65.029963406766129</v>
      </c>
    </row>
    <row r="164" spans="1:5" x14ac:dyDescent="0.25">
      <c r="A164">
        <v>3</v>
      </c>
      <c r="B164">
        <v>39</v>
      </c>
      <c r="C164" t="s">
        <v>2</v>
      </c>
      <c r="D164" t="s">
        <v>39</v>
      </c>
      <c r="E164">
        <f t="shared" ca="1" si="1"/>
        <v>73.865783876454572</v>
      </c>
    </row>
    <row r="165" spans="1:5" x14ac:dyDescent="0.25">
      <c r="A165">
        <v>3</v>
      </c>
      <c r="B165">
        <v>40</v>
      </c>
      <c r="C165" t="s">
        <v>2</v>
      </c>
      <c r="D165" t="s">
        <v>40</v>
      </c>
      <c r="E165">
        <f t="shared" ca="1" si="1"/>
        <v>76.178452561936936</v>
      </c>
    </row>
    <row r="166" spans="1:5" hidden="1" x14ac:dyDescent="0.25">
      <c r="A166">
        <v>4</v>
      </c>
      <c r="B166">
        <v>1</v>
      </c>
      <c r="C166" t="s">
        <v>3</v>
      </c>
      <c r="D166" t="s">
        <v>0</v>
      </c>
      <c r="E166">
        <f t="shared" ca="1" si="1"/>
        <v>31.301570660015486</v>
      </c>
    </row>
    <row r="167" spans="1:5" hidden="1" x14ac:dyDescent="0.25">
      <c r="A167">
        <v>4</v>
      </c>
      <c r="B167">
        <v>2</v>
      </c>
      <c r="C167" t="s">
        <v>3</v>
      </c>
      <c r="D167" t="s">
        <v>1</v>
      </c>
      <c r="E167">
        <f t="shared" ca="1" si="1"/>
        <v>31.679348437793262</v>
      </c>
    </row>
    <row r="168" spans="1:5" hidden="1" x14ac:dyDescent="0.25">
      <c r="A168">
        <v>4</v>
      </c>
      <c r="B168">
        <v>3</v>
      </c>
      <c r="C168" t="s">
        <v>3</v>
      </c>
      <c r="D168" t="s">
        <v>2</v>
      </c>
      <c r="E168">
        <f t="shared" ca="1" si="1"/>
        <v>31.059883110160939</v>
      </c>
    </row>
    <row r="169" spans="1:5" hidden="1" x14ac:dyDescent="0.25">
      <c r="A169">
        <v>4</v>
      </c>
      <c r="B169">
        <v>4</v>
      </c>
      <c r="C169" t="s">
        <v>3</v>
      </c>
      <c r="D169" t="s">
        <v>3</v>
      </c>
      <c r="E169">
        <f t="shared" ca="1" si="1"/>
        <v>0</v>
      </c>
    </row>
    <row r="170" spans="1:5" hidden="1" x14ac:dyDescent="0.25">
      <c r="A170">
        <v>4</v>
      </c>
      <c r="B170">
        <v>5</v>
      </c>
      <c r="C170" t="s">
        <v>3</v>
      </c>
      <c r="D170" t="s">
        <v>4</v>
      </c>
      <c r="E170">
        <f t="shared" ca="1" si="1"/>
        <v>17.354104022235123</v>
      </c>
    </row>
    <row r="171" spans="1:5" hidden="1" x14ac:dyDescent="0.25">
      <c r="A171">
        <v>4</v>
      </c>
      <c r="B171">
        <v>6</v>
      </c>
      <c r="C171" t="s">
        <v>3</v>
      </c>
      <c r="D171" t="s">
        <v>5</v>
      </c>
      <c r="E171">
        <f t="shared" ca="1" si="1"/>
        <v>19.898548466679571</v>
      </c>
    </row>
    <row r="172" spans="1:5" hidden="1" x14ac:dyDescent="0.25">
      <c r="A172">
        <v>4</v>
      </c>
      <c r="B172">
        <v>7</v>
      </c>
      <c r="C172" t="s">
        <v>3</v>
      </c>
      <c r="D172" t="s">
        <v>6</v>
      </c>
      <c r="E172">
        <f t="shared" ref="E172:E233" ca="1" si="2">OFFSET($B$3,A172,B172)</f>
        <v>17.792992911124013</v>
      </c>
    </row>
    <row r="173" spans="1:5" hidden="1" x14ac:dyDescent="0.25">
      <c r="A173">
        <v>4</v>
      </c>
      <c r="B173">
        <v>8</v>
      </c>
      <c r="C173" t="s">
        <v>3</v>
      </c>
      <c r="D173" t="s">
        <v>7</v>
      </c>
      <c r="E173">
        <f t="shared" ca="1" si="2"/>
        <v>0</v>
      </c>
    </row>
    <row r="174" spans="1:5" hidden="1" x14ac:dyDescent="0.25">
      <c r="A174">
        <v>4</v>
      </c>
      <c r="B174">
        <v>9</v>
      </c>
      <c r="C174" t="s">
        <v>3</v>
      </c>
      <c r="D174" t="s">
        <v>148</v>
      </c>
      <c r="E174">
        <f t="shared" ca="1" si="2"/>
        <v>33.762681771126594</v>
      </c>
    </row>
    <row r="175" spans="1:5" hidden="1" x14ac:dyDescent="0.25">
      <c r="A175">
        <v>4</v>
      </c>
      <c r="B175">
        <v>10</v>
      </c>
      <c r="C175" t="s">
        <v>3</v>
      </c>
      <c r="D175" t="s">
        <v>9</v>
      </c>
      <c r="E175">
        <f t="shared" ca="1" si="2"/>
        <v>18.341881800012903</v>
      </c>
    </row>
    <row r="176" spans="1:5" hidden="1" x14ac:dyDescent="0.25">
      <c r="A176">
        <v>4</v>
      </c>
      <c r="B176">
        <v>11</v>
      </c>
      <c r="C176" t="s">
        <v>3</v>
      </c>
      <c r="D176" t="s">
        <v>10</v>
      </c>
      <c r="E176">
        <f t="shared" ca="1" si="2"/>
        <v>76.857317485454203</v>
      </c>
    </row>
    <row r="177" spans="1:5" hidden="1" x14ac:dyDescent="0.25">
      <c r="A177">
        <v>4</v>
      </c>
      <c r="B177">
        <v>12</v>
      </c>
      <c r="C177" t="s">
        <v>3</v>
      </c>
      <c r="D177" t="s">
        <v>11</v>
      </c>
      <c r="E177">
        <f t="shared" ca="1" si="2"/>
        <v>71.697890821485544</v>
      </c>
    </row>
    <row r="178" spans="1:5" hidden="1" x14ac:dyDescent="0.25">
      <c r="A178">
        <v>4</v>
      </c>
      <c r="B178">
        <v>13</v>
      </c>
      <c r="C178" t="s">
        <v>3</v>
      </c>
      <c r="D178" t="s">
        <v>12</v>
      </c>
      <c r="E178">
        <f t="shared" ca="1" si="2"/>
        <v>67.109263792112415</v>
      </c>
    </row>
    <row r="179" spans="1:5" hidden="1" x14ac:dyDescent="0.25">
      <c r="A179">
        <v>4</v>
      </c>
      <c r="B179">
        <v>14</v>
      </c>
      <c r="C179" t="s">
        <v>3</v>
      </c>
      <c r="D179" t="s">
        <v>13</v>
      </c>
      <c r="E179">
        <f t="shared" ca="1" si="2"/>
        <v>66.611486014334631</v>
      </c>
    </row>
    <row r="180" spans="1:5" hidden="1" x14ac:dyDescent="0.25">
      <c r="A180">
        <v>4</v>
      </c>
      <c r="B180">
        <v>15</v>
      </c>
      <c r="C180" t="s">
        <v>3</v>
      </c>
      <c r="D180" t="s">
        <v>14</v>
      </c>
      <c r="E180">
        <f t="shared" ca="1" si="2"/>
        <v>133.46256516281909</v>
      </c>
    </row>
    <row r="181" spans="1:5" hidden="1" x14ac:dyDescent="0.25">
      <c r="A181">
        <v>4</v>
      </c>
      <c r="B181">
        <v>16</v>
      </c>
      <c r="C181" t="s">
        <v>3</v>
      </c>
      <c r="D181" t="s">
        <v>15</v>
      </c>
      <c r="E181">
        <f t="shared" ca="1" si="2"/>
        <v>126.37050663945195</v>
      </c>
    </row>
    <row r="182" spans="1:5" hidden="1" x14ac:dyDescent="0.25">
      <c r="A182">
        <v>4</v>
      </c>
      <c r="B182">
        <v>17</v>
      </c>
      <c r="C182" t="s">
        <v>3</v>
      </c>
      <c r="D182" t="s">
        <v>16</v>
      </c>
      <c r="E182">
        <f t="shared" ca="1" si="2"/>
        <v>109.03002710327515</v>
      </c>
    </row>
    <row r="183" spans="1:5" hidden="1" x14ac:dyDescent="0.25">
      <c r="A183">
        <v>4</v>
      </c>
      <c r="B183">
        <v>18</v>
      </c>
      <c r="C183" t="s">
        <v>3</v>
      </c>
      <c r="D183" t="s">
        <v>17</v>
      </c>
      <c r="E183">
        <f t="shared" ca="1" si="2"/>
        <v>126.8360621950075</v>
      </c>
    </row>
    <row r="184" spans="1:5" hidden="1" x14ac:dyDescent="0.25">
      <c r="A184">
        <v>4</v>
      </c>
      <c r="B184">
        <v>19</v>
      </c>
      <c r="C184" t="s">
        <v>3</v>
      </c>
      <c r="D184" t="s">
        <v>18</v>
      </c>
      <c r="E184">
        <f t="shared" ca="1" si="2"/>
        <v>39.234595669399866</v>
      </c>
    </row>
    <row r="185" spans="1:5" hidden="1" x14ac:dyDescent="0.25">
      <c r="A185">
        <v>4</v>
      </c>
      <c r="B185">
        <v>20</v>
      </c>
      <c r="C185" t="s">
        <v>3</v>
      </c>
      <c r="D185" t="s">
        <v>19</v>
      </c>
      <c r="E185">
        <f t="shared" ca="1" si="2"/>
        <v>39.518504532364396</v>
      </c>
    </row>
    <row r="186" spans="1:5" hidden="1" x14ac:dyDescent="0.25">
      <c r="A186">
        <v>4</v>
      </c>
      <c r="B186">
        <v>21</v>
      </c>
      <c r="C186" t="s">
        <v>3</v>
      </c>
      <c r="D186" t="s">
        <v>20</v>
      </c>
      <c r="E186">
        <f t="shared" ca="1" si="2"/>
        <v>31.25593944725976</v>
      </c>
    </row>
    <row r="187" spans="1:5" hidden="1" x14ac:dyDescent="0.25">
      <c r="A187">
        <v>4</v>
      </c>
      <c r="B187">
        <v>22</v>
      </c>
      <c r="C187" t="s">
        <v>3</v>
      </c>
      <c r="D187" t="s">
        <v>21</v>
      </c>
      <c r="E187">
        <f t="shared" ca="1" si="2"/>
        <v>84.476017452843465</v>
      </c>
    </row>
    <row r="188" spans="1:5" hidden="1" x14ac:dyDescent="0.25">
      <c r="A188">
        <v>4</v>
      </c>
      <c r="B188">
        <v>23</v>
      </c>
      <c r="C188" t="s">
        <v>3</v>
      </c>
      <c r="D188" t="s">
        <v>22</v>
      </c>
      <c r="E188">
        <f t="shared" ca="1" si="2"/>
        <v>69.566125390038465</v>
      </c>
    </row>
    <row r="189" spans="1:5" hidden="1" x14ac:dyDescent="0.25">
      <c r="A189">
        <v>4</v>
      </c>
      <c r="B189">
        <v>24</v>
      </c>
      <c r="C189" t="s">
        <v>3</v>
      </c>
      <c r="D189" t="s">
        <v>23</v>
      </c>
      <c r="E189">
        <f t="shared" ca="1" si="2"/>
        <v>68.855014278927356</v>
      </c>
    </row>
    <row r="190" spans="1:5" hidden="1" x14ac:dyDescent="0.25">
      <c r="A190">
        <v>4</v>
      </c>
      <c r="B190">
        <v>25</v>
      </c>
      <c r="C190" t="s">
        <v>3</v>
      </c>
      <c r="D190" t="s">
        <v>24</v>
      </c>
      <c r="E190">
        <f t="shared" ca="1" si="2"/>
        <v>67.516125390038468</v>
      </c>
    </row>
    <row r="191" spans="1:5" hidden="1" x14ac:dyDescent="0.25">
      <c r="A191">
        <v>4</v>
      </c>
      <c r="B191">
        <v>26</v>
      </c>
      <c r="C191" t="s">
        <v>3</v>
      </c>
      <c r="D191" t="s">
        <v>25</v>
      </c>
      <c r="E191">
        <f t="shared" ca="1" si="2"/>
        <v>136.16145405170798</v>
      </c>
    </row>
    <row r="192" spans="1:5" hidden="1" x14ac:dyDescent="0.25">
      <c r="A192">
        <v>4</v>
      </c>
      <c r="B192">
        <v>27</v>
      </c>
      <c r="C192" t="s">
        <v>3</v>
      </c>
      <c r="D192" t="s">
        <v>145</v>
      </c>
      <c r="E192">
        <f t="shared" ca="1" si="2"/>
        <v>40.965171199031062</v>
      </c>
    </row>
    <row r="193" spans="1:5" hidden="1" x14ac:dyDescent="0.25">
      <c r="A193">
        <v>4</v>
      </c>
      <c r="B193">
        <v>28</v>
      </c>
      <c r="C193" t="s">
        <v>3</v>
      </c>
      <c r="D193" t="s">
        <v>147</v>
      </c>
      <c r="E193">
        <f t="shared" ca="1" si="2"/>
        <v>84.920461897287908</v>
      </c>
    </row>
    <row r="194" spans="1:5" hidden="1" x14ac:dyDescent="0.25">
      <c r="A194">
        <v>4</v>
      </c>
      <c r="B194">
        <v>29</v>
      </c>
      <c r="C194" t="s">
        <v>3</v>
      </c>
      <c r="D194" t="s">
        <v>146</v>
      </c>
      <c r="E194">
        <f t="shared" ca="1" si="2"/>
        <v>68.043903167816239</v>
      </c>
    </row>
    <row r="195" spans="1:5" hidden="1" x14ac:dyDescent="0.25">
      <c r="A195">
        <v>4</v>
      </c>
      <c r="B195">
        <v>30</v>
      </c>
      <c r="C195" t="s">
        <v>3</v>
      </c>
      <c r="D195" t="s">
        <v>30</v>
      </c>
      <c r="E195">
        <f t="shared" ca="1" si="2"/>
        <v>0</v>
      </c>
    </row>
    <row r="196" spans="1:5" hidden="1" x14ac:dyDescent="0.25">
      <c r="A196">
        <v>4</v>
      </c>
      <c r="B196">
        <v>31</v>
      </c>
      <c r="C196" t="s">
        <v>3</v>
      </c>
      <c r="D196" t="s">
        <v>31</v>
      </c>
      <c r="E196">
        <f t="shared" ca="1" si="2"/>
        <v>23.902478379258163</v>
      </c>
    </row>
    <row r="197" spans="1:5" hidden="1" x14ac:dyDescent="0.25">
      <c r="A197">
        <v>4</v>
      </c>
      <c r="B197">
        <v>32</v>
      </c>
      <c r="C197" t="s">
        <v>3</v>
      </c>
      <c r="D197" t="s">
        <v>32</v>
      </c>
      <c r="E197">
        <f t="shared" ca="1" si="2"/>
        <v>22.594700601480387</v>
      </c>
    </row>
    <row r="198" spans="1:5" hidden="1" x14ac:dyDescent="0.25">
      <c r="A198">
        <v>4</v>
      </c>
      <c r="B198">
        <v>33</v>
      </c>
      <c r="C198" t="s">
        <v>3</v>
      </c>
      <c r="D198" t="s">
        <v>33</v>
      </c>
      <c r="E198">
        <f t="shared" ca="1" si="2"/>
        <v>25.850527299760696</v>
      </c>
    </row>
    <row r="199" spans="1:5" hidden="1" x14ac:dyDescent="0.25">
      <c r="A199">
        <v>4</v>
      </c>
      <c r="B199">
        <v>34</v>
      </c>
      <c r="C199" t="s">
        <v>3</v>
      </c>
      <c r="D199" t="s">
        <v>34</v>
      </c>
      <c r="E199">
        <f t="shared" ca="1" si="2"/>
        <v>26.774971744205139</v>
      </c>
    </row>
    <row r="200" spans="1:5" hidden="1" x14ac:dyDescent="0.25">
      <c r="A200">
        <v>4</v>
      </c>
      <c r="B200">
        <v>35</v>
      </c>
      <c r="C200" t="s">
        <v>3</v>
      </c>
      <c r="D200" t="s">
        <v>35</v>
      </c>
      <c r="E200">
        <f t="shared" ca="1" si="2"/>
        <v>31.921570660015487</v>
      </c>
    </row>
    <row r="201" spans="1:5" hidden="1" x14ac:dyDescent="0.25">
      <c r="A201">
        <v>4</v>
      </c>
      <c r="B201">
        <v>36</v>
      </c>
      <c r="C201" t="s">
        <v>3</v>
      </c>
      <c r="D201" t="s">
        <v>36</v>
      </c>
      <c r="E201">
        <f t="shared" ca="1" si="2"/>
        <v>81.339699289132867</v>
      </c>
    </row>
    <row r="202" spans="1:5" hidden="1" x14ac:dyDescent="0.25">
      <c r="A202">
        <v>4</v>
      </c>
      <c r="B202">
        <v>37</v>
      </c>
      <c r="C202" t="s">
        <v>3</v>
      </c>
      <c r="D202" t="s">
        <v>37</v>
      </c>
      <c r="E202">
        <f t="shared" ca="1" si="2"/>
        <v>91.922065508868243</v>
      </c>
    </row>
    <row r="203" spans="1:5" hidden="1" x14ac:dyDescent="0.25">
      <c r="A203">
        <v>4</v>
      </c>
      <c r="B203">
        <v>38</v>
      </c>
      <c r="C203" t="s">
        <v>3</v>
      </c>
      <c r="D203" t="s">
        <v>38</v>
      </c>
      <c r="E203">
        <f t="shared" ca="1" si="2"/>
        <v>81.061921511355095</v>
      </c>
    </row>
    <row r="204" spans="1:5" hidden="1" x14ac:dyDescent="0.25">
      <c r="A204">
        <v>4</v>
      </c>
      <c r="B204">
        <v>39</v>
      </c>
      <c r="C204" t="s">
        <v>3</v>
      </c>
      <c r="D204" t="s">
        <v>39</v>
      </c>
      <c r="E204">
        <f t="shared" ca="1" si="2"/>
        <v>27.706552653288053</v>
      </c>
    </row>
    <row r="205" spans="1:5" hidden="1" x14ac:dyDescent="0.25">
      <c r="A205">
        <v>4</v>
      </c>
      <c r="B205">
        <v>40</v>
      </c>
      <c r="C205" t="s">
        <v>3</v>
      </c>
      <c r="D205" t="s">
        <v>40</v>
      </c>
      <c r="E205">
        <f t="shared" ca="1" si="2"/>
        <v>91.322065508868235</v>
      </c>
    </row>
    <row r="206" spans="1:5" hidden="1" x14ac:dyDescent="0.25">
      <c r="A206">
        <v>5</v>
      </c>
      <c r="B206">
        <v>1</v>
      </c>
      <c r="C206" t="s">
        <v>4</v>
      </c>
      <c r="D206" t="s">
        <v>0</v>
      </c>
      <c r="E206">
        <f t="shared" ca="1" si="2"/>
        <v>31.280547182925115</v>
      </c>
    </row>
    <row r="207" spans="1:5" hidden="1" x14ac:dyDescent="0.25">
      <c r="A207">
        <v>5</v>
      </c>
      <c r="B207">
        <v>2</v>
      </c>
      <c r="C207" t="s">
        <v>4</v>
      </c>
      <c r="D207" t="s">
        <v>1</v>
      </c>
      <c r="E207">
        <f t="shared" ca="1" si="2"/>
        <v>31.658324960702892</v>
      </c>
    </row>
    <row r="208" spans="1:5" hidden="1" x14ac:dyDescent="0.25">
      <c r="A208">
        <v>5</v>
      </c>
      <c r="B208">
        <v>3</v>
      </c>
      <c r="C208" t="s">
        <v>4</v>
      </c>
      <c r="D208" t="s">
        <v>2</v>
      </c>
      <c r="E208">
        <f t="shared" ca="1" si="2"/>
        <v>33.028321995823951</v>
      </c>
    </row>
    <row r="209" spans="1:5" hidden="1" x14ac:dyDescent="0.25">
      <c r="A209">
        <v>5</v>
      </c>
      <c r="B209">
        <v>4</v>
      </c>
      <c r="C209" t="s">
        <v>4</v>
      </c>
      <c r="D209" t="s">
        <v>3</v>
      </c>
      <c r="E209">
        <f t="shared" ca="1" si="2"/>
        <v>17.354104022235123</v>
      </c>
    </row>
    <row r="210" spans="1:5" hidden="1" x14ac:dyDescent="0.25">
      <c r="A210">
        <v>5</v>
      </c>
      <c r="B210">
        <v>5</v>
      </c>
      <c r="C210" t="s">
        <v>4</v>
      </c>
      <c r="D210" t="s">
        <v>4</v>
      </c>
      <c r="E210">
        <f t="shared" ca="1" si="2"/>
        <v>0</v>
      </c>
    </row>
    <row r="211" spans="1:5" hidden="1" x14ac:dyDescent="0.25">
      <c r="A211">
        <v>5</v>
      </c>
      <c r="B211">
        <v>6</v>
      </c>
      <c r="C211" t="s">
        <v>4</v>
      </c>
      <c r="D211" t="s">
        <v>5</v>
      </c>
      <c r="E211">
        <f t="shared" ca="1" si="2"/>
        <v>0</v>
      </c>
    </row>
    <row r="212" spans="1:5" hidden="1" x14ac:dyDescent="0.25">
      <c r="A212">
        <v>5</v>
      </c>
      <c r="B212">
        <v>7</v>
      </c>
      <c r="C212" t="s">
        <v>4</v>
      </c>
      <c r="D212" t="s">
        <v>6</v>
      </c>
      <c r="E212">
        <f t="shared" ca="1" si="2"/>
        <v>0</v>
      </c>
    </row>
    <row r="213" spans="1:5" hidden="1" x14ac:dyDescent="0.25">
      <c r="A213">
        <v>5</v>
      </c>
      <c r="B213">
        <v>8</v>
      </c>
      <c r="C213" t="s">
        <v>4</v>
      </c>
      <c r="D213" t="s">
        <v>7</v>
      </c>
      <c r="E213">
        <f t="shared" ca="1" si="2"/>
        <v>17.507437355568459</v>
      </c>
    </row>
    <row r="214" spans="1:5" hidden="1" x14ac:dyDescent="0.25">
      <c r="A214">
        <v>5</v>
      </c>
      <c r="B214">
        <v>9</v>
      </c>
      <c r="C214" t="s">
        <v>4</v>
      </c>
      <c r="D214" t="s">
        <v>148</v>
      </c>
      <c r="E214">
        <f t="shared" ca="1" si="2"/>
        <v>33.741658294036228</v>
      </c>
    </row>
    <row r="215" spans="1:5" hidden="1" x14ac:dyDescent="0.25">
      <c r="A215">
        <v>5</v>
      </c>
      <c r="B215">
        <v>10</v>
      </c>
      <c r="C215" t="s">
        <v>4</v>
      </c>
      <c r="D215" t="s">
        <v>9</v>
      </c>
      <c r="E215">
        <f t="shared" ca="1" si="2"/>
        <v>0</v>
      </c>
    </row>
    <row r="216" spans="1:5" hidden="1" x14ac:dyDescent="0.25">
      <c r="A216">
        <v>5</v>
      </c>
      <c r="B216">
        <v>11</v>
      </c>
      <c r="C216" t="s">
        <v>4</v>
      </c>
      <c r="D216" t="s">
        <v>10</v>
      </c>
      <c r="E216">
        <f t="shared" ca="1" si="2"/>
        <v>79.545309725741376</v>
      </c>
    </row>
    <row r="217" spans="1:5" hidden="1" x14ac:dyDescent="0.25">
      <c r="A217">
        <v>5</v>
      </c>
      <c r="B217">
        <v>12</v>
      </c>
      <c r="C217" t="s">
        <v>4</v>
      </c>
      <c r="D217" t="s">
        <v>11</v>
      </c>
      <c r="E217">
        <f t="shared" ca="1" si="2"/>
        <v>73.982994944162911</v>
      </c>
    </row>
    <row r="218" spans="1:5" hidden="1" x14ac:dyDescent="0.25">
      <c r="A218">
        <v>5</v>
      </c>
      <c r="B218">
        <v>13</v>
      </c>
      <c r="C218" t="s">
        <v>4</v>
      </c>
      <c r="D218" t="s">
        <v>12</v>
      </c>
      <c r="E218">
        <f t="shared" ca="1" si="2"/>
        <v>68.950810587931684</v>
      </c>
    </row>
    <row r="219" spans="1:5" hidden="1" x14ac:dyDescent="0.25">
      <c r="A219">
        <v>5</v>
      </c>
      <c r="B219">
        <v>14</v>
      </c>
      <c r="C219" t="s">
        <v>4</v>
      </c>
      <c r="D219" t="s">
        <v>13</v>
      </c>
      <c r="E219">
        <f t="shared" ca="1" si="2"/>
        <v>68.4530328101539</v>
      </c>
    </row>
    <row r="220" spans="1:5" hidden="1" x14ac:dyDescent="0.25">
      <c r="A220">
        <v>5</v>
      </c>
      <c r="B220">
        <v>15</v>
      </c>
      <c r="C220" t="s">
        <v>4</v>
      </c>
      <c r="D220" t="s">
        <v>14</v>
      </c>
      <c r="E220">
        <f t="shared" ca="1" si="2"/>
        <v>131.54410549221095</v>
      </c>
    </row>
    <row r="221" spans="1:5" hidden="1" x14ac:dyDescent="0.25">
      <c r="A221">
        <v>5</v>
      </c>
      <c r="B221">
        <v>16</v>
      </c>
      <c r="C221" t="s">
        <v>4</v>
      </c>
      <c r="D221" t="s">
        <v>15</v>
      </c>
      <c r="E221">
        <f t="shared" ca="1" si="2"/>
        <v>122.65114694772898</v>
      </c>
    </row>
    <row r="222" spans="1:5" hidden="1" x14ac:dyDescent="0.25">
      <c r="A222">
        <v>5</v>
      </c>
      <c r="B222">
        <v>17</v>
      </c>
      <c r="C222" t="s">
        <v>4</v>
      </c>
      <c r="D222" t="s">
        <v>16</v>
      </c>
      <c r="E222">
        <f t="shared" ca="1" si="2"/>
        <v>110.86237903528527</v>
      </c>
    </row>
    <row r="223" spans="1:5" hidden="1" x14ac:dyDescent="0.25">
      <c r="A223">
        <v>5</v>
      </c>
      <c r="B223">
        <v>18</v>
      </c>
      <c r="C223" t="s">
        <v>4</v>
      </c>
      <c r="D223" t="s">
        <v>17</v>
      </c>
      <c r="E223">
        <f t="shared" ca="1" si="2"/>
        <v>123.11670250328454</v>
      </c>
    </row>
    <row r="224" spans="1:5" hidden="1" x14ac:dyDescent="0.25">
      <c r="A224">
        <v>5</v>
      </c>
      <c r="B224">
        <v>19</v>
      </c>
      <c r="C224" t="s">
        <v>4</v>
      </c>
      <c r="D224" t="s">
        <v>18</v>
      </c>
      <c r="E224">
        <f t="shared" ca="1" si="2"/>
        <v>40.38431391792183</v>
      </c>
    </row>
    <row r="225" spans="1:5" hidden="1" x14ac:dyDescent="0.25">
      <c r="A225">
        <v>5</v>
      </c>
      <c r="B225">
        <v>20</v>
      </c>
      <c r="C225" t="s">
        <v>4</v>
      </c>
      <c r="D225" t="s">
        <v>19</v>
      </c>
      <c r="E225">
        <f t="shared" ca="1" si="2"/>
        <v>39.864317190725885</v>
      </c>
    </row>
    <row r="226" spans="1:5" hidden="1" x14ac:dyDescent="0.25">
      <c r="A226">
        <v>5</v>
      </c>
      <c r="B226">
        <v>21</v>
      </c>
      <c r="C226" t="s">
        <v>4</v>
      </c>
      <c r="D226" t="s">
        <v>20</v>
      </c>
      <c r="E226">
        <f t="shared" ca="1" si="2"/>
        <v>33.683888929945574</v>
      </c>
    </row>
    <row r="227" spans="1:5" hidden="1" x14ac:dyDescent="0.25">
      <c r="A227">
        <v>5</v>
      </c>
      <c r="B227">
        <v>22</v>
      </c>
      <c r="C227" t="s">
        <v>4</v>
      </c>
      <c r="D227" t="s">
        <v>21</v>
      </c>
      <c r="E227">
        <f t="shared" ca="1" si="2"/>
        <v>83.936266080377251</v>
      </c>
    </row>
    <row r="228" spans="1:5" hidden="1" x14ac:dyDescent="0.25">
      <c r="A228">
        <v>5</v>
      </c>
      <c r="B228">
        <v>23</v>
      </c>
      <c r="C228" t="s">
        <v>4</v>
      </c>
      <c r="D228" t="s">
        <v>22</v>
      </c>
      <c r="E228">
        <f t="shared" ca="1" si="2"/>
        <v>66.26737710562125</v>
      </c>
    </row>
    <row r="229" spans="1:5" hidden="1" x14ac:dyDescent="0.25">
      <c r="A229">
        <v>5</v>
      </c>
      <c r="B229">
        <v>24</v>
      </c>
      <c r="C229" t="s">
        <v>4</v>
      </c>
      <c r="D229" t="s">
        <v>23</v>
      </c>
      <c r="E229">
        <f t="shared" ca="1" si="2"/>
        <v>65.556265994510127</v>
      </c>
    </row>
    <row r="230" spans="1:5" hidden="1" x14ac:dyDescent="0.25">
      <c r="A230">
        <v>5</v>
      </c>
      <c r="B230">
        <v>25</v>
      </c>
      <c r="C230" t="s">
        <v>4</v>
      </c>
      <c r="D230" t="s">
        <v>24</v>
      </c>
      <c r="E230">
        <f t="shared" ca="1" si="2"/>
        <v>64.217377105621239</v>
      </c>
    </row>
    <row r="231" spans="1:5" hidden="1" x14ac:dyDescent="0.25">
      <c r="A231">
        <v>5</v>
      </c>
      <c r="B231">
        <v>26</v>
      </c>
      <c r="C231" t="s">
        <v>4</v>
      </c>
      <c r="D231" t="s">
        <v>25</v>
      </c>
      <c r="E231">
        <f t="shared" ca="1" si="2"/>
        <v>134.24299438109983</v>
      </c>
    </row>
    <row r="232" spans="1:5" hidden="1" x14ac:dyDescent="0.25">
      <c r="A232">
        <v>5</v>
      </c>
      <c r="B232">
        <v>27</v>
      </c>
      <c r="C232" t="s">
        <v>4</v>
      </c>
      <c r="D232" t="s">
        <v>145</v>
      </c>
      <c r="E232">
        <f t="shared" ca="1" si="2"/>
        <v>41.31098385739255</v>
      </c>
    </row>
    <row r="233" spans="1:5" hidden="1" x14ac:dyDescent="0.25">
      <c r="A233">
        <v>5</v>
      </c>
      <c r="B233">
        <v>28</v>
      </c>
      <c r="C233" t="s">
        <v>4</v>
      </c>
      <c r="D233" t="s">
        <v>147</v>
      </c>
      <c r="E233">
        <f t="shared" ca="1" si="2"/>
        <v>84.380710524821694</v>
      </c>
    </row>
    <row r="234" spans="1:5" hidden="1" x14ac:dyDescent="0.25">
      <c r="A234">
        <v>5</v>
      </c>
      <c r="B234">
        <v>29</v>
      </c>
      <c r="C234" t="s">
        <v>4</v>
      </c>
      <c r="D234" t="s">
        <v>146</v>
      </c>
      <c r="E234">
        <f t="shared" ref="E234:E296" ca="1" si="3">OFFSET($B$3,A234,B234)</f>
        <v>64.745154883399024</v>
      </c>
    </row>
    <row r="235" spans="1:5" hidden="1" x14ac:dyDescent="0.25">
      <c r="A235">
        <v>5</v>
      </c>
      <c r="B235">
        <v>30</v>
      </c>
      <c r="C235" t="s">
        <v>4</v>
      </c>
      <c r="D235" t="s">
        <v>30</v>
      </c>
      <c r="E235">
        <f t="shared" ca="1" si="3"/>
        <v>18.60965957779068</v>
      </c>
    </row>
    <row r="236" spans="1:5" hidden="1" x14ac:dyDescent="0.25">
      <c r="A236">
        <v>5</v>
      </c>
      <c r="B236">
        <v>31</v>
      </c>
      <c r="C236" t="s">
        <v>4</v>
      </c>
      <c r="D236" t="s">
        <v>31</v>
      </c>
      <c r="E236">
        <f t="shared" ca="1" si="3"/>
        <v>27.204605536933418</v>
      </c>
    </row>
    <row r="237" spans="1:5" hidden="1" x14ac:dyDescent="0.25">
      <c r="A237">
        <v>5</v>
      </c>
      <c r="B237">
        <v>32</v>
      </c>
      <c r="C237" t="s">
        <v>4</v>
      </c>
      <c r="D237" t="s">
        <v>32</v>
      </c>
      <c r="E237">
        <f t="shared" ca="1" si="3"/>
        <v>25.896827759155642</v>
      </c>
    </row>
    <row r="238" spans="1:5" hidden="1" x14ac:dyDescent="0.25">
      <c r="A238">
        <v>5</v>
      </c>
      <c r="B238">
        <v>33</v>
      </c>
      <c r="C238" t="s">
        <v>4</v>
      </c>
      <c r="D238" t="s">
        <v>33</v>
      </c>
      <c r="E238">
        <f t="shared" ca="1" si="3"/>
        <v>28.039069681253519</v>
      </c>
    </row>
    <row r="239" spans="1:5" hidden="1" x14ac:dyDescent="0.25">
      <c r="A239">
        <v>5</v>
      </c>
      <c r="B239">
        <v>34</v>
      </c>
      <c r="C239" t="s">
        <v>4</v>
      </c>
      <c r="D239" t="s">
        <v>34</v>
      </c>
      <c r="E239">
        <f t="shared" ca="1" si="3"/>
        <v>28.963514125697962</v>
      </c>
    </row>
    <row r="240" spans="1:5" hidden="1" x14ac:dyDescent="0.25">
      <c r="A240">
        <v>5</v>
      </c>
      <c r="B240">
        <v>35</v>
      </c>
      <c r="C240" t="s">
        <v>4</v>
      </c>
      <c r="D240" t="s">
        <v>35</v>
      </c>
      <c r="E240">
        <f t="shared" ca="1" si="3"/>
        <v>31.900547182925113</v>
      </c>
    </row>
    <row r="241" spans="1:5" hidden="1" x14ac:dyDescent="0.25">
      <c r="A241">
        <v>5</v>
      </c>
      <c r="B241">
        <v>36</v>
      </c>
      <c r="C241" t="s">
        <v>4</v>
      </c>
      <c r="D241" t="s">
        <v>36</v>
      </c>
      <c r="E241">
        <f t="shared" ca="1" si="3"/>
        <v>78.547071016328829</v>
      </c>
    </row>
    <row r="242" spans="1:5" hidden="1" x14ac:dyDescent="0.25">
      <c r="A242">
        <v>5</v>
      </c>
      <c r="B242">
        <v>37</v>
      </c>
      <c r="C242" t="s">
        <v>4</v>
      </c>
      <c r="D242" t="s">
        <v>37</v>
      </c>
      <c r="E242">
        <f t="shared" ca="1" si="3"/>
        <v>89.791150707347967</v>
      </c>
    </row>
    <row r="243" spans="1:5" hidden="1" x14ac:dyDescent="0.25">
      <c r="A243">
        <v>5</v>
      </c>
      <c r="B243">
        <v>38</v>
      </c>
      <c r="C243" t="s">
        <v>4</v>
      </c>
      <c r="D243" t="s">
        <v>38</v>
      </c>
      <c r="E243">
        <f t="shared" ca="1" si="3"/>
        <v>78.269293238551057</v>
      </c>
    </row>
    <row r="244" spans="1:5" hidden="1" x14ac:dyDescent="0.25">
      <c r="A244">
        <v>5</v>
      </c>
      <c r="B244">
        <v>39</v>
      </c>
      <c r="C244" t="s">
        <v>4</v>
      </c>
      <c r="D244" t="s">
        <v>39</v>
      </c>
      <c r="E244">
        <f t="shared" ca="1" si="3"/>
        <v>88.074140840840826</v>
      </c>
    </row>
    <row r="245" spans="1:5" hidden="1" x14ac:dyDescent="0.25">
      <c r="A245">
        <v>5</v>
      </c>
      <c r="B245">
        <v>40</v>
      </c>
      <c r="C245" t="s">
        <v>4</v>
      </c>
      <c r="D245" t="s">
        <v>40</v>
      </c>
      <c r="E245">
        <f t="shared" ca="1" si="3"/>
        <v>89.191150707347973</v>
      </c>
    </row>
    <row r="246" spans="1:5" hidden="1" x14ac:dyDescent="0.25">
      <c r="A246">
        <v>6</v>
      </c>
      <c r="B246">
        <v>1</v>
      </c>
      <c r="C246" t="s">
        <v>5</v>
      </c>
      <c r="D246" t="s">
        <v>0</v>
      </c>
      <c r="E246">
        <f t="shared" ca="1" si="3"/>
        <v>33.824991627369556</v>
      </c>
    </row>
    <row r="247" spans="1:5" hidden="1" x14ac:dyDescent="0.25">
      <c r="A247">
        <v>6</v>
      </c>
      <c r="B247">
        <v>2</v>
      </c>
      <c r="C247" t="s">
        <v>5</v>
      </c>
      <c r="D247" t="s">
        <v>1</v>
      </c>
      <c r="E247">
        <f t="shared" ca="1" si="3"/>
        <v>34.202769405147336</v>
      </c>
    </row>
    <row r="248" spans="1:5" hidden="1" x14ac:dyDescent="0.25">
      <c r="A248">
        <v>6</v>
      </c>
      <c r="B248">
        <v>3</v>
      </c>
      <c r="C248" t="s">
        <v>5</v>
      </c>
      <c r="D248" t="s">
        <v>2</v>
      </c>
      <c r="E248">
        <f t="shared" ca="1" si="3"/>
        <v>35.572766440268396</v>
      </c>
    </row>
    <row r="249" spans="1:5" hidden="1" x14ac:dyDescent="0.25">
      <c r="A249">
        <v>6</v>
      </c>
      <c r="B249">
        <v>4</v>
      </c>
      <c r="C249" t="s">
        <v>5</v>
      </c>
      <c r="D249" t="s">
        <v>3</v>
      </c>
      <c r="E249">
        <f t="shared" ca="1" si="3"/>
        <v>19.898548466679571</v>
      </c>
    </row>
    <row r="250" spans="1:5" hidden="1" x14ac:dyDescent="0.25">
      <c r="A250">
        <v>6</v>
      </c>
      <c r="B250">
        <v>5</v>
      </c>
      <c r="C250" t="s">
        <v>5</v>
      </c>
      <c r="D250" t="s">
        <v>4</v>
      </c>
      <c r="E250">
        <f t="shared" ca="1" si="3"/>
        <v>0</v>
      </c>
    </row>
    <row r="251" spans="1:5" hidden="1" x14ac:dyDescent="0.25">
      <c r="A251">
        <v>6</v>
      </c>
      <c r="B251">
        <v>6</v>
      </c>
      <c r="C251" t="s">
        <v>5</v>
      </c>
      <c r="D251" t="s">
        <v>5</v>
      </c>
      <c r="E251">
        <f t="shared" ca="1" si="3"/>
        <v>0</v>
      </c>
    </row>
    <row r="252" spans="1:5" hidden="1" x14ac:dyDescent="0.25">
      <c r="A252">
        <v>6</v>
      </c>
      <c r="B252">
        <v>7</v>
      </c>
      <c r="C252" t="s">
        <v>5</v>
      </c>
      <c r="D252" t="s">
        <v>6</v>
      </c>
      <c r="E252">
        <f t="shared" ca="1" si="3"/>
        <v>0</v>
      </c>
    </row>
    <row r="253" spans="1:5" hidden="1" x14ac:dyDescent="0.25">
      <c r="A253">
        <v>6</v>
      </c>
      <c r="B253">
        <v>8</v>
      </c>
      <c r="C253" t="s">
        <v>5</v>
      </c>
      <c r="D253" t="s">
        <v>7</v>
      </c>
      <c r="E253">
        <f t="shared" ca="1" si="3"/>
        <v>20.051881800012904</v>
      </c>
    </row>
    <row r="254" spans="1:5" hidden="1" x14ac:dyDescent="0.25">
      <c r="A254">
        <v>6</v>
      </c>
      <c r="B254">
        <v>9</v>
      </c>
      <c r="C254" t="s">
        <v>5</v>
      </c>
      <c r="D254" t="s">
        <v>148</v>
      </c>
      <c r="E254">
        <f t="shared" ca="1" si="3"/>
        <v>36.286102738480672</v>
      </c>
    </row>
    <row r="255" spans="1:5" hidden="1" x14ac:dyDescent="0.25">
      <c r="A255">
        <v>6</v>
      </c>
      <c r="B255">
        <v>10</v>
      </c>
      <c r="C255" t="s">
        <v>5</v>
      </c>
      <c r="D255" t="s">
        <v>9</v>
      </c>
      <c r="E255">
        <f t="shared" ca="1" si="3"/>
        <v>20.186326244457348</v>
      </c>
    </row>
    <row r="256" spans="1:5" hidden="1" x14ac:dyDescent="0.25">
      <c r="A256">
        <v>6</v>
      </c>
      <c r="B256">
        <v>11</v>
      </c>
      <c r="C256" t="s">
        <v>5</v>
      </c>
      <c r="D256" t="s">
        <v>10</v>
      </c>
      <c r="E256">
        <f t="shared" ca="1" si="3"/>
        <v>82.089754170185813</v>
      </c>
    </row>
    <row r="257" spans="1:5" hidden="1" x14ac:dyDescent="0.25">
      <c r="A257">
        <v>6</v>
      </c>
      <c r="B257">
        <v>12</v>
      </c>
      <c r="C257" t="s">
        <v>5</v>
      </c>
      <c r="D257" t="s">
        <v>11</v>
      </c>
      <c r="E257">
        <f t="shared" ca="1" si="3"/>
        <v>76.527439388607348</v>
      </c>
    </row>
    <row r="258" spans="1:5" hidden="1" x14ac:dyDescent="0.25">
      <c r="A258">
        <v>6</v>
      </c>
      <c r="B258">
        <v>13</v>
      </c>
      <c r="C258" t="s">
        <v>5</v>
      </c>
      <c r="D258" t="s">
        <v>12</v>
      </c>
      <c r="E258">
        <f t="shared" ca="1" si="3"/>
        <v>71.495255032376122</v>
      </c>
    </row>
    <row r="259" spans="1:5" hidden="1" x14ac:dyDescent="0.25">
      <c r="A259">
        <v>6</v>
      </c>
      <c r="B259">
        <v>14</v>
      </c>
      <c r="C259" t="s">
        <v>5</v>
      </c>
      <c r="D259" t="s">
        <v>13</v>
      </c>
      <c r="E259">
        <f t="shared" ca="1" si="3"/>
        <v>70.997477254598351</v>
      </c>
    </row>
    <row r="260" spans="1:5" hidden="1" x14ac:dyDescent="0.25">
      <c r="A260">
        <v>6</v>
      </c>
      <c r="B260">
        <v>15</v>
      </c>
      <c r="C260" t="s">
        <v>5</v>
      </c>
      <c r="D260" t="s">
        <v>14</v>
      </c>
      <c r="E260">
        <f t="shared" ca="1" si="3"/>
        <v>134.0885499366554</v>
      </c>
    </row>
    <row r="261" spans="1:5" hidden="1" x14ac:dyDescent="0.25">
      <c r="A261">
        <v>6</v>
      </c>
      <c r="B261">
        <v>16</v>
      </c>
      <c r="C261" t="s">
        <v>5</v>
      </c>
      <c r="D261" t="s">
        <v>15</v>
      </c>
      <c r="E261">
        <f t="shared" ca="1" si="3"/>
        <v>125.19559139217343</v>
      </c>
    </row>
    <row r="262" spans="1:5" hidden="1" x14ac:dyDescent="0.25">
      <c r="A262">
        <v>6</v>
      </c>
      <c r="B262">
        <v>17</v>
      </c>
      <c r="C262" t="s">
        <v>5</v>
      </c>
      <c r="D262" t="s">
        <v>16</v>
      </c>
      <c r="E262">
        <f t="shared" ca="1" si="3"/>
        <v>113.40682347972972</v>
      </c>
    </row>
    <row r="263" spans="1:5" hidden="1" x14ac:dyDescent="0.25">
      <c r="A263">
        <v>6</v>
      </c>
      <c r="B263">
        <v>18</v>
      </c>
      <c r="C263" t="s">
        <v>5</v>
      </c>
      <c r="D263" t="s">
        <v>17</v>
      </c>
      <c r="E263">
        <f t="shared" ca="1" si="3"/>
        <v>125.66114694772898</v>
      </c>
    </row>
    <row r="264" spans="1:5" hidden="1" x14ac:dyDescent="0.25">
      <c r="A264">
        <v>6</v>
      </c>
      <c r="B264">
        <v>19</v>
      </c>
      <c r="C264" t="s">
        <v>5</v>
      </c>
      <c r="D264" t="s">
        <v>18</v>
      </c>
      <c r="E264">
        <f t="shared" ca="1" si="3"/>
        <v>42.928758362366274</v>
      </c>
    </row>
    <row r="265" spans="1:5" hidden="1" x14ac:dyDescent="0.25">
      <c r="A265">
        <v>6</v>
      </c>
      <c r="B265">
        <v>20</v>
      </c>
      <c r="C265" t="s">
        <v>5</v>
      </c>
      <c r="D265" t="s">
        <v>19</v>
      </c>
      <c r="E265">
        <f t="shared" ca="1" si="3"/>
        <v>42.408761635170322</v>
      </c>
    </row>
    <row r="266" spans="1:5" hidden="1" x14ac:dyDescent="0.25">
      <c r="A266">
        <v>6</v>
      </c>
      <c r="B266">
        <v>21</v>
      </c>
      <c r="C266" t="s">
        <v>5</v>
      </c>
      <c r="D266" t="s">
        <v>20</v>
      </c>
      <c r="E266">
        <f t="shared" ca="1" si="3"/>
        <v>36.228333374390019</v>
      </c>
    </row>
    <row r="267" spans="1:5" hidden="1" x14ac:dyDescent="0.25">
      <c r="A267">
        <v>6</v>
      </c>
      <c r="B267">
        <v>22</v>
      </c>
      <c r="C267" t="s">
        <v>5</v>
      </c>
      <c r="D267" t="s">
        <v>21</v>
      </c>
      <c r="E267">
        <f t="shared" ca="1" si="3"/>
        <v>86.480710524821703</v>
      </c>
    </row>
    <row r="268" spans="1:5" hidden="1" x14ac:dyDescent="0.25">
      <c r="A268">
        <v>6</v>
      </c>
      <c r="B268">
        <v>23</v>
      </c>
      <c r="C268" t="s">
        <v>5</v>
      </c>
      <c r="D268" t="s">
        <v>22</v>
      </c>
      <c r="E268">
        <f t="shared" ca="1" si="3"/>
        <v>68.811821550065687</v>
      </c>
    </row>
    <row r="269" spans="1:5" hidden="1" x14ac:dyDescent="0.25">
      <c r="A269">
        <v>6</v>
      </c>
      <c r="B269">
        <v>24</v>
      </c>
      <c r="C269" t="s">
        <v>5</v>
      </c>
      <c r="D269" t="s">
        <v>23</v>
      </c>
      <c r="E269">
        <f t="shared" ca="1" si="3"/>
        <v>68.100710438954579</v>
      </c>
    </row>
    <row r="270" spans="1:5" hidden="1" x14ac:dyDescent="0.25">
      <c r="A270">
        <v>6</v>
      </c>
      <c r="B270">
        <v>25</v>
      </c>
      <c r="C270" t="s">
        <v>5</v>
      </c>
      <c r="D270" t="s">
        <v>24</v>
      </c>
      <c r="E270">
        <f t="shared" ca="1" si="3"/>
        <v>66.76182155006569</v>
      </c>
    </row>
    <row r="271" spans="1:5" hidden="1" x14ac:dyDescent="0.25">
      <c r="A271">
        <v>6</v>
      </c>
      <c r="B271">
        <v>26</v>
      </c>
      <c r="C271" t="s">
        <v>5</v>
      </c>
      <c r="D271" t="s">
        <v>25</v>
      </c>
      <c r="E271">
        <f t="shared" ca="1" si="3"/>
        <v>136.78743882554429</v>
      </c>
    </row>
    <row r="272" spans="1:5" hidden="1" x14ac:dyDescent="0.25">
      <c r="A272">
        <v>6</v>
      </c>
      <c r="B272">
        <v>27</v>
      </c>
      <c r="C272" t="s">
        <v>5</v>
      </c>
      <c r="D272" t="s">
        <v>145</v>
      </c>
      <c r="E272">
        <f t="shared" ca="1" si="3"/>
        <v>43.855428301836994</v>
      </c>
    </row>
    <row r="273" spans="1:5" hidden="1" x14ac:dyDescent="0.25">
      <c r="A273">
        <v>6</v>
      </c>
      <c r="B273">
        <v>28</v>
      </c>
      <c r="C273" t="s">
        <v>5</v>
      </c>
      <c r="D273" t="s">
        <v>147</v>
      </c>
      <c r="E273">
        <f t="shared" ca="1" si="3"/>
        <v>86.925154969266146</v>
      </c>
    </row>
    <row r="274" spans="1:5" hidden="1" x14ac:dyDescent="0.25">
      <c r="A274">
        <v>6</v>
      </c>
      <c r="B274">
        <v>29</v>
      </c>
      <c r="C274" t="s">
        <v>5</v>
      </c>
      <c r="D274" t="s">
        <v>146</v>
      </c>
      <c r="E274">
        <f t="shared" ca="1" si="3"/>
        <v>67.289599327843462</v>
      </c>
    </row>
    <row r="275" spans="1:5" hidden="1" x14ac:dyDescent="0.25">
      <c r="A275">
        <v>6</v>
      </c>
      <c r="B275">
        <v>30</v>
      </c>
      <c r="C275" t="s">
        <v>5</v>
      </c>
      <c r="D275" t="s">
        <v>30</v>
      </c>
      <c r="E275">
        <f t="shared" ca="1" si="3"/>
        <v>21.154104022235124</v>
      </c>
    </row>
    <row r="276" spans="1:5" hidden="1" x14ac:dyDescent="0.25">
      <c r="A276">
        <v>6</v>
      </c>
      <c r="B276">
        <v>31</v>
      </c>
      <c r="C276" t="s">
        <v>5</v>
      </c>
      <c r="D276" t="s">
        <v>31</v>
      </c>
      <c r="E276">
        <f t="shared" ca="1" si="3"/>
        <v>29.749049981377862</v>
      </c>
    </row>
    <row r="277" spans="1:5" hidden="1" x14ac:dyDescent="0.25">
      <c r="A277">
        <v>6</v>
      </c>
      <c r="B277">
        <v>32</v>
      </c>
      <c r="C277" t="s">
        <v>5</v>
      </c>
      <c r="D277" t="s">
        <v>32</v>
      </c>
      <c r="E277">
        <f t="shared" ca="1" si="3"/>
        <v>28.441272203600086</v>
      </c>
    </row>
    <row r="278" spans="1:5" hidden="1" x14ac:dyDescent="0.25">
      <c r="A278">
        <v>6</v>
      </c>
      <c r="B278">
        <v>33</v>
      </c>
      <c r="C278" t="s">
        <v>5</v>
      </c>
      <c r="D278" t="s">
        <v>33</v>
      </c>
      <c r="E278">
        <f t="shared" ca="1" si="3"/>
        <v>30.583514125697963</v>
      </c>
    </row>
    <row r="279" spans="1:5" hidden="1" x14ac:dyDescent="0.25">
      <c r="A279">
        <v>6</v>
      </c>
      <c r="B279">
        <v>34</v>
      </c>
      <c r="C279" t="s">
        <v>5</v>
      </c>
      <c r="D279" t="s">
        <v>34</v>
      </c>
      <c r="E279">
        <f t="shared" ca="1" si="3"/>
        <v>31.507958570142407</v>
      </c>
    </row>
    <row r="280" spans="1:5" hidden="1" x14ac:dyDescent="0.25">
      <c r="A280">
        <v>6</v>
      </c>
      <c r="B280">
        <v>35</v>
      </c>
      <c r="C280" t="s">
        <v>5</v>
      </c>
      <c r="D280" t="s">
        <v>35</v>
      </c>
      <c r="E280">
        <f t="shared" ca="1" si="3"/>
        <v>34.444991627369561</v>
      </c>
    </row>
    <row r="281" spans="1:5" hidden="1" x14ac:dyDescent="0.25">
      <c r="A281">
        <v>6</v>
      </c>
      <c r="B281">
        <v>36</v>
      </c>
      <c r="C281" t="s">
        <v>5</v>
      </c>
      <c r="D281" t="s">
        <v>36</v>
      </c>
      <c r="E281">
        <f t="shared" ca="1" si="3"/>
        <v>81.09151546077328</v>
      </c>
    </row>
    <row r="282" spans="1:5" hidden="1" x14ac:dyDescent="0.25">
      <c r="A282">
        <v>6</v>
      </c>
      <c r="B282">
        <v>37</v>
      </c>
      <c r="C282" t="s">
        <v>5</v>
      </c>
      <c r="D282" t="s">
        <v>37</v>
      </c>
      <c r="E282">
        <f t="shared" ca="1" si="3"/>
        <v>92.335595151792404</v>
      </c>
    </row>
    <row r="283" spans="1:5" hidden="1" x14ac:dyDescent="0.25">
      <c r="A283">
        <v>6</v>
      </c>
      <c r="B283">
        <v>38</v>
      </c>
      <c r="C283" t="s">
        <v>5</v>
      </c>
      <c r="D283" t="s">
        <v>38</v>
      </c>
      <c r="E283">
        <f t="shared" ca="1" si="3"/>
        <v>80.813737682995495</v>
      </c>
    </row>
    <row r="284" spans="1:5" hidden="1" x14ac:dyDescent="0.25">
      <c r="A284">
        <v>6</v>
      </c>
      <c r="B284">
        <v>39</v>
      </c>
      <c r="C284" t="s">
        <v>5</v>
      </c>
      <c r="D284" t="s">
        <v>39</v>
      </c>
      <c r="E284">
        <f t="shared" ca="1" si="3"/>
        <v>90.618585285285278</v>
      </c>
    </row>
    <row r="285" spans="1:5" hidden="1" x14ac:dyDescent="0.25">
      <c r="A285">
        <v>6</v>
      </c>
      <c r="B285">
        <v>40</v>
      </c>
      <c r="C285" t="s">
        <v>5</v>
      </c>
      <c r="D285" t="s">
        <v>40</v>
      </c>
      <c r="E285">
        <f t="shared" ca="1" si="3"/>
        <v>91.73559515179241</v>
      </c>
    </row>
    <row r="286" spans="1:5" hidden="1" x14ac:dyDescent="0.25">
      <c r="A286">
        <v>7</v>
      </c>
      <c r="B286">
        <v>1</v>
      </c>
      <c r="C286" t="s">
        <v>6</v>
      </c>
      <c r="D286" t="s">
        <v>0</v>
      </c>
      <c r="E286">
        <f t="shared" ca="1" si="3"/>
        <v>31.719436071814002</v>
      </c>
    </row>
    <row r="287" spans="1:5" hidden="1" x14ac:dyDescent="0.25">
      <c r="A287">
        <v>7</v>
      </c>
      <c r="B287">
        <v>2</v>
      </c>
      <c r="C287" t="s">
        <v>6</v>
      </c>
      <c r="D287" t="s">
        <v>1</v>
      </c>
      <c r="E287">
        <f t="shared" ca="1" si="3"/>
        <v>32.097213849591782</v>
      </c>
    </row>
    <row r="288" spans="1:5" hidden="1" x14ac:dyDescent="0.25">
      <c r="A288">
        <v>7</v>
      </c>
      <c r="B288">
        <v>3</v>
      </c>
      <c r="C288" t="s">
        <v>6</v>
      </c>
      <c r="D288" t="s">
        <v>2</v>
      </c>
      <c r="E288">
        <f t="shared" ca="1" si="3"/>
        <v>33.467210884712841</v>
      </c>
    </row>
    <row r="289" spans="1:5" hidden="1" x14ac:dyDescent="0.25">
      <c r="A289">
        <v>7</v>
      </c>
      <c r="B289">
        <v>4</v>
      </c>
      <c r="C289" t="s">
        <v>6</v>
      </c>
      <c r="D289" t="s">
        <v>3</v>
      </c>
      <c r="E289">
        <f t="shared" ca="1" si="3"/>
        <v>17.792992911124013</v>
      </c>
    </row>
    <row r="290" spans="1:5" hidden="1" x14ac:dyDescent="0.25">
      <c r="A290">
        <v>7</v>
      </c>
      <c r="B290">
        <v>5</v>
      </c>
      <c r="C290" t="s">
        <v>6</v>
      </c>
      <c r="D290" t="s">
        <v>4</v>
      </c>
      <c r="E290">
        <f t="shared" ca="1" si="3"/>
        <v>0</v>
      </c>
    </row>
    <row r="291" spans="1:5" hidden="1" x14ac:dyDescent="0.25">
      <c r="A291">
        <v>7</v>
      </c>
      <c r="B291">
        <v>6</v>
      </c>
      <c r="C291" t="s">
        <v>6</v>
      </c>
      <c r="D291" t="s">
        <v>5</v>
      </c>
      <c r="E291">
        <f t="shared" ca="1" si="3"/>
        <v>0</v>
      </c>
    </row>
    <row r="292" spans="1:5" hidden="1" x14ac:dyDescent="0.25">
      <c r="A292">
        <v>7</v>
      </c>
      <c r="B292">
        <v>7</v>
      </c>
      <c r="C292" t="s">
        <v>6</v>
      </c>
      <c r="D292" t="s">
        <v>6</v>
      </c>
      <c r="E292">
        <f t="shared" ca="1" si="3"/>
        <v>0</v>
      </c>
    </row>
    <row r="293" spans="1:5" hidden="1" x14ac:dyDescent="0.25">
      <c r="A293">
        <v>7</v>
      </c>
      <c r="B293">
        <v>8</v>
      </c>
      <c r="C293" t="s">
        <v>6</v>
      </c>
      <c r="D293" t="s">
        <v>7</v>
      </c>
      <c r="E293">
        <f t="shared" ca="1" si="3"/>
        <v>17.946326244457346</v>
      </c>
    </row>
    <row r="294" spans="1:5" hidden="1" x14ac:dyDescent="0.25">
      <c r="A294">
        <v>7</v>
      </c>
      <c r="B294">
        <v>9</v>
      </c>
      <c r="C294" t="s">
        <v>6</v>
      </c>
      <c r="D294" t="s">
        <v>148</v>
      </c>
      <c r="E294">
        <f t="shared" ca="1" si="3"/>
        <v>34.180547182925118</v>
      </c>
    </row>
    <row r="295" spans="1:5" hidden="1" x14ac:dyDescent="0.25">
      <c r="A295">
        <v>7</v>
      </c>
      <c r="B295">
        <v>10</v>
      </c>
      <c r="C295" t="s">
        <v>6</v>
      </c>
      <c r="D295" t="s">
        <v>9</v>
      </c>
      <c r="E295">
        <f t="shared" ca="1" si="3"/>
        <v>18.080770688901794</v>
      </c>
    </row>
    <row r="296" spans="1:5" hidden="1" x14ac:dyDescent="0.25">
      <c r="A296">
        <v>7</v>
      </c>
      <c r="B296">
        <v>11</v>
      </c>
      <c r="C296" t="s">
        <v>6</v>
      </c>
      <c r="D296" t="s">
        <v>10</v>
      </c>
      <c r="E296">
        <f t="shared" ca="1" si="3"/>
        <v>79.984198614630259</v>
      </c>
    </row>
    <row r="297" spans="1:5" hidden="1" x14ac:dyDescent="0.25">
      <c r="A297">
        <v>7</v>
      </c>
      <c r="B297">
        <v>12</v>
      </c>
      <c r="C297" t="s">
        <v>6</v>
      </c>
      <c r="D297" t="s">
        <v>11</v>
      </c>
      <c r="E297">
        <f t="shared" ref="E297:E358" ca="1" si="4">OFFSET($B$3,A297,B297)</f>
        <v>74.421883833051794</v>
      </c>
    </row>
    <row r="298" spans="1:5" hidden="1" x14ac:dyDescent="0.25">
      <c r="A298">
        <v>7</v>
      </c>
      <c r="B298">
        <v>13</v>
      </c>
      <c r="C298" t="s">
        <v>6</v>
      </c>
      <c r="D298" t="s">
        <v>12</v>
      </c>
      <c r="E298">
        <f t="shared" ca="1" si="4"/>
        <v>69.389699476820567</v>
      </c>
    </row>
    <row r="299" spans="1:5" hidden="1" x14ac:dyDescent="0.25">
      <c r="A299">
        <v>7</v>
      </c>
      <c r="B299">
        <v>14</v>
      </c>
      <c r="C299" t="s">
        <v>6</v>
      </c>
      <c r="D299" t="s">
        <v>13</v>
      </c>
      <c r="E299">
        <f t="shared" ca="1" si="4"/>
        <v>68.891921699042797</v>
      </c>
    </row>
    <row r="300" spans="1:5" hidden="1" x14ac:dyDescent="0.25">
      <c r="A300">
        <v>7</v>
      </c>
      <c r="B300">
        <v>15</v>
      </c>
      <c r="C300" t="s">
        <v>6</v>
      </c>
      <c r="D300" t="s">
        <v>14</v>
      </c>
      <c r="E300">
        <f t="shared" ca="1" si="4"/>
        <v>131.98299438109984</v>
      </c>
    </row>
    <row r="301" spans="1:5" hidden="1" x14ac:dyDescent="0.25">
      <c r="A301">
        <v>7</v>
      </c>
      <c r="B301">
        <v>16</v>
      </c>
      <c r="C301" t="s">
        <v>6</v>
      </c>
      <c r="D301" t="s">
        <v>15</v>
      </c>
      <c r="E301">
        <f t="shared" ca="1" si="4"/>
        <v>30.843059911962744</v>
      </c>
    </row>
    <row r="302" spans="1:5" hidden="1" x14ac:dyDescent="0.25">
      <c r="A302">
        <v>7</v>
      </c>
      <c r="B302">
        <v>17</v>
      </c>
      <c r="C302" t="s">
        <v>6</v>
      </c>
      <c r="D302" t="s">
        <v>16</v>
      </c>
      <c r="E302">
        <f t="shared" ca="1" si="4"/>
        <v>111.30126792417417</v>
      </c>
    </row>
    <row r="303" spans="1:5" hidden="1" x14ac:dyDescent="0.25">
      <c r="A303">
        <v>7</v>
      </c>
      <c r="B303">
        <v>18</v>
      </c>
      <c r="C303" t="s">
        <v>6</v>
      </c>
      <c r="D303" t="s">
        <v>17</v>
      </c>
      <c r="E303">
        <f t="shared" ca="1" si="4"/>
        <v>123.55559139217343</v>
      </c>
    </row>
    <row r="304" spans="1:5" hidden="1" x14ac:dyDescent="0.25">
      <c r="A304">
        <v>7</v>
      </c>
      <c r="B304">
        <v>19</v>
      </c>
      <c r="C304" t="s">
        <v>6</v>
      </c>
      <c r="D304" t="s">
        <v>18</v>
      </c>
      <c r="E304">
        <f t="shared" ca="1" si="4"/>
        <v>40.82320280681072</v>
      </c>
    </row>
    <row r="305" spans="1:5" hidden="1" x14ac:dyDescent="0.25">
      <c r="A305">
        <v>7</v>
      </c>
      <c r="B305">
        <v>20</v>
      </c>
      <c r="C305" t="s">
        <v>6</v>
      </c>
      <c r="D305" t="s">
        <v>19</v>
      </c>
      <c r="E305">
        <f t="shared" ca="1" si="4"/>
        <v>40.303206079614768</v>
      </c>
    </row>
    <row r="306" spans="1:5" hidden="1" x14ac:dyDescent="0.25">
      <c r="A306">
        <v>7</v>
      </c>
      <c r="B306">
        <v>21</v>
      </c>
      <c r="C306" t="s">
        <v>6</v>
      </c>
      <c r="D306" t="s">
        <v>20</v>
      </c>
      <c r="E306">
        <f t="shared" ca="1" si="4"/>
        <v>34.122777818834464</v>
      </c>
    </row>
    <row r="307" spans="1:5" hidden="1" x14ac:dyDescent="0.25">
      <c r="A307">
        <v>7</v>
      </c>
      <c r="B307">
        <v>22</v>
      </c>
      <c r="C307" t="s">
        <v>6</v>
      </c>
      <c r="D307" t="s">
        <v>21</v>
      </c>
      <c r="E307">
        <f t="shared" ca="1" si="4"/>
        <v>84.375154969266148</v>
      </c>
    </row>
    <row r="308" spans="1:5" hidden="1" x14ac:dyDescent="0.25">
      <c r="A308">
        <v>7</v>
      </c>
      <c r="B308">
        <v>23</v>
      </c>
      <c r="C308" t="s">
        <v>6</v>
      </c>
      <c r="D308" t="s">
        <v>22</v>
      </c>
      <c r="E308">
        <f t="shared" ca="1" si="4"/>
        <v>66.706265994510133</v>
      </c>
    </row>
    <row r="309" spans="1:5" hidden="1" x14ac:dyDescent="0.25">
      <c r="A309">
        <v>7</v>
      </c>
      <c r="B309">
        <v>24</v>
      </c>
      <c r="C309" t="s">
        <v>6</v>
      </c>
      <c r="D309" t="s">
        <v>23</v>
      </c>
      <c r="E309">
        <f t="shared" ca="1" si="4"/>
        <v>65.995154883399024</v>
      </c>
    </row>
    <row r="310" spans="1:5" hidden="1" x14ac:dyDescent="0.25">
      <c r="A310">
        <v>7</v>
      </c>
      <c r="B310">
        <v>25</v>
      </c>
      <c r="C310" t="s">
        <v>6</v>
      </c>
      <c r="D310" t="s">
        <v>24</v>
      </c>
      <c r="E310">
        <f t="shared" ca="1" si="4"/>
        <v>64.656265994510136</v>
      </c>
    </row>
    <row r="311" spans="1:5" hidden="1" x14ac:dyDescent="0.25">
      <c r="A311">
        <v>7</v>
      </c>
      <c r="B311">
        <v>26</v>
      </c>
      <c r="C311" t="s">
        <v>6</v>
      </c>
      <c r="D311" t="s">
        <v>25</v>
      </c>
      <c r="E311">
        <f t="shared" ca="1" si="4"/>
        <v>134.68188326998873</v>
      </c>
    </row>
    <row r="312" spans="1:5" hidden="1" x14ac:dyDescent="0.25">
      <c r="A312">
        <v>7</v>
      </c>
      <c r="B312">
        <v>27</v>
      </c>
      <c r="C312" t="s">
        <v>6</v>
      </c>
      <c r="D312" t="s">
        <v>145</v>
      </c>
      <c r="E312">
        <f t="shared" ca="1" si="4"/>
        <v>41.74987274628144</v>
      </c>
    </row>
    <row r="313" spans="1:5" hidden="1" x14ac:dyDescent="0.25">
      <c r="A313">
        <v>7</v>
      </c>
      <c r="B313">
        <v>28</v>
      </c>
      <c r="C313" t="s">
        <v>6</v>
      </c>
      <c r="D313" t="s">
        <v>147</v>
      </c>
      <c r="E313">
        <f t="shared" ca="1" si="4"/>
        <v>84.819599413710591</v>
      </c>
    </row>
    <row r="314" spans="1:5" hidden="1" x14ac:dyDescent="0.25">
      <c r="A314">
        <v>7</v>
      </c>
      <c r="B314">
        <v>29</v>
      </c>
      <c r="C314" t="s">
        <v>6</v>
      </c>
      <c r="D314" t="s">
        <v>146</v>
      </c>
      <c r="E314">
        <f t="shared" ca="1" si="4"/>
        <v>65.184043772287907</v>
      </c>
    </row>
    <row r="315" spans="1:5" hidden="1" x14ac:dyDescent="0.25">
      <c r="A315">
        <v>7</v>
      </c>
      <c r="B315">
        <v>30</v>
      </c>
      <c r="C315" t="s">
        <v>6</v>
      </c>
      <c r="D315" t="s">
        <v>30</v>
      </c>
      <c r="E315">
        <f t="shared" ca="1" si="4"/>
        <v>19.04854846667957</v>
      </c>
    </row>
    <row r="316" spans="1:5" hidden="1" x14ac:dyDescent="0.25">
      <c r="A316">
        <v>7</v>
      </c>
      <c r="B316">
        <v>31</v>
      </c>
      <c r="C316" t="s">
        <v>6</v>
      </c>
      <c r="D316" t="s">
        <v>31</v>
      </c>
      <c r="E316">
        <f t="shared" ca="1" si="4"/>
        <v>27.643494425822308</v>
      </c>
    </row>
    <row r="317" spans="1:5" hidden="1" x14ac:dyDescent="0.25">
      <c r="A317">
        <v>7</v>
      </c>
      <c r="B317">
        <v>32</v>
      </c>
      <c r="C317" t="s">
        <v>6</v>
      </c>
      <c r="D317" t="s">
        <v>32</v>
      </c>
      <c r="E317">
        <f t="shared" ca="1" si="4"/>
        <v>26.335716648044528</v>
      </c>
    </row>
    <row r="318" spans="1:5" hidden="1" x14ac:dyDescent="0.25">
      <c r="A318">
        <v>7</v>
      </c>
      <c r="B318">
        <v>33</v>
      </c>
      <c r="C318" t="s">
        <v>6</v>
      </c>
      <c r="D318" t="s">
        <v>33</v>
      </c>
      <c r="E318">
        <f t="shared" ca="1" si="4"/>
        <v>28.477958570142405</v>
      </c>
    </row>
    <row r="319" spans="1:5" hidden="1" x14ac:dyDescent="0.25">
      <c r="A319">
        <v>7</v>
      </c>
      <c r="B319">
        <v>34</v>
      </c>
      <c r="C319" t="s">
        <v>6</v>
      </c>
      <c r="D319" t="s">
        <v>34</v>
      </c>
      <c r="E319">
        <f t="shared" ca="1" si="4"/>
        <v>29.402403014586852</v>
      </c>
    </row>
    <row r="320" spans="1:5" hidden="1" x14ac:dyDescent="0.25">
      <c r="A320">
        <v>7</v>
      </c>
      <c r="B320">
        <v>35</v>
      </c>
      <c r="C320" t="s">
        <v>6</v>
      </c>
      <c r="D320" t="s">
        <v>35</v>
      </c>
      <c r="E320">
        <f t="shared" ca="1" si="4"/>
        <v>32.339436071814006</v>
      </c>
    </row>
    <row r="321" spans="1:5" hidden="1" x14ac:dyDescent="0.25">
      <c r="A321">
        <v>7</v>
      </c>
      <c r="B321">
        <v>36</v>
      </c>
      <c r="C321" t="s">
        <v>6</v>
      </c>
      <c r="D321" t="s">
        <v>36</v>
      </c>
      <c r="E321">
        <f t="shared" ca="1" si="4"/>
        <v>78.985959905217726</v>
      </c>
    </row>
    <row r="322" spans="1:5" hidden="1" x14ac:dyDescent="0.25">
      <c r="A322">
        <v>7</v>
      </c>
      <c r="B322">
        <v>37</v>
      </c>
      <c r="C322" t="s">
        <v>6</v>
      </c>
      <c r="D322" t="s">
        <v>37</v>
      </c>
      <c r="E322">
        <f t="shared" ca="1" si="4"/>
        <v>90.23003959623685</v>
      </c>
    </row>
    <row r="323" spans="1:5" hidden="1" x14ac:dyDescent="0.25">
      <c r="A323">
        <v>7</v>
      </c>
      <c r="B323">
        <v>38</v>
      </c>
      <c r="C323" t="s">
        <v>6</v>
      </c>
      <c r="D323" t="s">
        <v>38</v>
      </c>
      <c r="E323">
        <f t="shared" ca="1" si="4"/>
        <v>78.70818212743994</v>
      </c>
    </row>
    <row r="324" spans="1:5" hidden="1" x14ac:dyDescent="0.25">
      <c r="A324">
        <v>7</v>
      </c>
      <c r="B324">
        <v>39</v>
      </c>
      <c r="C324" t="s">
        <v>6</v>
      </c>
      <c r="D324" t="s">
        <v>39</v>
      </c>
      <c r="E324">
        <f t="shared" ca="1" si="4"/>
        <v>88.513029729729723</v>
      </c>
    </row>
    <row r="325" spans="1:5" hidden="1" x14ac:dyDescent="0.25">
      <c r="A325">
        <v>7</v>
      </c>
      <c r="B325">
        <v>40</v>
      </c>
      <c r="C325" t="s">
        <v>6</v>
      </c>
      <c r="D325" t="s">
        <v>40</v>
      </c>
      <c r="E325">
        <f t="shared" ca="1" si="4"/>
        <v>89.961918618618611</v>
      </c>
    </row>
    <row r="326" spans="1:5" hidden="1" x14ac:dyDescent="0.25">
      <c r="A326">
        <v>8</v>
      </c>
      <c r="B326">
        <v>1</v>
      </c>
      <c r="C326" t="s">
        <v>7</v>
      </c>
      <c r="D326" t="s">
        <v>0</v>
      </c>
      <c r="E326">
        <f t="shared" ca="1" si="4"/>
        <v>31.454903993348818</v>
      </c>
    </row>
    <row r="327" spans="1:5" hidden="1" x14ac:dyDescent="0.25">
      <c r="A327">
        <v>8</v>
      </c>
      <c r="B327">
        <v>2</v>
      </c>
      <c r="C327" t="s">
        <v>7</v>
      </c>
      <c r="D327" t="s">
        <v>1</v>
      </c>
      <c r="E327">
        <f t="shared" ca="1" si="4"/>
        <v>31.832681771126598</v>
      </c>
    </row>
    <row r="328" spans="1:5" hidden="1" x14ac:dyDescent="0.25">
      <c r="A328">
        <v>8</v>
      </c>
      <c r="B328">
        <v>3</v>
      </c>
      <c r="C328" t="s">
        <v>7</v>
      </c>
      <c r="D328" t="s">
        <v>2</v>
      </c>
      <c r="E328">
        <f t="shared" ca="1" si="4"/>
        <v>31.213216443494275</v>
      </c>
    </row>
    <row r="329" spans="1:5" hidden="1" x14ac:dyDescent="0.25">
      <c r="A329">
        <v>8</v>
      </c>
      <c r="B329">
        <v>4</v>
      </c>
      <c r="C329" t="s">
        <v>7</v>
      </c>
      <c r="D329" t="s">
        <v>3</v>
      </c>
      <c r="E329">
        <f t="shared" ca="1" si="4"/>
        <v>0</v>
      </c>
    </row>
    <row r="330" spans="1:5" hidden="1" x14ac:dyDescent="0.25">
      <c r="A330">
        <v>8</v>
      </c>
      <c r="B330">
        <v>5</v>
      </c>
      <c r="C330" t="s">
        <v>7</v>
      </c>
      <c r="D330" t="s">
        <v>4</v>
      </c>
      <c r="E330">
        <f t="shared" ca="1" si="4"/>
        <v>17.507437355568459</v>
      </c>
    </row>
    <row r="331" spans="1:5" hidden="1" x14ac:dyDescent="0.25">
      <c r="A331">
        <v>8</v>
      </c>
      <c r="B331">
        <v>6</v>
      </c>
      <c r="C331" t="s">
        <v>7</v>
      </c>
      <c r="D331" t="s">
        <v>5</v>
      </c>
      <c r="E331">
        <f t="shared" ca="1" si="4"/>
        <v>20.051881800012904</v>
      </c>
    </row>
    <row r="332" spans="1:5" hidden="1" x14ac:dyDescent="0.25">
      <c r="A332">
        <v>8</v>
      </c>
      <c r="B332">
        <v>7</v>
      </c>
      <c r="C332" t="s">
        <v>7</v>
      </c>
      <c r="D332" t="s">
        <v>6</v>
      </c>
      <c r="E332">
        <f t="shared" ca="1" si="4"/>
        <v>17.946326244457346</v>
      </c>
    </row>
    <row r="333" spans="1:5" hidden="1" x14ac:dyDescent="0.25">
      <c r="A333">
        <v>8</v>
      </c>
      <c r="B333">
        <v>8</v>
      </c>
      <c r="C333" t="s">
        <v>7</v>
      </c>
      <c r="D333" t="s">
        <v>7</v>
      </c>
      <c r="E333">
        <f t="shared" ca="1" si="4"/>
        <v>0</v>
      </c>
    </row>
    <row r="334" spans="1:5" hidden="1" x14ac:dyDescent="0.25">
      <c r="A334">
        <v>8</v>
      </c>
      <c r="B334">
        <v>9</v>
      </c>
      <c r="C334" t="s">
        <v>7</v>
      </c>
      <c r="D334" t="s">
        <v>148</v>
      </c>
      <c r="E334">
        <f t="shared" ca="1" si="4"/>
        <v>33.91601510445993</v>
      </c>
    </row>
    <row r="335" spans="1:5" hidden="1" x14ac:dyDescent="0.25">
      <c r="A335">
        <v>8</v>
      </c>
      <c r="B335">
        <v>10</v>
      </c>
      <c r="C335" t="s">
        <v>7</v>
      </c>
      <c r="D335" t="s">
        <v>9</v>
      </c>
      <c r="E335">
        <f t="shared" ca="1" si="4"/>
        <v>18.495215133346235</v>
      </c>
    </row>
    <row r="336" spans="1:5" hidden="1" x14ac:dyDescent="0.25">
      <c r="A336">
        <v>8</v>
      </c>
      <c r="B336">
        <v>11</v>
      </c>
      <c r="C336" t="s">
        <v>7</v>
      </c>
      <c r="D336" t="s">
        <v>10</v>
      </c>
      <c r="E336">
        <f t="shared" ca="1" si="4"/>
        <v>77.010650818787525</v>
      </c>
    </row>
    <row r="337" spans="1:5" hidden="1" x14ac:dyDescent="0.25">
      <c r="A337">
        <v>8</v>
      </c>
      <c r="B337">
        <v>12</v>
      </c>
      <c r="C337" t="s">
        <v>7</v>
      </c>
      <c r="D337" t="s">
        <v>11</v>
      </c>
      <c r="E337">
        <f t="shared" ca="1" si="4"/>
        <v>71.85122415481888</v>
      </c>
    </row>
    <row r="338" spans="1:5" hidden="1" x14ac:dyDescent="0.25">
      <c r="A338">
        <v>8</v>
      </c>
      <c r="B338">
        <v>13</v>
      </c>
      <c r="C338" t="s">
        <v>7</v>
      </c>
      <c r="D338" t="s">
        <v>12</v>
      </c>
      <c r="E338">
        <f t="shared" ca="1" si="4"/>
        <v>67.262597125445751</v>
      </c>
    </row>
    <row r="339" spans="1:5" hidden="1" x14ac:dyDescent="0.25">
      <c r="A339">
        <v>8</v>
      </c>
      <c r="B339">
        <v>14</v>
      </c>
      <c r="C339" t="s">
        <v>7</v>
      </c>
      <c r="D339" t="s">
        <v>13</v>
      </c>
      <c r="E339">
        <f t="shared" ca="1" si="4"/>
        <v>66.764819347667967</v>
      </c>
    </row>
    <row r="340" spans="1:5" hidden="1" x14ac:dyDescent="0.25">
      <c r="A340">
        <v>8</v>
      </c>
      <c r="B340">
        <v>15</v>
      </c>
      <c r="C340" t="s">
        <v>7</v>
      </c>
      <c r="D340" t="s">
        <v>14</v>
      </c>
      <c r="E340">
        <f t="shared" ca="1" si="4"/>
        <v>133.6158984961524</v>
      </c>
    </row>
    <row r="341" spans="1:5" hidden="1" x14ac:dyDescent="0.25">
      <c r="A341">
        <v>8</v>
      </c>
      <c r="B341">
        <v>16</v>
      </c>
      <c r="C341" t="s">
        <v>7</v>
      </c>
      <c r="D341" t="s">
        <v>15</v>
      </c>
      <c r="E341">
        <f t="shared" ca="1" si="4"/>
        <v>126.52383997278528</v>
      </c>
    </row>
    <row r="342" spans="1:5" hidden="1" x14ac:dyDescent="0.25">
      <c r="A342">
        <v>8</v>
      </c>
      <c r="B342">
        <v>17</v>
      </c>
      <c r="C342" t="s">
        <v>7</v>
      </c>
      <c r="D342" t="s">
        <v>16</v>
      </c>
      <c r="E342">
        <f t="shared" ca="1" si="4"/>
        <v>109.18336043660848</v>
      </c>
    </row>
    <row r="343" spans="1:5" hidden="1" x14ac:dyDescent="0.25">
      <c r="A343">
        <v>8</v>
      </c>
      <c r="B343">
        <v>18</v>
      </c>
      <c r="C343" t="s">
        <v>7</v>
      </c>
      <c r="D343" t="s">
        <v>17</v>
      </c>
      <c r="E343">
        <f t="shared" ca="1" si="4"/>
        <v>126.98939552834084</v>
      </c>
    </row>
    <row r="344" spans="1:5" hidden="1" x14ac:dyDescent="0.25">
      <c r="A344">
        <v>8</v>
      </c>
      <c r="B344">
        <v>19</v>
      </c>
      <c r="C344" t="s">
        <v>7</v>
      </c>
      <c r="D344" t="s">
        <v>18</v>
      </c>
      <c r="E344">
        <f t="shared" ca="1" si="4"/>
        <v>39.387929002733202</v>
      </c>
    </row>
    <row r="345" spans="1:5" hidden="1" x14ac:dyDescent="0.25">
      <c r="A345">
        <v>8</v>
      </c>
      <c r="B345">
        <v>20</v>
      </c>
      <c r="C345" t="s">
        <v>7</v>
      </c>
      <c r="D345" t="s">
        <v>19</v>
      </c>
      <c r="E345">
        <f t="shared" ca="1" si="4"/>
        <v>39.671837865697732</v>
      </c>
    </row>
    <row r="346" spans="1:5" hidden="1" x14ac:dyDescent="0.25">
      <c r="A346">
        <v>8</v>
      </c>
      <c r="B346">
        <v>21</v>
      </c>
      <c r="C346" t="s">
        <v>7</v>
      </c>
      <c r="D346" t="s">
        <v>20</v>
      </c>
      <c r="E346">
        <f t="shared" ca="1" si="4"/>
        <v>31.409272780593092</v>
      </c>
    </row>
    <row r="347" spans="1:5" hidden="1" x14ac:dyDescent="0.25">
      <c r="A347">
        <v>8</v>
      </c>
      <c r="B347">
        <v>22</v>
      </c>
      <c r="C347" t="s">
        <v>7</v>
      </c>
      <c r="D347" t="s">
        <v>21</v>
      </c>
      <c r="E347">
        <f t="shared" ca="1" si="4"/>
        <v>84.629350786176801</v>
      </c>
    </row>
    <row r="348" spans="1:5" hidden="1" x14ac:dyDescent="0.25">
      <c r="A348">
        <v>8</v>
      </c>
      <c r="B348">
        <v>23</v>
      </c>
      <c r="C348" t="s">
        <v>7</v>
      </c>
      <c r="D348" t="s">
        <v>22</v>
      </c>
      <c r="E348">
        <f t="shared" ca="1" si="4"/>
        <v>69.719458723371801</v>
      </c>
    </row>
    <row r="349" spans="1:5" hidden="1" x14ac:dyDescent="0.25">
      <c r="A349">
        <v>8</v>
      </c>
      <c r="B349">
        <v>24</v>
      </c>
      <c r="C349" t="s">
        <v>7</v>
      </c>
      <c r="D349" t="s">
        <v>23</v>
      </c>
      <c r="E349">
        <f t="shared" ca="1" si="4"/>
        <v>69.008347612260678</v>
      </c>
    </row>
    <row r="350" spans="1:5" hidden="1" x14ac:dyDescent="0.25">
      <c r="A350">
        <v>8</v>
      </c>
      <c r="B350">
        <v>25</v>
      </c>
      <c r="C350" t="s">
        <v>7</v>
      </c>
      <c r="D350" t="s">
        <v>24</v>
      </c>
      <c r="E350">
        <f t="shared" ca="1" si="4"/>
        <v>67.66945872337179</v>
      </c>
    </row>
    <row r="351" spans="1:5" hidden="1" x14ac:dyDescent="0.25">
      <c r="A351">
        <v>8</v>
      </c>
      <c r="B351">
        <v>26</v>
      </c>
      <c r="C351" t="s">
        <v>7</v>
      </c>
      <c r="D351" t="s">
        <v>25</v>
      </c>
      <c r="E351">
        <f t="shared" ca="1" si="4"/>
        <v>136.31478738504131</v>
      </c>
    </row>
    <row r="352" spans="1:5" hidden="1" x14ac:dyDescent="0.25">
      <c r="A352">
        <v>8</v>
      </c>
      <c r="B352">
        <v>27</v>
      </c>
      <c r="C352" t="s">
        <v>7</v>
      </c>
      <c r="D352" t="s">
        <v>145</v>
      </c>
      <c r="E352">
        <f t="shared" ca="1" si="4"/>
        <v>41.118504532364398</v>
      </c>
    </row>
    <row r="353" spans="1:5" hidden="1" x14ac:dyDescent="0.25">
      <c r="A353">
        <v>8</v>
      </c>
      <c r="B353">
        <v>28</v>
      </c>
      <c r="C353" t="s">
        <v>7</v>
      </c>
      <c r="D353" t="s">
        <v>147</v>
      </c>
      <c r="E353">
        <f t="shared" ca="1" si="4"/>
        <v>85.073795230621243</v>
      </c>
    </row>
    <row r="354" spans="1:5" hidden="1" x14ac:dyDescent="0.25">
      <c r="A354">
        <v>8</v>
      </c>
      <c r="B354">
        <v>29</v>
      </c>
      <c r="C354" t="s">
        <v>7</v>
      </c>
      <c r="D354" t="s">
        <v>146</v>
      </c>
      <c r="E354">
        <f t="shared" ca="1" si="4"/>
        <v>68.197236501149575</v>
      </c>
    </row>
    <row r="355" spans="1:5" hidden="1" x14ac:dyDescent="0.25">
      <c r="A355">
        <v>8</v>
      </c>
      <c r="B355">
        <v>30</v>
      </c>
      <c r="C355" t="s">
        <v>7</v>
      </c>
      <c r="D355" t="s">
        <v>30</v>
      </c>
      <c r="E355">
        <f t="shared" ca="1" si="4"/>
        <v>0</v>
      </c>
    </row>
    <row r="356" spans="1:5" hidden="1" x14ac:dyDescent="0.25">
      <c r="A356">
        <v>8</v>
      </c>
      <c r="B356">
        <v>31</v>
      </c>
      <c r="C356" t="s">
        <v>7</v>
      </c>
      <c r="D356" t="s">
        <v>31</v>
      </c>
      <c r="E356">
        <f t="shared" ca="1" si="4"/>
        <v>24.055811712591499</v>
      </c>
    </row>
    <row r="357" spans="1:5" hidden="1" x14ac:dyDescent="0.25">
      <c r="A357">
        <v>8</v>
      </c>
      <c r="B357">
        <v>32</v>
      </c>
      <c r="C357" t="s">
        <v>7</v>
      </c>
      <c r="D357" t="s">
        <v>32</v>
      </c>
      <c r="E357">
        <f t="shared" ca="1" si="4"/>
        <v>22.748033934813719</v>
      </c>
    </row>
    <row r="358" spans="1:5" hidden="1" x14ac:dyDescent="0.25">
      <c r="A358">
        <v>8</v>
      </c>
      <c r="B358">
        <v>33</v>
      </c>
      <c r="C358" t="s">
        <v>7</v>
      </c>
      <c r="D358" t="s">
        <v>33</v>
      </c>
      <c r="E358">
        <f t="shared" ca="1" si="4"/>
        <v>26.003860633094028</v>
      </c>
    </row>
    <row r="359" spans="1:5" hidden="1" x14ac:dyDescent="0.25">
      <c r="A359">
        <v>8</v>
      </c>
      <c r="B359">
        <v>34</v>
      </c>
      <c r="C359" t="s">
        <v>7</v>
      </c>
      <c r="D359" t="s">
        <v>34</v>
      </c>
      <c r="E359">
        <f t="shared" ref="E359:E421" ca="1" si="5">OFFSET($B$3,A359,B359)</f>
        <v>26.928305077538475</v>
      </c>
    </row>
    <row r="360" spans="1:5" hidden="1" x14ac:dyDescent="0.25">
      <c r="A360">
        <v>8</v>
      </c>
      <c r="B360">
        <v>35</v>
      </c>
      <c r="C360" t="s">
        <v>7</v>
      </c>
      <c r="D360" t="s">
        <v>35</v>
      </c>
      <c r="E360">
        <f t="shared" ca="1" si="5"/>
        <v>32.074903993348819</v>
      </c>
    </row>
    <row r="361" spans="1:5" hidden="1" x14ac:dyDescent="0.25">
      <c r="A361">
        <v>8</v>
      </c>
      <c r="B361">
        <v>36</v>
      </c>
      <c r="C361" t="s">
        <v>7</v>
      </c>
      <c r="D361" t="s">
        <v>36</v>
      </c>
      <c r="E361">
        <f t="shared" ca="1" si="5"/>
        <v>81.493032622466202</v>
      </c>
    </row>
    <row r="362" spans="1:5" hidden="1" x14ac:dyDescent="0.25">
      <c r="A362">
        <v>8</v>
      </c>
      <c r="B362">
        <v>37</v>
      </c>
      <c r="C362" t="s">
        <v>7</v>
      </c>
      <c r="D362" t="s">
        <v>37</v>
      </c>
      <c r="E362">
        <f t="shared" ca="1" si="5"/>
        <v>92.075398842201579</v>
      </c>
    </row>
    <row r="363" spans="1:5" hidden="1" x14ac:dyDescent="0.25">
      <c r="A363">
        <v>8</v>
      </c>
      <c r="B363">
        <v>38</v>
      </c>
      <c r="C363" t="s">
        <v>7</v>
      </c>
      <c r="D363" t="s">
        <v>38</v>
      </c>
      <c r="E363">
        <f t="shared" ca="1" si="5"/>
        <v>81.215254844688431</v>
      </c>
    </row>
    <row r="364" spans="1:5" hidden="1" x14ac:dyDescent="0.25">
      <c r="A364">
        <v>8</v>
      </c>
      <c r="B364">
        <v>39</v>
      </c>
      <c r="C364" t="s">
        <v>7</v>
      </c>
      <c r="D364" t="s">
        <v>39</v>
      </c>
      <c r="E364">
        <f t="shared" ca="1" si="5"/>
        <v>27.859885986621386</v>
      </c>
    </row>
    <row r="365" spans="1:5" hidden="1" x14ac:dyDescent="0.25">
      <c r="A365">
        <v>8</v>
      </c>
      <c r="B365">
        <v>40</v>
      </c>
      <c r="C365" t="s">
        <v>7</v>
      </c>
      <c r="D365" t="s">
        <v>40</v>
      </c>
      <c r="E365">
        <f t="shared" ca="1" si="5"/>
        <v>91.475398842201571</v>
      </c>
    </row>
    <row r="366" spans="1:5" hidden="1" x14ac:dyDescent="0.25">
      <c r="A366">
        <v>9</v>
      </c>
      <c r="B366">
        <v>1</v>
      </c>
      <c r="C366" t="s">
        <v>148</v>
      </c>
      <c r="D366" t="s">
        <v>0</v>
      </c>
      <c r="E366">
        <f t="shared" ca="1" si="5"/>
        <v>0</v>
      </c>
    </row>
    <row r="367" spans="1:5" hidden="1" x14ac:dyDescent="0.25">
      <c r="A367">
        <v>9</v>
      </c>
      <c r="B367">
        <v>2</v>
      </c>
      <c r="C367" t="s">
        <v>148</v>
      </c>
      <c r="D367" t="s">
        <v>1</v>
      </c>
      <c r="E367">
        <f t="shared" ca="1" si="5"/>
        <v>0</v>
      </c>
    </row>
    <row r="368" spans="1:5" hidden="1" x14ac:dyDescent="0.25">
      <c r="A368">
        <v>9</v>
      </c>
      <c r="B368">
        <v>3</v>
      </c>
      <c r="C368" t="s">
        <v>148</v>
      </c>
      <c r="D368" t="s">
        <v>2</v>
      </c>
      <c r="E368">
        <f t="shared" ca="1" si="5"/>
        <v>22.006848920575852</v>
      </c>
    </row>
    <row r="369" spans="1:5" hidden="1" x14ac:dyDescent="0.25">
      <c r="A369">
        <v>9</v>
      </c>
      <c r="B369">
        <v>4</v>
      </c>
      <c r="C369" t="s">
        <v>148</v>
      </c>
      <c r="D369" t="s">
        <v>3</v>
      </c>
      <c r="E369">
        <f t="shared" ca="1" si="5"/>
        <v>33.762681771126594</v>
      </c>
    </row>
    <row r="370" spans="1:5" hidden="1" x14ac:dyDescent="0.25">
      <c r="A370">
        <v>9</v>
      </c>
      <c r="B370">
        <v>5</v>
      </c>
      <c r="C370" t="s">
        <v>148</v>
      </c>
      <c r="D370" t="s">
        <v>4</v>
      </c>
      <c r="E370">
        <f t="shared" ca="1" si="5"/>
        <v>33.741658294036228</v>
      </c>
    </row>
    <row r="371" spans="1:5" hidden="1" x14ac:dyDescent="0.25">
      <c r="A371">
        <v>9</v>
      </c>
      <c r="B371">
        <v>6</v>
      </c>
      <c r="C371" t="s">
        <v>148</v>
      </c>
      <c r="D371" t="s">
        <v>5</v>
      </c>
      <c r="E371">
        <f t="shared" ca="1" si="5"/>
        <v>36.286102738480672</v>
      </c>
    </row>
    <row r="372" spans="1:5" hidden="1" x14ac:dyDescent="0.25">
      <c r="A372">
        <v>9</v>
      </c>
      <c r="B372">
        <v>7</v>
      </c>
      <c r="C372" t="s">
        <v>148</v>
      </c>
      <c r="D372" t="s">
        <v>6</v>
      </c>
      <c r="E372">
        <f t="shared" ca="1" si="5"/>
        <v>34.180547182925118</v>
      </c>
    </row>
    <row r="373" spans="1:5" hidden="1" x14ac:dyDescent="0.25">
      <c r="A373">
        <v>9</v>
      </c>
      <c r="B373">
        <v>8</v>
      </c>
      <c r="C373" t="s">
        <v>148</v>
      </c>
      <c r="D373" t="s">
        <v>7</v>
      </c>
      <c r="E373">
        <f t="shared" ca="1" si="5"/>
        <v>33.91601510445993</v>
      </c>
    </row>
    <row r="374" spans="1:5" hidden="1" x14ac:dyDescent="0.25">
      <c r="A374">
        <v>9</v>
      </c>
      <c r="B374">
        <v>9</v>
      </c>
      <c r="C374" t="s">
        <v>148</v>
      </c>
      <c r="D374" t="s">
        <v>148</v>
      </c>
      <c r="E374">
        <f t="shared" ca="1" si="5"/>
        <v>0</v>
      </c>
    </row>
    <row r="375" spans="1:5" hidden="1" x14ac:dyDescent="0.25">
      <c r="A375">
        <v>9</v>
      </c>
      <c r="B375">
        <v>10</v>
      </c>
      <c r="C375" t="s">
        <v>148</v>
      </c>
      <c r="D375" t="s">
        <v>9</v>
      </c>
      <c r="E375">
        <f t="shared" ca="1" si="5"/>
        <v>34.729436071814007</v>
      </c>
    </row>
    <row r="376" spans="1:5" hidden="1" x14ac:dyDescent="0.25">
      <c r="A376">
        <v>9</v>
      </c>
      <c r="B376">
        <v>11</v>
      </c>
      <c r="C376" t="s">
        <v>148</v>
      </c>
      <c r="D376" t="s">
        <v>10</v>
      </c>
      <c r="E376">
        <f t="shared" ca="1" si="5"/>
        <v>63.944191957582575</v>
      </c>
    </row>
    <row r="377" spans="1:5" hidden="1" x14ac:dyDescent="0.25">
      <c r="A377">
        <v>9</v>
      </c>
      <c r="B377">
        <v>12</v>
      </c>
      <c r="C377" t="s">
        <v>148</v>
      </c>
      <c r="D377" t="s">
        <v>11</v>
      </c>
      <c r="E377">
        <f t="shared" ca="1" si="5"/>
        <v>59.300733410167979</v>
      </c>
    </row>
    <row r="378" spans="1:5" hidden="1" x14ac:dyDescent="0.25">
      <c r="A378">
        <v>9</v>
      </c>
      <c r="B378">
        <v>13</v>
      </c>
      <c r="C378" t="s">
        <v>148</v>
      </c>
      <c r="D378" t="s">
        <v>12</v>
      </c>
      <c r="E378">
        <f t="shared" ca="1" si="5"/>
        <v>55.765461004950261</v>
      </c>
    </row>
    <row r="379" spans="1:5" hidden="1" x14ac:dyDescent="0.25">
      <c r="A379">
        <v>9</v>
      </c>
      <c r="B379">
        <v>14</v>
      </c>
      <c r="C379" t="s">
        <v>148</v>
      </c>
      <c r="D379" t="s">
        <v>13</v>
      </c>
      <c r="E379">
        <f t="shared" ca="1" si="5"/>
        <v>55.267683227172483</v>
      </c>
    </row>
    <row r="380" spans="1:5" hidden="1" x14ac:dyDescent="0.25">
      <c r="A380">
        <v>9</v>
      </c>
      <c r="B380">
        <v>15</v>
      </c>
      <c r="C380" t="s">
        <v>148</v>
      </c>
      <c r="D380" t="s">
        <v>14</v>
      </c>
      <c r="E380">
        <f t="shared" ca="1" si="5"/>
        <v>118.86183406062311</v>
      </c>
    </row>
    <row r="381" spans="1:5" hidden="1" x14ac:dyDescent="0.25">
      <c r="A381">
        <v>9</v>
      </c>
      <c r="B381">
        <v>16</v>
      </c>
      <c r="C381" t="s">
        <v>148</v>
      </c>
      <c r="D381" t="s">
        <v>15</v>
      </c>
      <c r="E381">
        <f t="shared" ca="1" si="5"/>
        <v>118.86183406062311</v>
      </c>
    </row>
    <row r="382" spans="1:5" hidden="1" x14ac:dyDescent="0.25">
      <c r="A382">
        <v>9</v>
      </c>
      <c r="B382">
        <v>17</v>
      </c>
      <c r="C382" t="s">
        <v>148</v>
      </c>
      <c r="D382" t="s">
        <v>16</v>
      </c>
      <c r="E382">
        <f t="shared" ca="1" si="5"/>
        <v>95.086931664085952</v>
      </c>
    </row>
    <row r="383" spans="1:5" hidden="1" x14ac:dyDescent="0.25">
      <c r="A383">
        <v>9</v>
      </c>
      <c r="B383">
        <v>18</v>
      </c>
      <c r="C383" t="s">
        <v>148</v>
      </c>
      <c r="D383" t="s">
        <v>17</v>
      </c>
      <c r="E383">
        <f t="shared" ca="1" si="5"/>
        <v>119.32738961617866</v>
      </c>
    </row>
    <row r="384" spans="1:5" hidden="1" x14ac:dyDescent="0.25">
      <c r="A384">
        <v>9</v>
      </c>
      <c r="B384">
        <v>19</v>
      </c>
      <c r="C384" t="s">
        <v>148</v>
      </c>
      <c r="D384" t="s">
        <v>18</v>
      </c>
      <c r="E384">
        <f t="shared" ca="1" si="5"/>
        <v>29.143059431013047</v>
      </c>
    </row>
    <row r="385" spans="1:5" hidden="1" x14ac:dyDescent="0.25">
      <c r="A385">
        <v>9</v>
      </c>
      <c r="B385">
        <v>20</v>
      </c>
      <c r="C385" t="s">
        <v>148</v>
      </c>
      <c r="D385" t="s">
        <v>19</v>
      </c>
      <c r="E385">
        <f t="shared" ca="1" si="5"/>
        <v>28.354734011355106</v>
      </c>
    </row>
    <row r="386" spans="1:5" hidden="1" x14ac:dyDescent="0.25">
      <c r="A386">
        <v>9</v>
      </c>
      <c r="B386">
        <v>21</v>
      </c>
      <c r="C386" t="s">
        <v>148</v>
      </c>
      <c r="D386" t="s">
        <v>20</v>
      </c>
      <c r="E386">
        <f t="shared" ca="1" si="5"/>
        <v>22.24684892057585</v>
      </c>
    </row>
    <row r="387" spans="1:5" hidden="1" x14ac:dyDescent="0.25">
      <c r="A387">
        <v>9</v>
      </c>
      <c r="B387">
        <v>22</v>
      </c>
      <c r="C387" t="s">
        <v>148</v>
      </c>
      <c r="D387" t="s">
        <v>21</v>
      </c>
      <c r="E387">
        <f t="shared" ca="1" si="5"/>
        <v>70.24530944042408</v>
      </c>
    </row>
    <row r="388" spans="1:5" hidden="1" x14ac:dyDescent="0.25">
      <c r="A388">
        <v>9</v>
      </c>
      <c r="B388">
        <v>23</v>
      </c>
      <c r="C388" t="s">
        <v>148</v>
      </c>
      <c r="D388" t="s">
        <v>22</v>
      </c>
      <c r="E388">
        <f t="shared" ca="1" si="5"/>
        <v>55.862825532563811</v>
      </c>
    </row>
    <row r="389" spans="1:5" hidden="1" x14ac:dyDescent="0.25">
      <c r="A389">
        <v>9</v>
      </c>
      <c r="B389">
        <v>24</v>
      </c>
      <c r="C389" t="s">
        <v>148</v>
      </c>
      <c r="D389" t="s">
        <v>23</v>
      </c>
      <c r="E389">
        <f t="shared" ca="1" si="5"/>
        <v>55.151714421452695</v>
      </c>
    </row>
    <row r="390" spans="1:5" hidden="1" x14ac:dyDescent="0.25">
      <c r="A390">
        <v>9</v>
      </c>
      <c r="B390">
        <v>25</v>
      </c>
      <c r="C390" t="s">
        <v>148</v>
      </c>
      <c r="D390" t="s">
        <v>24</v>
      </c>
      <c r="E390">
        <f t="shared" ca="1" si="5"/>
        <v>53.812825532563807</v>
      </c>
    </row>
    <row r="391" spans="1:5" hidden="1" x14ac:dyDescent="0.25">
      <c r="A391">
        <v>9</v>
      </c>
      <c r="B391">
        <v>26</v>
      </c>
      <c r="C391" t="s">
        <v>148</v>
      </c>
      <c r="D391" t="s">
        <v>25</v>
      </c>
      <c r="E391">
        <f t="shared" ca="1" si="5"/>
        <v>121.560722949512</v>
      </c>
    </row>
    <row r="392" spans="1:5" hidden="1" x14ac:dyDescent="0.25">
      <c r="A392">
        <v>9</v>
      </c>
      <c r="B392">
        <v>27</v>
      </c>
      <c r="C392" t="s">
        <v>148</v>
      </c>
      <c r="D392" t="s">
        <v>145</v>
      </c>
      <c r="E392">
        <f t="shared" ca="1" si="5"/>
        <v>29.801400678021771</v>
      </c>
    </row>
    <row r="393" spans="1:5" hidden="1" x14ac:dyDescent="0.25">
      <c r="A393">
        <v>9</v>
      </c>
      <c r="B393">
        <v>28</v>
      </c>
      <c r="C393" t="s">
        <v>148</v>
      </c>
      <c r="D393" t="s">
        <v>147</v>
      </c>
      <c r="E393">
        <f t="shared" ca="1" si="5"/>
        <v>70.689753884868523</v>
      </c>
    </row>
    <row r="394" spans="1:5" hidden="1" x14ac:dyDescent="0.25">
      <c r="A394">
        <v>9</v>
      </c>
      <c r="B394">
        <v>29</v>
      </c>
      <c r="C394" t="s">
        <v>148</v>
      </c>
      <c r="D394" t="s">
        <v>146</v>
      </c>
      <c r="E394">
        <f t="shared" ca="1" si="5"/>
        <v>54.340603310341585</v>
      </c>
    </row>
    <row r="395" spans="1:5" hidden="1" x14ac:dyDescent="0.25">
      <c r="A395">
        <v>9</v>
      </c>
      <c r="B395">
        <v>30</v>
      </c>
      <c r="C395" t="s">
        <v>148</v>
      </c>
      <c r="D395" t="s">
        <v>30</v>
      </c>
      <c r="E395">
        <f t="shared" ca="1" si="5"/>
        <v>35.018237326682154</v>
      </c>
    </row>
    <row r="396" spans="1:5" hidden="1" x14ac:dyDescent="0.25">
      <c r="A396">
        <v>9</v>
      </c>
      <c r="B396">
        <v>31</v>
      </c>
      <c r="C396" t="s">
        <v>148</v>
      </c>
      <c r="D396" t="s">
        <v>31</v>
      </c>
      <c r="E396">
        <f t="shared" ca="1" si="5"/>
        <v>28.821568031654699</v>
      </c>
    </row>
    <row r="397" spans="1:5" hidden="1" x14ac:dyDescent="0.25">
      <c r="A397">
        <v>9</v>
      </c>
      <c r="B397">
        <v>32</v>
      </c>
      <c r="C397" t="s">
        <v>148</v>
      </c>
      <c r="D397" t="s">
        <v>32</v>
      </c>
      <c r="E397">
        <f t="shared" ca="1" si="5"/>
        <v>27.513790253876923</v>
      </c>
    </row>
    <row r="398" spans="1:5" hidden="1" x14ac:dyDescent="0.25">
      <c r="A398">
        <v>9</v>
      </c>
      <c r="B398">
        <v>33</v>
      </c>
      <c r="C398" t="s">
        <v>148</v>
      </c>
      <c r="D398" t="s">
        <v>33</v>
      </c>
      <c r="E398">
        <f t="shared" ca="1" si="5"/>
        <v>21.310310492988105</v>
      </c>
    </row>
    <row r="399" spans="1:5" hidden="1" x14ac:dyDescent="0.25">
      <c r="A399">
        <v>9</v>
      </c>
      <c r="B399">
        <v>34</v>
      </c>
      <c r="C399" t="s">
        <v>148</v>
      </c>
      <c r="D399" t="s">
        <v>34</v>
      </c>
      <c r="E399">
        <f t="shared" ca="1" si="5"/>
        <v>22.234754937432548</v>
      </c>
    </row>
    <row r="400" spans="1:5" hidden="1" x14ac:dyDescent="0.25">
      <c r="A400">
        <v>9</v>
      </c>
      <c r="B400">
        <v>35</v>
      </c>
      <c r="C400" t="s">
        <v>148</v>
      </c>
      <c r="D400" t="s">
        <v>35</v>
      </c>
      <c r="E400">
        <f t="shared" ca="1" si="5"/>
        <v>0</v>
      </c>
    </row>
    <row r="401" spans="1:5" hidden="1" x14ac:dyDescent="0.25">
      <c r="A401">
        <v>9</v>
      </c>
      <c r="B401">
        <v>36</v>
      </c>
      <c r="C401" t="s">
        <v>148</v>
      </c>
      <c r="D401" t="s">
        <v>36</v>
      </c>
      <c r="E401">
        <f t="shared" ca="1" si="5"/>
        <v>75.254005929757895</v>
      </c>
    </row>
    <row r="402" spans="1:5" hidden="1" x14ac:dyDescent="0.25">
      <c r="A402">
        <v>9</v>
      </c>
      <c r="B402">
        <v>37</v>
      </c>
      <c r="C402" t="s">
        <v>148</v>
      </c>
      <c r="D402" t="s">
        <v>37</v>
      </c>
      <c r="E402">
        <f t="shared" ca="1" si="5"/>
        <v>86.880667176942566</v>
      </c>
    </row>
    <row r="403" spans="1:5" hidden="1" x14ac:dyDescent="0.25">
      <c r="A403">
        <v>9</v>
      </c>
      <c r="B403">
        <v>38</v>
      </c>
      <c r="C403" t="s">
        <v>148</v>
      </c>
      <c r="D403" t="s">
        <v>38</v>
      </c>
      <c r="E403">
        <f t="shared" ca="1" si="5"/>
        <v>74.976228151980123</v>
      </c>
    </row>
    <row r="404" spans="1:5" hidden="1" x14ac:dyDescent="0.25">
      <c r="A404">
        <v>9</v>
      </c>
      <c r="B404">
        <v>39</v>
      </c>
      <c r="C404" t="s">
        <v>148</v>
      </c>
      <c r="D404" t="s">
        <v>39</v>
      </c>
      <c r="E404">
        <f t="shared" ca="1" si="5"/>
        <v>83.215302950215829</v>
      </c>
    </row>
    <row r="405" spans="1:5" hidden="1" x14ac:dyDescent="0.25">
      <c r="A405">
        <v>9</v>
      </c>
      <c r="B405">
        <v>40</v>
      </c>
      <c r="C405" t="s">
        <v>148</v>
      </c>
      <c r="D405" t="s">
        <v>40</v>
      </c>
      <c r="E405">
        <f t="shared" ca="1" si="5"/>
        <v>86.280667176942558</v>
      </c>
    </row>
    <row r="406" spans="1:5" hidden="1" x14ac:dyDescent="0.25">
      <c r="A406">
        <v>10</v>
      </c>
      <c r="B406">
        <v>1</v>
      </c>
      <c r="C406" t="s">
        <v>9</v>
      </c>
      <c r="D406" t="s">
        <v>0</v>
      </c>
      <c r="E406">
        <f t="shared" ca="1" si="5"/>
        <v>32.268324960702891</v>
      </c>
    </row>
    <row r="407" spans="1:5" hidden="1" x14ac:dyDescent="0.25">
      <c r="A407">
        <v>10</v>
      </c>
      <c r="B407">
        <v>2</v>
      </c>
      <c r="C407" t="s">
        <v>9</v>
      </c>
      <c r="D407" t="s">
        <v>1</v>
      </c>
      <c r="E407">
        <f t="shared" ca="1" si="5"/>
        <v>32.646102738480671</v>
      </c>
    </row>
    <row r="408" spans="1:5" hidden="1" x14ac:dyDescent="0.25">
      <c r="A408">
        <v>10</v>
      </c>
      <c r="B408">
        <v>3</v>
      </c>
      <c r="C408" t="s">
        <v>9</v>
      </c>
      <c r="D408" t="s">
        <v>2</v>
      </c>
      <c r="E408">
        <f t="shared" ca="1" si="5"/>
        <v>34.016099773601724</v>
      </c>
    </row>
    <row r="409" spans="1:5" hidden="1" x14ac:dyDescent="0.25">
      <c r="A409">
        <v>10</v>
      </c>
      <c r="B409">
        <v>4</v>
      </c>
      <c r="C409" t="s">
        <v>9</v>
      </c>
      <c r="D409" t="s">
        <v>3</v>
      </c>
      <c r="E409">
        <f t="shared" ca="1" si="5"/>
        <v>18.341881800012903</v>
      </c>
    </row>
    <row r="410" spans="1:5" hidden="1" x14ac:dyDescent="0.25">
      <c r="A410">
        <v>10</v>
      </c>
      <c r="B410">
        <v>5</v>
      </c>
      <c r="C410" t="s">
        <v>9</v>
      </c>
      <c r="D410" t="s">
        <v>4</v>
      </c>
      <c r="E410">
        <f t="shared" ca="1" si="5"/>
        <v>0</v>
      </c>
    </row>
    <row r="411" spans="1:5" hidden="1" x14ac:dyDescent="0.25">
      <c r="A411">
        <v>10</v>
      </c>
      <c r="B411">
        <v>6</v>
      </c>
      <c r="C411" t="s">
        <v>9</v>
      </c>
      <c r="D411" t="s">
        <v>5</v>
      </c>
      <c r="E411">
        <f t="shared" ca="1" si="5"/>
        <v>20.186326244457348</v>
      </c>
    </row>
    <row r="412" spans="1:5" hidden="1" x14ac:dyDescent="0.25">
      <c r="A412">
        <v>10</v>
      </c>
      <c r="B412">
        <v>7</v>
      </c>
      <c r="C412" t="s">
        <v>9</v>
      </c>
      <c r="D412" t="s">
        <v>6</v>
      </c>
      <c r="E412">
        <f t="shared" ca="1" si="5"/>
        <v>18.080770688901794</v>
      </c>
    </row>
    <row r="413" spans="1:5" hidden="1" x14ac:dyDescent="0.25">
      <c r="A413">
        <v>10</v>
      </c>
      <c r="B413">
        <v>8</v>
      </c>
      <c r="C413" t="s">
        <v>9</v>
      </c>
      <c r="D413" t="s">
        <v>7</v>
      </c>
      <c r="E413">
        <f t="shared" ca="1" si="5"/>
        <v>18.495215133346235</v>
      </c>
    </row>
    <row r="414" spans="1:5" hidden="1" x14ac:dyDescent="0.25">
      <c r="A414">
        <v>10</v>
      </c>
      <c r="B414">
        <v>9</v>
      </c>
      <c r="C414" t="s">
        <v>9</v>
      </c>
      <c r="D414" t="s">
        <v>148</v>
      </c>
      <c r="E414">
        <f t="shared" ca="1" si="5"/>
        <v>34.729436071814007</v>
      </c>
    </row>
    <row r="415" spans="1:5" hidden="1" x14ac:dyDescent="0.25">
      <c r="A415">
        <v>10</v>
      </c>
      <c r="B415">
        <v>10</v>
      </c>
      <c r="C415" t="s">
        <v>9</v>
      </c>
      <c r="D415" t="s">
        <v>9</v>
      </c>
      <c r="E415">
        <f t="shared" ca="1" si="5"/>
        <v>0</v>
      </c>
    </row>
    <row r="416" spans="1:5" hidden="1" x14ac:dyDescent="0.25">
      <c r="A416">
        <v>10</v>
      </c>
      <c r="B416">
        <v>11</v>
      </c>
      <c r="C416" t="s">
        <v>9</v>
      </c>
      <c r="D416" t="s">
        <v>10</v>
      </c>
      <c r="E416">
        <f t="shared" ca="1" si="5"/>
        <v>80.533087503519155</v>
      </c>
    </row>
    <row r="417" spans="1:5" hidden="1" x14ac:dyDescent="0.25">
      <c r="A417">
        <v>10</v>
      </c>
      <c r="B417">
        <v>12</v>
      </c>
      <c r="C417" t="s">
        <v>9</v>
      </c>
      <c r="D417" t="s">
        <v>11</v>
      </c>
      <c r="E417">
        <f t="shared" ca="1" si="5"/>
        <v>74.970772721940676</v>
      </c>
    </row>
    <row r="418" spans="1:5" hidden="1" x14ac:dyDescent="0.25">
      <c r="A418">
        <v>10</v>
      </c>
      <c r="B418">
        <v>13</v>
      </c>
      <c r="C418" t="s">
        <v>9</v>
      </c>
      <c r="D418" t="s">
        <v>12</v>
      </c>
      <c r="E418">
        <f t="shared" ca="1" si="5"/>
        <v>69.938588365709464</v>
      </c>
    </row>
    <row r="419" spans="1:5" hidden="1" x14ac:dyDescent="0.25">
      <c r="A419">
        <v>10</v>
      </c>
      <c r="B419">
        <v>14</v>
      </c>
      <c r="C419" t="s">
        <v>9</v>
      </c>
      <c r="D419" t="s">
        <v>13</v>
      </c>
      <c r="E419">
        <f t="shared" ca="1" si="5"/>
        <v>69.440810587931679</v>
      </c>
    </row>
    <row r="420" spans="1:5" hidden="1" x14ac:dyDescent="0.25">
      <c r="A420">
        <v>10</v>
      </c>
      <c r="B420">
        <v>15</v>
      </c>
      <c r="C420" t="s">
        <v>9</v>
      </c>
      <c r="D420" t="s">
        <v>14</v>
      </c>
      <c r="E420">
        <f t="shared" ca="1" si="5"/>
        <v>132.53188326998873</v>
      </c>
    </row>
    <row r="421" spans="1:5" hidden="1" x14ac:dyDescent="0.25">
      <c r="A421">
        <v>10</v>
      </c>
      <c r="B421">
        <v>16</v>
      </c>
      <c r="C421" t="s">
        <v>9</v>
      </c>
      <c r="D421" t="s">
        <v>15</v>
      </c>
      <c r="E421">
        <f t="shared" ca="1" si="5"/>
        <v>123.63892472550675</v>
      </c>
    </row>
    <row r="422" spans="1:5" hidden="1" x14ac:dyDescent="0.25">
      <c r="A422">
        <v>10</v>
      </c>
      <c r="B422">
        <v>17</v>
      </c>
      <c r="C422" t="s">
        <v>9</v>
      </c>
      <c r="D422" t="s">
        <v>16</v>
      </c>
      <c r="E422">
        <f t="shared" ref="E422:E483" ca="1" si="6">OFFSET($B$3,A422,B422)</f>
        <v>111.85015681306305</v>
      </c>
    </row>
    <row r="423" spans="1:5" hidden="1" x14ac:dyDescent="0.25">
      <c r="A423">
        <v>10</v>
      </c>
      <c r="B423">
        <v>18</v>
      </c>
      <c r="C423" t="s">
        <v>9</v>
      </c>
      <c r="D423" t="s">
        <v>17</v>
      </c>
      <c r="E423">
        <f t="shared" ca="1" si="6"/>
        <v>124.10448028106231</v>
      </c>
    </row>
    <row r="424" spans="1:5" hidden="1" x14ac:dyDescent="0.25">
      <c r="A424">
        <v>10</v>
      </c>
      <c r="B424">
        <v>19</v>
      </c>
      <c r="C424" t="s">
        <v>9</v>
      </c>
      <c r="D424" t="s">
        <v>18</v>
      </c>
      <c r="E424">
        <f t="shared" ca="1" si="6"/>
        <v>41.372091695699609</v>
      </c>
    </row>
    <row r="425" spans="1:5" hidden="1" x14ac:dyDescent="0.25">
      <c r="A425">
        <v>10</v>
      </c>
      <c r="B425">
        <v>20</v>
      </c>
      <c r="C425" t="s">
        <v>9</v>
      </c>
      <c r="D425" t="s">
        <v>19</v>
      </c>
      <c r="E425">
        <f t="shared" ca="1" si="6"/>
        <v>40.852094968503657</v>
      </c>
    </row>
    <row r="426" spans="1:5" hidden="1" x14ac:dyDescent="0.25">
      <c r="A426">
        <v>10</v>
      </c>
      <c r="B426">
        <v>21</v>
      </c>
      <c r="C426" t="s">
        <v>9</v>
      </c>
      <c r="D426" t="s">
        <v>20</v>
      </c>
      <c r="E426">
        <f t="shared" ca="1" si="6"/>
        <v>34.671666707723354</v>
      </c>
    </row>
    <row r="427" spans="1:5" hidden="1" x14ac:dyDescent="0.25">
      <c r="A427">
        <v>10</v>
      </c>
      <c r="B427">
        <v>22</v>
      </c>
      <c r="C427" t="s">
        <v>9</v>
      </c>
      <c r="D427" t="s">
        <v>21</v>
      </c>
      <c r="E427">
        <f t="shared" ca="1" si="6"/>
        <v>84.924043858155031</v>
      </c>
    </row>
    <row r="428" spans="1:5" hidden="1" x14ac:dyDescent="0.25">
      <c r="A428">
        <v>10</v>
      </c>
      <c r="B428">
        <v>23</v>
      </c>
      <c r="C428" t="s">
        <v>9</v>
      </c>
      <c r="D428" t="s">
        <v>22</v>
      </c>
      <c r="E428">
        <f t="shared" ca="1" si="6"/>
        <v>67.255154883399015</v>
      </c>
    </row>
    <row r="429" spans="1:5" hidden="1" x14ac:dyDescent="0.25">
      <c r="A429">
        <v>10</v>
      </c>
      <c r="B429">
        <v>24</v>
      </c>
      <c r="C429" t="s">
        <v>9</v>
      </c>
      <c r="D429" t="s">
        <v>23</v>
      </c>
      <c r="E429">
        <f t="shared" ca="1" si="6"/>
        <v>66.544043772287907</v>
      </c>
    </row>
    <row r="430" spans="1:5" hidden="1" x14ac:dyDescent="0.25">
      <c r="A430">
        <v>10</v>
      </c>
      <c r="B430">
        <v>25</v>
      </c>
      <c r="C430" t="s">
        <v>9</v>
      </c>
      <c r="D430" t="s">
        <v>24</v>
      </c>
      <c r="E430">
        <f t="shared" ca="1" si="6"/>
        <v>65.205154883399018</v>
      </c>
    </row>
    <row r="431" spans="1:5" hidden="1" x14ac:dyDescent="0.25">
      <c r="A431">
        <v>10</v>
      </c>
      <c r="B431">
        <v>26</v>
      </c>
      <c r="C431" t="s">
        <v>9</v>
      </c>
      <c r="D431" t="s">
        <v>25</v>
      </c>
      <c r="E431">
        <f t="shared" ca="1" si="6"/>
        <v>135.23077215887761</v>
      </c>
    </row>
    <row r="432" spans="1:5" hidden="1" x14ac:dyDescent="0.25">
      <c r="A432">
        <v>10</v>
      </c>
      <c r="B432">
        <v>27</v>
      </c>
      <c r="C432" t="s">
        <v>9</v>
      </c>
      <c r="D432" t="s">
        <v>145</v>
      </c>
      <c r="E432">
        <f t="shared" ca="1" si="6"/>
        <v>42.298761635170322</v>
      </c>
    </row>
    <row r="433" spans="1:5" hidden="1" x14ac:dyDescent="0.25">
      <c r="A433">
        <v>10</v>
      </c>
      <c r="B433">
        <v>28</v>
      </c>
      <c r="C433" t="s">
        <v>9</v>
      </c>
      <c r="D433" t="s">
        <v>147</v>
      </c>
      <c r="E433">
        <f t="shared" ca="1" si="6"/>
        <v>85.368488302599474</v>
      </c>
    </row>
    <row r="434" spans="1:5" hidden="1" x14ac:dyDescent="0.25">
      <c r="A434">
        <v>10</v>
      </c>
      <c r="B434">
        <v>29</v>
      </c>
      <c r="C434" t="s">
        <v>9</v>
      </c>
      <c r="D434" t="s">
        <v>146</v>
      </c>
      <c r="E434">
        <f t="shared" ca="1" si="6"/>
        <v>65.732932661176804</v>
      </c>
    </row>
    <row r="435" spans="1:5" hidden="1" x14ac:dyDescent="0.25">
      <c r="A435">
        <v>10</v>
      </c>
      <c r="B435">
        <v>30</v>
      </c>
      <c r="C435" t="s">
        <v>9</v>
      </c>
      <c r="D435" t="s">
        <v>30</v>
      </c>
      <c r="E435">
        <f t="shared" ca="1" si="6"/>
        <v>19.597437355568459</v>
      </c>
    </row>
    <row r="436" spans="1:5" hidden="1" x14ac:dyDescent="0.25">
      <c r="A436">
        <v>10</v>
      </c>
      <c r="B436">
        <v>31</v>
      </c>
      <c r="C436" t="s">
        <v>9</v>
      </c>
      <c r="D436" t="s">
        <v>31</v>
      </c>
      <c r="E436">
        <f t="shared" ca="1" si="6"/>
        <v>28.192383314711197</v>
      </c>
    </row>
    <row r="437" spans="1:5" hidden="1" x14ac:dyDescent="0.25">
      <c r="A437">
        <v>10</v>
      </c>
      <c r="B437">
        <v>32</v>
      </c>
      <c r="C437" t="s">
        <v>9</v>
      </c>
      <c r="D437" t="s">
        <v>32</v>
      </c>
      <c r="E437">
        <f t="shared" ca="1" si="6"/>
        <v>26.884605536933417</v>
      </c>
    </row>
    <row r="438" spans="1:5" hidden="1" x14ac:dyDescent="0.25">
      <c r="A438">
        <v>10</v>
      </c>
      <c r="B438">
        <v>33</v>
      </c>
      <c r="C438" t="s">
        <v>9</v>
      </c>
      <c r="D438" t="s">
        <v>33</v>
      </c>
      <c r="E438">
        <f t="shared" ca="1" si="6"/>
        <v>29.026847459031295</v>
      </c>
    </row>
    <row r="439" spans="1:5" hidden="1" x14ac:dyDescent="0.25">
      <c r="A439">
        <v>10</v>
      </c>
      <c r="B439">
        <v>34</v>
      </c>
      <c r="C439" t="s">
        <v>9</v>
      </c>
      <c r="D439" t="s">
        <v>34</v>
      </c>
      <c r="E439">
        <f t="shared" ca="1" si="6"/>
        <v>29.951291903475742</v>
      </c>
    </row>
    <row r="440" spans="1:5" hidden="1" x14ac:dyDescent="0.25">
      <c r="A440">
        <v>10</v>
      </c>
      <c r="B440">
        <v>35</v>
      </c>
      <c r="C440" t="s">
        <v>9</v>
      </c>
      <c r="D440" t="s">
        <v>35</v>
      </c>
      <c r="E440">
        <f t="shared" ca="1" si="6"/>
        <v>32.888324960702889</v>
      </c>
    </row>
    <row r="441" spans="1:5" hidden="1" x14ac:dyDescent="0.25">
      <c r="A441">
        <v>10</v>
      </c>
      <c r="B441">
        <v>36</v>
      </c>
      <c r="C441" t="s">
        <v>9</v>
      </c>
      <c r="D441" t="s">
        <v>36</v>
      </c>
      <c r="E441">
        <f t="shared" ca="1" si="6"/>
        <v>79.534848794106608</v>
      </c>
    </row>
    <row r="442" spans="1:5" hidden="1" x14ac:dyDescent="0.25">
      <c r="A442">
        <v>10</v>
      </c>
      <c r="B442">
        <v>37</v>
      </c>
      <c r="C442" t="s">
        <v>9</v>
      </c>
      <c r="D442" t="s">
        <v>37</v>
      </c>
      <c r="E442">
        <f t="shared" ca="1" si="6"/>
        <v>90.778928485125746</v>
      </c>
    </row>
    <row r="443" spans="1:5" hidden="1" x14ac:dyDescent="0.25">
      <c r="A443">
        <v>10</v>
      </c>
      <c r="B443">
        <v>38</v>
      </c>
      <c r="C443" t="s">
        <v>9</v>
      </c>
      <c r="D443" t="s">
        <v>38</v>
      </c>
      <c r="E443">
        <f t="shared" ca="1" si="6"/>
        <v>79.257071016328837</v>
      </c>
    </row>
    <row r="444" spans="1:5" hidden="1" x14ac:dyDescent="0.25">
      <c r="A444">
        <v>10</v>
      </c>
      <c r="B444">
        <v>39</v>
      </c>
      <c r="C444" t="s">
        <v>9</v>
      </c>
      <c r="D444" t="s">
        <v>39</v>
      </c>
      <c r="E444">
        <f t="shared" ca="1" si="6"/>
        <v>89.061918618618606</v>
      </c>
    </row>
    <row r="445" spans="1:5" hidden="1" x14ac:dyDescent="0.25">
      <c r="A445">
        <v>10</v>
      </c>
      <c r="B445">
        <v>40</v>
      </c>
      <c r="C445" t="s">
        <v>9</v>
      </c>
      <c r="D445" t="s">
        <v>40</v>
      </c>
      <c r="E445">
        <f t="shared" ca="1" si="6"/>
        <v>90.178928485125738</v>
      </c>
    </row>
    <row r="446" spans="1:5" hidden="1" x14ac:dyDescent="0.25">
      <c r="A446">
        <v>11</v>
      </c>
      <c r="B446">
        <v>1</v>
      </c>
      <c r="C446" t="s">
        <v>10</v>
      </c>
      <c r="D446" t="s">
        <v>0</v>
      </c>
      <c r="E446">
        <f t="shared" ca="1" si="6"/>
        <v>61.483080846471466</v>
      </c>
    </row>
    <row r="447" spans="1:5" hidden="1" x14ac:dyDescent="0.25">
      <c r="A447">
        <v>11</v>
      </c>
      <c r="B447">
        <v>2</v>
      </c>
      <c r="C447" t="s">
        <v>10</v>
      </c>
      <c r="D447" t="s">
        <v>1</v>
      </c>
      <c r="E447">
        <f t="shared" ca="1" si="6"/>
        <v>61.860858624249239</v>
      </c>
    </row>
    <row r="448" spans="1:5" hidden="1" x14ac:dyDescent="0.25">
      <c r="A448">
        <v>11</v>
      </c>
      <c r="B448">
        <v>3</v>
      </c>
      <c r="C448" t="s">
        <v>10</v>
      </c>
      <c r="D448" t="s">
        <v>2</v>
      </c>
      <c r="E448">
        <f t="shared" ca="1" si="6"/>
        <v>60.697962201459269</v>
      </c>
    </row>
    <row r="449" spans="1:5" hidden="1" x14ac:dyDescent="0.25">
      <c r="A449">
        <v>11</v>
      </c>
      <c r="B449">
        <v>4</v>
      </c>
      <c r="C449" t="s">
        <v>10</v>
      </c>
      <c r="D449" t="s">
        <v>3</v>
      </c>
      <c r="E449">
        <f t="shared" ca="1" si="6"/>
        <v>76.857317485454203</v>
      </c>
    </row>
    <row r="450" spans="1:5" hidden="1" x14ac:dyDescent="0.25">
      <c r="A450">
        <v>11</v>
      </c>
      <c r="B450">
        <v>5</v>
      </c>
      <c r="C450" t="s">
        <v>10</v>
      </c>
      <c r="D450" t="s">
        <v>4</v>
      </c>
      <c r="E450">
        <f t="shared" ca="1" si="6"/>
        <v>79.545309725741376</v>
      </c>
    </row>
    <row r="451" spans="1:5" hidden="1" x14ac:dyDescent="0.25">
      <c r="A451">
        <v>11</v>
      </c>
      <c r="B451">
        <v>6</v>
      </c>
      <c r="C451" t="s">
        <v>10</v>
      </c>
      <c r="D451" t="s">
        <v>5</v>
      </c>
      <c r="E451">
        <f t="shared" ca="1" si="6"/>
        <v>82.089754170185813</v>
      </c>
    </row>
    <row r="452" spans="1:5" hidden="1" x14ac:dyDescent="0.25">
      <c r="A452">
        <v>11</v>
      </c>
      <c r="B452">
        <v>7</v>
      </c>
      <c r="C452" t="s">
        <v>10</v>
      </c>
      <c r="D452" t="s">
        <v>6</v>
      </c>
      <c r="E452">
        <f t="shared" ca="1" si="6"/>
        <v>79.984198614630259</v>
      </c>
    </row>
    <row r="453" spans="1:5" hidden="1" x14ac:dyDescent="0.25">
      <c r="A453">
        <v>11</v>
      </c>
      <c r="B453">
        <v>8</v>
      </c>
      <c r="C453" t="s">
        <v>10</v>
      </c>
      <c r="D453" t="s">
        <v>7</v>
      </c>
      <c r="E453">
        <f t="shared" ca="1" si="6"/>
        <v>77.010650818787525</v>
      </c>
    </row>
    <row r="454" spans="1:5" hidden="1" x14ac:dyDescent="0.25">
      <c r="A454">
        <v>11</v>
      </c>
      <c r="B454">
        <v>9</v>
      </c>
      <c r="C454" t="s">
        <v>10</v>
      </c>
      <c r="D454" t="s">
        <v>148</v>
      </c>
      <c r="E454">
        <f t="shared" ca="1" si="6"/>
        <v>63.944191957582575</v>
      </c>
    </row>
    <row r="455" spans="1:5" hidden="1" x14ac:dyDescent="0.25">
      <c r="A455">
        <v>11</v>
      </c>
      <c r="B455">
        <v>10</v>
      </c>
      <c r="C455" t="s">
        <v>10</v>
      </c>
      <c r="D455" t="s">
        <v>9</v>
      </c>
      <c r="E455">
        <f t="shared" ca="1" si="6"/>
        <v>80.533087503519155</v>
      </c>
    </row>
    <row r="456" spans="1:5" hidden="1" x14ac:dyDescent="0.25">
      <c r="A456">
        <v>11</v>
      </c>
      <c r="B456">
        <v>11</v>
      </c>
      <c r="C456" t="s">
        <v>10</v>
      </c>
      <c r="D456" t="s">
        <v>10</v>
      </c>
      <c r="E456">
        <f t="shared" ca="1" si="6"/>
        <v>0</v>
      </c>
    </row>
    <row r="457" spans="1:5" hidden="1" x14ac:dyDescent="0.25">
      <c r="A457">
        <v>11</v>
      </c>
      <c r="B457">
        <v>12</v>
      </c>
      <c r="C457" t="s">
        <v>10</v>
      </c>
      <c r="D457" t="s">
        <v>11</v>
      </c>
      <c r="E457">
        <f t="shared" ca="1" si="6"/>
        <v>28.369068842524165</v>
      </c>
    </row>
    <row r="458" spans="1:5" hidden="1" x14ac:dyDescent="0.25">
      <c r="A458">
        <v>11</v>
      </c>
      <c r="B458">
        <v>13</v>
      </c>
      <c r="C458" t="s">
        <v>10</v>
      </c>
      <c r="D458" t="s">
        <v>12</v>
      </c>
      <c r="E458">
        <f t="shared" ca="1" si="6"/>
        <v>37.194639850788285</v>
      </c>
    </row>
    <row r="459" spans="1:5" hidden="1" x14ac:dyDescent="0.25">
      <c r="A459">
        <v>11</v>
      </c>
      <c r="B459">
        <v>14</v>
      </c>
      <c r="C459" t="s">
        <v>10</v>
      </c>
      <c r="D459" t="s">
        <v>13</v>
      </c>
      <c r="E459">
        <f t="shared" ca="1" si="6"/>
        <v>36.696862073010507</v>
      </c>
    </row>
    <row r="460" spans="1:5" hidden="1" x14ac:dyDescent="0.25">
      <c r="A460">
        <v>11</v>
      </c>
      <c r="B460">
        <v>15</v>
      </c>
      <c r="C460" t="s">
        <v>10</v>
      </c>
      <c r="D460" t="s">
        <v>14</v>
      </c>
      <c r="E460">
        <f t="shared" ca="1" si="6"/>
        <v>76.217467975788296</v>
      </c>
    </row>
    <row r="461" spans="1:5" hidden="1" x14ac:dyDescent="0.25">
      <c r="A461">
        <v>11</v>
      </c>
      <c r="B461">
        <v>16</v>
      </c>
      <c r="C461" t="s">
        <v>10</v>
      </c>
      <c r="D461" t="s">
        <v>15</v>
      </c>
      <c r="E461">
        <f t="shared" ca="1" si="6"/>
        <v>69.218133076435819</v>
      </c>
    </row>
    <row r="462" spans="1:5" hidden="1" x14ac:dyDescent="0.25">
      <c r="A462">
        <v>11</v>
      </c>
      <c r="B462">
        <v>17</v>
      </c>
      <c r="C462" t="s">
        <v>10</v>
      </c>
      <c r="D462" t="s">
        <v>16</v>
      </c>
      <c r="E462">
        <f t="shared" ca="1" si="6"/>
        <v>53.205553966075449</v>
      </c>
    </row>
    <row r="463" spans="1:5" hidden="1" x14ac:dyDescent="0.25">
      <c r="A463">
        <v>11</v>
      </c>
      <c r="B463">
        <v>18</v>
      </c>
      <c r="C463" t="s">
        <v>10</v>
      </c>
      <c r="D463" t="s">
        <v>17</v>
      </c>
      <c r="E463">
        <f t="shared" ca="1" si="6"/>
        <v>69.683688631991373</v>
      </c>
    </row>
    <row r="464" spans="1:5" hidden="1" x14ac:dyDescent="0.25">
      <c r="A464">
        <v>11</v>
      </c>
      <c r="B464">
        <v>19</v>
      </c>
      <c r="C464" t="s">
        <v>10</v>
      </c>
      <c r="D464" t="s">
        <v>18</v>
      </c>
      <c r="E464">
        <f t="shared" ca="1" si="6"/>
        <v>54.486137466568131</v>
      </c>
    </row>
    <row r="465" spans="1:5" hidden="1" x14ac:dyDescent="0.25">
      <c r="A465">
        <v>11</v>
      </c>
      <c r="B465">
        <v>20</v>
      </c>
      <c r="C465" t="s">
        <v>10</v>
      </c>
      <c r="D465" t="s">
        <v>19</v>
      </c>
      <c r="E465">
        <f t="shared" ca="1" si="6"/>
        <v>59.122341708896386</v>
      </c>
    </row>
    <row r="466" spans="1:5" hidden="1" x14ac:dyDescent="0.25">
      <c r="A466">
        <v>11</v>
      </c>
      <c r="B466">
        <v>21</v>
      </c>
      <c r="C466" t="s">
        <v>10</v>
      </c>
      <c r="D466" t="s">
        <v>20</v>
      </c>
      <c r="E466">
        <f t="shared" ca="1" si="6"/>
        <v>61.36723400255724</v>
      </c>
    </row>
    <row r="467" spans="1:5" hidden="1" x14ac:dyDescent="0.25">
      <c r="A467">
        <v>11</v>
      </c>
      <c r="B467">
        <v>22</v>
      </c>
      <c r="C467" t="s">
        <v>10</v>
      </c>
      <c r="D467" t="s">
        <v>21</v>
      </c>
      <c r="E467">
        <f t="shared" ca="1" si="6"/>
        <v>51.314900956620683</v>
      </c>
    </row>
    <row r="468" spans="1:5" hidden="1" x14ac:dyDescent="0.25">
      <c r="A468">
        <v>11</v>
      </c>
      <c r="B468">
        <v>23</v>
      </c>
      <c r="C468" t="s">
        <v>10</v>
      </c>
      <c r="D468" t="s">
        <v>22</v>
      </c>
      <c r="E468">
        <f t="shared" ca="1" si="6"/>
        <v>49.018702145504875</v>
      </c>
    </row>
    <row r="469" spans="1:5" hidden="1" x14ac:dyDescent="0.25">
      <c r="A469">
        <v>11</v>
      </c>
      <c r="B469">
        <v>24</v>
      </c>
      <c r="C469" t="s">
        <v>10</v>
      </c>
      <c r="D469" t="s">
        <v>23</v>
      </c>
      <c r="E469">
        <f t="shared" ca="1" si="6"/>
        <v>48.307591034393766</v>
      </c>
    </row>
    <row r="470" spans="1:5" hidden="1" x14ac:dyDescent="0.25">
      <c r="A470">
        <v>11</v>
      </c>
      <c r="B470">
        <v>25</v>
      </c>
      <c r="C470" t="s">
        <v>10</v>
      </c>
      <c r="D470" t="s">
        <v>24</v>
      </c>
      <c r="E470">
        <f t="shared" ca="1" si="6"/>
        <v>46.968702145504878</v>
      </c>
    </row>
    <row r="471" spans="1:5" hidden="1" x14ac:dyDescent="0.25">
      <c r="A471">
        <v>11</v>
      </c>
      <c r="B471">
        <v>26</v>
      </c>
      <c r="C471" t="s">
        <v>10</v>
      </c>
      <c r="D471" t="s">
        <v>25</v>
      </c>
      <c r="E471">
        <f t="shared" ca="1" si="6"/>
        <v>78.916356864677184</v>
      </c>
    </row>
    <row r="472" spans="1:5" hidden="1" x14ac:dyDescent="0.25">
      <c r="A472">
        <v>11</v>
      </c>
      <c r="B472">
        <v>27</v>
      </c>
      <c r="C472" t="s">
        <v>10</v>
      </c>
      <c r="D472" t="s">
        <v>145</v>
      </c>
      <c r="E472">
        <f t="shared" ca="1" si="6"/>
        <v>60.569008375563058</v>
      </c>
    </row>
    <row r="473" spans="1:5" hidden="1" x14ac:dyDescent="0.25">
      <c r="A473">
        <v>11</v>
      </c>
      <c r="B473">
        <v>28</v>
      </c>
      <c r="C473" t="s">
        <v>10</v>
      </c>
      <c r="D473" t="s">
        <v>147</v>
      </c>
      <c r="E473">
        <f t="shared" ca="1" si="6"/>
        <v>51.759345401065133</v>
      </c>
    </row>
    <row r="474" spans="1:5" hidden="1" x14ac:dyDescent="0.25">
      <c r="A474">
        <v>11</v>
      </c>
      <c r="B474">
        <v>29</v>
      </c>
      <c r="C474" t="s">
        <v>10</v>
      </c>
      <c r="D474" t="s">
        <v>146</v>
      </c>
      <c r="E474">
        <f t="shared" ca="1" si="6"/>
        <v>47.496479923282649</v>
      </c>
    </row>
    <row r="475" spans="1:5" hidden="1" x14ac:dyDescent="0.25">
      <c r="A475">
        <v>11</v>
      </c>
      <c r="B475">
        <v>30</v>
      </c>
      <c r="C475" t="s">
        <v>10</v>
      </c>
      <c r="D475" t="s">
        <v>30</v>
      </c>
      <c r="E475">
        <f t="shared" ca="1" si="6"/>
        <v>78.112873041009749</v>
      </c>
    </row>
    <row r="476" spans="1:5" hidden="1" x14ac:dyDescent="0.25">
      <c r="A476">
        <v>11</v>
      </c>
      <c r="B476">
        <v>31</v>
      </c>
      <c r="C476" t="s">
        <v>10</v>
      </c>
      <c r="D476" t="s">
        <v>31</v>
      </c>
      <c r="E476">
        <f t="shared" ca="1" si="6"/>
        <v>76.582949318459086</v>
      </c>
    </row>
    <row r="477" spans="1:5" hidden="1" x14ac:dyDescent="0.25">
      <c r="A477">
        <v>11</v>
      </c>
      <c r="B477">
        <v>32</v>
      </c>
      <c r="C477" t="s">
        <v>10</v>
      </c>
      <c r="D477" t="s">
        <v>32</v>
      </c>
      <c r="E477">
        <f t="shared" ca="1" si="6"/>
        <v>75.275171540681313</v>
      </c>
    </row>
    <row r="478" spans="1:5" hidden="1" x14ac:dyDescent="0.25">
      <c r="A478">
        <v>11</v>
      </c>
      <c r="B478">
        <v>33</v>
      </c>
      <c r="C478" t="s">
        <v>10</v>
      </c>
      <c r="D478" t="s">
        <v>33</v>
      </c>
      <c r="E478">
        <f t="shared" ca="1" si="6"/>
        <v>61.741943758211335</v>
      </c>
    </row>
    <row r="479" spans="1:5" hidden="1" x14ac:dyDescent="0.25">
      <c r="A479">
        <v>11</v>
      </c>
      <c r="B479">
        <v>34</v>
      </c>
      <c r="C479" t="s">
        <v>10</v>
      </c>
      <c r="D479" t="s">
        <v>34</v>
      </c>
      <c r="E479">
        <f t="shared" ca="1" si="6"/>
        <v>62.666388202655774</v>
      </c>
    </row>
    <row r="480" spans="1:5" hidden="1" x14ac:dyDescent="0.25">
      <c r="A480">
        <v>11</v>
      </c>
      <c r="B480">
        <v>35</v>
      </c>
      <c r="C480" t="s">
        <v>10</v>
      </c>
      <c r="D480" t="s">
        <v>35</v>
      </c>
      <c r="E480">
        <f t="shared" ca="1" si="6"/>
        <v>62.103080846471464</v>
      </c>
    </row>
    <row r="481" spans="1:5" hidden="1" x14ac:dyDescent="0.25">
      <c r="A481">
        <v>11</v>
      </c>
      <c r="B481">
        <v>36</v>
      </c>
      <c r="C481" t="s">
        <v>10</v>
      </c>
      <c r="D481" t="s">
        <v>36</v>
      </c>
      <c r="E481">
        <f t="shared" ca="1" si="6"/>
        <v>0</v>
      </c>
    </row>
    <row r="482" spans="1:5" hidden="1" x14ac:dyDescent="0.25">
      <c r="A482">
        <v>11</v>
      </c>
      <c r="B482">
        <v>37</v>
      </c>
      <c r="C482" t="s">
        <v>10</v>
      </c>
      <c r="D482" t="s">
        <v>37</v>
      </c>
      <c r="E482">
        <f t="shared" ca="1" si="6"/>
        <v>34.54916179998358</v>
      </c>
    </row>
    <row r="483" spans="1:5" hidden="1" x14ac:dyDescent="0.25">
      <c r="A483">
        <v>11</v>
      </c>
      <c r="B483">
        <v>38</v>
      </c>
      <c r="C483" t="s">
        <v>10</v>
      </c>
      <c r="D483" t="s">
        <v>38</v>
      </c>
      <c r="E483">
        <f t="shared" ca="1" si="6"/>
        <v>0</v>
      </c>
    </row>
    <row r="484" spans="1:5" hidden="1" x14ac:dyDescent="0.25">
      <c r="A484">
        <v>11</v>
      </c>
      <c r="B484">
        <v>39</v>
      </c>
      <c r="C484" t="s">
        <v>10</v>
      </c>
      <c r="D484" t="s">
        <v>39</v>
      </c>
      <c r="E484">
        <f t="shared" ref="E484:E546" ca="1" si="7">OFFSET($B$3,A484,B484)</f>
        <v>31.063918917745873</v>
      </c>
    </row>
    <row r="485" spans="1:5" hidden="1" x14ac:dyDescent="0.25">
      <c r="A485">
        <v>11</v>
      </c>
      <c r="B485">
        <v>40</v>
      </c>
      <c r="C485" t="s">
        <v>10</v>
      </c>
      <c r="D485" t="s">
        <v>40</v>
      </c>
      <c r="E485">
        <f t="shared" ca="1" si="7"/>
        <v>33.949161799983578</v>
      </c>
    </row>
    <row r="486" spans="1:5" hidden="1" x14ac:dyDescent="0.25">
      <c r="A486">
        <v>12</v>
      </c>
      <c r="B486">
        <v>1</v>
      </c>
      <c r="C486" t="s">
        <v>11</v>
      </c>
      <c r="D486" t="s">
        <v>0</v>
      </c>
      <c r="E486">
        <f t="shared" ca="1" si="7"/>
        <v>56.839622299056863</v>
      </c>
    </row>
    <row r="487" spans="1:5" hidden="1" x14ac:dyDescent="0.25">
      <c r="A487">
        <v>12</v>
      </c>
      <c r="B487">
        <v>2</v>
      </c>
      <c r="C487" t="s">
        <v>11</v>
      </c>
      <c r="D487" t="s">
        <v>1</v>
      </c>
      <c r="E487">
        <f t="shared" ca="1" si="7"/>
        <v>57.217400076834643</v>
      </c>
    </row>
    <row r="488" spans="1:5" hidden="1" x14ac:dyDescent="0.25">
      <c r="A488">
        <v>12</v>
      </c>
      <c r="B488">
        <v>3</v>
      </c>
      <c r="C488" t="s">
        <v>11</v>
      </c>
      <c r="D488" t="s">
        <v>2</v>
      </c>
      <c r="E488">
        <f t="shared" ca="1" si="7"/>
        <v>56.635189060153905</v>
      </c>
    </row>
    <row r="489" spans="1:5" hidden="1" x14ac:dyDescent="0.25">
      <c r="A489">
        <v>12</v>
      </c>
      <c r="B489">
        <v>4</v>
      </c>
      <c r="C489" t="s">
        <v>11</v>
      </c>
      <c r="D489" t="s">
        <v>3</v>
      </c>
      <c r="E489">
        <f t="shared" ca="1" si="7"/>
        <v>71.697890821485544</v>
      </c>
    </row>
    <row r="490" spans="1:5" hidden="1" x14ac:dyDescent="0.25">
      <c r="A490">
        <v>12</v>
      </c>
      <c r="B490">
        <v>5</v>
      </c>
      <c r="C490" t="s">
        <v>11</v>
      </c>
      <c r="D490" t="s">
        <v>4</v>
      </c>
      <c r="E490">
        <f t="shared" ca="1" si="7"/>
        <v>73.982994944162911</v>
      </c>
    </row>
    <row r="491" spans="1:5" hidden="1" x14ac:dyDescent="0.25">
      <c r="A491">
        <v>12</v>
      </c>
      <c r="B491">
        <v>6</v>
      </c>
      <c r="C491" t="s">
        <v>11</v>
      </c>
      <c r="D491" t="s">
        <v>5</v>
      </c>
      <c r="E491">
        <f t="shared" ca="1" si="7"/>
        <v>76.527439388607348</v>
      </c>
    </row>
    <row r="492" spans="1:5" hidden="1" x14ac:dyDescent="0.25">
      <c r="A492">
        <v>12</v>
      </c>
      <c r="B492">
        <v>7</v>
      </c>
      <c r="C492" t="s">
        <v>11</v>
      </c>
      <c r="D492" t="s">
        <v>6</v>
      </c>
      <c r="E492">
        <f t="shared" ca="1" si="7"/>
        <v>74.421883833051794</v>
      </c>
    </row>
    <row r="493" spans="1:5" hidden="1" x14ac:dyDescent="0.25">
      <c r="A493">
        <v>12</v>
      </c>
      <c r="B493">
        <v>8</v>
      </c>
      <c r="C493" t="s">
        <v>11</v>
      </c>
      <c r="D493" t="s">
        <v>7</v>
      </c>
      <c r="E493">
        <f t="shared" ca="1" si="7"/>
        <v>71.85122415481888</v>
      </c>
    </row>
    <row r="494" spans="1:5" hidden="1" x14ac:dyDescent="0.25">
      <c r="A494">
        <v>12</v>
      </c>
      <c r="B494">
        <v>9</v>
      </c>
      <c r="C494" t="s">
        <v>11</v>
      </c>
      <c r="D494" t="s">
        <v>148</v>
      </c>
      <c r="E494">
        <f t="shared" ca="1" si="7"/>
        <v>59.300733410167979</v>
      </c>
    </row>
    <row r="495" spans="1:5" hidden="1" x14ac:dyDescent="0.25">
      <c r="A495">
        <v>12</v>
      </c>
      <c r="B495">
        <v>10</v>
      </c>
      <c r="C495" t="s">
        <v>11</v>
      </c>
      <c r="D495" t="s">
        <v>9</v>
      </c>
      <c r="E495">
        <f t="shared" ca="1" si="7"/>
        <v>74.970772721940676</v>
      </c>
    </row>
    <row r="496" spans="1:5" hidden="1" x14ac:dyDescent="0.25">
      <c r="A496">
        <v>12</v>
      </c>
      <c r="B496">
        <v>11</v>
      </c>
      <c r="C496" t="s">
        <v>11</v>
      </c>
      <c r="D496" t="s">
        <v>10</v>
      </c>
      <c r="E496">
        <f t="shared" ca="1" si="7"/>
        <v>28.369068842524165</v>
      </c>
    </row>
    <row r="497" spans="1:5" hidden="1" x14ac:dyDescent="0.25">
      <c r="A497">
        <v>12</v>
      </c>
      <c r="B497">
        <v>12</v>
      </c>
      <c r="C497" t="s">
        <v>11</v>
      </c>
      <c r="D497" t="s">
        <v>11</v>
      </c>
      <c r="E497">
        <f t="shared" ca="1" si="7"/>
        <v>0</v>
      </c>
    </row>
    <row r="498" spans="1:5" hidden="1" x14ac:dyDescent="0.25">
      <c r="A498">
        <v>12</v>
      </c>
      <c r="B498">
        <v>13</v>
      </c>
      <c r="C498" t="s">
        <v>11</v>
      </c>
      <c r="D498" t="s">
        <v>12</v>
      </c>
      <c r="E498">
        <f t="shared" ca="1" si="7"/>
        <v>31.719510719459695</v>
      </c>
    </row>
    <row r="499" spans="1:5" hidden="1" x14ac:dyDescent="0.25">
      <c r="A499">
        <v>12</v>
      </c>
      <c r="B499">
        <v>14</v>
      </c>
      <c r="C499" t="s">
        <v>11</v>
      </c>
      <c r="D499" t="s">
        <v>13</v>
      </c>
      <c r="E499">
        <f t="shared" ca="1" si="7"/>
        <v>31.221732941681918</v>
      </c>
    </row>
    <row r="500" spans="1:5" hidden="1" x14ac:dyDescent="0.25">
      <c r="A500">
        <v>12</v>
      </c>
      <c r="B500">
        <v>15</v>
      </c>
      <c r="C500" t="s">
        <v>11</v>
      </c>
      <c r="D500" t="s">
        <v>14</v>
      </c>
      <c r="E500">
        <f t="shared" ca="1" si="7"/>
        <v>84.36148775924363</v>
      </c>
    </row>
    <row r="501" spans="1:5" hidden="1" x14ac:dyDescent="0.25">
      <c r="A501">
        <v>12</v>
      </c>
      <c r="B501">
        <v>16</v>
      </c>
      <c r="C501" t="s">
        <v>11</v>
      </c>
      <c r="D501" t="s">
        <v>15</v>
      </c>
      <c r="E501">
        <f t="shared" ca="1" si="7"/>
        <v>79.004965782188449</v>
      </c>
    </row>
    <row r="502" spans="1:5" hidden="1" x14ac:dyDescent="0.25">
      <c r="A502">
        <v>12</v>
      </c>
      <c r="B502">
        <v>17</v>
      </c>
      <c r="C502" t="s">
        <v>11</v>
      </c>
      <c r="D502" t="s">
        <v>16</v>
      </c>
      <c r="E502">
        <f t="shared" ca="1" si="7"/>
        <v>74.397439388607353</v>
      </c>
    </row>
    <row r="503" spans="1:5" hidden="1" x14ac:dyDescent="0.25">
      <c r="A503">
        <v>12</v>
      </c>
      <c r="B503">
        <v>18</v>
      </c>
      <c r="C503" t="s">
        <v>11</v>
      </c>
      <c r="D503" t="s">
        <v>17</v>
      </c>
      <c r="E503">
        <f t="shared" ca="1" si="7"/>
        <v>79.470521337744003</v>
      </c>
    </row>
    <row r="504" spans="1:5" hidden="1" x14ac:dyDescent="0.25">
      <c r="A504">
        <v>12</v>
      </c>
      <c r="B504">
        <v>19</v>
      </c>
      <c r="C504" t="s">
        <v>11</v>
      </c>
      <c r="D504" t="s">
        <v>18</v>
      </c>
      <c r="E504">
        <f t="shared" ca="1" si="7"/>
        <v>49.373361685904655</v>
      </c>
    </row>
    <row r="505" spans="1:5" hidden="1" x14ac:dyDescent="0.25">
      <c r="A505">
        <v>12</v>
      </c>
      <c r="B505">
        <v>20</v>
      </c>
      <c r="C505" t="s">
        <v>11</v>
      </c>
      <c r="D505" t="s">
        <v>19</v>
      </c>
      <c r="E505">
        <f t="shared" ca="1" si="7"/>
        <v>50.67724412009666</v>
      </c>
    </row>
    <row r="506" spans="1:5" hidden="1" x14ac:dyDescent="0.25">
      <c r="A506">
        <v>12</v>
      </c>
      <c r="B506">
        <v>21</v>
      </c>
      <c r="C506" t="s">
        <v>11</v>
      </c>
      <c r="D506" t="s">
        <v>20</v>
      </c>
      <c r="E506">
        <f t="shared" ca="1" si="7"/>
        <v>52.023897094359981</v>
      </c>
    </row>
    <row r="507" spans="1:5" hidden="1" x14ac:dyDescent="0.25">
      <c r="A507">
        <v>12</v>
      </c>
      <c r="B507">
        <v>22</v>
      </c>
      <c r="C507" t="s">
        <v>11</v>
      </c>
      <c r="D507" t="s">
        <v>21</v>
      </c>
      <c r="E507">
        <f t="shared" ca="1" si="7"/>
        <v>61.686316997994091</v>
      </c>
    </row>
    <row r="508" spans="1:5" hidden="1" x14ac:dyDescent="0.25">
      <c r="A508">
        <v>12</v>
      </c>
      <c r="B508">
        <v>23</v>
      </c>
      <c r="C508" t="s">
        <v>11</v>
      </c>
      <c r="D508" t="s">
        <v>22</v>
      </c>
      <c r="E508">
        <f t="shared" ca="1" si="7"/>
        <v>39.679240144930084</v>
      </c>
    </row>
    <row r="509" spans="1:5" hidden="1" x14ac:dyDescent="0.25">
      <c r="A509">
        <v>12</v>
      </c>
      <c r="B509">
        <v>24</v>
      </c>
      <c r="C509" t="s">
        <v>11</v>
      </c>
      <c r="D509" t="s">
        <v>23</v>
      </c>
      <c r="E509">
        <f t="shared" ca="1" si="7"/>
        <v>38.968129033818968</v>
      </c>
    </row>
    <row r="510" spans="1:5" hidden="1" x14ac:dyDescent="0.25">
      <c r="A510">
        <v>12</v>
      </c>
      <c r="B510">
        <v>25</v>
      </c>
      <c r="C510" t="s">
        <v>11</v>
      </c>
      <c r="D510" t="s">
        <v>24</v>
      </c>
      <c r="E510">
        <f t="shared" ca="1" si="7"/>
        <v>37.62924014493008</v>
      </c>
    </row>
    <row r="511" spans="1:5" hidden="1" x14ac:dyDescent="0.25">
      <c r="A511">
        <v>12</v>
      </c>
      <c r="B511">
        <v>26</v>
      </c>
      <c r="C511" t="s">
        <v>11</v>
      </c>
      <c r="D511" t="s">
        <v>25</v>
      </c>
      <c r="E511">
        <f t="shared" ca="1" si="7"/>
        <v>87.060376648132518</v>
      </c>
    </row>
    <row r="512" spans="1:5" hidden="1" x14ac:dyDescent="0.25">
      <c r="A512">
        <v>12</v>
      </c>
      <c r="B512">
        <v>27</v>
      </c>
      <c r="C512" t="s">
        <v>11</v>
      </c>
      <c r="D512" t="s">
        <v>145</v>
      </c>
      <c r="E512">
        <f t="shared" ca="1" si="7"/>
        <v>52.123910786763325</v>
      </c>
    </row>
    <row r="513" spans="1:5" hidden="1" x14ac:dyDescent="0.25">
      <c r="A513">
        <v>12</v>
      </c>
      <c r="B513">
        <v>28</v>
      </c>
      <c r="C513" t="s">
        <v>11</v>
      </c>
      <c r="D513" t="s">
        <v>147</v>
      </c>
      <c r="E513">
        <f t="shared" ca="1" si="7"/>
        <v>62.130761442438533</v>
      </c>
    </row>
    <row r="514" spans="1:5" hidden="1" x14ac:dyDescent="0.25">
      <c r="A514">
        <v>12</v>
      </c>
      <c r="B514">
        <v>29</v>
      </c>
      <c r="C514" t="s">
        <v>11</v>
      </c>
      <c r="D514" t="s">
        <v>146</v>
      </c>
      <c r="E514">
        <f t="shared" ca="1" si="7"/>
        <v>38.157017922707858</v>
      </c>
    </row>
    <row r="515" spans="1:5" hidden="1" x14ac:dyDescent="0.25">
      <c r="A515">
        <v>12</v>
      </c>
      <c r="B515">
        <v>30</v>
      </c>
      <c r="C515" t="s">
        <v>11</v>
      </c>
      <c r="D515" t="s">
        <v>30</v>
      </c>
      <c r="E515">
        <f t="shared" ca="1" si="7"/>
        <v>72.953446377041104</v>
      </c>
    </row>
    <row r="516" spans="1:5" hidden="1" x14ac:dyDescent="0.25">
      <c r="A516">
        <v>12</v>
      </c>
      <c r="B516">
        <v>31</v>
      </c>
      <c r="C516" t="s">
        <v>11</v>
      </c>
      <c r="D516" t="s">
        <v>31</v>
      </c>
      <c r="E516">
        <f t="shared" ca="1" si="7"/>
        <v>72.067001460444814</v>
      </c>
    </row>
    <row r="517" spans="1:5" hidden="1" x14ac:dyDescent="0.25">
      <c r="A517">
        <v>12</v>
      </c>
      <c r="B517">
        <v>32</v>
      </c>
      <c r="C517" t="s">
        <v>11</v>
      </c>
      <c r="D517" t="s">
        <v>32</v>
      </c>
      <c r="E517">
        <f t="shared" ca="1" si="7"/>
        <v>70.759223682667042</v>
      </c>
    </row>
    <row r="518" spans="1:5" hidden="1" x14ac:dyDescent="0.25">
      <c r="A518">
        <v>12</v>
      </c>
      <c r="B518">
        <v>33</v>
      </c>
      <c r="C518" t="s">
        <v>11</v>
      </c>
      <c r="D518" t="s">
        <v>33</v>
      </c>
      <c r="E518">
        <f t="shared" ca="1" si="7"/>
        <v>56.232119211007877</v>
      </c>
    </row>
    <row r="519" spans="1:5" hidden="1" x14ac:dyDescent="0.25">
      <c r="A519">
        <v>12</v>
      </c>
      <c r="B519">
        <v>34</v>
      </c>
      <c r="C519" t="s">
        <v>11</v>
      </c>
      <c r="D519" t="s">
        <v>34</v>
      </c>
      <c r="E519">
        <f t="shared" ca="1" si="7"/>
        <v>57.156563655452324</v>
      </c>
    </row>
    <row r="520" spans="1:5" hidden="1" x14ac:dyDescent="0.25">
      <c r="A520">
        <v>12</v>
      </c>
      <c r="B520">
        <v>35</v>
      </c>
      <c r="C520" t="s">
        <v>11</v>
      </c>
      <c r="D520" t="s">
        <v>35</v>
      </c>
      <c r="E520">
        <f t="shared" ca="1" si="7"/>
        <v>57.459622299056868</v>
      </c>
    </row>
    <row r="521" spans="1:5" hidden="1" x14ac:dyDescent="0.25">
      <c r="A521">
        <v>12</v>
      </c>
      <c r="B521">
        <v>36</v>
      </c>
      <c r="C521" t="s">
        <v>11</v>
      </c>
      <c r="D521" t="s">
        <v>36</v>
      </c>
      <c r="E521">
        <f t="shared" ca="1" si="7"/>
        <v>28.378812216269008</v>
      </c>
    </row>
    <row r="522" spans="1:5" hidden="1" x14ac:dyDescent="0.25">
      <c r="A522">
        <v>12</v>
      </c>
      <c r="B522">
        <v>37</v>
      </c>
      <c r="C522" t="s">
        <v>11</v>
      </c>
      <c r="D522" t="s">
        <v>37</v>
      </c>
      <c r="E522">
        <f t="shared" ca="1" si="7"/>
        <v>40.555188476562492</v>
      </c>
    </row>
    <row r="523" spans="1:5" hidden="1" x14ac:dyDescent="0.25">
      <c r="A523">
        <v>12</v>
      </c>
      <c r="B523">
        <v>38</v>
      </c>
      <c r="C523" t="s">
        <v>11</v>
      </c>
      <c r="D523" t="s">
        <v>38</v>
      </c>
      <c r="E523">
        <f t="shared" ca="1" si="7"/>
        <v>28.101034438491229</v>
      </c>
    </row>
    <row r="524" spans="1:5" hidden="1" x14ac:dyDescent="0.25">
      <c r="A524">
        <v>12</v>
      </c>
      <c r="B524">
        <v>39</v>
      </c>
      <c r="C524" t="s">
        <v>11</v>
      </c>
      <c r="D524" t="s">
        <v>39</v>
      </c>
      <c r="E524">
        <f t="shared" ca="1" si="7"/>
        <v>36.62016740158127</v>
      </c>
    </row>
    <row r="525" spans="1:5" hidden="1" x14ac:dyDescent="0.25">
      <c r="A525">
        <v>12</v>
      </c>
      <c r="B525">
        <v>40</v>
      </c>
      <c r="C525" t="s">
        <v>11</v>
      </c>
      <c r="D525" t="s">
        <v>40</v>
      </c>
      <c r="E525">
        <f t="shared" ca="1" si="7"/>
        <v>39.955188476562498</v>
      </c>
    </row>
    <row r="526" spans="1:5" hidden="1" x14ac:dyDescent="0.25">
      <c r="A526">
        <v>13</v>
      </c>
      <c r="B526">
        <v>1</v>
      </c>
      <c r="C526" t="s">
        <v>12</v>
      </c>
      <c r="D526" t="s">
        <v>0</v>
      </c>
      <c r="E526">
        <f t="shared" ca="1" si="7"/>
        <v>53.304349893839145</v>
      </c>
    </row>
    <row r="527" spans="1:5" hidden="1" x14ac:dyDescent="0.25">
      <c r="A527">
        <v>13</v>
      </c>
      <c r="B527">
        <v>2</v>
      </c>
      <c r="C527" t="s">
        <v>12</v>
      </c>
      <c r="D527" t="s">
        <v>1</v>
      </c>
      <c r="E527">
        <f t="shared" ca="1" si="7"/>
        <v>53.682127671616925</v>
      </c>
    </row>
    <row r="528" spans="1:5" hidden="1" x14ac:dyDescent="0.25">
      <c r="A528">
        <v>13</v>
      </c>
      <c r="B528">
        <v>3</v>
      </c>
      <c r="C528" t="s">
        <v>12</v>
      </c>
      <c r="D528" t="s">
        <v>2</v>
      </c>
      <c r="E528">
        <f t="shared" ca="1" si="7"/>
        <v>53.093321330119181</v>
      </c>
    </row>
    <row r="529" spans="1:5" hidden="1" x14ac:dyDescent="0.25">
      <c r="A529">
        <v>13</v>
      </c>
      <c r="B529">
        <v>4</v>
      </c>
      <c r="C529" t="s">
        <v>12</v>
      </c>
      <c r="D529" t="s">
        <v>3</v>
      </c>
      <c r="E529">
        <f t="shared" ca="1" si="7"/>
        <v>67.109263792112415</v>
      </c>
    </row>
    <row r="530" spans="1:5" hidden="1" x14ac:dyDescent="0.25">
      <c r="A530">
        <v>13</v>
      </c>
      <c r="B530">
        <v>5</v>
      </c>
      <c r="C530" t="s">
        <v>12</v>
      </c>
      <c r="D530" t="s">
        <v>4</v>
      </c>
      <c r="E530">
        <f t="shared" ca="1" si="7"/>
        <v>68.950810587931684</v>
      </c>
    </row>
    <row r="531" spans="1:5" hidden="1" x14ac:dyDescent="0.25">
      <c r="A531">
        <v>13</v>
      </c>
      <c r="B531">
        <v>6</v>
      </c>
      <c r="C531" t="s">
        <v>12</v>
      </c>
      <c r="D531" t="s">
        <v>5</v>
      </c>
      <c r="E531">
        <f t="shared" ca="1" si="7"/>
        <v>71.495255032376122</v>
      </c>
    </row>
    <row r="532" spans="1:5" hidden="1" x14ac:dyDescent="0.25">
      <c r="A532">
        <v>13</v>
      </c>
      <c r="B532">
        <v>7</v>
      </c>
      <c r="C532" t="s">
        <v>12</v>
      </c>
      <c r="D532" t="s">
        <v>6</v>
      </c>
      <c r="E532">
        <f t="shared" ca="1" si="7"/>
        <v>69.389699476820567</v>
      </c>
    </row>
    <row r="533" spans="1:5" hidden="1" x14ac:dyDescent="0.25">
      <c r="A533">
        <v>13</v>
      </c>
      <c r="B533">
        <v>8</v>
      </c>
      <c r="C533" t="s">
        <v>12</v>
      </c>
      <c r="D533" t="s">
        <v>7</v>
      </c>
      <c r="E533">
        <f t="shared" ca="1" si="7"/>
        <v>67.262597125445751</v>
      </c>
    </row>
    <row r="534" spans="1:5" hidden="1" x14ac:dyDescent="0.25">
      <c r="A534">
        <v>13</v>
      </c>
      <c r="B534">
        <v>9</v>
      </c>
      <c r="C534" t="s">
        <v>12</v>
      </c>
      <c r="D534" t="s">
        <v>148</v>
      </c>
      <c r="E534">
        <f t="shared" ca="1" si="7"/>
        <v>55.765461004950261</v>
      </c>
    </row>
    <row r="535" spans="1:5" hidden="1" x14ac:dyDescent="0.25">
      <c r="A535">
        <v>13</v>
      </c>
      <c r="B535">
        <v>10</v>
      </c>
      <c r="C535" t="s">
        <v>12</v>
      </c>
      <c r="D535" t="s">
        <v>9</v>
      </c>
      <c r="E535">
        <f t="shared" ca="1" si="7"/>
        <v>69.938588365709464</v>
      </c>
    </row>
    <row r="536" spans="1:5" hidden="1" x14ac:dyDescent="0.25">
      <c r="A536">
        <v>13</v>
      </c>
      <c r="B536">
        <v>11</v>
      </c>
      <c r="C536" t="s">
        <v>12</v>
      </c>
      <c r="D536" t="s">
        <v>10</v>
      </c>
      <c r="E536">
        <f t="shared" ca="1" si="7"/>
        <v>37.194639850788285</v>
      </c>
    </row>
    <row r="537" spans="1:5" hidden="1" x14ac:dyDescent="0.25">
      <c r="A537">
        <v>13</v>
      </c>
      <c r="B537">
        <v>12</v>
      </c>
      <c r="C537" t="s">
        <v>12</v>
      </c>
      <c r="D537" t="s">
        <v>11</v>
      </c>
      <c r="E537">
        <f t="shared" ca="1" si="7"/>
        <v>31.719510719459695</v>
      </c>
    </row>
    <row r="538" spans="1:5" hidden="1" x14ac:dyDescent="0.25">
      <c r="A538">
        <v>13</v>
      </c>
      <c r="B538">
        <v>13</v>
      </c>
      <c r="C538" t="s">
        <v>12</v>
      </c>
      <c r="D538" t="s">
        <v>12</v>
      </c>
      <c r="E538">
        <f t="shared" ca="1" si="7"/>
        <v>0</v>
      </c>
    </row>
    <row r="539" spans="1:5" hidden="1" x14ac:dyDescent="0.25">
      <c r="A539">
        <v>13</v>
      </c>
      <c r="B539">
        <v>14</v>
      </c>
      <c r="C539" t="s">
        <v>12</v>
      </c>
      <c r="D539" t="s">
        <v>13</v>
      </c>
      <c r="E539">
        <f t="shared" ca="1" si="7"/>
        <v>0</v>
      </c>
    </row>
    <row r="540" spans="1:5" hidden="1" x14ac:dyDescent="0.25">
      <c r="A540">
        <v>13</v>
      </c>
      <c r="B540">
        <v>15</v>
      </c>
      <c r="C540" t="s">
        <v>12</v>
      </c>
      <c r="D540" t="s">
        <v>14</v>
      </c>
      <c r="E540">
        <f t="shared" ca="1" si="7"/>
        <v>89.801761701154291</v>
      </c>
    </row>
    <row r="541" spans="1:5" hidden="1" x14ac:dyDescent="0.25">
      <c r="A541">
        <v>13</v>
      </c>
      <c r="B541">
        <v>16</v>
      </c>
      <c r="C541" t="s">
        <v>12</v>
      </c>
      <c r="D541" t="s">
        <v>15</v>
      </c>
      <c r="E541">
        <f t="shared" ca="1" si="7"/>
        <v>89.801761701154291</v>
      </c>
    </row>
    <row r="542" spans="1:5" hidden="1" x14ac:dyDescent="0.25">
      <c r="A542">
        <v>13</v>
      </c>
      <c r="B542">
        <v>17</v>
      </c>
      <c r="C542" t="s">
        <v>12</v>
      </c>
      <c r="D542" t="s">
        <v>16</v>
      </c>
      <c r="E542">
        <f t="shared" ca="1" si="7"/>
        <v>71.033282842412717</v>
      </c>
    </row>
    <row r="543" spans="1:5" hidden="1" x14ac:dyDescent="0.25">
      <c r="A543">
        <v>13</v>
      </c>
      <c r="B543">
        <v>18</v>
      </c>
      <c r="C543" t="s">
        <v>12</v>
      </c>
      <c r="D543" t="s">
        <v>17</v>
      </c>
      <c r="E543">
        <f t="shared" ca="1" si="7"/>
        <v>90.267317256709845</v>
      </c>
    </row>
    <row r="544" spans="1:5" hidden="1" x14ac:dyDescent="0.25">
      <c r="A544">
        <v>13</v>
      </c>
      <c r="B544">
        <v>19</v>
      </c>
      <c r="C544" t="s">
        <v>12</v>
      </c>
      <c r="D544" t="s">
        <v>18</v>
      </c>
      <c r="E544">
        <f t="shared" ca="1" si="7"/>
        <v>45.973752058699318</v>
      </c>
    </row>
    <row r="545" spans="1:5" hidden="1" x14ac:dyDescent="0.25">
      <c r="A545">
        <v>13</v>
      </c>
      <c r="B545">
        <v>20</v>
      </c>
      <c r="C545" t="s">
        <v>12</v>
      </c>
      <c r="D545" t="s">
        <v>19</v>
      </c>
      <c r="E545">
        <f t="shared" ca="1" si="7"/>
        <v>44.68574546910191</v>
      </c>
    </row>
    <row r="546" spans="1:5" hidden="1" x14ac:dyDescent="0.25">
      <c r="A546">
        <v>13</v>
      </c>
      <c r="B546">
        <v>21</v>
      </c>
      <c r="C546" t="s">
        <v>12</v>
      </c>
      <c r="D546" t="s">
        <v>20</v>
      </c>
      <c r="E546">
        <f t="shared" ca="1" si="7"/>
        <v>50.207163311749241</v>
      </c>
    </row>
    <row r="547" spans="1:5" hidden="1" x14ac:dyDescent="0.25">
      <c r="A547">
        <v>13</v>
      </c>
      <c r="B547">
        <v>22</v>
      </c>
      <c r="C547" t="s">
        <v>12</v>
      </c>
      <c r="D547" t="s">
        <v>21</v>
      </c>
      <c r="E547">
        <f t="shared" ref="E547:E608" ca="1" si="8">OFFSET($B$3,A547,B547)</f>
        <v>57.086035162573793</v>
      </c>
    </row>
    <row r="548" spans="1:5" hidden="1" x14ac:dyDescent="0.25">
      <c r="A548">
        <v>13</v>
      </c>
      <c r="B548">
        <v>23</v>
      </c>
      <c r="C548" t="s">
        <v>12</v>
      </c>
      <c r="D548" t="s">
        <v>22</v>
      </c>
      <c r="E548">
        <f t="shared" ca="1" si="8"/>
        <v>28.282622065180416</v>
      </c>
    </row>
    <row r="549" spans="1:5" hidden="1" x14ac:dyDescent="0.25">
      <c r="A549">
        <v>13</v>
      </c>
      <c r="B549">
        <v>24</v>
      </c>
      <c r="C549" t="s">
        <v>12</v>
      </c>
      <c r="D549" t="s">
        <v>23</v>
      </c>
      <c r="E549">
        <f t="shared" ca="1" si="8"/>
        <v>27.571510954069304</v>
      </c>
    </row>
    <row r="550" spans="1:5" hidden="1" x14ac:dyDescent="0.25">
      <c r="A550">
        <v>13</v>
      </c>
      <c r="B550">
        <v>25</v>
      </c>
      <c r="C550" t="s">
        <v>12</v>
      </c>
      <c r="D550" t="s">
        <v>24</v>
      </c>
      <c r="E550">
        <f t="shared" ca="1" si="8"/>
        <v>26.232622065180415</v>
      </c>
    </row>
    <row r="551" spans="1:5" hidden="1" x14ac:dyDescent="0.25">
      <c r="A551">
        <v>13</v>
      </c>
      <c r="B551">
        <v>26</v>
      </c>
      <c r="C551" t="s">
        <v>12</v>
      </c>
      <c r="D551" t="s">
        <v>25</v>
      </c>
      <c r="E551">
        <f t="shared" ca="1" si="8"/>
        <v>92.500650590043179</v>
      </c>
    </row>
    <row r="552" spans="1:5" hidden="1" x14ac:dyDescent="0.25">
      <c r="A552">
        <v>13</v>
      </c>
      <c r="B552">
        <v>27</v>
      </c>
      <c r="C552" t="s">
        <v>12</v>
      </c>
      <c r="D552" t="s">
        <v>145</v>
      </c>
      <c r="E552">
        <f t="shared" ca="1" si="8"/>
        <v>46.132412135768575</v>
      </c>
    </row>
    <row r="553" spans="1:5" hidden="1" x14ac:dyDescent="0.25">
      <c r="A553">
        <v>13</v>
      </c>
      <c r="B553">
        <v>28</v>
      </c>
      <c r="C553" t="s">
        <v>12</v>
      </c>
      <c r="D553" t="s">
        <v>147</v>
      </c>
      <c r="E553">
        <f t="shared" ca="1" si="8"/>
        <v>57.530479607018236</v>
      </c>
    </row>
    <row r="554" spans="1:5" hidden="1" x14ac:dyDescent="0.25">
      <c r="A554">
        <v>13</v>
      </c>
      <c r="B554">
        <v>29</v>
      </c>
      <c r="C554" t="s">
        <v>12</v>
      </c>
      <c r="D554" t="s">
        <v>146</v>
      </c>
      <c r="E554">
        <f t="shared" ca="1" si="8"/>
        <v>26.760399842958194</v>
      </c>
    </row>
    <row r="555" spans="1:5" hidden="1" x14ac:dyDescent="0.25">
      <c r="A555">
        <v>13</v>
      </c>
      <c r="B555">
        <v>30</v>
      </c>
      <c r="C555" t="s">
        <v>12</v>
      </c>
      <c r="D555" t="s">
        <v>30</v>
      </c>
      <c r="E555">
        <f t="shared" ca="1" si="8"/>
        <v>72.602831400736676</v>
      </c>
    </row>
    <row r="556" spans="1:5" hidden="1" x14ac:dyDescent="0.25">
      <c r="A556">
        <v>13</v>
      </c>
      <c r="B556">
        <v>31</v>
      </c>
      <c r="C556" t="s">
        <v>12</v>
      </c>
      <c r="D556" t="s">
        <v>31</v>
      </c>
      <c r="E556">
        <f t="shared" ca="1" si="8"/>
        <v>64.481508668825072</v>
      </c>
    </row>
    <row r="557" spans="1:5" hidden="1" x14ac:dyDescent="0.25">
      <c r="A557">
        <v>13</v>
      </c>
      <c r="B557">
        <v>32</v>
      </c>
      <c r="C557" t="s">
        <v>12</v>
      </c>
      <c r="D557" t="s">
        <v>32</v>
      </c>
      <c r="E557">
        <f t="shared" ca="1" si="8"/>
        <v>63.173730891047292</v>
      </c>
    </row>
    <row r="558" spans="1:5" hidden="1" x14ac:dyDescent="0.25">
      <c r="A558">
        <v>13</v>
      </c>
      <c r="B558">
        <v>33</v>
      </c>
      <c r="C558" t="s">
        <v>12</v>
      </c>
      <c r="D558" t="s">
        <v>33</v>
      </c>
      <c r="E558">
        <f t="shared" ca="1" si="8"/>
        <v>55.589655874624619</v>
      </c>
    </row>
    <row r="559" spans="1:5" hidden="1" x14ac:dyDescent="0.25">
      <c r="A559">
        <v>13</v>
      </c>
      <c r="B559">
        <v>34</v>
      </c>
      <c r="C559" t="s">
        <v>12</v>
      </c>
      <c r="D559" t="s">
        <v>34</v>
      </c>
      <c r="E559">
        <f t="shared" ca="1" si="8"/>
        <v>56.514100319069065</v>
      </c>
    </row>
    <row r="560" spans="1:5" hidden="1" x14ac:dyDescent="0.25">
      <c r="A560">
        <v>13</v>
      </c>
      <c r="B560">
        <v>35</v>
      </c>
      <c r="C560" t="s">
        <v>12</v>
      </c>
      <c r="D560" t="s">
        <v>35</v>
      </c>
      <c r="E560">
        <f t="shared" ca="1" si="8"/>
        <v>53.92434989383915</v>
      </c>
    </row>
    <row r="561" spans="1:5" hidden="1" x14ac:dyDescent="0.25">
      <c r="A561">
        <v>13</v>
      </c>
      <c r="B561">
        <v>36</v>
      </c>
      <c r="C561" t="s">
        <v>12</v>
      </c>
      <c r="D561" t="s">
        <v>36</v>
      </c>
      <c r="E561">
        <f t="shared" ca="1" si="8"/>
        <v>40.80063951940221</v>
      </c>
    </row>
    <row r="562" spans="1:5" hidden="1" x14ac:dyDescent="0.25">
      <c r="A562">
        <v>13</v>
      </c>
      <c r="B562">
        <v>37</v>
      </c>
      <c r="C562" t="s">
        <v>12</v>
      </c>
      <c r="D562" t="s">
        <v>37</v>
      </c>
      <c r="E562">
        <f t="shared" ca="1" si="8"/>
        <v>51.502977761941629</v>
      </c>
    </row>
    <row r="563" spans="1:5" hidden="1" x14ac:dyDescent="0.25">
      <c r="A563">
        <v>13</v>
      </c>
      <c r="B563">
        <v>38</v>
      </c>
      <c r="C563" t="s">
        <v>12</v>
      </c>
      <c r="D563" t="s">
        <v>38</v>
      </c>
      <c r="E563">
        <f t="shared" ca="1" si="8"/>
        <v>40.522861741624432</v>
      </c>
    </row>
    <row r="564" spans="1:5" hidden="1" x14ac:dyDescent="0.25">
      <c r="A564">
        <v>13</v>
      </c>
      <c r="B564">
        <v>39</v>
      </c>
      <c r="C564" t="s">
        <v>12</v>
      </c>
      <c r="D564" t="s">
        <v>39</v>
      </c>
      <c r="E564">
        <f t="shared" ca="1" si="8"/>
        <v>54.288357297531903</v>
      </c>
    </row>
    <row r="565" spans="1:5" hidden="1" x14ac:dyDescent="0.25">
      <c r="A565">
        <v>13</v>
      </c>
      <c r="B565">
        <v>40</v>
      </c>
      <c r="C565" t="s">
        <v>12</v>
      </c>
      <c r="D565" t="s">
        <v>40</v>
      </c>
      <c r="E565">
        <f t="shared" ca="1" si="8"/>
        <v>50.902977761941628</v>
      </c>
    </row>
    <row r="566" spans="1:5" hidden="1" x14ac:dyDescent="0.25">
      <c r="A566">
        <v>14</v>
      </c>
      <c r="B566">
        <v>1</v>
      </c>
      <c r="C566" t="s">
        <v>13</v>
      </c>
      <c r="D566" t="s">
        <v>0</v>
      </c>
      <c r="E566">
        <f t="shared" ca="1" si="8"/>
        <v>52.806572116061368</v>
      </c>
    </row>
    <row r="567" spans="1:5" hidden="1" x14ac:dyDescent="0.25">
      <c r="A567">
        <v>14</v>
      </c>
      <c r="B567">
        <v>2</v>
      </c>
      <c r="C567" t="s">
        <v>13</v>
      </c>
      <c r="D567" t="s">
        <v>1</v>
      </c>
      <c r="E567">
        <f t="shared" ca="1" si="8"/>
        <v>53.184349893839148</v>
      </c>
    </row>
    <row r="568" spans="1:5" hidden="1" x14ac:dyDescent="0.25">
      <c r="A568">
        <v>14</v>
      </c>
      <c r="B568">
        <v>3</v>
      </c>
      <c r="C568" t="s">
        <v>13</v>
      </c>
      <c r="D568" t="s">
        <v>2</v>
      </c>
      <c r="E568">
        <f t="shared" ca="1" si="8"/>
        <v>52.595543552341404</v>
      </c>
    </row>
    <row r="569" spans="1:5" hidden="1" x14ac:dyDescent="0.25">
      <c r="A569">
        <v>14</v>
      </c>
      <c r="B569">
        <v>4</v>
      </c>
      <c r="C569" t="s">
        <v>13</v>
      </c>
      <c r="D569" t="s">
        <v>3</v>
      </c>
      <c r="E569">
        <f t="shared" ca="1" si="8"/>
        <v>66.611486014334631</v>
      </c>
    </row>
    <row r="570" spans="1:5" hidden="1" x14ac:dyDescent="0.25">
      <c r="A570">
        <v>14</v>
      </c>
      <c r="B570">
        <v>5</v>
      </c>
      <c r="C570" t="s">
        <v>13</v>
      </c>
      <c r="D570" t="s">
        <v>4</v>
      </c>
      <c r="E570">
        <f t="shared" ca="1" si="8"/>
        <v>68.4530328101539</v>
      </c>
    </row>
    <row r="571" spans="1:5" hidden="1" x14ac:dyDescent="0.25">
      <c r="A571">
        <v>14</v>
      </c>
      <c r="B571">
        <v>6</v>
      </c>
      <c r="C571" t="s">
        <v>13</v>
      </c>
      <c r="D571" t="s">
        <v>5</v>
      </c>
      <c r="E571">
        <f t="shared" ca="1" si="8"/>
        <v>70.997477254598351</v>
      </c>
    </row>
    <row r="572" spans="1:5" hidden="1" x14ac:dyDescent="0.25">
      <c r="A572">
        <v>14</v>
      </c>
      <c r="B572">
        <v>7</v>
      </c>
      <c r="C572" t="s">
        <v>13</v>
      </c>
      <c r="D572" t="s">
        <v>6</v>
      </c>
      <c r="E572">
        <f t="shared" ca="1" si="8"/>
        <v>68.891921699042797</v>
      </c>
    </row>
    <row r="573" spans="1:5" hidden="1" x14ac:dyDescent="0.25">
      <c r="A573">
        <v>14</v>
      </c>
      <c r="B573">
        <v>8</v>
      </c>
      <c r="C573" t="s">
        <v>13</v>
      </c>
      <c r="D573" t="s">
        <v>7</v>
      </c>
      <c r="E573">
        <f t="shared" ca="1" si="8"/>
        <v>66.764819347667967</v>
      </c>
    </row>
    <row r="574" spans="1:5" hidden="1" x14ac:dyDescent="0.25">
      <c r="A574">
        <v>14</v>
      </c>
      <c r="B574">
        <v>9</v>
      </c>
      <c r="C574" t="s">
        <v>13</v>
      </c>
      <c r="D574" t="s">
        <v>148</v>
      </c>
      <c r="E574">
        <f t="shared" ca="1" si="8"/>
        <v>55.267683227172483</v>
      </c>
    </row>
    <row r="575" spans="1:5" hidden="1" x14ac:dyDescent="0.25">
      <c r="A575">
        <v>14</v>
      </c>
      <c r="B575">
        <v>10</v>
      </c>
      <c r="C575" t="s">
        <v>13</v>
      </c>
      <c r="D575" t="s">
        <v>9</v>
      </c>
      <c r="E575">
        <f t="shared" ca="1" si="8"/>
        <v>69.440810587931679</v>
      </c>
    </row>
    <row r="576" spans="1:5" hidden="1" x14ac:dyDescent="0.25">
      <c r="A576">
        <v>14</v>
      </c>
      <c r="B576">
        <v>11</v>
      </c>
      <c r="C576" t="s">
        <v>13</v>
      </c>
      <c r="D576" t="s">
        <v>10</v>
      </c>
      <c r="E576">
        <f t="shared" ca="1" si="8"/>
        <v>36.696862073010507</v>
      </c>
    </row>
    <row r="577" spans="1:5" hidden="1" x14ac:dyDescent="0.25">
      <c r="A577">
        <v>14</v>
      </c>
      <c r="B577">
        <v>12</v>
      </c>
      <c r="C577" t="s">
        <v>13</v>
      </c>
      <c r="D577" t="s">
        <v>11</v>
      </c>
      <c r="E577">
        <f t="shared" ca="1" si="8"/>
        <v>31.221732941681918</v>
      </c>
    </row>
    <row r="578" spans="1:5" hidden="1" x14ac:dyDescent="0.25">
      <c r="A578">
        <v>14</v>
      </c>
      <c r="B578">
        <v>13</v>
      </c>
      <c r="C578" t="s">
        <v>13</v>
      </c>
      <c r="D578" t="s">
        <v>12</v>
      </c>
      <c r="E578">
        <f t="shared" ca="1" si="8"/>
        <v>0</v>
      </c>
    </row>
    <row r="579" spans="1:5" hidden="1" x14ac:dyDescent="0.25">
      <c r="A579">
        <v>14</v>
      </c>
      <c r="B579">
        <v>14</v>
      </c>
      <c r="C579" t="s">
        <v>13</v>
      </c>
      <c r="D579" t="s">
        <v>13</v>
      </c>
      <c r="E579">
        <f t="shared" ca="1" si="8"/>
        <v>0</v>
      </c>
    </row>
    <row r="580" spans="1:5" hidden="1" x14ac:dyDescent="0.25">
      <c r="A580">
        <v>14</v>
      </c>
      <c r="B580">
        <v>15</v>
      </c>
      <c r="C580" t="s">
        <v>13</v>
      </c>
      <c r="D580" t="s">
        <v>14</v>
      </c>
      <c r="E580">
        <f t="shared" ca="1" si="8"/>
        <v>89.303983923376521</v>
      </c>
    </row>
    <row r="581" spans="1:5" hidden="1" x14ac:dyDescent="0.25">
      <c r="A581">
        <v>14</v>
      </c>
      <c r="B581">
        <v>16</v>
      </c>
      <c r="C581" t="s">
        <v>13</v>
      </c>
      <c r="D581" t="s">
        <v>15</v>
      </c>
      <c r="E581">
        <f t="shared" ca="1" si="8"/>
        <v>89.303983923376521</v>
      </c>
    </row>
    <row r="582" spans="1:5" hidden="1" x14ac:dyDescent="0.25">
      <c r="A582">
        <v>14</v>
      </c>
      <c r="B582">
        <v>17</v>
      </c>
      <c r="C582" t="s">
        <v>13</v>
      </c>
      <c r="D582" t="s">
        <v>16</v>
      </c>
      <c r="E582">
        <f t="shared" ca="1" si="8"/>
        <v>70.535505064634947</v>
      </c>
    </row>
    <row r="583" spans="1:5" hidden="1" x14ac:dyDescent="0.25">
      <c r="A583">
        <v>14</v>
      </c>
      <c r="B583">
        <v>18</v>
      </c>
      <c r="C583" t="s">
        <v>13</v>
      </c>
      <c r="D583" t="s">
        <v>17</v>
      </c>
      <c r="E583">
        <f t="shared" ca="1" si="8"/>
        <v>89.769539478932074</v>
      </c>
    </row>
    <row r="584" spans="1:5" hidden="1" x14ac:dyDescent="0.25">
      <c r="A584">
        <v>14</v>
      </c>
      <c r="B584">
        <v>19</v>
      </c>
      <c r="C584" t="s">
        <v>13</v>
      </c>
      <c r="D584" t="s">
        <v>18</v>
      </c>
      <c r="E584">
        <f t="shared" ca="1" si="8"/>
        <v>45.475974280921541</v>
      </c>
    </row>
    <row r="585" spans="1:5" hidden="1" x14ac:dyDescent="0.25">
      <c r="A585">
        <v>14</v>
      </c>
      <c r="B585">
        <v>20</v>
      </c>
      <c r="C585" t="s">
        <v>13</v>
      </c>
      <c r="D585" t="s">
        <v>19</v>
      </c>
      <c r="E585">
        <f t="shared" ca="1" si="8"/>
        <v>44.187967691324133</v>
      </c>
    </row>
    <row r="586" spans="1:5" hidden="1" x14ac:dyDescent="0.25">
      <c r="A586">
        <v>14</v>
      </c>
      <c r="B586">
        <v>21</v>
      </c>
      <c r="C586" t="s">
        <v>13</v>
      </c>
      <c r="D586" t="s">
        <v>20</v>
      </c>
      <c r="E586">
        <f t="shared" ca="1" si="8"/>
        <v>49.709385533971464</v>
      </c>
    </row>
    <row r="587" spans="1:5" hidden="1" x14ac:dyDescent="0.25">
      <c r="A587">
        <v>14</v>
      </c>
      <c r="B587">
        <v>22</v>
      </c>
      <c r="C587" t="s">
        <v>13</v>
      </c>
      <c r="D587" t="s">
        <v>21</v>
      </c>
      <c r="E587">
        <f t="shared" ca="1" si="8"/>
        <v>56.588257384796016</v>
      </c>
    </row>
    <row r="588" spans="1:5" hidden="1" x14ac:dyDescent="0.25">
      <c r="A588">
        <v>14</v>
      </c>
      <c r="B588">
        <v>23</v>
      </c>
      <c r="C588" t="s">
        <v>13</v>
      </c>
      <c r="D588" t="s">
        <v>22</v>
      </c>
      <c r="E588">
        <f t="shared" ca="1" si="8"/>
        <v>27.784844287402638</v>
      </c>
    </row>
    <row r="589" spans="1:5" hidden="1" x14ac:dyDescent="0.25">
      <c r="A589">
        <v>14</v>
      </c>
      <c r="B589">
        <v>24</v>
      </c>
      <c r="C589" t="s">
        <v>13</v>
      </c>
      <c r="D589" t="s">
        <v>23</v>
      </c>
      <c r="E589">
        <f t="shared" ca="1" si="8"/>
        <v>27.073733176291526</v>
      </c>
    </row>
    <row r="590" spans="1:5" hidden="1" x14ac:dyDescent="0.25">
      <c r="A590">
        <v>14</v>
      </c>
      <c r="B590">
        <v>25</v>
      </c>
      <c r="C590" t="s">
        <v>13</v>
      </c>
      <c r="D590" t="s">
        <v>24</v>
      </c>
      <c r="E590">
        <f t="shared" ca="1" si="8"/>
        <v>25.734844287402638</v>
      </c>
    </row>
    <row r="591" spans="1:5" hidden="1" x14ac:dyDescent="0.25">
      <c r="A591">
        <v>14</v>
      </c>
      <c r="B591">
        <v>26</v>
      </c>
      <c r="C591" t="s">
        <v>13</v>
      </c>
      <c r="D591" t="s">
        <v>25</v>
      </c>
      <c r="E591">
        <f t="shared" ca="1" si="8"/>
        <v>92.002872812265409</v>
      </c>
    </row>
    <row r="592" spans="1:5" hidden="1" x14ac:dyDescent="0.25">
      <c r="A592">
        <v>14</v>
      </c>
      <c r="B592">
        <v>27</v>
      </c>
      <c r="C592" t="s">
        <v>13</v>
      </c>
      <c r="D592" t="s">
        <v>145</v>
      </c>
      <c r="E592">
        <f t="shared" ca="1" si="8"/>
        <v>45.634634357990798</v>
      </c>
    </row>
    <row r="593" spans="1:5" hidden="1" x14ac:dyDescent="0.25">
      <c r="A593">
        <v>14</v>
      </c>
      <c r="B593">
        <v>28</v>
      </c>
      <c r="C593" t="s">
        <v>13</v>
      </c>
      <c r="D593" t="s">
        <v>147</v>
      </c>
      <c r="E593">
        <f t="shared" ca="1" si="8"/>
        <v>57.032701829240459</v>
      </c>
    </row>
    <row r="594" spans="1:5" hidden="1" x14ac:dyDescent="0.25">
      <c r="A594">
        <v>14</v>
      </c>
      <c r="B594">
        <v>29</v>
      </c>
      <c r="C594" t="s">
        <v>13</v>
      </c>
      <c r="D594" t="s">
        <v>146</v>
      </c>
      <c r="E594">
        <f t="shared" ca="1" si="8"/>
        <v>26.262622065180416</v>
      </c>
    </row>
    <row r="595" spans="1:5" hidden="1" x14ac:dyDescent="0.25">
      <c r="A595">
        <v>14</v>
      </c>
      <c r="B595">
        <v>30</v>
      </c>
      <c r="C595" t="s">
        <v>13</v>
      </c>
      <c r="D595" t="s">
        <v>30</v>
      </c>
      <c r="E595">
        <f t="shared" ca="1" si="8"/>
        <v>72.105053622958891</v>
      </c>
    </row>
    <row r="596" spans="1:5" hidden="1" x14ac:dyDescent="0.25">
      <c r="A596">
        <v>14</v>
      </c>
      <c r="B596">
        <v>31</v>
      </c>
      <c r="C596" t="s">
        <v>13</v>
      </c>
      <c r="D596" t="s">
        <v>31</v>
      </c>
      <c r="E596">
        <f t="shared" ca="1" si="8"/>
        <v>63.983730891047294</v>
      </c>
    </row>
    <row r="597" spans="1:5" hidden="1" x14ac:dyDescent="0.25">
      <c r="A597">
        <v>14</v>
      </c>
      <c r="B597">
        <v>32</v>
      </c>
      <c r="C597" t="s">
        <v>13</v>
      </c>
      <c r="D597" t="s">
        <v>32</v>
      </c>
      <c r="E597">
        <f t="shared" ca="1" si="8"/>
        <v>62.675953113269514</v>
      </c>
    </row>
    <row r="598" spans="1:5" hidden="1" x14ac:dyDescent="0.25">
      <c r="A598">
        <v>14</v>
      </c>
      <c r="B598">
        <v>33</v>
      </c>
      <c r="C598" t="s">
        <v>13</v>
      </c>
      <c r="D598" t="s">
        <v>33</v>
      </c>
      <c r="E598">
        <f t="shared" ca="1" si="8"/>
        <v>55.091878096846841</v>
      </c>
    </row>
    <row r="599" spans="1:5" hidden="1" x14ac:dyDescent="0.25">
      <c r="A599">
        <v>14</v>
      </c>
      <c r="B599">
        <v>34</v>
      </c>
      <c r="C599" t="s">
        <v>13</v>
      </c>
      <c r="D599" t="s">
        <v>34</v>
      </c>
      <c r="E599">
        <f t="shared" ca="1" si="8"/>
        <v>56.016322541291288</v>
      </c>
    </row>
    <row r="600" spans="1:5" hidden="1" x14ac:dyDescent="0.25">
      <c r="A600">
        <v>14</v>
      </c>
      <c r="B600">
        <v>35</v>
      </c>
      <c r="C600" t="s">
        <v>13</v>
      </c>
      <c r="D600" t="s">
        <v>35</v>
      </c>
      <c r="E600">
        <f t="shared" ca="1" si="8"/>
        <v>53.426572116061372</v>
      </c>
    </row>
    <row r="601" spans="1:5" hidden="1" x14ac:dyDescent="0.25">
      <c r="A601">
        <v>14</v>
      </c>
      <c r="B601">
        <v>36</v>
      </c>
      <c r="C601" t="s">
        <v>13</v>
      </c>
      <c r="D601" t="s">
        <v>36</v>
      </c>
      <c r="E601">
        <f t="shared" ca="1" si="8"/>
        <v>40.302861741624433</v>
      </c>
    </row>
    <row r="602" spans="1:5" hidden="1" x14ac:dyDescent="0.25">
      <c r="A602">
        <v>14</v>
      </c>
      <c r="B602">
        <v>37</v>
      </c>
      <c r="C602" t="s">
        <v>13</v>
      </c>
      <c r="D602" t="s">
        <v>37</v>
      </c>
      <c r="E602">
        <f t="shared" ca="1" si="8"/>
        <v>51.005199984163852</v>
      </c>
    </row>
    <row r="603" spans="1:5" hidden="1" x14ac:dyDescent="0.25">
      <c r="A603">
        <v>14</v>
      </c>
      <c r="B603">
        <v>38</v>
      </c>
      <c r="C603" t="s">
        <v>13</v>
      </c>
      <c r="D603" t="s">
        <v>38</v>
      </c>
      <c r="E603">
        <f t="shared" ca="1" si="8"/>
        <v>40.025083963846654</v>
      </c>
    </row>
    <row r="604" spans="1:5" hidden="1" x14ac:dyDescent="0.25">
      <c r="A604">
        <v>14</v>
      </c>
      <c r="B604">
        <v>39</v>
      </c>
      <c r="C604" t="s">
        <v>13</v>
      </c>
      <c r="D604" t="s">
        <v>39</v>
      </c>
      <c r="E604">
        <f t="shared" ca="1" si="8"/>
        <v>53.790579519754125</v>
      </c>
    </row>
    <row r="605" spans="1:5" hidden="1" x14ac:dyDescent="0.25">
      <c r="A605">
        <v>14</v>
      </c>
      <c r="B605">
        <v>40</v>
      </c>
      <c r="C605" t="s">
        <v>13</v>
      </c>
      <c r="D605" t="s">
        <v>40</v>
      </c>
      <c r="E605">
        <f t="shared" ca="1" si="8"/>
        <v>50.405199984163851</v>
      </c>
    </row>
    <row r="606" spans="1:5" hidden="1" x14ac:dyDescent="0.25">
      <c r="A606">
        <v>15</v>
      </c>
      <c r="B606">
        <v>1</v>
      </c>
      <c r="C606" t="s">
        <v>14</v>
      </c>
      <c r="D606" t="s">
        <v>0</v>
      </c>
      <c r="E606">
        <f t="shared" ca="1" si="8"/>
        <v>116.400722949512</v>
      </c>
    </row>
    <row r="607" spans="1:5" hidden="1" x14ac:dyDescent="0.25">
      <c r="A607">
        <v>15</v>
      </c>
      <c r="B607">
        <v>2</v>
      </c>
      <c r="C607" t="s">
        <v>14</v>
      </c>
      <c r="D607" t="s">
        <v>1</v>
      </c>
      <c r="E607">
        <f t="shared" ca="1" si="8"/>
        <v>116.77850072728978</v>
      </c>
    </row>
    <row r="608" spans="1:5" hidden="1" x14ac:dyDescent="0.25">
      <c r="A608">
        <v>15</v>
      </c>
      <c r="B608">
        <v>3</v>
      </c>
      <c r="C608" t="s">
        <v>14</v>
      </c>
      <c r="D608" t="s">
        <v>2</v>
      </c>
      <c r="E608">
        <f t="shared" ca="1" si="8"/>
        <v>118.19448504950263</v>
      </c>
    </row>
    <row r="609" spans="1:5" hidden="1" x14ac:dyDescent="0.25">
      <c r="A609">
        <v>15</v>
      </c>
      <c r="B609">
        <v>4</v>
      </c>
      <c r="C609" t="s">
        <v>14</v>
      </c>
      <c r="D609" t="s">
        <v>3</v>
      </c>
      <c r="E609">
        <f t="shared" ref="E609:E671" ca="1" si="9">OFFSET($B$3,A609,B609)</f>
        <v>133.46256516281909</v>
      </c>
    </row>
    <row r="610" spans="1:5" hidden="1" x14ac:dyDescent="0.25">
      <c r="A610">
        <v>15</v>
      </c>
      <c r="B610">
        <v>5</v>
      </c>
      <c r="C610" t="s">
        <v>14</v>
      </c>
      <c r="D610" t="s">
        <v>4</v>
      </c>
      <c r="E610">
        <f t="shared" ca="1" si="9"/>
        <v>131.54410549221095</v>
      </c>
    </row>
    <row r="611" spans="1:5" hidden="1" x14ac:dyDescent="0.25">
      <c r="A611">
        <v>15</v>
      </c>
      <c r="B611">
        <v>6</v>
      </c>
      <c r="C611" t="s">
        <v>14</v>
      </c>
      <c r="D611" t="s">
        <v>5</v>
      </c>
      <c r="E611">
        <f t="shared" ca="1" si="9"/>
        <v>134.0885499366554</v>
      </c>
    </row>
    <row r="612" spans="1:5" hidden="1" x14ac:dyDescent="0.25">
      <c r="A612">
        <v>15</v>
      </c>
      <c r="B612">
        <v>7</v>
      </c>
      <c r="C612" t="s">
        <v>14</v>
      </c>
      <c r="D612" t="s">
        <v>6</v>
      </c>
      <c r="E612">
        <f t="shared" ca="1" si="9"/>
        <v>131.98299438109984</v>
      </c>
    </row>
    <row r="613" spans="1:5" hidden="1" x14ac:dyDescent="0.25">
      <c r="A613">
        <v>15</v>
      </c>
      <c r="B613">
        <v>8</v>
      </c>
      <c r="C613" t="s">
        <v>14</v>
      </c>
      <c r="D613" t="s">
        <v>7</v>
      </c>
      <c r="E613">
        <f t="shared" ca="1" si="9"/>
        <v>133.6158984961524</v>
      </c>
    </row>
    <row r="614" spans="1:5" hidden="1" x14ac:dyDescent="0.25">
      <c r="A614">
        <v>15</v>
      </c>
      <c r="B614">
        <v>9</v>
      </c>
      <c r="C614" t="s">
        <v>14</v>
      </c>
      <c r="D614" t="s">
        <v>148</v>
      </c>
      <c r="E614">
        <f t="shared" ca="1" si="9"/>
        <v>118.86183406062311</v>
      </c>
    </row>
    <row r="615" spans="1:5" hidden="1" x14ac:dyDescent="0.25">
      <c r="A615">
        <v>15</v>
      </c>
      <c r="B615">
        <v>10</v>
      </c>
      <c r="C615" t="s">
        <v>14</v>
      </c>
      <c r="D615" t="s">
        <v>9</v>
      </c>
      <c r="E615">
        <f t="shared" ca="1" si="9"/>
        <v>132.53188326998873</v>
      </c>
    </row>
    <row r="616" spans="1:5" hidden="1" x14ac:dyDescent="0.25">
      <c r="A616">
        <v>15</v>
      </c>
      <c r="B616">
        <v>11</v>
      </c>
      <c r="C616" t="s">
        <v>14</v>
      </c>
      <c r="D616" t="s">
        <v>10</v>
      </c>
      <c r="E616">
        <f t="shared" ca="1" si="9"/>
        <v>76.217467975788296</v>
      </c>
    </row>
    <row r="617" spans="1:5" hidden="1" x14ac:dyDescent="0.25">
      <c r="A617">
        <v>15</v>
      </c>
      <c r="B617">
        <v>12</v>
      </c>
      <c r="C617" t="s">
        <v>14</v>
      </c>
      <c r="D617" t="s">
        <v>11</v>
      </c>
      <c r="E617">
        <f t="shared" ca="1" si="9"/>
        <v>84.36148775924363</v>
      </c>
    </row>
    <row r="618" spans="1:5" hidden="1" x14ac:dyDescent="0.25">
      <c r="A618">
        <v>15</v>
      </c>
      <c r="B618">
        <v>13</v>
      </c>
      <c r="C618" t="s">
        <v>14</v>
      </c>
      <c r="D618" t="s">
        <v>12</v>
      </c>
      <c r="E618">
        <f t="shared" ca="1" si="9"/>
        <v>89.801761701154291</v>
      </c>
    </row>
    <row r="619" spans="1:5" hidden="1" x14ac:dyDescent="0.25">
      <c r="A619">
        <v>15</v>
      </c>
      <c r="B619">
        <v>14</v>
      </c>
      <c r="C619" t="s">
        <v>14</v>
      </c>
      <c r="D619" t="s">
        <v>13</v>
      </c>
      <c r="E619">
        <f t="shared" ca="1" si="9"/>
        <v>89.303983923376521</v>
      </c>
    </row>
    <row r="620" spans="1:5" hidden="1" x14ac:dyDescent="0.25">
      <c r="A620">
        <v>15</v>
      </c>
      <c r="B620">
        <v>15</v>
      </c>
      <c r="C620" t="s">
        <v>14</v>
      </c>
      <c r="D620" t="s">
        <v>14</v>
      </c>
      <c r="E620">
        <f t="shared" ca="1" si="9"/>
        <v>0</v>
      </c>
    </row>
    <row r="621" spans="1:5" hidden="1" x14ac:dyDescent="0.25">
      <c r="A621">
        <v>15</v>
      </c>
      <c r="B621">
        <v>16</v>
      </c>
      <c r="C621" t="s">
        <v>14</v>
      </c>
      <c r="D621" t="s">
        <v>15</v>
      </c>
      <c r="E621">
        <f t="shared" ca="1" si="9"/>
        <v>0</v>
      </c>
    </row>
    <row r="622" spans="1:5" hidden="1" x14ac:dyDescent="0.25">
      <c r="A622">
        <v>15</v>
      </c>
      <c r="B622">
        <v>17</v>
      </c>
      <c r="C622" t="s">
        <v>14</v>
      </c>
      <c r="D622" t="s">
        <v>16</v>
      </c>
      <c r="E622">
        <f t="shared" ca="1" si="9"/>
        <v>43.147308558558557</v>
      </c>
    </row>
    <row r="623" spans="1:5" hidden="1" x14ac:dyDescent="0.25">
      <c r="A623">
        <v>15</v>
      </c>
      <c r="B623">
        <v>18</v>
      </c>
      <c r="C623" t="s">
        <v>14</v>
      </c>
      <c r="D623" t="s">
        <v>17</v>
      </c>
      <c r="E623">
        <f t="shared" ca="1" si="9"/>
        <v>0</v>
      </c>
    </row>
    <row r="624" spans="1:5" hidden="1" x14ac:dyDescent="0.25">
      <c r="A624">
        <v>15</v>
      </c>
      <c r="B624">
        <v>19</v>
      </c>
      <c r="C624" t="s">
        <v>14</v>
      </c>
      <c r="D624" t="s">
        <v>18</v>
      </c>
      <c r="E624">
        <f t="shared" ca="1" si="9"/>
        <v>109.13957015413853</v>
      </c>
    </row>
    <row r="625" spans="1:5" hidden="1" x14ac:dyDescent="0.25">
      <c r="A625">
        <v>15</v>
      </c>
      <c r="B625">
        <v>20</v>
      </c>
      <c r="C625" t="s">
        <v>14</v>
      </c>
      <c r="D625" t="s">
        <v>19</v>
      </c>
      <c r="E625">
        <f t="shared" ca="1" si="9"/>
        <v>107.97955868172862</v>
      </c>
    </row>
    <row r="626" spans="1:5" hidden="1" x14ac:dyDescent="0.25">
      <c r="A626">
        <v>15</v>
      </c>
      <c r="B626">
        <v>21</v>
      </c>
      <c r="C626" t="s">
        <v>14</v>
      </c>
      <c r="D626" t="s">
        <v>20</v>
      </c>
      <c r="E626">
        <f t="shared" ca="1" si="9"/>
        <v>112.29391283666479</v>
      </c>
    </row>
    <row r="627" spans="1:5" hidden="1" x14ac:dyDescent="0.25">
      <c r="A627">
        <v>15</v>
      </c>
      <c r="B627">
        <v>22</v>
      </c>
      <c r="C627" t="s">
        <v>14</v>
      </c>
      <c r="D627" t="s">
        <v>21</v>
      </c>
      <c r="E627">
        <f t="shared" ca="1" si="9"/>
        <v>101.71886811420796</v>
      </c>
    </row>
    <row r="628" spans="1:5" hidden="1" x14ac:dyDescent="0.25">
      <c r="A628">
        <v>15</v>
      </c>
      <c r="B628">
        <v>23</v>
      </c>
      <c r="C628" t="s">
        <v>14</v>
      </c>
      <c r="D628" t="s">
        <v>22</v>
      </c>
      <c r="E628">
        <f t="shared" ca="1" si="9"/>
        <v>102.59664589198574</v>
      </c>
    </row>
    <row r="629" spans="1:5" hidden="1" x14ac:dyDescent="0.25">
      <c r="A629">
        <v>15</v>
      </c>
      <c r="B629">
        <v>24</v>
      </c>
      <c r="C629" t="s">
        <v>14</v>
      </c>
      <c r="D629" t="s">
        <v>23</v>
      </c>
      <c r="E629">
        <f t="shared" ca="1" si="9"/>
        <v>101.88553478087464</v>
      </c>
    </row>
    <row r="630" spans="1:5" hidden="1" x14ac:dyDescent="0.25">
      <c r="A630">
        <v>15</v>
      </c>
      <c r="B630">
        <v>25</v>
      </c>
      <c r="C630" t="s">
        <v>14</v>
      </c>
      <c r="D630" t="s">
        <v>24</v>
      </c>
      <c r="E630">
        <f t="shared" ca="1" si="9"/>
        <v>100.54664589198575</v>
      </c>
    </row>
    <row r="631" spans="1:5" hidden="1" x14ac:dyDescent="0.25">
      <c r="A631">
        <v>15</v>
      </c>
      <c r="B631">
        <v>26</v>
      </c>
      <c r="C631" t="s">
        <v>14</v>
      </c>
      <c r="D631" t="s">
        <v>25</v>
      </c>
      <c r="E631">
        <f t="shared" ca="1" si="9"/>
        <v>0</v>
      </c>
    </row>
    <row r="632" spans="1:5" hidden="1" x14ac:dyDescent="0.25">
      <c r="A632">
        <v>15</v>
      </c>
      <c r="B632">
        <v>27</v>
      </c>
      <c r="C632" t="s">
        <v>14</v>
      </c>
      <c r="D632" t="s">
        <v>145</v>
      </c>
      <c r="E632">
        <f t="shared" ca="1" si="9"/>
        <v>109.42622534839528</v>
      </c>
    </row>
    <row r="633" spans="1:5" hidden="1" x14ac:dyDescent="0.25">
      <c r="A633">
        <v>15</v>
      </c>
      <c r="B633">
        <v>28</v>
      </c>
      <c r="C633" t="s">
        <v>14</v>
      </c>
      <c r="D633" t="s">
        <v>147</v>
      </c>
      <c r="E633">
        <f t="shared" ca="1" si="9"/>
        <v>102.16331255865241</v>
      </c>
    </row>
    <row r="634" spans="1:5" hidden="1" x14ac:dyDescent="0.25">
      <c r="A634">
        <v>15</v>
      </c>
      <c r="B634">
        <v>29</v>
      </c>
      <c r="C634" t="s">
        <v>14</v>
      </c>
      <c r="D634" t="s">
        <v>146</v>
      </c>
      <c r="E634">
        <f t="shared" ca="1" si="9"/>
        <v>101.07442366976352</v>
      </c>
    </row>
    <row r="635" spans="1:5" hidden="1" x14ac:dyDescent="0.25">
      <c r="A635">
        <v>15</v>
      </c>
      <c r="B635">
        <v>30</v>
      </c>
      <c r="C635" t="s">
        <v>14</v>
      </c>
      <c r="D635" t="s">
        <v>30</v>
      </c>
      <c r="E635">
        <f t="shared" ca="1" si="9"/>
        <v>134.71812071837462</v>
      </c>
    </row>
    <row r="636" spans="1:5" hidden="1" x14ac:dyDescent="0.25">
      <c r="A636">
        <v>15</v>
      </c>
      <c r="B636">
        <v>31</v>
      </c>
      <c r="C636" t="s">
        <v>14</v>
      </c>
      <c r="D636" t="s">
        <v>31</v>
      </c>
      <c r="E636">
        <f t="shared" ca="1" si="9"/>
        <v>133.09750205283405</v>
      </c>
    </row>
    <row r="637" spans="1:5" hidden="1" x14ac:dyDescent="0.25">
      <c r="A637">
        <v>15</v>
      </c>
      <c r="B637">
        <v>32</v>
      </c>
      <c r="C637" t="s">
        <v>14</v>
      </c>
      <c r="D637" t="s">
        <v>32</v>
      </c>
      <c r="E637">
        <f t="shared" ca="1" si="9"/>
        <v>131.78972427505627</v>
      </c>
    </row>
    <row r="638" spans="1:5" hidden="1" x14ac:dyDescent="0.25">
      <c r="A638">
        <v>15</v>
      </c>
      <c r="B638">
        <v>33</v>
      </c>
      <c r="C638" t="s">
        <v>14</v>
      </c>
      <c r="D638" t="s">
        <v>33</v>
      </c>
      <c r="E638">
        <f t="shared" ca="1" si="9"/>
        <v>122.68254850553679</v>
      </c>
    </row>
    <row r="639" spans="1:5" hidden="1" x14ac:dyDescent="0.25">
      <c r="A639">
        <v>15</v>
      </c>
      <c r="B639">
        <v>34</v>
      </c>
      <c r="C639" t="s">
        <v>14</v>
      </c>
      <c r="D639" t="s">
        <v>34</v>
      </c>
      <c r="E639">
        <f t="shared" ca="1" si="9"/>
        <v>123.60699294998123</v>
      </c>
    </row>
    <row r="640" spans="1:5" hidden="1" x14ac:dyDescent="0.25">
      <c r="A640">
        <v>15</v>
      </c>
      <c r="B640">
        <v>35</v>
      </c>
      <c r="C640" t="s">
        <v>14</v>
      </c>
      <c r="D640" t="s">
        <v>35</v>
      </c>
      <c r="E640">
        <f t="shared" ca="1" si="9"/>
        <v>117.02072294951201</v>
      </c>
    </row>
    <row r="641" spans="1:5" hidden="1" x14ac:dyDescent="0.25">
      <c r="A641">
        <v>15</v>
      </c>
      <c r="B641">
        <v>36</v>
      </c>
      <c r="C641" t="s">
        <v>14</v>
      </c>
      <c r="D641" t="s">
        <v>36</v>
      </c>
      <c r="E641">
        <f t="shared" ca="1" si="9"/>
        <v>71.492831400736662</v>
      </c>
    </row>
    <row r="642" spans="1:5" hidden="1" x14ac:dyDescent="0.25">
      <c r="A642">
        <v>15</v>
      </c>
      <c r="B642">
        <v>37</v>
      </c>
      <c r="C642" t="s">
        <v>14</v>
      </c>
      <c r="D642" t="s">
        <v>37</v>
      </c>
      <c r="E642">
        <f t="shared" ca="1" si="9"/>
        <v>58.851323737800293</v>
      </c>
    </row>
    <row r="643" spans="1:5" hidden="1" x14ac:dyDescent="0.25">
      <c r="A643">
        <v>15</v>
      </c>
      <c r="B643">
        <v>38</v>
      </c>
      <c r="C643" t="s">
        <v>14</v>
      </c>
      <c r="D643" t="s">
        <v>38</v>
      </c>
      <c r="E643">
        <f t="shared" ca="1" si="9"/>
        <v>71.215053622958891</v>
      </c>
    </row>
    <row r="644" spans="1:5" hidden="1" x14ac:dyDescent="0.25">
      <c r="A644">
        <v>15</v>
      </c>
      <c r="B644">
        <v>39</v>
      </c>
      <c r="C644" t="s">
        <v>14</v>
      </c>
      <c r="D644" t="s">
        <v>39</v>
      </c>
      <c r="E644">
        <f t="shared" ca="1" si="9"/>
        <v>58.960588250164228</v>
      </c>
    </row>
    <row r="645" spans="1:5" hidden="1" x14ac:dyDescent="0.25">
      <c r="A645">
        <v>15</v>
      </c>
      <c r="B645">
        <v>40</v>
      </c>
      <c r="C645" t="s">
        <v>14</v>
      </c>
      <c r="D645" t="s">
        <v>40</v>
      </c>
      <c r="E645">
        <f t="shared" ca="1" si="9"/>
        <v>58.251323737800291</v>
      </c>
    </row>
    <row r="646" spans="1:5" hidden="1" x14ac:dyDescent="0.25">
      <c r="A646">
        <v>16</v>
      </c>
      <c r="B646">
        <v>1</v>
      </c>
      <c r="C646" t="s">
        <v>15</v>
      </c>
      <c r="D646" t="s">
        <v>0</v>
      </c>
      <c r="E646">
        <f t="shared" ca="1" si="9"/>
        <v>90.066406631240611</v>
      </c>
    </row>
    <row r="647" spans="1:5" hidden="1" x14ac:dyDescent="0.25">
      <c r="A647">
        <v>16</v>
      </c>
      <c r="B647">
        <v>2</v>
      </c>
      <c r="C647" t="s">
        <v>15</v>
      </c>
      <c r="D647" t="s">
        <v>1</v>
      </c>
      <c r="E647">
        <f t="shared" ca="1" si="9"/>
        <v>90.444184409018391</v>
      </c>
    </row>
    <row r="648" spans="1:5" hidden="1" x14ac:dyDescent="0.25">
      <c r="A648">
        <v>16</v>
      </c>
      <c r="B648">
        <v>3</v>
      </c>
      <c r="C648" t="s">
        <v>15</v>
      </c>
      <c r="D648" t="s">
        <v>2</v>
      </c>
      <c r="E648">
        <f t="shared" ca="1" si="9"/>
        <v>111.57074785918732</v>
      </c>
    </row>
    <row r="649" spans="1:5" hidden="1" x14ac:dyDescent="0.25">
      <c r="A649">
        <v>16</v>
      </c>
      <c r="B649">
        <v>4</v>
      </c>
      <c r="C649" t="s">
        <v>15</v>
      </c>
      <c r="D649" t="s">
        <v>3</v>
      </c>
      <c r="E649">
        <f t="shared" ca="1" si="9"/>
        <v>126.37050663945195</v>
      </c>
    </row>
    <row r="650" spans="1:5" hidden="1" x14ac:dyDescent="0.25">
      <c r="A650">
        <v>16</v>
      </c>
      <c r="B650">
        <v>5</v>
      </c>
      <c r="C650" t="s">
        <v>15</v>
      </c>
      <c r="D650" t="s">
        <v>4</v>
      </c>
      <c r="E650">
        <f t="shared" ca="1" si="9"/>
        <v>122.65114694772898</v>
      </c>
    </row>
    <row r="651" spans="1:5" hidden="1" x14ac:dyDescent="0.25">
      <c r="A651">
        <v>16</v>
      </c>
      <c r="B651">
        <v>6</v>
      </c>
      <c r="C651" t="s">
        <v>15</v>
      </c>
      <c r="D651" t="s">
        <v>5</v>
      </c>
      <c r="E651">
        <f t="shared" ca="1" si="9"/>
        <v>125.19559139217343</v>
      </c>
    </row>
    <row r="652" spans="1:5" hidden="1" x14ac:dyDescent="0.25">
      <c r="A652">
        <v>16</v>
      </c>
      <c r="B652">
        <v>7</v>
      </c>
      <c r="C652" t="s">
        <v>15</v>
      </c>
      <c r="D652" t="s">
        <v>6</v>
      </c>
      <c r="E652">
        <f t="shared" ca="1" si="9"/>
        <v>30.843059911962744</v>
      </c>
    </row>
    <row r="653" spans="1:5" hidden="1" x14ac:dyDescent="0.25">
      <c r="A653">
        <v>16</v>
      </c>
      <c r="B653">
        <v>8</v>
      </c>
      <c r="C653" t="s">
        <v>15</v>
      </c>
      <c r="D653" t="s">
        <v>7</v>
      </c>
      <c r="E653">
        <f t="shared" ca="1" si="9"/>
        <v>126.52383997278528</v>
      </c>
    </row>
    <row r="654" spans="1:5" hidden="1" x14ac:dyDescent="0.25">
      <c r="A654">
        <v>16</v>
      </c>
      <c r="B654">
        <v>9</v>
      </c>
      <c r="C654" t="s">
        <v>15</v>
      </c>
      <c r="D654" t="s">
        <v>148</v>
      </c>
      <c r="E654">
        <f t="shared" ca="1" si="9"/>
        <v>118.86183406062311</v>
      </c>
    </row>
    <row r="655" spans="1:5" hidden="1" x14ac:dyDescent="0.25">
      <c r="A655">
        <v>16</v>
      </c>
      <c r="B655">
        <v>10</v>
      </c>
      <c r="C655" t="s">
        <v>15</v>
      </c>
      <c r="D655" t="s">
        <v>9</v>
      </c>
      <c r="E655">
        <f t="shared" ca="1" si="9"/>
        <v>123.63892472550675</v>
      </c>
    </row>
    <row r="656" spans="1:5" hidden="1" x14ac:dyDescent="0.25">
      <c r="A656">
        <v>16</v>
      </c>
      <c r="B656">
        <v>11</v>
      </c>
      <c r="C656" t="s">
        <v>15</v>
      </c>
      <c r="D656" t="s">
        <v>10</v>
      </c>
      <c r="E656">
        <f t="shared" ca="1" si="9"/>
        <v>69.218133076435819</v>
      </c>
    </row>
    <row r="657" spans="1:5" hidden="1" x14ac:dyDescent="0.25">
      <c r="A657">
        <v>16</v>
      </c>
      <c r="B657">
        <v>12</v>
      </c>
      <c r="C657" t="s">
        <v>15</v>
      </c>
      <c r="D657" t="s">
        <v>11</v>
      </c>
      <c r="E657">
        <f t="shared" ca="1" si="9"/>
        <v>79.004965782188449</v>
      </c>
    </row>
    <row r="658" spans="1:5" hidden="1" x14ac:dyDescent="0.25">
      <c r="A658">
        <v>16</v>
      </c>
      <c r="B658">
        <v>13</v>
      </c>
      <c r="C658" t="s">
        <v>15</v>
      </c>
      <c r="D658" t="s">
        <v>12</v>
      </c>
      <c r="E658">
        <f t="shared" ca="1" si="9"/>
        <v>89.801761701154291</v>
      </c>
    </row>
    <row r="659" spans="1:5" hidden="1" x14ac:dyDescent="0.25">
      <c r="A659">
        <v>16</v>
      </c>
      <c r="B659">
        <v>14</v>
      </c>
      <c r="C659" t="s">
        <v>15</v>
      </c>
      <c r="D659" t="s">
        <v>13</v>
      </c>
      <c r="E659">
        <f t="shared" ca="1" si="9"/>
        <v>89.303983923376521</v>
      </c>
    </row>
    <row r="660" spans="1:5" hidden="1" x14ac:dyDescent="0.25">
      <c r="A660">
        <v>16</v>
      </c>
      <c r="B660">
        <v>15</v>
      </c>
      <c r="C660" t="s">
        <v>15</v>
      </c>
      <c r="D660" t="s">
        <v>14</v>
      </c>
      <c r="E660">
        <f t="shared" ca="1" si="9"/>
        <v>0</v>
      </c>
    </row>
    <row r="661" spans="1:5" hidden="1" x14ac:dyDescent="0.25">
      <c r="A661">
        <v>16</v>
      </c>
      <c r="B661">
        <v>16</v>
      </c>
      <c r="C661" t="s">
        <v>15</v>
      </c>
      <c r="D661" t="s">
        <v>15</v>
      </c>
      <c r="E661">
        <f t="shared" ca="1" si="9"/>
        <v>0</v>
      </c>
    </row>
    <row r="662" spans="1:5" hidden="1" x14ac:dyDescent="0.25">
      <c r="A662">
        <v>16</v>
      </c>
      <c r="B662">
        <v>17</v>
      </c>
      <c r="C662" t="s">
        <v>15</v>
      </c>
      <c r="D662" t="s">
        <v>16</v>
      </c>
      <c r="E662">
        <f t="shared" ca="1" si="9"/>
        <v>36.68290851984797</v>
      </c>
    </row>
    <row r="663" spans="1:5" hidden="1" x14ac:dyDescent="0.25">
      <c r="A663">
        <v>16</v>
      </c>
      <c r="B663">
        <v>18</v>
      </c>
      <c r="C663" t="s">
        <v>15</v>
      </c>
      <c r="D663" t="s">
        <v>17</v>
      </c>
      <c r="E663">
        <f t="shared" ca="1" si="9"/>
        <v>0</v>
      </c>
    </row>
    <row r="664" spans="1:5" hidden="1" x14ac:dyDescent="0.25">
      <c r="A664">
        <v>16</v>
      </c>
      <c r="B664">
        <v>19</v>
      </c>
      <c r="C664" t="s">
        <v>15</v>
      </c>
      <c r="D664" t="s">
        <v>18</v>
      </c>
      <c r="E664">
        <f t="shared" ca="1" si="9"/>
        <v>121.29902394777591</v>
      </c>
    </row>
    <row r="665" spans="1:5" hidden="1" x14ac:dyDescent="0.25">
      <c r="A665">
        <v>16</v>
      </c>
      <c r="B665">
        <v>20</v>
      </c>
      <c r="C665" t="s">
        <v>15</v>
      </c>
      <c r="D665" t="s">
        <v>19</v>
      </c>
      <c r="E665">
        <f t="shared" ca="1" si="9"/>
        <v>109.63543294270833</v>
      </c>
    </row>
    <row r="666" spans="1:5" hidden="1" x14ac:dyDescent="0.25">
      <c r="A666">
        <v>16</v>
      </c>
      <c r="B666">
        <v>21</v>
      </c>
      <c r="C666" t="s">
        <v>15</v>
      </c>
      <c r="D666" t="s">
        <v>20</v>
      </c>
      <c r="E666">
        <f t="shared" ca="1" si="9"/>
        <v>108.13159588494746</v>
      </c>
    </row>
    <row r="667" spans="1:5" hidden="1" x14ac:dyDescent="0.25">
      <c r="A667">
        <v>16</v>
      </c>
      <c r="B667">
        <v>22</v>
      </c>
      <c r="C667" t="s">
        <v>15</v>
      </c>
      <c r="D667" t="s">
        <v>21</v>
      </c>
      <c r="E667">
        <f t="shared" ca="1" si="9"/>
        <v>108.42524098254503</v>
      </c>
    </row>
    <row r="668" spans="1:5" hidden="1" x14ac:dyDescent="0.25">
      <c r="A668">
        <v>16</v>
      </c>
      <c r="B668">
        <v>23</v>
      </c>
      <c r="C668" t="s">
        <v>15</v>
      </c>
      <c r="D668" t="s">
        <v>22</v>
      </c>
      <c r="E668">
        <f t="shared" ca="1" si="9"/>
        <v>100.89863162185624</v>
      </c>
    </row>
    <row r="669" spans="1:5" hidden="1" x14ac:dyDescent="0.25">
      <c r="A669">
        <v>16</v>
      </c>
      <c r="B669">
        <v>24</v>
      </c>
      <c r="C669" t="s">
        <v>15</v>
      </c>
      <c r="D669" t="s">
        <v>23</v>
      </c>
      <c r="E669">
        <f t="shared" ca="1" si="9"/>
        <v>100.18752051074513</v>
      </c>
    </row>
    <row r="670" spans="1:5" hidden="1" x14ac:dyDescent="0.25">
      <c r="A670">
        <v>16</v>
      </c>
      <c r="B670">
        <v>25</v>
      </c>
      <c r="C670" t="s">
        <v>15</v>
      </c>
      <c r="D670" t="s">
        <v>24</v>
      </c>
      <c r="E670">
        <f t="shared" ca="1" si="9"/>
        <v>98.848631621856242</v>
      </c>
    </row>
    <row r="671" spans="1:5" hidden="1" x14ac:dyDescent="0.25">
      <c r="A671">
        <v>16</v>
      </c>
      <c r="B671">
        <v>26</v>
      </c>
      <c r="C671" t="s">
        <v>15</v>
      </c>
      <c r="D671" t="s">
        <v>25</v>
      </c>
      <c r="E671">
        <f t="shared" ca="1" si="9"/>
        <v>0</v>
      </c>
    </row>
    <row r="672" spans="1:5" hidden="1" x14ac:dyDescent="0.25">
      <c r="A672">
        <v>16</v>
      </c>
      <c r="B672">
        <v>27</v>
      </c>
      <c r="C672" t="s">
        <v>15</v>
      </c>
      <c r="D672" t="s">
        <v>145</v>
      </c>
      <c r="E672">
        <f t="shared" ref="E672:E733" ca="1" si="10">OFFSET($B$3,A672,B672)</f>
        <v>111.08209960937501</v>
      </c>
    </row>
    <row r="673" spans="1:5" hidden="1" x14ac:dyDescent="0.25">
      <c r="A673">
        <v>16</v>
      </c>
      <c r="B673">
        <v>28</v>
      </c>
      <c r="C673" t="s">
        <v>15</v>
      </c>
      <c r="D673" t="s">
        <v>147</v>
      </c>
      <c r="E673">
        <f t="shared" ca="1" si="10"/>
        <v>108.86968542698949</v>
      </c>
    </row>
    <row r="674" spans="1:5" hidden="1" x14ac:dyDescent="0.25">
      <c r="A674">
        <v>16</v>
      </c>
      <c r="B674">
        <v>29</v>
      </c>
      <c r="C674" t="s">
        <v>15</v>
      </c>
      <c r="D674" t="s">
        <v>146</v>
      </c>
      <c r="E674">
        <f t="shared" ca="1" si="10"/>
        <v>99.376409399634014</v>
      </c>
    </row>
    <row r="675" spans="1:5" hidden="1" x14ac:dyDescent="0.25">
      <c r="A675">
        <v>16</v>
      </c>
      <c r="B675">
        <v>30</v>
      </c>
      <c r="C675" t="s">
        <v>15</v>
      </c>
      <c r="D675" t="s">
        <v>30</v>
      </c>
      <c r="E675">
        <f t="shared" ca="1" si="10"/>
        <v>127.2060621950075</v>
      </c>
    </row>
    <row r="676" spans="1:5" hidden="1" x14ac:dyDescent="0.25">
      <c r="A676">
        <v>16</v>
      </c>
      <c r="B676">
        <v>31</v>
      </c>
      <c r="C676" t="s">
        <v>15</v>
      </c>
      <c r="D676" t="s">
        <v>31</v>
      </c>
      <c r="E676">
        <f t="shared" ca="1" si="10"/>
        <v>120.59335500539602</v>
      </c>
    </row>
    <row r="677" spans="1:5" hidden="1" x14ac:dyDescent="0.25">
      <c r="A677">
        <v>16</v>
      </c>
      <c r="B677">
        <v>32</v>
      </c>
      <c r="C677" t="s">
        <v>15</v>
      </c>
      <c r="D677" t="s">
        <v>32</v>
      </c>
      <c r="E677">
        <f t="shared" ca="1" si="10"/>
        <v>119.28557722761825</v>
      </c>
    </row>
    <row r="678" spans="1:5" hidden="1" x14ac:dyDescent="0.25">
      <c r="A678">
        <v>16</v>
      </c>
      <c r="B678">
        <v>33</v>
      </c>
      <c r="C678" t="s">
        <v>15</v>
      </c>
      <c r="D678" t="s">
        <v>33</v>
      </c>
      <c r="E678">
        <f t="shared" ca="1" si="10"/>
        <v>121.39575919669669</v>
      </c>
    </row>
    <row r="679" spans="1:5" hidden="1" x14ac:dyDescent="0.25">
      <c r="A679">
        <v>16</v>
      </c>
      <c r="B679">
        <v>34</v>
      </c>
      <c r="C679" t="s">
        <v>15</v>
      </c>
      <c r="D679" t="s">
        <v>34</v>
      </c>
      <c r="E679">
        <f t="shared" ca="1" si="10"/>
        <v>122.32020364114113</v>
      </c>
    </row>
    <row r="680" spans="1:5" hidden="1" x14ac:dyDescent="0.25">
      <c r="A680">
        <v>16</v>
      </c>
      <c r="B680">
        <v>35</v>
      </c>
      <c r="C680" t="s">
        <v>15</v>
      </c>
      <c r="D680" t="s">
        <v>35</v>
      </c>
      <c r="E680">
        <f t="shared" ca="1" si="10"/>
        <v>113.73647470908409</v>
      </c>
    </row>
    <row r="681" spans="1:5" hidden="1" x14ac:dyDescent="0.25">
      <c r="A681">
        <v>16</v>
      </c>
      <c r="B681">
        <v>36</v>
      </c>
      <c r="C681" t="s">
        <v>15</v>
      </c>
      <c r="D681" t="s">
        <v>36</v>
      </c>
      <c r="E681">
        <f t="shared" ca="1" si="10"/>
        <v>68.430608577327348</v>
      </c>
    </row>
    <row r="682" spans="1:5" hidden="1" x14ac:dyDescent="0.25">
      <c r="A682">
        <v>16</v>
      </c>
      <c r="B682">
        <v>37</v>
      </c>
      <c r="C682" t="s">
        <v>15</v>
      </c>
      <c r="D682" t="s">
        <v>37</v>
      </c>
      <c r="E682">
        <f t="shared" ca="1" si="10"/>
        <v>55.022446793473158</v>
      </c>
    </row>
    <row r="683" spans="1:5" hidden="1" x14ac:dyDescent="0.25">
      <c r="A683">
        <v>16</v>
      </c>
      <c r="B683">
        <v>38</v>
      </c>
      <c r="C683" t="s">
        <v>15</v>
      </c>
      <c r="D683" t="s">
        <v>38</v>
      </c>
      <c r="E683">
        <f t="shared" ca="1" si="10"/>
        <v>68.152830799549562</v>
      </c>
    </row>
    <row r="684" spans="1:5" hidden="1" x14ac:dyDescent="0.25">
      <c r="A684">
        <v>16</v>
      </c>
      <c r="B684">
        <v>39</v>
      </c>
      <c r="C684" t="s">
        <v>15</v>
      </c>
      <c r="D684" t="s">
        <v>39</v>
      </c>
      <c r="E684">
        <f t="shared" ca="1" si="10"/>
        <v>55.451053612987998</v>
      </c>
    </row>
    <row r="685" spans="1:5" hidden="1" x14ac:dyDescent="0.25">
      <c r="A685">
        <v>16</v>
      </c>
      <c r="B685">
        <v>40</v>
      </c>
      <c r="C685" t="s">
        <v>15</v>
      </c>
      <c r="D685" t="s">
        <v>40</v>
      </c>
      <c r="E685">
        <f t="shared" ca="1" si="10"/>
        <v>54.422446793473156</v>
      </c>
    </row>
    <row r="686" spans="1:5" hidden="1" x14ac:dyDescent="0.25">
      <c r="A686">
        <v>17</v>
      </c>
      <c r="B686">
        <v>1</v>
      </c>
      <c r="C686" t="s">
        <v>16</v>
      </c>
      <c r="D686" t="s">
        <v>0</v>
      </c>
      <c r="E686">
        <f t="shared" ca="1" si="10"/>
        <v>92.625820552974844</v>
      </c>
    </row>
    <row r="687" spans="1:5" hidden="1" x14ac:dyDescent="0.25">
      <c r="A687">
        <v>17</v>
      </c>
      <c r="B687">
        <v>2</v>
      </c>
      <c r="C687" t="s">
        <v>16</v>
      </c>
      <c r="D687" t="s">
        <v>1</v>
      </c>
      <c r="E687">
        <f t="shared" ca="1" si="10"/>
        <v>93.003598330752624</v>
      </c>
    </row>
    <row r="688" spans="1:5" hidden="1" x14ac:dyDescent="0.25">
      <c r="A688">
        <v>17</v>
      </c>
      <c r="B688">
        <v>3</v>
      </c>
      <c r="C688" t="s">
        <v>16</v>
      </c>
      <c r="D688" t="s">
        <v>2</v>
      </c>
      <c r="E688">
        <f t="shared" ca="1" si="10"/>
        <v>93.531128525009379</v>
      </c>
    </row>
    <row r="689" spans="1:5" hidden="1" x14ac:dyDescent="0.25">
      <c r="A689">
        <v>17</v>
      </c>
      <c r="B689">
        <v>4</v>
      </c>
      <c r="C689" t="s">
        <v>16</v>
      </c>
      <c r="D689" t="s">
        <v>3</v>
      </c>
      <c r="E689">
        <f t="shared" ca="1" si="10"/>
        <v>109.03002710327515</v>
      </c>
    </row>
    <row r="690" spans="1:5" hidden="1" x14ac:dyDescent="0.25">
      <c r="A690">
        <v>17</v>
      </c>
      <c r="B690">
        <v>5</v>
      </c>
      <c r="C690" t="s">
        <v>16</v>
      </c>
      <c r="D690" t="s">
        <v>4</v>
      </c>
      <c r="E690">
        <f t="shared" ca="1" si="10"/>
        <v>110.86237903528527</v>
      </c>
    </row>
    <row r="691" spans="1:5" hidden="1" x14ac:dyDescent="0.25">
      <c r="A691">
        <v>17</v>
      </c>
      <c r="B691">
        <v>6</v>
      </c>
      <c r="C691" t="s">
        <v>16</v>
      </c>
      <c r="D691" t="s">
        <v>5</v>
      </c>
      <c r="E691">
        <f t="shared" ca="1" si="10"/>
        <v>113.40682347972972</v>
      </c>
    </row>
    <row r="692" spans="1:5" hidden="1" x14ac:dyDescent="0.25">
      <c r="A692">
        <v>17</v>
      </c>
      <c r="B692">
        <v>7</v>
      </c>
      <c r="C692" t="s">
        <v>16</v>
      </c>
      <c r="D692" t="s">
        <v>6</v>
      </c>
      <c r="E692">
        <f t="shared" ca="1" si="10"/>
        <v>111.30126792417417</v>
      </c>
    </row>
    <row r="693" spans="1:5" hidden="1" x14ac:dyDescent="0.25">
      <c r="A693">
        <v>17</v>
      </c>
      <c r="B693">
        <v>8</v>
      </c>
      <c r="C693" t="s">
        <v>16</v>
      </c>
      <c r="D693" t="s">
        <v>7</v>
      </c>
      <c r="E693">
        <f t="shared" ca="1" si="10"/>
        <v>109.18336043660848</v>
      </c>
    </row>
    <row r="694" spans="1:5" hidden="1" x14ac:dyDescent="0.25">
      <c r="A694">
        <v>17</v>
      </c>
      <c r="B694">
        <v>9</v>
      </c>
      <c r="C694" t="s">
        <v>16</v>
      </c>
      <c r="D694" t="s">
        <v>148</v>
      </c>
      <c r="E694">
        <f t="shared" ca="1" si="10"/>
        <v>95.086931664085952</v>
      </c>
    </row>
    <row r="695" spans="1:5" hidden="1" x14ac:dyDescent="0.25">
      <c r="A695">
        <v>17</v>
      </c>
      <c r="B695">
        <v>10</v>
      </c>
      <c r="C695" t="s">
        <v>16</v>
      </c>
      <c r="D695" t="s">
        <v>9</v>
      </c>
      <c r="E695">
        <f t="shared" ca="1" si="10"/>
        <v>111.85015681306305</v>
      </c>
    </row>
    <row r="696" spans="1:5" hidden="1" x14ac:dyDescent="0.25">
      <c r="A696">
        <v>17</v>
      </c>
      <c r="B696">
        <v>11</v>
      </c>
      <c r="C696" t="s">
        <v>16</v>
      </c>
      <c r="D696" t="s">
        <v>10</v>
      </c>
      <c r="E696">
        <f t="shared" ca="1" si="10"/>
        <v>53.205553966075449</v>
      </c>
    </row>
    <row r="697" spans="1:5" hidden="1" x14ac:dyDescent="0.25">
      <c r="A697">
        <v>17</v>
      </c>
      <c r="B697">
        <v>12</v>
      </c>
      <c r="C697" t="s">
        <v>16</v>
      </c>
      <c r="D697" t="s">
        <v>11</v>
      </c>
      <c r="E697">
        <f t="shared" ca="1" si="10"/>
        <v>74.397439388607353</v>
      </c>
    </row>
    <row r="698" spans="1:5" hidden="1" x14ac:dyDescent="0.25">
      <c r="A698">
        <v>17</v>
      </c>
      <c r="B698">
        <v>13</v>
      </c>
      <c r="C698" t="s">
        <v>16</v>
      </c>
      <c r="D698" t="s">
        <v>12</v>
      </c>
      <c r="E698">
        <f t="shared" ca="1" si="10"/>
        <v>71.033282842412717</v>
      </c>
    </row>
    <row r="699" spans="1:5" hidden="1" x14ac:dyDescent="0.25">
      <c r="A699">
        <v>17</v>
      </c>
      <c r="B699">
        <v>14</v>
      </c>
      <c r="C699" t="s">
        <v>16</v>
      </c>
      <c r="D699" t="s">
        <v>13</v>
      </c>
      <c r="E699">
        <f t="shared" ca="1" si="10"/>
        <v>70.535505064634947</v>
      </c>
    </row>
    <row r="700" spans="1:5" hidden="1" x14ac:dyDescent="0.25">
      <c r="A700">
        <v>17</v>
      </c>
      <c r="B700">
        <v>15</v>
      </c>
      <c r="C700" t="s">
        <v>16</v>
      </c>
      <c r="D700" t="s">
        <v>14</v>
      </c>
      <c r="E700">
        <f t="shared" ca="1" si="10"/>
        <v>43.147308558558557</v>
      </c>
    </row>
    <row r="701" spans="1:5" hidden="1" x14ac:dyDescent="0.25">
      <c r="A701">
        <v>17</v>
      </c>
      <c r="B701">
        <v>16</v>
      </c>
      <c r="C701" t="s">
        <v>16</v>
      </c>
      <c r="D701" t="s">
        <v>15</v>
      </c>
      <c r="E701">
        <f t="shared" ca="1" si="10"/>
        <v>36.68290851984797</v>
      </c>
    </row>
    <row r="702" spans="1:5" hidden="1" x14ac:dyDescent="0.25">
      <c r="A702">
        <v>17</v>
      </c>
      <c r="B702">
        <v>17</v>
      </c>
      <c r="C702" t="s">
        <v>16</v>
      </c>
      <c r="D702" t="s">
        <v>16</v>
      </c>
      <c r="E702">
        <f t="shared" ca="1" si="10"/>
        <v>0</v>
      </c>
    </row>
    <row r="703" spans="1:5" hidden="1" x14ac:dyDescent="0.25">
      <c r="A703">
        <v>17</v>
      </c>
      <c r="B703">
        <v>18</v>
      </c>
      <c r="C703" t="s">
        <v>16</v>
      </c>
      <c r="D703" t="s">
        <v>17</v>
      </c>
      <c r="E703">
        <f t="shared" ca="1" si="10"/>
        <v>38.454019630959081</v>
      </c>
    </row>
    <row r="704" spans="1:5" hidden="1" x14ac:dyDescent="0.25">
      <c r="A704">
        <v>17</v>
      </c>
      <c r="B704">
        <v>19</v>
      </c>
      <c r="C704" t="s">
        <v>16</v>
      </c>
      <c r="D704" t="s">
        <v>18</v>
      </c>
      <c r="E704">
        <f t="shared" ca="1" si="10"/>
        <v>49.587829978415911</v>
      </c>
    </row>
    <row r="705" spans="1:5" hidden="1" x14ac:dyDescent="0.25">
      <c r="A705">
        <v>17</v>
      </c>
      <c r="B705">
        <v>20</v>
      </c>
      <c r="C705" t="s">
        <v>16</v>
      </c>
      <c r="D705" t="s">
        <v>19</v>
      </c>
      <c r="E705">
        <f t="shared" ca="1" si="10"/>
        <v>87.29179644097222</v>
      </c>
    </row>
    <row r="706" spans="1:5" hidden="1" x14ac:dyDescent="0.25">
      <c r="A706">
        <v>17</v>
      </c>
      <c r="B706">
        <v>21</v>
      </c>
      <c r="C706" t="s">
        <v>16</v>
      </c>
      <c r="D706" t="s">
        <v>20</v>
      </c>
      <c r="E706">
        <f t="shared" ca="1" si="10"/>
        <v>92.458877387152782</v>
      </c>
    </row>
    <row r="707" spans="1:5" hidden="1" x14ac:dyDescent="0.25">
      <c r="A707">
        <v>17</v>
      </c>
      <c r="B707">
        <v>22</v>
      </c>
      <c r="C707" t="s">
        <v>16</v>
      </c>
      <c r="D707" t="s">
        <v>21</v>
      </c>
      <c r="E707">
        <f t="shared" ca="1" si="10"/>
        <v>99.259799795185813</v>
      </c>
    </row>
    <row r="708" spans="1:5" hidden="1" x14ac:dyDescent="0.25">
      <c r="A708">
        <v>17</v>
      </c>
      <c r="B708">
        <v>23</v>
      </c>
      <c r="C708" t="s">
        <v>16</v>
      </c>
      <c r="D708" t="s">
        <v>22</v>
      </c>
      <c r="E708">
        <f t="shared" ca="1" si="10"/>
        <v>81.85117705987237</v>
      </c>
    </row>
    <row r="709" spans="1:5" hidden="1" x14ac:dyDescent="0.25">
      <c r="A709">
        <v>17</v>
      </c>
      <c r="B709">
        <v>24</v>
      </c>
      <c r="C709" t="s">
        <v>16</v>
      </c>
      <c r="D709" t="s">
        <v>23</v>
      </c>
      <c r="E709">
        <f t="shared" ca="1" si="10"/>
        <v>81.140065948761261</v>
      </c>
    </row>
    <row r="710" spans="1:5" hidden="1" x14ac:dyDescent="0.25">
      <c r="A710">
        <v>17</v>
      </c>
      <c r="B710">
        <v>25</v>
      </c>
      <c r="C710" t="s">
        <v>16</v>
      </c>
      <c r="D710" t="s">
        <v>24</v>
      </c>
      <c r="E710">
        <f t="shared" ca="1" si="10"/>
        <v>79.801177059872373</v>
      </c>
    </row>
    <row r="711" spans="1:5" hidden="1" x14ac:dyDescent="0.25">
      <c r="A711">
        <v>17</v>
      </c>
      <c r="B711">
        <v>26</v>
      </c>
      <c r="C711" t="s">
        <v>16</v>
      </c>
      <c r="D711" t="s">
        <v>25</v>
      </c>
      <c r="E711">
        <f t="shared" ca="1" si="10"/>
        <v>0</v>
      </c>
    </row>
    <row r="712" spans="1:5" hidden="1" x14ac:dyDescent="0.25">
      <c r="A712">
        <v>17</v>
      </c>
      <c r="B712">
        <v>27</v>
      </c>
      <c r="C712" t="s">
        <v>16</v>
      </c>
      <c r="D712" t="s">
        <v>145</v>
      </c>
      <c r="E712">
        <f t="shared" ca="1" si="10"/>
        <v>88.738463107638893</v>
      </c>
    </row>
    <row r="713" spans="1:5" hidden="1" x14ac:dyDescent="0.25">
      <c r="A713">
        <v>17</v>
      </c>
      <c r="B713">
        <v>28</v>
      </c>
      <c r="C713" t="s">
        <v>16</v>
      </c>
      <c r="D713" t="s">
        <v>147</v>
      </c>
      <c r="E713">
        <f t="shared" ca="1" si="10"/>
        <v>99.70424423963027</v>
      </c>
    </row>
    <row r="714" spans="1:5" hidden="1" x14ac:dyDescent="0.25">
      <c r="A714">
        <v>17</v>
      </c>
      <c r="B714">
        <v>29</v>
      </c>
      <c r="C714" t="s">
        <v>16</v>
      </c>
      <c r="D714" t="s">
        <v>146</v>
      </c>
      <c r="E714">
        <f t="shared" ca="1" si="10"/>
        <v>80.328954837650144</v>
      </c>
    </row>
    <row r="715" spans="1:5" hidden="1" x14ac:dyDescent="0.25">
      <c r="A715">
        <v>17</v>
      </c>
      <c r="B715">
        <v>30</v>
      </c>
      <c r="C715" t="s">
        <v>16</v>
      </c>
      <c r="D715" t="s">
        <v>30</v>
      </c>
      <c r="E715">
        <f t="shared" ca="1" si="10"/>
        <v>111.17113821438626</v>
      </c>
    </row>
    <row r="716" spans="1:5" hidden="1" x14ac:dyDescent="0.25">
      <c r="A716">
        <v>17</v>
      </c>
      <c r="B716">
        <v>31</v>
      </c>
      <c r="C716" t="s">
        <v>16</v>
      </c>
      <c r="D716" t="s">
        <v>31</v>
      </c>
      <c r="E716">
        <f t="shared" ca="1" si="10"/>
        <v>102.05984308136262</v>
      </c>
    </row>
    <row r="717" spans="1:5" hidden="1" x14ac:dyDescent="0.25">
      <c r="A717">
        <v>17</v>
      </c>
      <c r="B717">
        <v>32</v>
      </c>
      <c r="C717" t="s">
        <v>16</v>
      </c>
      <c r="D717" t="s">
        <v>32</v>
      </c>
      <c r="E717">
        <f t="shared" ca="1" si="10"/>
        <v>100.75206530358484</v>
      </c>
    </row>
    <row r="718" spans="1:5" hidden="1" x14ac:dyDescent="0.25">
      <c r="A718">
        <v>17</v>
      </c>
      <c r="B718">
        <v>33</v>
      </c>
      <c r="C718" t="s">
        <v>16</v>
      </c>
      <c r="D718" t="s">
        <v>33</v>
      </c>
      <c r="E718">
        <f t="shared" ca="1" si="10"/>
        <v>93.895786687077717</v>
      </c>
    </row>
    <row r="719" spans="1:5" hidden="1" x14ac:dyDescent="0.25">
      <c r="A719">
        <v>17</v>
      </c>
      <c r="B719">
        <v>34</v>
      </c>
      <c r="C719" t="s">
        <v>16</v>
      </c>
      <c r="D719" t="s">
        <v>34</v>
      </c>
      <c r="E719">
        <f t="shared" ca="1" si="10"/>
        <v>94.820231131522164</v>
      </c>
    </row>
    <row r="720" spans="1:5" hidden="1" x14ac:dyDescent="0.25">
      <c r="A720">
        <v>17</v>
      </c>
      <c r="B720">
        <v>35</v>
      </c>
      <c r="C720" t="s">
        <v>16</v>
      </c>
      <c r="D720" t="s">
        <v>35</v>
      </c>
      <c r="E720">
        <f t="shared" ca="1" si="10"/>
        <v>94.131376108530404</v>
      </c>
    </row>
    <row r="721" spans="1:5" hidden="1" x14ac:dyDescent="0.25">
      <c r="A721">
        <v>17</v>
      </c>
      <c r="B721">
        <v>36</v>
      </c>
      <c r="C721" t="s">
        <v>16</v>
      </c>
      <c r="D721" t="s">
        <v>36</v>
      </c>
      <c r="E721">
        <f t="shared" ca="1" si="10"/>
        <v>49.462740559895828</v>
      </c>
    </row>
    <row r="722" spans="1:5" hidden="1" x14ac:dyDescent="0.25">
      <c r="A722">
        <v>17</v>
      </c>
      <c r="B722">
        <v>37</v>
      </c>
      <c r="C722" t="s">
        <v>16</v>
      </c>
      <c r="D722" t="s">
        <v>37</v>
      </c>
      <c r="E722">
        <f t="shared" ca="1" si="10"/>
        <v>34.762011107298704</v>
      </c>
    </row>
    <row r="723" spans="1:5" hidden="1" x14ac:dyDescent="0.25">
      <c r="A723">
        <v>17</v>
      </c>
      <c r="B723">
        <v>38</v>
      </c>
      <c r="C723" t="s">
        <v>16</v>
      </c>
      <c r="D723" t="s">
        <v>38</v>
      </c>
      <c r="E723">
        <f t="shared" ca="1" si="10"/>
        <v>49.184962782118049</v>
      </c>
    </row>
    <row r="724" spans="1:5" hidden="1" x14ac:dyDescent="0.25">
      <c r="A724">
        <v>17</v>
      </c>
      <c r="B724">
        <v>39</v>
      </c>
      <c r="C724" t="s">
        <v>16</v>
      </c>
      <c r="D724" t="s">
        <v>39</v>
      </c>
      <c r="E724">
        <f t="shared" ca="1" si="10"/>
        <v>50.879942306564367</v>
      </c>
    </row>
    <row r="725" spans="1:5" hidden="1" x14ac:dyDescent="0.25">
      <c r="A725">
        <v>17</v>
      </c>
      <c r="B725">
        <v>40</v>
      </c>
      <c r="C725" t="s">
        <v>16</v>
      </c>
      <c r="D725" t="s">
        <v>40</v>
      </c>
      <c r="E725">
        <f t="shared" ca="1" si="10"/>
        <v>34.162011107298703</v>
      </c>
    </row>
    <row r="726" spans="1:5" hidden="1" x14ac:dyDescent="0.25">
      <c r="A726">
        <v>18</v>
      </c>
      <c r="B726">
        <v>1</v>
      </c>
      <c r="C726" t="s">
        <v>17</v>
      </c>
      <c r="D726" t="s">
        <v>0</v>
      </c>
      <c r="E726">
        <f t="shared" ca="1" si="10"/>
        <v>90.531962186796164</v>
      </c>
    </row>
    <row r="727" spans="1:5" hidden="1" x14ac:dyDescent="0.25">
      <c r="A727">
        <v>18</v>
      </c>
      <c r="B727">
        <v>2</v>
      </c>
      <c r="C727" t="s">
        <v>17</v>
      </c>
      <c r="D727" t="s">
        <v>1</v>
      </c>
      <c r="E727">
        <f t="shared" ca="1" si="10"/>
        <v>90.909739964573944</v>
      </c>
    </row>
    <row r="728" spans="1:5" hidden="1" x14ac:dyDescent="0.25">
      <c r="A728">
        <v>18</v>
      </c>
      <c r="B728">
        <v>3</v>
      </c>
      <c r="C728" t="s">
        <v>17</v>
      </c>
      <c r="D728" t="s">
        <v>2</v>
      </c>
      <c r="E728">
        <f t="shared" ca="1" si="10"/>
        <v>112.03630341474287</v>
      </c>
    </row>
    <row r="729" spans="1:5" hidden="1" x14ac:dyDescent="0.25">
      <c r="A729">
        <v>18</v>
      </c>
      <c r="B729">
        <v>4</v>
      </c>
      <c r="C729" t="s">
        <v>17</v>
      </c>
      <c r="D729" t="s">
        <v>3</v>
      </c>
      <c r="E729">
        <f t="shared" ca="1" si="10"/>
        <v>126.8360621950075</v>
      </c>
    </row>
    <row r="730" spans="1:5" hidden="1" x14ac:dyDescent="0.25">
      <c r="A730">
        <v>18</v>
      </c>
      <c r="B730">
        <v>5</v>
      </c>
      <c r="C730" t="s">
        <v>17</v>
      </c>
      <c r="D730" t="s">
        <v>4</v>
      </c>
      <c r="E730">
        <f t="shared" ca="1" si="10"/>
        <v>123.11670250328454</v>
      </c>
    </row>
    <row r="731" spans="1:5" hidden="1" x14ac:dyDescent="0.25">
      <c r="A731">
        <v>18</v>
      </c>
      <c r="B731">
        <v>6</v>
      </c>
      <c r="C731" t="s">
        <v>17</v>
      </c>
      <c r="D731" t="s">
        <v>5</v>
      </c>
      <c r="E731">
        <f t="shared" ca="1" si="10"/>
        <v>125.66114694772898</v>
      </c>
    </row>
    <row r="732" spans="1:5" hidden="1" x14ac:dyDescent="0.25">
      <c r="A732">
        <v>18</v>
      </c>
      <c r="B732">
        <v>7</v>
      </c>
      <c r="C732" t="s">
        <v>17</v>
      </c>
      <c r="D732" t="s">
        <v>6</v>
      </c>
      <c r="E732">
        <f t="shared" ca="1" si="10"/>
        <v>123.55559139217343</v>
      </c>
    </row>
    <row r="733" spans="1:5" hidden="1" x14ac:dyDescent="0.25">
      <c r="A733">
        <v>18</v>
      </c>
      <c r="B733">
        <v>8</v>
      </c>
      <c r="C733" t="s">
        <v>17</v>
      </c>
      <c r="D733" t="s">
        <v>7</v>
      </c>
      <c r="E733">
        <f t="shared" ca="1" si="10"/>
        <v>126.98939552834084</v>
      </c>
    </row>
    <row r="734" spans="1:5" hidden="1" x14ac:dyDescent="0.25">
      <c r="A734">
        <v>18</v>
      </c>
      <c r="B734">
        <v>9</v>
      </c>
      <c r="C734" t="s">
        <v>17</v>
      </c>
      <c r="D734" t="s">
        <v>148</v>
      </c>
      <c r="E734">
        <f t="shared" ref="E734:E795" ca="1" si="11">OFFSET($B$3,A734,B734)</f>
        <v>119.32738961617866</v>
      </c>
    </row>
    <row r="735" spans="1:5" hidden="1" x14ac:dyDescent="0.25">
      <c r="A735">
        <v>18</v>
      </c>
      <c r="B735">
        <v>10</v>
      </c>
      <c r="C735" t="s">
        <v>17</v>
      </c>
      <c r="D735" t="s">
        <v>9</v>
      </c>
      <c r="E735">
        <f t="shared" ca="1" si="11"/>
        <v>124.10448028106231</v>
      </c>
    </row>
    <row r="736" spans="1:5" hidden="1" x14ac:dyDescent="0.25">
      <c r="A736">
        <v>18</v>
      </c>
      <c r="B736">
        <v>11</v>
      </c>
      <c r="C736" t="s">
        <v>17</v>
      </c>
      <c r="D736" t="s">
        <v>10</v>
      </c>
      <c r="E736">
        <f t="shared" ca="1" si="11"/>
        <v>69.683688631991373</v>
      </c>
    </row>
    <row r="737" spans="1:5" hidden="1" x14ac:dyDescent="0.25">
      <c r="A737">
        <v>18</v>
      </c>
      <c r="B737">
        <v>12</v>
      </c>
      <c r="C737" t="s">
        <v>17</v>
      </c>
      <c r="D737" t="s">
        <v>11</v>
      </c>
      <c r="E737">
        <f t="shared" ca="1" si="11"/>
        <v>79.470521337744003</v>
      </c>
    </row>
    <row r="738" spans="1:5" hidden="1" x14ac:dyDescent="0.25">
      <c r="A738">
        <v>18</v>
      </c>
      <c r="B738">
        <v>13</v>
      </c>
      <c r="C738" t="s">
        <v>17</v>
      </c>
      <c r="D738" t="s">
        <v>12</v>
      </c>
      <c r="E738">
        <f t="shared" ca="1" si="11"/>
        <v>90.267317256709845</v>
      </c>
    </row>
    <row r="739" spans="1:5" hidden="1" x14ac:dyDescent="0.25">
      <c r="A739">
        <v>18</v>
      </c>
      <c r="B739">
        <v>14</v>
      </c>
      <c r="C739" t="s">
        <v>17</v>
      </c>
      <c r="D739" t="s">
        <v>13</v>
      </c>
      <c r="E739">
        <f t="shared" ca="1" si="11"/>
        <v>89.769539478932074</v>
      </c>
    </row>
    <row r="740" spans="1:5" hidden="1" x14ac:dyDescent="0.25">
      <c r="A740">
        <v>18</v>
      </c>
      <c r="B740">
        <v>15</v>
      </c>
      <c r="C740" t="s">
        <v>17</v>
      </c>
      <c r="D740" t="s">
        <v>14</v>
      </c>
      <c r="E740">
        <f t="shared" ca="1" si="11"/>
        <v>0</v>
      </c>
    </row>
    <row r="741" spans="1:5" hidden="1" x14ac:dyDescent="0.25">
      <c r="A741">
        <v>18</v>
      </c>
      <c r="B741">
        <v>16</v>
      </c>
      <c r="C741" t="s">
        <v>17</v>
      </c>
      <c r="D741" t="s">
        <v>15</v>
      </c>
      <c r="E741">
        <f t="shared" ca="1" si="11"/>
        <v>0</v>
      </c>
    </row>
    <row r="742" spans="1:5" hidden="1" x14ac:dyDescent="0.25">
      <c r="A742">
        <v>18</v>
      </c>
      <c r="B742">
        <v>17</v>
      </c>
      <c r="C742" t="s">
        <v>17</v>
      </c>
      <c r="D742" t="s">
        <v>16</v>
      </c>
      <c r="E742">
        <f t="shared" ca="1" si="11"/>
        <v>38.454019630959081</v>
      </c>
    </row>
    <row r="743" spans="1:5" hidden="1" x14ac:dyDescent="0.25">
      <c r="A743">
        <v>18</v>
      </c>
      <c r="B743">
        <v>18</v>
      </c>
      <c r="C743" t="s">
        <v>17</v>
      </c>
      <c r="D743" t="s">
        <v>17</v>
      </c>
      <c r="E743">
        <f t="shared" ca="1" si="11"/>
        <v>0</v>
      </c>
    </row>
    <row r="744" spans="1:5" hidden="1" x14ac:dyDescent="0.25">
      <c r="A744">
        <v>18</v>
      </c>
      <c r="B744">
        <v>19</v>
      </c>
      <c r="C744" t="s">
        <v>17</v>
      </c>
      <c r="D744" t="s">
        <v>18</v>
      </c>
      <c r="E744">
        <f t="shared" ca="1" si="11"/>
        <v>123.34013505888701</v>
      </c>
    </row>
    <row r="745" spans="1:5" hidden="1" x14ac:dyDescent="0.25">
      <c r="A745">
        <v>18</v>
      </c>
      <c r="B745">
        <v>20</v>
      </c>
      <c r="C745" t="s">
        <v>17</v>
      </c>
      <c r="D745" t="s">
        <v>19</v>
      </c>
      <c r="E745">
        <f t="shared" ca="1" si="11"/>
        <v>111.67654405381944</v>
      </c>
    </row>
    <row r="746" spans="1:5" hidden="1" x14ac:dyDescent="0.25">
      <c r="A746">
        <v>18</v>
      </c>
      <c r="B746">
        <v>21</v>
      </c>
      <c r="C746" t="s">
        <v>17</v>
      </c>
      <c r="D746" t="s">
        <v>20</v>
      </c>
      <c r="E746">
        <f t="shared" ca="1" si="11"/>
        <v>110.17270699605857</v>
      </c>
    </row>
    <row r="747" spans="1:5" hidden="1" x14ac:dyDescent="0.25">
      <c r="A747">
        <v>18</v>
      </c>
      <c r="B747">
        <v>22</v>
      </c>
      <c r="C747" t="s">
        <v>17</v>
      </c>
      <c r="D747" t="s">
        <v>21</v>
      </c>
      <c r="E747">
        <f t="shared" ca="1" si="11"/>
        <v>110.46635209365616</v>
      </c>
    </row>
    <row r="748" spans="1:5" hidden="1" x14ac:dyDescent="0.25">
      <c r="A748">
        <v>18</v>
      </c>
      <c r="B748">
        <v>23</v>
      </c>
      <c r="C748" t="s">
        <v>17</v>
      </c>
      <c r="D748" t="s">
        <v>22</v>
      </c>
      <c r="E748">
        <f t="shared" ca="1" si="11"/>
        <v>102.93974273296735</v>
      </c>
    </row>
    <row r="749" spans="1:5" hidden="1" x14ac:dyDescent="0.25">
      <c r="A749">
        <v>18</v>
      </c>
      <c r="B749">
        <v>24</v>
      </c>
      <c r="C749" t="s">
        <v>17</v>
      </c>
      <c r="D749" t="s">
        <v>23</v>
      </c>
      <c r="E749">
        <f t="shared" ca="1" si="11"/>
        <v>102.22863162185624</v>
      </c>
    </row>
    <row r="750" spans="1:5" hidden="1" x14ac:dyDescent="0.25">
      <c r="A750">
        <v>18</v>
      </c>
      <c r="B750">
        <v>25</v>
      </c>
      <c r="C750" t="s">
        <v>17</v>
      </c>
      <c r="D750" t="s">
        <v>24</v>
      </c>
      <c r="E750">
        <f t="shared" ca="1" si="11"/>
        <v>100.88974273296735</v>
      </c>
    </row>
    <row r="751" spans="1:5" hidden="1" x14ac:dyDescent="0.25">
      <c r="A751">
        <v>18</v>
      </c>
      <c r="B751">
        <v>26</v>
      </c>
      <c r="C751" t="s">
        <v>17</v>
      </c>
      <c r="D751" t="s">
        <v>25</v>
      </c>
      <c r="E751">
        <f t="shared" ca="1" si="11"/>
        <v>0</v>
      </c>
    </row>
    <row r="752" spans="1:5" hidden="1" x14ac:dyDescent="0.25">
      <c r="A752">
        <v>18</v>
      </c>
      <c r="B752">
        <v>27</v>
      </c>
      <c r="C752" t="s">
        <v>17</v>
      </c>
      <c r="D752" t="s">
        <v>145</v>
      </c>
      <c r="E752">
        <f t="shared" ca="1" si="11"/>
        <v>113.12321072048611</v>
      </c>
    </row>
    <row r="753" spans="1:5" hidden="1" x14ac:dyDescent="0.25">
      <c r="A753">
        <v>18</v>
      </c>
      <c r="B753">
        <v>28</v>
      </c>
      <c r="C753" t="s">
        <v>17</v>
      </c>
      <c r="D753" t="s">
        <v>147</v>
      </c>
      <c r="E753">
        <f t="shared" ca="1" si="11"/>
        <v>110.9107965381006</v>
      </c>
    </row>
    <row r="754" spans="1:5" hidden="1" x14ac:dyDescent="0.25">
      <c r="A754">
        <v>18</v>
      </c>
      <c r="B754">
        <v>29</v>
      </c>
      <c r="C754" t="s">
        <v>17</v>
      </c>
      <c r="D754" t="s">
        <v>146</v>
      </c>
      <c r="E754">
        <f t="shared" ca="1" si="11"/>
        <v>101.41752051074513</v>
      </c>
    </row>
    <row r="755" spans="1:5" hidden="1" x14ac:dyDescent="0.25">
      <c r="A755">
        <v>18</v>
      </c>
      <c r="B755">
        <v>30</v>
      </c>
      <c r="C755" t="s">
        <v>17</v>
      </c>
      <c r="D755" t="s">
        <v>30</v>
      </c>
      <c r="E755">
        <f t="shared" ca="1" si="11"/>
        <v>129.24717330611861</v>
      </c>
    </row>
    <row r="756" spans="1:5" hidden="1" x14ac:dyDescent="0.25">
      <c r="A756">
        <v>18</v>
      </c>
      <c r="B756">
        <v>31</v>
      </c>
      <c r="C756" t="s">
        <v>17</v>
      </c>
      <c r="D756" t="s">
        <v>31</v>
      </c>
      <c r="E756">
        <f t="shared" ca="1" si="11"/>
        <v>122.63446611650713</v>
      </c>
    </row>
    <row r="757" spans="1:5" hidden="1" x14ac:dyDescent="0.25">
      <c r="A757">
        <v>18</v>
      </c>
      <c r="B757">
        <v>32</v>
      </c>
      <c r="C757" t="s">
        <v>17</v>
      </c>
      <c r="D757" t="s">
        <v>32</v>
      </c>
      <c r="E757">
        <f t="shared" ca="1" si="11"/>
        <v>121.32668833872935</v>
      </c>
    </row>
    <row r="758" spans="1:5" hidden="1" x14ac:dyDescent="0.25">
      <c r="A758">
        <v>18</v>
      </c>
      <c r="B758">
        <v>33</v>
      </c>
      <c r="C758" t="s">
        <v>17</v>
      </c>
      <c r="D758" t="s">
        <v>33</v>
      </c>
      <c r="E758">
        <f t="shared" ca="1" si="11"/>
        <v>123.43687030780779</v>
      </c>
    </row>
    <row r="759" spans="1:5" hidden="1" x14ac:dyDescent="0.25">
      <c r="A759">
        <v>18</v>
      </c>
      <c r="B759">
        <v>34</v>
      </c>
      <c r="C759" t="s">
        <v>17</v>
      </c>
      <c r="D759" t="s">
        <v>34</v>
      </c>
      <c r="E759">
        <f t="shared" ca="1" si="11"/>
        <v>124.36131475225224</v>
      </c>
    </row>
    <row r="760" spans="1:5" hidden="1" x14ac:dyDescent="0.25">
      <c r="A760">
        <v>18</v>
      </c>
      <c r="B760">
        <v>35</v>
      </c>
      <c r="C760" t="s">
        <v>17</v>
      </c>
      <c r="D760" t="s">
        <v>35</v>
      </c>
      <c r="E760">
        <f t="shared" ca="1" si="11"/>
        <v>115.7775858201952</v>
      </c>
    </row>
    <row r="761" spans="1:5" hidden="1" x14ac:dyDescent="0.25">
      <c r="A761">
        <v>18</v>
      </c>
      <c r="B761">
        <v>36</v>
      </c>
      <c r="C761" t="s">
        <v>17</v>
      </c>
      <c r="D761" t="s">
        <v>36</v>
      </c>
      <c r="E761">
        <f t="shared" ca="1" si="11"/>
        <v>70.471719688438455</v>
      </c>
    </row>
    <row r="762" spans="1:5" hidden="1" x14ac:dyDescent="0.25">
      <c r="A762">
        <v>18</v>
      </c>
      <c r="B762">
        <v>37</v>
      </c>
      <c r="C762" t="s">
        <v>17</v>
      </c>
      <c r="D762" t="s">
        <v>37</v>
      </c>
      <c r="E762">
        <f t="shared" ca="1" si="11"/>
        <v>57.063557904584272</v>
      </c>
    </row>
    <row r="763" spans="1:5" hidden="1" x14ac:dyDescent="0.25">
      <c r="A763">
        <v>18</v>
      </c>
      <c r="B763">
        <v>38</v>
      </c>
      <c r="C763" t="s">
        <v>17</v>
      </c>
      <c r="D763" t="s">
        <v>38</v>
      </c>
      <c r="E763">
        <f t="shared" ca="1" si="11"/>
        <v>70.193941910660669</v>
      </c>
    </row>
    <row r="764" spans="1:5" hidden="1" x14ac:dyDescent="0.25">
      <c r="A764">
        <v>18</v>
      </c>
      <c r="B764">
        <v>39</v>
      </c>
      <c r="C764" t="s">
        <v>17</v>
      </c>
      <c r="D764" t="s">
        <v>39</v>
      </c>
      <c r="E764">
        <f t="shared" ca="1" si="11"/>
        <v>57.492164724099112</v>
      </c>
    </row>
    <row r="765" spans="1:5" hidden="1" x14ac:dyDescent="0.25">
      <c r="A765">
        <v>18</v>
      </c>
      <c r="B765">
        <v>40</v>
      </c>
      <c r="C765" t="s">
        <v>17</v>
      </c>
      <c r="D765" t="s">
        <v>40</v>
      </c>
      <c r="E765">
        <f t="shared" ca="1" si="11"/>
        <v>56.46355790458427</v>
      </c>
    </row>
    <row r="766" spans="1:5" hidden="1" x14ac:dyDescent="0.25">
      <c r="A766">
        <v>19</v>
      </c>
      <c r="B766">
        <v>1</v>
      </c>
      <c r="C766" t="s">
        <v>18</v>
      </c>
      <c r="D766" t="s">
        <v>0</v>
      </c>
      <c r="E766">
        <f t="shared" ca="1" si="11"/>
        <v>26.681948319901934</v>
      </c>
    </row>
    <row r="767" spans="1:5" hidden="1" x14ac:dyDescent="0.25">
      <c r="A767">
        <v>19</v>
      </c>
      <c r="B767">
        <v>2</v>
      </c>
      <c r="C767" t="s">
        <v>18</v>
      </c>
      <c r="D767" t="s">
        <v>1</v>
      </c>
      <c r="E767">
        <f t="shared" ca="1" si="11"/>
        <v>27.059726097679711</v>
      </c>
    </row>
    <row r="768" spans="1:5" hidden="1" x14ac:dyDescent="0.25">
      <c r="A768">
        <v>19</v>
      </c>
      <c r="B768">
        <v>3</v>
      </c>
      <c r="C768" t="s">
        <v>18</v>
      </c>
      <c r="D768" t="s">
        <v>2</v>
      </c>
      <c r="E768">
        <f t="shared" ca="1" si="11"/>
        <v>23.461803248316677</v>
      </c>
    </row>
    <row r="769" spans="1:5" hidden="1" x14ac:dyDescent="0.25">
      <c r="A769">
        <v>19</v>
      </c>
      <c r="B769">
        <v>4</v>
      </c>
      <c r="C769" t="s">
        <v>18</v>
      </c>
      <c r="D769" t="s">
        <v>3</v>
      </c>
      <c r="E769">
        <f t="shared" ca="1" si="11"/>
        <v>39.234595669399866</v>
      </c>
    </row>
    <row r="770" spans="1:5" hidden="1" x14ac:dyDescent="0.25">
      <c r="A770">
        <v>19</v>
      </c>
      <c r="B770">
        <v>5</v>
      </c>
      <c r="C770" t="s">
        <v>18</v>
      </c>
      <c r="D770" t="s">
        <v>4</v>
      </c>
      <c r="E770">
        <f t="shared" ca="1" si="11"/>
        <v>40.38431391792183</v>
      </c>
    </row>
    <row r="771" spans="1:5" hidden="1" x14ac:dyDescent="0.25">
      <c r="A771">
        <v>19</v>
      </c>
      <c r="B771">
        <v>6</v>
      </c>
      <c r="C771" t="s">
        <v>18</v>
      </c>
      <c r="D771" t="s">
        <v>5</v>
      </c>
      <c r="E771">
        <f t="shared" ca="1" si="11"/>
        <v>42.928758362366274</v>
      </c>
    </row>
    <row r="772" spans="1:5" hidden="1" x14ac:dyDescent="0.25">
      <c r="A772">
        <v>19</v>
      </c>
      <c r="B772">
        <v>7</v>
      </c>
      <c r="C772" t="s">
        <v>18</v>
      </c>
      <c r="D772" t="s">
        <v>6</v>
      </c>
      <c r="E772">
        <f t="shared" ca="1" si="11"/>
        <v>40.82320280681072</v>
      </c>
    </row>
    <row r="773" spans="1:5" hidden="1" x14ac:dyDescent="0.25">
      <c r="A773">
        <v>19</v>
      </c>
      <c r="B773">
        <v>8</v>
      </c>
      <c r="C773" t="s">
        <v>18</v>
      </c>
      <c r="D773" t="s">
        <v>7</v>
      </c>
      <c r="E773">
        <f t="shared" ca="1" si="11"/>
        <v>39.387929002733202</v>
      </c>
    </row>
    <row r="774" spans="1:5" hidden="1" x14ac:dyDescent="0.25">
      <c r="A774">
        <v>19</v>
      </c>
      <c r="B774">
        <v>9</v>
      </c>
      <c r="C774" t="s">
        <v>18</v>
      </c>
      <c r="D774" t="s">
        <v>148</v>
      </c>
      <c r="E774">
        <f t="shared" ca="1" si="11"/>
        <v>29.143059431013047</v>
      </c>
    </row>
    <row r="775" spans="1:5" hidden="1" x14ac:dyDescent="0.25">
      <c r="A775">
        <v>19</v>
      </c>
      <c r="B775">
        <v>10</v>
      </c>
      <c r="C775" t="s">
        <v>18</v>
      </c>
      <c r="D775" t="s">
        <v>9</v>
      </c>
      <c r="E775">
        <f t="shared" ca="1" si="11"/>
        <v>41.372091695699609</v>
      </c>
    </row>
    <row r="776" spans="1:5" hidden="1" x14ac:dyDescent="0.25">
      <c r="A776">
        <v>19</v>
      </c>
      <c r="B776">
        <v>11</v>
      </c>
      <c r="C776" t="s">
        <v>18</v>
      </c>
      <c r="D776" t="s">
        <v>10</v>
      </c>
      <c r="E776">
        <f t="shared" ca="1" si="11"/>
        <v>54.486137466568131</v>
      </c>
    </row>
    <row r="777" spans="1:5" hidden="1" x14ac:dyDescent="0.25">
      <c r="A777">
        <v>19</v>
      </c>
      <c r="B777">
        <v>12</v>
      </c>
      <c r="C777" t="s">
        <v>18</v>
      </c>
      <c r="D777" t="s">
        <v>11</v>
      </c>
      <c r="E777">
        <f t="shared" ca="1" si="11"/>
        <v>49.373361685904655</v>
      </c>
    </row>
    <row r="778" spans="1:5" hidden="1" x14ac:dyDescent="0.25">
      <c r="A778">
        <v>19</v>
      </c>
      <c r="B778">
        <v>13</v>
      </c>
      <c r="C778" t="s">
        <v>18</v>
      </c>
      <c r="D778" t="s">
        <v>12</v>
      </c>
      <c r="E778">
        <f t="shared" ca="1" si="11"/>
        <v>45.973752058699318</v>
      </c>
    </row>
    <row r="779" spans="1:5" hidden="1" x14ac:dyDescent="0.25">
      <c r="A779">
        <v>19</v>
      </c>
      <c r="B779">
        <v>14</v>
      </c>
      <c r="C779" t="s">
        <v>18</v>
      </c>
      <c r="D779" t="s">
        <v>13</v>
      </c>
      <c r="E779">
        <f t="shared" ca="1" si="11"/>
        <v>45.475974280921541</v>
      </c>
    </row>
    <row r="780" spans="1:5" hidden="1" x14ac:dyDescent="0.25">
      <c r="A780">
        <v>19</v>
      </c>
      <c r="B780">
        <v>15</v>
      </c>
      <c r="C780" t="s">
        <v>18</v>
      </c>
      <c r="D780" t="s">
        <v>14</v>
      </c>
      <c r="E780">
        <f t="shared" ca="1" si="11"/>
        <v>109.13957015413853</v>
      </c>
    </row>
    <row r="781" spans="1:5" hidden="1" x14ac:dyDescent="0.25">
      <c r="A781">
        <v>19</v>
      </c>
      <c r="B781">
        <v>16</v>
      </c>
      <c r="C781" t="s">
        <v>18</v>
      </c>
      <c r="D781" t="s">
        <v>15</v>
      </c>
      <c r="E781">
        <f t="shared" ca="1" si="11"/>
        <v>121.29902394777591</v>
      </c>
    </row>
    <row r="782" spans="1:5" hidden="1" x14ac:dyDescent="0.25">
      <c r="A782">
        <v>19</v>
      </c>
      <c r="B782">
        <v>17</v>
      </c>
      <c r="C782" t="s">
        <v>18</v>
      </c>
      <c r="D782" t="s">
        <v>16</v>
      </c>
      <c r="E782">
        <f t="shared" ca="1" si="11"/>
        <v>49.587829978415911</v>
      </c>
    </row>
    <row r="783" spans="1:5" hidden="1" x14ac:dyDescent="0.25">
      <c r="A783">
        <v>19</v>
      </c>
      <c r="B783">
        <v>18</v>
      </c>
      <c r="C783" t="s">
        <v>18</v>
      </c>
      <c r="D783" t="s">
        <v>17</v>
      </c>
      <c r="E783">
        <f t="shared" ca="1" si="11"/>
        <v>123.34013505888701</v>
      </c>
    </row>
    <row r="784" spans="1:5" hidden="1" x14ac:dyDescent="0.25">
      <c r="A784">
        <v>19</v>
      </c>
      <c r="B784">
        <v>19</v>
      </c>
      <c r="C784" t="s">
        <v>18</v>
      </c>
      <c r="D784" t="s">
        <v>18</v>
      </c>
      <c r="E784">
        <f t="shared" ca="1" si="11"/>
        <v>0</v>
      </c>
    </row>
    <row r="785" spans="1:5" hidden="1" x14ac:dyDescent="0.25">
      <c r="A785">
        <v>19</v>
      </c>
      <c r="B785">
        <v>20</v>
      </c>
      <c r="C785" t="s">
        <v>18</v>
      </c>
      <c r="D785" t="s">
        <v>19</v>
      </c>
      <c r="E785">
        <f t="shared" ca="1" si="11"/>
        <v>17.638845826844911</v>
      </c>
    </row>
    <row r="786" spans="1:5" hidden="1" x14ac:dyDescent="0.25">
      <c r="A786">
        <v>19</v>
      </c>
      <c r="B786">
        <v>21</v>
      </c>
      <c r="C786" t="s">
        <v>18</v>
      </c>
      <c r="D786" t="s">
        <v>20</v>
      </c>
      <c r="E786">
        <f t="shared" ca="1" si="11"/>
        <v>23.453819058071744</v>
      </c>
    </row>
    <row r="787" spans="1:5" hidden="1" x14ac:dyDescent="0.25">
      <c r="A787">
        <v>19</v>
      </c>
      <c r="B787">
        <v>22</v>
      </c>
      <c r="C787" t="s">
        <v>18</v>
      </c>
      <c r="D787" t="s">
        <v>21</v>
      </c>
      <c r="E787">
        <f t="shared" ca="1" si="11"/>
        <v>46.003839494768194</v>
      </c>
    </row>
    <row r="788" spans="1:5" hidden="1" x14ac:dyDescent="0.25">
      <c r="A788">
        <v>19</v>
      </c>
      <c r="B788">
        <v>23</v>
      </c>
      <c r="C788" t="s">
        <v>18</v>
      </c>
      <c r="D788" t="s">
        <v>22</v>
      </c>
      <c r="E788">
        <f t="shared" ca="1" si="11"/>
        <v>44.329094046194626</v>
      </c>
    </row>
    <row r="789" spans="1:5" hidden="1" x14ac:dyDescent="0.25">
      <c r="A789">
        <v>19</v>
      </c>
      <c r="B789">
        <v>24</v>
      </c>
      <c r="C789" t="s">
        <v>18</v>
      </c>
      <c r="D789" t="s">
        <v>23</v>
      </c>
      <c r="E789">
        <f t="shared" ca="1" si="11"/>
        <v>43.617982935083518</v>
      </c>
    </row>
    <row r="790" spans="1:5" hidden="1" x14ac:dyDescent="0.25">
      <c r="A790">
        <v>19</v>
      </c>
      <c r="B790">
        <v>25</v>
      </c>
      <c r="C790" t="s">
        <v>18</v>
      </c>
      <c r="D790" t="s">
        <v>24</v>
      </c>
      <c r="E790">
        <f t="shared" ca="1" si="11"/>
        <v>42.279094046194629</v>
      </c>
    </row>
    <row r="791" spans="1:5" hidden="1" x14ac:dyDescent="0.25">
      <c r="A791">
        <v>19</v>
      </c>
      <c r="B791">
        <v>26</v>
      </c>
      <c r="C791" t="s">
        <v>18</v>
      </c>
      <c r="D791" t="s">
        <v>25</v>
      </c>
      <c r="E791">
        <f t="shared" ca="1" si="11"/>
        <v>111.83845904302741</v>
      </c>
    </row>
    <row r="792" spans="1:5" hidden="1" x14ac:dyDescent="0.25">
      <c r="A792">
        <v>19</v>
      </c>
      <c r="B792">
        <v>27</v>
      </c>
      <c r="C792" t="s">
        <v>18</v>
      </c>
      <c r="D792" t="s">
        <v>145</v>
      </c>
      <c r="E792">
        <f t="shared" ca="1" si="11"/>
        <v>19.08551249351158</v>
      </c>
    </row>
    <row r="793" spans="1:5" hidden="1" x14ac:dyDescent="0.25">
      <c r="A793">
        <v>19</v>
      </c>
      <c r="B793">
        <v>28</v>
      </c>
      <c r="C793" t="s">
        <v>18</v>
      </c>
      <c r="D793" t="s">
        <v>147</v>
      </c>
      <c r="E793">
        <f t="shared" ca="1" si="11"/>
        <v>46.448283939212644</v>
      </c>
    </row>
    <row r="794" spans="1:5" hidden="1" x14ac:dyDescent="0.25">
      <c r="A794">
        <v>19</v>
      </c>
      <c r="B794">
        <v>29</v>
      </c>
      <c r="C794" t="s">
        <v>18</v>
      </c>
      <c r="D794" t="s">
        <v>146</v>
      </c>
      <c r="E794">
        <f t="shared" ca="1" si="11"/>
        <v>42.806871823972408</v>
      </c>
    </row>
    <row r="795" spans="1:5" hidden="1" x14ac:dyDescent="0.25">
      <c r="A795">
        <v>19</v>
      </c>
      <c r="B795">
        <v>30</v>
      </c>
      <c r="C795" t="s">
        <v>18</v>
      </c>
      <c r="D795" t="s">
        <v>30</v>
      </c>
      <c r="E795">
        <f t="shared" ca="1" si="11"/>
        <v>40.490151224955426</v>
      </c>
    </row>
    <row r="796" spans="1:5" hidden="1" x14ac:dyDescent="0.25">
      <c r="A796">
        <v>19</v>
      </c>
      <c r="B796">
        <v>31</v>
      </c>
      <c r="C796" t="s">
        <v>18</v>
      </c>
      <c r="D796" t="s">
        <v>31</v>
      </c>
      <c r="E796">
        <f t="shared" ref="E796:E858" ca="1" si="12">OFFSET($B$3,A796,B796)</f>
        <v>36.617390597140108</v>
      </c>
    </row>
    <row r="797" spans="1:5" hidden="1" x14ac:dyDescent="0.25">
      <c r="A797">
        <v>19</v>
      </c>
      <c r="B797">
        <v>32</v>
      </c>
      <c r="C797" t="s">
        <v>18</v>
      </c>
      <c r="D797" t="s">
        <v>32</v>
      </c>
      <c r="E797">
        <f t="shared" ca="1" si="12"/>
        <v>35.309612819362329</v>
      </c>
    </row>
    <row r="798" spans="1:5" hidden="1" x14ac:dyDescent="0.25">
      <c r="A798">
        <v>19</v>
      </c>
      <c r="B798">
        <v>33</v>
      </c>
      <c r="C798" t="s">
        <v>18</v>
      </c>
      <c r="D798" t="s">
        <v>33</v>
      </c>
      <c r="E798">
        <f t="shared" ca="1" si="12"/>
        <v>28.201937775666295</v>
      </c>
    </row>
    <row r="799" spans="1:5" hidden="1" x14ac:dyDescent="0.25">
      <c r="A799">
        <v>19</v>
      </c>
      <c r="B799">
        <v>34</v>
      </c>
      <c r="C799" t="s">
        <v>18</v>
      </c>
      <c r="D799" t="s">
        <v>34</v>
      </c>
      <c r="E799">
        <f t="shared" ca="1" si="12"/>
        <v>29.126382220110738</v>
      </c>
    </row>
    <row r="800" spans="1:5" hidden="1" x14ac:dyDescent="0.25">
      <c r="A800">
        <v>19</v>
      </c>
      <c r="B800">
        <v>35</v>
      </c>
      <c r="C800" t="s">
        <v>18</v>
      </c>
      <c r="D800" t="s">
        <v>35</v>
      </c>
      <c r="E800">
        <f t="shared" ca="1" si="12"/>
        <v>27.301948319901935</v>
      </c>
    </row>
    <row r="801" spans="1:5" hidden="1" x14ac:dyDescent="0.25">
      <c r="A801">
        <v>19</v>
      </c>
      <c r="B801">
        <v>36</v>
      </c>
      <c r="C801" t="s">
        <v>18</v>
      </c>
      <c r="D801" t="s">
        <v>36</v>
      </c>
      <c r="E801">
        <f t="shared" ca="1" si="12"/>
        <v>57.461482310435429</v>
      </c>
    </row>
    <row r="802" spans="1:5" hidden="1" x14ac:dyDescent="0.25">
      <c r="A802">
        <v>19</v>
      </c>
      <c r="B802">
        <v>37</v>
      </c>
      <c r="C802" t="s">
        <v>18</v>
      </c>
      <c r="D802" t="s">
        <v>37</v>
      </c>
      <c r="E802">
        <f t="shared" ca="1" si="12"/>
        <v>69.345939561631937</v>
      </c>
    </row>
    <row r="803" spans="1:5" hidden="1" x14ac:dyDescent="0.25">
      <c r="A803">
        <v>19</v>
      </c>
      <c r="B803">
        <v>38</v>
      </c>
      <c r="C803" t="s">
        <v>18</v>
      </c>
      <c r="D803" t="s">
        <v>38</v>
      </c>
      <c r="E803">
        <f t="shared" ca="1" si="12"/>
        <v>57.18370453265765</v>
      </c>
    </row>
    <row r="804" spans="1:5" hidden="1" x14ac:dyDescent="0.25">
      <c r="A804">
        <v>19</v>
      </c>
      <c r="B804">
        <v>39</v>
      </c>
      <c r="C804" t="s">
        <v>18</v>
      </c>
      <c r="D804" t="s">
        <v>39</v>
      </c>
      <c r="E804">
        <f t="shared" ca="1" si="12"/>
        <v>36.325306186362141</v>
      </c>
    </row>
    <row r="805" spans="1:5" hidden="1" x14ac:dyDescent="0.25">
      <c r="A805">
        <v>19</v>
      </c>
      <c r="B805">
        <v>40</v>
      </c>
      <c r="C805" t="s">
        <v>18</v>
      </c>
      <c r="D805" t="s">
        <v>40</v>
      </c>
      <c r="E805">
        <f t="shared" ca="1" si="12"/>
        <v>68.745939561631943</v>
      </c>
    </row>
    <row r="806" spans="1:5" hidden="1" x14ac:dyDescent="0.25">
      <c r="A806">
        <v>20</v>
      </c>
      <c r="B806">
        <v>1</v>
      </c>
      <c r="C806" t="s">
        <v>19</v>
      </c>
      <c r="D806" t="s">
        <v>0</v>
      </c>
      <c r="E806">
        <f t="shared" ca="1" si="12"/>
        <v>25.893622900243997</v>
      </c>
    </row>
    <row r="807" spans="1:5" hidden="1" x14ac:dyDescent="0.25">
      <c r="A807">
        <v>20</v>
      </c>
      <c r="B807">
        <v>2</v>
      </c>
      <c r="C807" t="s">
        <v>19</v>
      </c>
      <c r="D807" t="s">
        <v>1</v>
      </c>
      <c r="E807">
        <f t="shared" ca="1" si="12"/>
        <v>26.271400678021774</v>
      </c>
    </row>
    <row r="808" spans="1:5" hidden="1" x14ac:dyDescent="0.25">
      <c r="A808">
        <v>20</v>
      </c>
      <c r="B808">
        <v>3</v>
      </c>
      <c r="C808" t="s">
        <v>19</v>
      </c>
      <c r="D808" t="s">
        <v>2</v>
      </c>
      <c r="E808">
        <f t="shared" ca="1" si="12"/>
        <v>22.742215831676404</v>
      </c>
    </row>
    <row r="809" spans="1:5" hidden="1" x14ac:dyDescent="0.25">
      <c r="A809">
        <v>20</v>
      </c>
      <c r="B809">
        <v>4</v>
      </c>
      <c r="C809" t="s">
        <v>19</v>
      </c>
      <c r="D809" t="s">
        <v>3</v>
      </c>
      <c r="E809">
        <f t="shared" ca="1" si="12"/>
        <v>39.518504532364396</v>
      </c>
    </row>
    <row r="810" spans="1:5" hidden="1" x14ac:dyDescent="0.25">
      <c r="A810">
        <v>20</v>
      </c>
      <c r="B810">
        <v>5</v>
      </c>
      <c r="C810" t="s">
        <v>19</v>
      </c>
      <c r="D810" t="s">
        <v>4</v>
      </c>
      <c r="E810">
        <f t="shared" ca="1" si="12"/>
        <v>39.864317190725885</v>
      </c>
    </row>
    <row r="811" spans="1:5" hidden="1" x14ac:dyDescent="0.25">
      <c r="A811">
        <v>20</v>
      </c>
      <c r="B811">
        <v>6</v>
      </c>
      <c r="C811" t="s">
        <v>19</v>
      </c>
      <c r="D811" t="s">
        <v>5</v>
      </c>
      <c r="E811">
        <f t="shared" ca="1" si="12"/>
        <v>42.408761635170322</v>
      </c>
    </row>
    <row r="812" spans="1:5" hidden="1" x14ac:dyDescent="0.25">
      <c r="A812">
        <v>20</v>
      </c>
      <c r="B812">
        <v>7</v>
      </c>
      <c r="C812" t="s">
        <v>19</v>
      </c>
      <c r="D812" t="s">
        <v>6</v>
      </c>
      <c r="E812">
        <f t="shared" ca="1" si="12"/>
        <v>40.303206079614768</v>
      </c>
    </row>
    <row r="813" spans="1:5" hidden="1" x14ac:dyDescent="0.25">
      <c r="A813">
        <v>20</v>
      </c>
      <c r="B813">
        <v>8</v>
      </c>
      <c r="C813" t="s">
        <v>19</v>
      </c>
      <c r="D813" t="s">
        <v>7</v>
      </c>
      <c r="E813">
        <f t="shared" ca="1" si="12"/>
        <v>39.671837865697732</v>
      </c>
    </row>
    <row r="814" spans="1:5" hidden="1" x14ac:dyDescent="0.25">
      <c r="A814">
        <v>20</v>
      </c>
      <c r="B814">
        <v>9</v>
      </c>
      <c r="C814" t="s">
        <v>19</v>
      </c>
      <c r="D814" t="s">
        <v>148</v>
      </c>
      <c r="E814">
        <f t="shared" ca="1" si="12"/>
        <v>28.354734011355106</v>
      </c>
    </row>
    <row r="815" spans="1:5" hidden="1" x14ac:dyDescent="0.25">
      <c r="A815">
        <v>20</v>
      </c>
      <c r="B815">
        <v>10</v>
      </c>
      <c r="C815" t="s">
        <v>19</v>
      </c>
      <c r="D815" t="s">
        <v>9</v>
      </c>
      <c r="E815">
        <f t="shared" ca="1" si="12"/>
        <v>40.852094968503657</v>
      </c>
    </row>
    <row r="816" spans="1:5" hidden="1" x14ac:dyDescent="0.25">
      <c r="A816">
        <v>20</v>
      </c>
      <c r="B816">
        <v>11</v>
      </c>
      <c r="C816" t="s">
        <v>19</v>
      </c>
      <c r="D816" t="s">
        <v>10</v>
      </c>
      <c r="E816">
        <f t="shared" ca="1" si="12"/>
        <v>59.122341708896386</v>
      </c>
    </row>
    <row r="817" spans="1:5" hidden="1" x14ac:dyDescent="0.25">
      <c r="A817">
        <v>20</v>
      </c>
      <c r="B817">
        <v>12</v>
      </c>
      <c r="C817" t="s">
        <v>19</v>
      </c>
      <c r="D817" t="s">
        <v>11</v>
      </c>
      <c r="E817">
        <f t="shared" ca="1" si="12"/>
        <v>50.67724412009666</v>
      </c>
    </row>
    <row r="818" spans="1:5" hidden="1" x14ac:dyDescent="0.25">
      <c r="A818">
        <v>20</v>
      </c>
      <c r="B818">
        <v>13</v>
      </c>
      <c r="C818" t="s">
        <v>19</v>
      </c>
      <c r="D818" t="s">
        <v>12</v>
      </c>
      <c r="E818">
        <f t="shared" ca="1" si="12"/>
        <v>44.68574546910191</v>
      </c>
    </row>
    <row r="819" spans="1:5" hidden="1" x14ac:dyDescent="0.25">
      <c r="A819">
        <v>20</v>
      </c>
      <c r="B819">
        <v>14</v>
      </c>
      <c r="C819" t="s">
        <v>19</v>
      </c>
      <c r="D819" t="s">
        <v>13</v>
      </c>
      <c r="E819">
        <f t="shared" ca="1" si="12"/>
        <v>44.187967691324133</v>
      </c>
    </row>
    <row r="820" spans="1:5" hidden="1" x14ac:dyDescent="0.25">
      <c r="A820">
        <v>20</v>
      </c>
      <c r="B820">
        <v>15</v>
      </c>
      <c r="C820" t="s">
        <v>19</v>
      </c>
      <c r="D820" t="s">
        <v>14</v>
      </c>
      <c r="E820">
        <f t="shared" ca="1" si="12"/>
        <v>107.97955868172862</v>
      </c>
    </row>
    <row r="821" spans="1:5" hidden="1" x14ac:dyDescent="0.25">
      <c r="A821">
        <v>20</v>
      </c>
      <c r="B821">
        <v>16</v>
      </c>
      <c r="C821" t="s">
        <v>19</v>
      </c>
      <c r="D821" t="s">
        <v>15</v>
      </c>
      <c r="E821">
        <f t="shared" ca="1" si="12"/>
        <v>109.63543294270833</v>
      </c>
    </row>
    <row r="822" spans="1:5" hidden="1" x14ac:dyDescent="0.25">
      <c r="A822">
        <v>20</v>
      </c>
      <c r="B822">
        <v>17</v>
      </c>
      <c r="C822" t="s">
        <v>19</v>
      </c>
      <c r="D822" t="s">
        <v>16</v>
      </c>
      <c r="E822">
        <f t="shared" ca="1" si="12"/>
        <v>87.29179644097222</v>
      </c>
    </row>
    <row r="823" spans="1:5" hidden="1" x14ac:dyDescent="0.25">
      <c r="A823">
        <v>20</v>
      </c>
      <c r="B823">
        <v>18</v>
      </c>
      <c r="C823" t="s">
        <v>19</v>
      </c>
      <c r="D823" t="s">
        <v>17</v>
      </c>
      <c r="E823">
        <f t="shared" ca="1" si="12"/>
        <v>111.67654405381944</v>
      </c>
    </row>
    <row r="824" spans="1:5" hidden="1" x14ac:dyDescent="0.25">
      <c r="A824">
        <v>20</v>
      </c>
      <c r="B824">
        <v>19</v>
      </c>
      <c r="C824" t="s">
        <v>19</v>
      </c>
      <c r="D824" t="s">
        <v>18</v>
      </c>
      <c r="E824">
        <f t="shared" ca="1" si="12"/>
        <v>17.638845826844911</v>
      </c>
    </row>
    <row r="825" spans="1:5" hidden="1" x14ac:dyDescent="0.25">
      <c r="A825">
        <v>20</v>
      </c>
      <c r="B825">
        <v>20</v>
      </c>
      <c r="C825" t="s">
        <v>19</v>
      </c>
      <c r="D825" t="s">
        <v>19</v>
      </c>
      <c r="E825">
        <f t="shared" ca="1" si="12"/>
        <v>0</v>
      </c>
    </row>
    <row r="826" spans="1:5" hidden="1" x14ac:dyDescent="0.25">
      <c r="A826">
        <v>20</v>
      </c>
      <c r="B826">
        <v>21</v>
      </c>
      <c r="C826" t="s">
        <v>19</v>
      </c>
      <c r="D826" t="s">
        <v>20</v>
      </c>
      <c r="E826">
        <f t="shared" ca="1" si="12"/>
        <v>22.720284283428938</v>
      </c>
    </row>
    <row r="827" spans="1:5" hidden="1" x14ac:dyDescent="0.25">
      <c r="A827">
        <v>20</v>
      </c>
      <c r="B827">
        <v>22</v>
      </c>
      <c r="C827" t="s">
        <v>19</v>
      </c>
      <c r="D827" t="s">
        <v>21</v>
      </c>
      <c r="E827">
        <f t="shared" ca="1" si="12"/>
        <v>46.678418354389542</v>
      </c>
    </row>
    <row r="828" spans="1:5" hidden="1" x14ac:dyDescent="0.25">
      <c r="A828">
        <v>20</v>
      </c>
      <c r="B828">
        <v>23</v>
      </c>
      <c r="C828" t="s">
        <v>19</v>
      </c>
      <c r="D828" t="s">
        <v>22</v>
      </c>
      <c r="E828">
        <f t="shared" ca="1" si="12"/>
        <v>46.783496002838774</v>
      </c>
    </row>
    <row r="829" spans="1:5" hidden="1" x14ac:dyDescent="0.25">
      <c r="A829">
        <v>20</v>
      </c>
      <c r="B829">
        <v>24</v>
      </c>
      <c r="C829" t="s">
        <v>19</v>
      </c>
      <c r="D829" t="s">
        <v>23</v>
      </c>
      <c r="E829">
        <f t="shared" ca="1" si="12"/>
        <v>46.072384891727665</v>
      </c>
    </row>
    <row r="830" spans="1:5" hidden="1" x14ac:dyDescent="0.25">
      <c r="A830">
        <v>20</v>
      </c>
      <c r="B830">
        <v>25</v>
      </c>
      <c r="C830" t="s">
        <v>19</v>
      </c>
      <c r="D830" t="s">
        <v>24</v>
      </c>
      <c r="E830">
        <f t="shared" ca="1" si="12"/>
        <v>44.733496002838777</v>
      </c>
    </row>
    <row r="831" spans="1:5" hidden="1" x14ac:dyDescent="0.25">
      <c r="A831">
        <v>20</v>
      </c>
      <c r="B831">
        <v>26</v>
      </c>
      <c r="C831" t="s">
        <v>19</v>
      </c>
      <c r="D831" t="s">
        <v>25</v>
      </c>
      <c r="E831">
        <f t="shared" ca="1" si="12"/>
        <v>112.75432183159722</v>
      </c>
    </row>
    <row r="832" spans="1:5" hidden="1" x14ac:dyDescent="0.25">
      <c r="A832">
        <v>20</v>
      </c>
      <c r="B832">
        <v>27</v>
      </c>
      <c r="C832" t="s">
        <v>19</v>
      </c>
      <c r="D832" t="s">
        <v>145</v>
      </c>
      <c r="E832">
        <f t="shared" ca="1" si="12"/>
        <v>0</v>
      </c>
    </row>
    <row r="833" spans="1:5" hidden="1" x14ac:dyDescent="0.25">
      <c r="A833">
        <v>20</v>
      </c>
      <c r="B833">
        <v>28</v>
      </c>
      <c r="C833" t="s">
        <v>19</v>
      </c>
      <c r="D833" t="s">
        <v>147</v>
      </c>
      <c r="E833">
        <f t="shared" ca="1" si="12"/>
        <v>47.122862798833992</v>
      </c>
    </row>
    <row r="834" spans="1:5" hidden="1" x14ac:dyDescent="0.25">
      <c r="A834">
        <v>20</v>
      </c>
      <c r="B834">
        <v>29</v>
      </c>
      <c r="C834" t="s">
        <v>19</v>
      </c>
      <c r="D834" t="s">
        <v>146</v>
      </c>
      <c r="E834">
        <f t="shared" ca="1" si="12"/>
        <v>45.261273780616548</v>
      </c>
    </row>
    <row r="835" spans="1:5" hidden="1" x14ac:dyDescent="0.25">
      <c r="A835">
        <v>20</v>
      </c>
      <c r="B835">
        <v>30</v>
      </c>
      <c r="C835" t="s">
        <v>19</v>
      </c>
      <c r="D835" t="s">
        <v>30</v>
      </c>
      <c r="E835">
        <f t="shared" ca="1" si="12"/>
        <v>40.774060087919949</v>
      </c>
    </row>
    <row r="836" spans="1:5" hidden="1" x14ac:dyDescent="0.25">
      <c r="A836">
        <v>20</v>
      </c>
      <c r="B836">
        <v>31</v>
      </c>
      <c r="C836" t="s">
        <v>19</v>
      </c>
      <c r="D836" t="s">
        <v>31</v>
      </c>
      <c r="E836">
        <f t="shared" ca="1" si="12"/>
        <v>34.990375280065223</v>
      </c>
    </row>
    <row r="837" spans="1:5" hidden="1" x14ac:dyDescent="0.25">
      <c r="A837">
        <v>20</v>
      </c>
      <c r="B837">
        <v>32</v>
      </c>
      <c r="C837" t="s">
        <v>19</v>
      </c>
      <c r="D837" t="s">
        <v>32</v>
      </c>
      <c r="E837">
        <f t="shared" ca="1" si="12"/>
        <v>33.68259750228745</v>
      </c>
    </row>
    <row r="838" spans="1:5" hidden="1" x14ac:dyDescent="0.25">
      <c r="A838">
        <v>20</v>
      </c>
      <c r="B838">
        <v>33</v>
      </c>
      <c r="C838" t="s">
        <v>19</v>
      </c>
      <c r="D838" t="s">
        <v>33</v>
      </c>
      <c r="E838">
        <f t="shared" ca="1" si="12"/>
        <v>27.733101110143345</v>
      </c>
    </row>
    <row r="839" spans="1:5" hidden="1" x14ac:dyDescent="0.25">
      <c r="A839">
        <v>20</v>
      </c>
      <c r="B839">
        <v>34</v>
      </c>
      <c r="C839" t="s">
        <v>19</v>
      </c>
      <c r="D839" t="s">
        <v>34</v>
      </c>
      <c r="E839">
        <f t="shared" ca="1" si="12"/>
        <v>28.657545554587788</v>
      </c>
    </row>
    <row r="840" spans="1:5" hidden="1" x14ac:dyDescent="0.25">
      <c r="A840">
        <v>20</v>
      </c>
      <c r="B840">
        <v>35</v>
      </c>
      <c r="C840" t="s">
        <v>19</v>
      </c>
      <c r="D840" t="s">
        <v>35</v>
      </c>
      <c r="E840">
        <f t="shared" ca="1" si="12"/>
        <v>26.513622900243995</v>
      </c>
    </row>
    <row r="841" spans="1:5" hidden="1" x14ac:dyDescent="0.25">
      <c r="A841">
        <v>20</v>
      </c>
      <c r="B841">
        <v>36</v>
      </c>
      <c r="C841" t="s">
        <v>19</v>
      </c>
      <c r="D841" t="s">
        <v>36</v>
      </c>
      <c r="E841">
        <f t="shared" ca="1" si="12"/>
        <v>64.553242832676432</v>
      </c>
    </row>
    <row r="842" spans="1:5" hidden="1" x14ac:dyDescent="0.25">
      <c r="A842">
        <v>20</v>
      </c>
      <c r="B842">
        <v>37</v>
      </c>
      <c r="C842" t="s">
        <v>19</v>
      </c>
      <c r="D842" t="s">
        <v>37</v>
      </c>
      <c r="E842">
        <f t="shared" ca="1" si="12"/>
        <v>72.3482291432057</v>
      </c>
    </row>
    <row r="843" spans="1:5" hidden="1" x14ac:dyDescent="0.25">
      <c r="A843">
        <v>20</v>
      </c>
      <c r="B843">
        <v>38</v>
      </c>
      <c r="C843" t="s">
        <v>19</v>
      </c>
      <c r="D843" t="s">
        <v>38</v>
      </c>
      <c r="E843">
        <f t="shared" ca="1" si="12"/>
        <v>64.275465054898646</v>
      </c>
    </row>
    <row r="844" spans="1:5" hidden="1" x14ac:dyDescent="0.25">
      <c r="A844">
        <v>20</v>
      </c>
      <c r="B844">
        <v>39</v>
      </c>
      <c r="C844" t="s">
        <v>19</v>
      </c>
      <c r="D844" t="s">
        <v>39</v>
      </c>
      <c r="E844">
        <f t="shared" ca="1" si="12"/>
        <v>72.871717587509394</v>
      </c>
    </row>
    <row r="845" spans="1:5" hidden="1" x14ac:dyDescent="0.25">
      <c r="A845">
        <v>20</v>
      </c>
      <c r="B845">
        <v>40</v>
      </c>
      <c r="C845" t="s">
        <v>19</v>
      </c>
      <c r="D845" t="s">
        <v>40</v>
      </c>
      <c r="E845">
        <f t="shared" ca="1" si="12"/>
        <v>71.748229143205705</v>
      </c>
    </row>
    <row r="846" spans="1:5" hidden="1" x14ac:dyDescent="0.25">
      <c r="A846">
        <v>21</v>
      </c>
      <c r="B846">
        <v>1</v>
      </c>
      <c r="C846" t="s">
        <v>20</v>
      </c>
      <c r="D846" t="s">
        <v>0</v>
      </c>
      <c r="E846">
        <f t="shared" ca="1" si="12"/>
        <v>19.785737809464738</v>
      </c>
    </row>
    <row r="847" spans="1:5" hidden="1" x14ac:dyDescent="0.25">
      <c r="A847">
        <v>21</v>
      </c>
      <c r="B847">
        <v>2</v>
      </c>
      <c r="C847" t="s">
        <v>20</v>
      </c>
      <c r="D847" t="s">
        <v>1</v>
      </c>
      <c r="E847">
        <f t="shared" ca="1" si="12"/>
        <v>20.163515587242518</v>
      </c>
    </row>
    <row r="848" spans="1:5" hidden="1" x14ac:dyDescent="0.25">
      <c r="A848">
        <v>21</v>
      </c>
      <c r="B848">
        <v>3</v>
      </c>
      <c r="C848" t="s">
        <v>20</v>
      </c>
      <c r="D848" t="s">
        <v>2</v>
      </c>
      <c r="E848">
        <f t="shared" ca="1" si="12"/>
        <v>16.78316482122381</v>
      </c>
    </row>
    <row r="849" spans="1:5" hidden="1" x14ac:dyDescent="0.25">
      <c r="A849">
        <v>21</v>
      </c>
      <c r="B849">
        <v>4</v>
      </c>
      <c r="C849" t="s">
        <v>20</v>
      </c>
      <c r="D849" t="s">
        <v>3</v>
      </c>
      <c r="E849">
        <f t="shared" ca="1" si="12"/>
        <v>31.25593944725976</v>
      </c>
    </row>
    <row r="850" spans="1:5" hidden="1" x14ac:dyDescent="0.25">
      <c r="A850">
        <v>21</v>
      </c>
      <c r="B850">
        <v>5</v>
      </c>
      <c r="C850" t="s">
        <v>20</v>
      </c>
      <c r="D850" t="s">
        <v>4</v>
      </c>
      <c r="E850">
        <f t="shared" ca="1" si="12"/>
        <v>33.683888929945574</v>
      </c>
    </row>
    <row r="851" spans="1:5" hidden="1" x14ac:dyDescent="0.25">
      <c r="A851">
        <v>21</v>
      </c>
      <c r="B851">
        <v>6</v>
      </c>
      <c r="C851" t="s">
        <v>20</v>
      </c>
      <c r="D851" t="s">
        <v>5</v>
      </c>
      <c r="E851">
        <f t="shared" ca="1" si="12"/>
        <v>36.228333374390019</v>
      </c>
    </row>
    <row r="852" spans="1:5" hidden="1" x14ac:dyDescent="0.25">
      <c r="A852">
        <v>21</v>
      </c>
      <c r="B852">
        <v>7</v>
      </c>
      <c r="C852" t="s">
        <v>20</v>
      </c>
      <c r="D852" t="s">
        <v>6</v>
      </c>
      <c r="E852">
        <f t="shared" ca="1" si="12"/>
        <v>34.122777818834464</v>
      </c>
    </row>
    <row r="853" spans="1:5" hidden="1" x14ac:dyDescent="0.25">
      <c r="A853">
        <v>21</v>
      </c>
      <c r="B853">
        <v>8</v>
      </c>
      <c r="C853" t="s">
        <v>20</v>
      </c>
      <c r="D853" t="s">
        <v>7</v>
      </c>
      <c r="E853">
        <f t="shared" ca="1" si="12"/>
        <v>31.409272780593092</v>
      </c>
    </row>
    <row r="854" spans="1:5" hidden="1" x14ac:dyDescent="0.25">
      <c r="A854">
        <v>21</v>
      </c>
      <c r="B854">
        <v>9</v>
      </c>
      <c r="C854" t="s">
        <v>20</v>
      </c>
      <c r="D854" t="s">
        <v>148</v>
      </c>
      <c r="E854">
        <f t="shared" ca="1" si="12"/>
        <v>22.24684892057585</v>
      </c>
    </row>
    <row r="855" spans="1:5" hidden="1" x14ac:dyDescent="0.25">
      <c r="A855">
        <v>21</v>
      </c>
      <c r="B855">
        <v>10</v>
      </c>
      <c r="C855" t="s">
        <v>20</v>
      </c>
      <c r="D855" t="s">
        <v>9</v>
      </c>
      <c r="E855">
        <f t="shared" ca="1" si="12"/>
        <v>34.671666707723354</v>
      </c>
    </row>
    <row r="856" spans="1:5" hidden="1" x14ac:dyDescent="0.25">
      <c r="A856">
        <v>21</v>
      </c>
      <c r="B856">
        <v>11</v>
      </c>
      <c r="C856" t="s">
        <v>20</v>
      </c>
      <c r="D856" t="s">
        <v>10</v>
      </c>
      <c r="E856">
        <f t="shared" ca="1" si="12"/>
        <v>61.36723400255724</v>
      </c>
    </row>
    <row r="857" spans="1:5" hidden="1" x14ac:dyDescent="0.25">
      <c r="A857">
        <v>21</v>
      </c>
      <c r="B857">
        <v>12</v>
      </c>
      <c r="C857" t="s">
        <v>20</v>
      </c>
      <c r="D857" t="s">
        <v>11</v>
      </c>
      <c r="E857">
        <f t="shared" ca="1" si="12"/>
        <v>52.023897094359981</v>
      </c>
    </row>
    <row r="858" spans="1:5" hidden="1" x14ac:dyDescent="0.25">
      <c r="A858">
        <v>21</v>
      </c>
      <c r="B858">
        <v>13</v>
      </c>
      <c r="C858" t="s">
        <v>20</v>
      </c>
      <c r="D858" t="s">
        <v>12</v>
      </c>
      <c r="E858">
        <f t="shared" ca="1" si="12"/>
        <v>50.207163311749241</v>
      </c>
    </row>
    <row r="859" spans="1:5" hidden="1" x14ac:dyDescent="0.25">
      <c r="A859">
        <v>21</v>
      </c>
      <c r="B859">
        <v>14</v>
      </c>
      <c r="C859" t="s">
        <v>20</v>
      </c>
      <c r="D859" t="s">
        <v>13</v>
      </c>
      <c r="E859">
        <f t="shared" ref="E859:E920" ca="1" si="13">OFFSET($B$3,A859,B859)</f>
        <v>49.709385533971464</v>
      </c>
    </row>
    <row r="860" spans="1:5" hidden="1" x14ac:dyDescent="0.25">
      <c r="A860">
        <v>21</v>
      </c>
      <c r="B860">
        <v>15</v>
      </c>
      <c r="C860" t="s">
        <v>20</v>
      </c>
      <c r="D860" t="s">
        <v>14</v>
      </c>
      <c r="E860">
        <f t="shared" ca="1" si="13"/>
        <v>112.29391283666479</v>
      </c>
    </row>
    <row r="861" spans="1:5" hidden="1" x14ac:dyDescent="0.25">
      <c r="A861">
        <v>21</v>
      </c>
      <c r="B861">
        <v>16</v>
      </c>
      <c r="C861" t="s">
        <v>20</v>
      </c>
      <c r="D861" t="s">
        <v>15</v>
      </c>
      <c r="E861">
        <f t="shared" ca="1" si="13"/>
        <v>108.13159588494746</v>
      </c>
    </row>
    <row r="862" spans="1:5" hidden="1" x14ac:dyDescent="0.25">
      <c r="A862">
        <v>21</v>
      </c>
      <c r="B862">
        <v>17</v>
      </c>
      <c r="C862" t="s">
        <v>20</v>
      </c>
      <c r="D862" t="s">
        <v>16</v>
      </c>
      <c r="E862">
        <f t="shared" ca="1" si="13"/>
        <v>92.458877387152782</v>
      </c>
    </row>
    <row r="863" spans="1:5" hidden="1" x14ac:dyDescent="0.25">
      <c r="A863">
        <v>21</v>
      </c>
      <c r="B863">
        <v>18</v>
      </c>
      <c r="C863" t="s">
        <v>20</v>
      </c>
      <c r="D863" t="s">
        <v>17</v>
      </c>
      <c r="E863">
        <f t="shared" ca="1" si="13"/>
        <v>110.17270699605857</v>
      </c>
    </row>
    <row r="864" spans="1:5" hidden="1" x14ac:dyDescent="0.25">
      <c r="A864">
        <v>21</v>
      </c>
      <c r="B864">
        <v>19</v>
      </c>
      <c r="C864" t="s">
        <v>20</v>
      </c>
      <c r="D864" t="s">
        <v>18</v>
      </c>
      <c r="E864">
        <f t="shared" ca="1" si="13"/>
        <v>23.453819058071744</v>
      </c>
    </row>
    <row r="865" spans="1:5" hidden="1" x14ac:dyDescent="0.25">
      <c r="A865">
        <v>21</v>
      </c>
      <c r="B865">
        <v>20</v>
      </c>
      <c r="C865" t="s">
        <v>20</v>
      </c>
      <c r="D865" t="s">
        <v>19</v>
      </c>
      <c r="E865">
        <f t="shared" ca="1" si="13"/>
        <v>22.720284283428938</v>
      </c>
    </row>
    <row r="866" spans="1:5" hidden="1" x14ac:dyDescent="0.25">
      <c r="A866">
        <v>21</v>
      </c>
      <c r="B866">
        <v>21</v>
      </c>
      <c r="C866" t="s">
        <v>20</v>
      </c>
      <c r="D866" t="s">
        <v>20</v>
      </c>
      <c r="E866">
        <f t="shared" ca="1" si="13"/>
        <v>0</v>
      </c>
    </row>
    <row r="867" spans="1:5" hidden="1" x14ac:dyDescent="0.25">
      <c r="A867">
        <v>21</v>
      </c>
      <c r="B867">
        <v>22</v>
      </c>
      <c r="C867" t="s">
        <v>20</v>
      </c>
      <c r="D867" t="s">
        <v>21</v>
      </c>
      <c r="E867">
        <f t="shared" ca="1" si="13"/>
        <v>49.972166816230292</v>
      </c>
    </row>
    <row r="868" spans="1:5" hidden="1" x14ac:dyDescent="0.25">
      <c r="A868">
        <v>21</v>
      </c>
      <c r="B868">
        <v>23</v>
      </c>
      <c r="C868" t="s">
        <v>20</v>
      </c>
      <c r="D868" t="s">
        <v>22</v>
      </c>
      <c r="E868">
        <f t="shared" ca="1" si="13"/>
        <v>52.057444330072251</v>
      </c>
    </row>
    <row r="869" spans="1:5" hidden="1" x14ac:dyDescent="0.25">
      <c r="A869">
        <v>21</v>
      </c>
      <c r="B869">
        <v>24</v>
      </c>
      <c r="C869" t="s">
        <v>20</v>
      </c>
      <c r="D869" t="s">
        <v>23</v>
      </c>
      <c r="E869">
        <f t="shared" ca="1" si="13"/>
        <v>51.346333218961142</v>
      </c>
    </row>
    <row r="870" spans="1:5" hidden="1" x14ac:dyDescent="0.25">
      <c r="A870">
        <v>21</v>
      </c>
      <c r="B870">
        <v>25</v>
      </c>
      <c r="C870" t="s">
        <v>20</v>
      </c>
      <c r="D870" t="s">
        <v>24</v>
      </c>
      <c r="E870">
        <f t="shared" ca="1" si="13"/>
        <v>50.007444330072254</v>
      </c>
    </row>
    <row r="871" spans="1:5" hidden="1" x14ac:dyDescent="0.25">
      <c r="A871">
        <v>21</v>
      </c>
      <c r="B871">
        <v>26</v>
      </c>
      <c r="C871" t="s">
        <v>20</v>
      </c>
      <c r="D871" t="s">
        <v>25</v>
      </c>
      <c r="E871">
        <f t="shared" ca="1" si="13"/>
        <v>114.99280172555369</v>
      </c>
    </row>
    <row r="872" spans="1:5" hidden="1" x14ac:dyDescent="0.25">
      <c r="A872">
        <v>21</v>
      </c>
      <c r="B872">
        <v>27</v>
      </c>
      <c r="C872" t="s">
        <v>20</v>
      </c>
      <c r="D872" t="s">
        <v>145</v>
      </c>
      <c r="E872">
        <f t="shared" ca="1" si="13"/>
        <v>24.166950950095604</v>
      </c>
    </row>
    <row r="873" spans="1:5" hidden="1" x14ac:dyDescent="0.25">
      <c r="A873">
        <v>21</v>
      </c>
      <c r="B873">
        <v>28</v>
      </c>
      <c r="C873" t="s">
        <v>20</v>
      </c>
      <c r="D873" t="s">
        <v>147</v>
      </c>
      <c r="E873">
        <f t="shared" ca="1" si="13"/>
        <v>50.416611260674735</v>
      </c>
    </row>
    <row r="874" spans="1:5" hidden="1" x14ac:dyDescent="0.25">
      <c r="A874">
        <v>21</v>
      </c>
      <c r="B874">
        <v>29</v>
      </c>
      <c r="C874" t="s">
        <v>20</v>
      </c>
      <c r="D874" t="s">
        <v>146</v>
      </c>
      <c r="E874">
        <f t="shared" ca="1" si="13"/>
        <v>50.535222107850032</v>
      </c>
    </row>
    <row r="875" spans="1:5" hidden="1" x14ac:dyDescent="0.25">
      <c r="A875">
        <v>21</v>
      </c>
      <c r="B875">
        <v>30</v>
      </c>
      <c r="C875" t="s">
        <v>20</v>
      </c>
      <c r="D875" t="s">
        <v>30</v>
      </c>
      <c r="E875">
        <f t="shared" ca="1" si="13"/>
        <v>32.511495002815316</v>
      </c>
    </row>
    <row r="876" spans="1:5" hidden="1" x14ac:dyDescent="0.25">
      <c r="A876">
        <v>21</v>
      </c>
      <c r="B876">
        <v>31</v>
      </c>
      <c r="C876" t="s">
        <v>20</v>
      </c>
      <c r="D876" t="s">
        <v>31</v>
      </c>
      <c r="E876">
        <f t="shared" ca="1" si="13"/>
        <v>30.212817816107126</v>
      </c>
    </row>
    <row r="877" spans="1:5" hidden="1" x14ac:dyDescent="0.25">
      <c r="A877">
        <v>21</v>
      </c>
      <c r="B877">
        <v>32</v>
      </c>
      <c r="C877" t="s">
        <v>20</v>
      </c>
      <c r="D877" t="s">
        <v>32</v>
      </c>
      <c r="E877">
        <f t="shared" ca="1" si="13"/>
        <v>28.905040038329346</v>
      </c>
    </row>
    <row r="878" spans="1:5" hidden="1" x14ac:dyDescent="0.25">
      <c r="A878">
        <v>21</v>
      </c>
      <c r="B878">
        <v>33</v>
      </c>
      <c r="C878" t="s">
        <v>20</v>
      </c>
      <c r="D878" t="s">
        <v>33</v>
      </c>
      <c r="E878">
        <f t="shared" ca="1" si="13"/>
        <v>21.69365599596178</v>
      </c>
    </row>
    <row r="879" spans="1:5" hidden="1" x14ac:dyDescent="0.25">
      <c r="A879">
        <v>21</v>
      </c>
      <c r="B879">
        <v>34</v>
      </c>
      <c r="C879" t="s">
        <v>20</v>
      </c>
      <c r="D879" t="s">
        <v>34</v>
      </c>
      <c r="E879">
        <f t="shared" ca="1" si="13"/>
        <v>22.618100440406227</v>
      </c>
    </row>
    <row r="880" spans="1:5" hidden="1" x14ac:dyDescent="0.25">
      <c r="A880">
        <v>21</v>
      </c>
      <c r="B880">
        <v>35</v>
      </c>
      <c r="C880" t="s">
        <v>20</v>
      </c>
      <c r="D880" t="s">
        <v>35</v>
      </c>
      <c r="E880">
        <f t="shared" ca="1" si="13"/>
        <v>19.443466218965547</v>
      </c>
    </row>
    <row r="881" spans="1:5" hidden="1" x14ac:dyDescent="0.25">
      <c r="A881">
        <v>21</v>
      </c>
      <c r="B881">
        <v>36</v>
      </c>
      <c r="C881" t="s">
        <v>20</v>
      </c>
      <c r="D881" t="s">
        <v>36</v>
      </c>
      <c r="E881">
        <f t="shared" ca="1" si="13"/>
        <v>66.793094181095157</v>
      </c>
    </row>
    <row r="882" spans="1:5" hidden="1" x14ac:dyDescent="0.25">
      <c r="A882">
        <v>21</v>
      </c>
      <c r="B882">
        <v>37</v>
      </c>
      <c r="C882" t="s">
        <v>20</v>
      </c>
      <c r="D882" t="s">
        <v>37</v>
      </c>
      <c r="E882">
        <f t="shared" ca="1" si="13"/>
        <v>77.448329778997746</v>
      </c>
    </row>
    <row r="883" spans="1:5" hidden="1" x14ac:dyDescent="0.25">
      <c r="A883">
        <v>21</v>
      </c>
      <c r="B883">
        <v>38</v>
      </c>
      <c r="C883" t="s">
        <v>20</v>
      </c>
      <c r="D883" t="s">
        <v>38</v>
      </c>
      <c r="E883">
        <f t="shared" ca="1" si="13"/>
        <v>66.515316403317371</v>
      </c>
    </row>
    <row r="884" spans="1:5" hidden="1" x14ac:dyDescent="0.25">
      <c r="A884">
        <v>21</v>
      </c>
      <c r="B884">
        <v>39</v>
      </c>
      <c r="C884" t="s">
        <v>20</v>
      </c>
      <c r="D884" t="s">
        <v>39</v>
      </c>
      <c r="E884">
        <f t="shared" ca="1" si="13"/>
        <v>74.706866259618991</v>
      </c>
    </row>
    <row r="885" spans="1:5" hidden="1" x14ac:dyDescent="0.25">
      <c r="A885">
        <v>21</v>
      </c>
      <c r="B885">
        <v>40</v>
      </c>
      <c r="C885" t="s">
        <v>20</v>
      </c>
      <c r="D885" t="s">
        <v>40</v>
      </c>
      <c r="E885">
        <f t="shared" ca="1" si="13"/>
        <v>76.848329778997751</v>
      </c>
    </row>
    <row r="886" spans="1:5" hidden="1" x14ac:dyDescent="0.25">
      <c r="A886">
        <v>22</v>
      </c>
      <c r="B886">
        <v>1</v>
      </c>
      <c r="C886" t="s">
        <v>21</v>
      </c>
      <c r="D886" t="s">
        <v>0</v>
      </c>
      <c r="E886">
        <f t="shared" ca="1" si="13"/>
        <v>67.784198329312972</v>
      </c>
    </row>
    <row r="887" spans="1:5" hidden="1" x14ac:dyDescent="0.25">
      <c r="A887">
        <v>22</v>
      </c>
      <c r="B887">
        <v>2</v>
      </c>
      <c r="C887" t="s">
        <v>21</v>
      </c>
      <c r="D887" t="s">
        <v>1</v>
      </c>
      <c r="E887">
        <f t="shared" ca="1" si="13"/>
        <v>68.161976107090751</v>
      </c>
    </row>
    <row r="888" spans="1:5" hidden="1" x14ac:dyDescent="0.25">
      <c r="A888">
        <v>22</v>
      </c>
      <c r="B888">
        <v>3</v>
      </c>
      <c r="C888" t="s">
        <v>21</v>
      </c>
      <c r="D888" t="s">
        <v>2</v>
      </c>
      <c r="E888">
        <f t="shared" ca="1" si="13"/>
        <v>24.882344642982826</v>
      </c>
    </row>
    <row r="889" spans="1:5" hidden="1" x14ac:dyDescent="0.25">
      <c r="A889">
        <v>22</v>
      </c>
      <c r="B889">
        <v>4</v>
      </c>
      <c r="C889" t="s">
        <v>21</v>
      </c>
      <c r="D889" t="s">
        <v>3</v>
      </c>
      <c r="E889">
        <f t="shared" ca="1" si="13"/>
        <v>84.476017452843465</v>
      </c>
    </row>
    <row r="890" spans="1:5" hidden="1" x14ac:dyDescent="0.25">
      <c r="A890">
        <v>22</v>
      </c>
      <c r="B890">
        <v>5</v>
      </c>
      <c r="C890" t="s">
        <v>21</v>
      </c>
      <c r="D890" t="s">
        <v>4</v>
      </c>
      <c r="E890">
        <f t="shared" ca="1" si="13"/>
        <v>83.936266080377251</v>
      </c>
    </row>
    <row r="891" spans="1:5" hidden="1" x14ac:dyDescent="0.25">
      <c r="A891">
        <v>22</v>
      </c>
      <c r="B891">
        <v>6</v>
      </c>
      <c r="C891" t="s">
        <v>21</v>
      </c>
      <c r="D891" t="s">
        <v>5</v>
      </c>
      <c r="E891">
        <f t="shared" ca="1" si="13"/>
        <v>86.480710524821703</v>
      </c>
    </row>
    <row r="892" spans="1:5" hidden="1" x14ac:dyDescent="0.25">
      <c r="A892">
        <v>22</v>
      </c>
      <c r="B892">
        <v>7</v>
      </c>
      <c r="C892" t="s">
        <v>21</v>
      </c>
      <c r="D892" t="s">
        <v>6</v>
      </c>
      <c r="E892">
        <f t="shared" ca="1" si="13"/>
        <v>84.375154969266148</v>
      </c>
    </row>
    <row r="893" spans="1:5" hidden="1" x14ac:dyDescent="0.25">
      <c r="A893">
        <v>22</v>
      </c>
      <c r="B893">
        <v>8</v>
      </c>
      <c r="C893" t="s">
        <v>21</v>
      </c>
      <c r="D893" t="s">
        <v>7</v>
      </c>
      <c r="E893">
        <f t="shared" ca="1" si="13"/>
        <v>84.629350786176801</v>
      </c>
    </row>
    <row r="894" spans="1:5" hidden="1" x14ac:dyDescent="0.25">
      <c r="A894">
        <v>22</v>
      </c>
      <c r="B894">
        <v>9</v>
      </c>
      <c r="C894" t="s">
        <v>21</v>
      </c>
      <c r="D894" t="s">
        <v>148</v>
      </c>
      <c r="E894">
        <f t="shared" ca="1" si="13"/>
        <v>70.24530944042408</v>
      </c>
    </row>
    <row r="895" spans="1:5" hidden="1" x14ac:dyDescent="0.25">
      <c r="A895">
        <v>22</v>
      </c>
      <c r="B895">
        <v>10</v>
      </c>
      <c r="C895" t="s">
        <v>21</v>
      </c>
      <c r="D895" t="s">
        <v>9</v>
      </c>
      <c r="E895">
        <f t="shared" ca="1" si="13"/>
        <v>84.924043858155031</v>
      </c>
    </row>
    <row r="896" spans="1:5" hidden="1" x14ac:dyDescent="0.25">
      <c r="A896">
        <v>22</v>
      </c>
      <c r="B896">
        <v>11</v>
      </c>
      <c r="C896" t="s">
        <v>21</v>
      </c>
      <c r="D896" t="s">
        <v>10</v>
      </c>
      <c r="E896">
        <f t="shared" ca="1" si="13"/>
        <v>51.314900956620683</v>
      </c>
    </row>
    <row r="897" spans="1:5" hidden="1" x14ac:dyDescent="0.25">
      <c r="A897">
        <v>22</v>
      </c>
      <c r="B897">
        <v>12</v>
      </c>
      <c r="C897" t="s">
        <v>21</v>
      </c>
      <c r="D897" t="s">
        <v>11</v>
      </c>
      <c r="E897">
        <f t="shared" ca="1" si="13"/>
        <v>61.686316997994091</v>
      </c>
    </row>
    <row r="898" spans="1:5" hidden="1" x14ac:dyDescent="0.25">
      <c r="A898">
        <v>22</v>
      </c>
      <c r="B898">
        <v>13</v>
      </c>
      <c r="C898" t="s">
        <v>21</v>
      </c>
      <c r="D898" t="s">
        <v>12</v>
      </c>
      <c r="E898">
        <f t="shared" ca="1" si="13"/>
        <v>57.086035162573793</v>
      </c>
    </row>
    <row r="899" spans="1:5" hidden="1" x14ac:dyDescent="0.25">
      <c r="A899">
        <v>22</v>
      </c>
      <c r="B899">
        <v>14</v>
      </c>
      <c r="C899" t="s">
        <v>21</v>
      </c>
      <c r="D899" t="s">
        <v>13</v>
      </c>
      <c r="E899">
        <f t="shared" ca="1" si="13"/>
        <v>56.588257384796016</v>
      </c>
    </row>
    <row r="900" spans="1:5" hidden="1" x14ac:dyDescent="0.25">
      <c r="A900">
        <v>22</v>
      </c>
      <c r="B900">
        <v>15</v>
      </c>
      <c r="C900" t="s">
        <v>21</v>
      </c>
      <c r="D900" t="s">
        <v>14</v>
      </c>
      <c r="E900">
        <f t="shared" ca="1" si="13"/>
        <v>101.71886811420796</v>
      </c>
    </row>
    <row r="901" spans="1:5" hidden="1" x14ac:dyDescent="0.25">
      <c r="A901">
        <v>22</v>
      </c>
      <c r="B901">
        <v>16</v>
      </c>
      <c r="C901" t="s">
        <v>21</v>
      </c>
      <c r="D901" t="s">
        <v>15</v>
      </c>
      <c r="E901">
        <f t="shared" ca="1" si="13"/>
        <v>108.42524098254503</v>
      </c>
    </row>
    <row r="902" spans="1:5" hidden="1" x14ac:dyDescent="0.25">
      <c r="A902">
        <v>22</v>
      </c>
      <c r="B902">
        <v>17</v>
      </c>
      <c r="C902" t="s">
        <v>21</v>
      </c>
      <c r="D902" t="s">
        <v>16</v>
      </c>
      <c r="E902">
        <f t="shared" ca="1" si="13"/>
        <v>99.259799795185813</v>
      </c>
    </row>
    <row r="903" spans="1:5" hidden="1" x14ac:dyDescent="0.25">
      <c r="A903">
        <v>22</v>
      </c>
      <c r="B903">
        <v>18</v>
      </c>
      <c r="C903" t="s">
        <v>21</v>
      </c>
      <c r="D903" t="s">
        <v>17</v>
      </c>
      <c r="E903">
        <f t="shared" ca="1" si="13"/>
        <v>110.46635209365616</v>
      </c>
    </row>
    <row r="904" spans="1:5" hidden="1" x14ac:dyDescent="0.25">
      <c r="A904">
        <v>22</v>
      </c>
      <c r="B904">
        <v>19</v>
      </c>
      <c r="C904" t="s">
        <v>21</v>
      </c>
      <c r="D904" t="s">
        <v>18</v>
      </c>
      <c r="E904">
        <f t="shared" ca="1" si="13"/>
        <v>46.003839494768194</v>
      </c>
    </row>
    <row r="905" spans="1:5" hidden="1" x14ac:dyDescent="0.25">
      <c r="A905">
        <v>22</v>
      </c>
      <c r="B905">
        <v>20</v>
      </c>
      <c r="C905" t="s">
        <v>21</v>
      </c>
      <c r="D905" t="s">
        <v>19</v>
      </c>
      <c r="E905">
        <f t="shared" ca="1" si="13"/>
        <v>46.678418354389542</v>
      </c>
    </row>
    <row r="906" spans="1:5" hidden="1" x14ac:dyDescent="0.25">
      <c r="A906">
        <v>22</v>
      </c>
      <c r="B906">
        <v>21</v>
      </c>
      <c r="C906" t="s">
        <v>21</v>
      </c>
      <c r="D906" t="s">
        <v>20</v>
      </c>
      <c r="E906">
        <f t="shared" ca="1" si="13"/>
        <v>49.972166816230292</v>
      </c>
    </row>
    <row r="907" spans="1:5" hidden="1" x14ac:dyDescent="0.25">
      <c r="A907">
        <v>22</v>
      </c>
      <c r="B907">
        <v>22</v>
      </c>
      <c r="C907" t="s">
        <v>21</v>
      </c>
      <c r="D907" t="s">
        <v>21</v>
      </c>
      <c r="E907">
        <f t="shared" ca="1" si="13"/>
        <v>0</v>
      </c>
    </row>
    <row r="908" spans="1:5" hidden="1" x14ac:dyDescent="0.25">
      <c r="A908">
        <v>22</v>
      </c>
      <c r="B908">
        <v>23</v>
      </c>
      <c r="C908" t="s">
        <v>21</v>
      </c>
      <c r="D908" t="s">
        <v>22</v>
      </c>
      <c r="E908">
        <f t="shared" ca="1" si="13"/>
        <v>31.576215591568129</v>
      </c>
    </row>
    <row r="909" spans="1:5" hidden="1" x14ac:dyDescent="0.25">
      <c r="A909">
        <v>22</v>
      </c>
      <c r="B909">
        <v>24</v>
      </c>
      <c r="C909" t="s">
        <v>21</v>
      </c>
      <c r="D909" t="s">
        <v>23</v>
      </c>
      <c r="E909">
        <f t="shared" ca="1" si="13"/>
        <v>30.865104480457017</v>
      </c>
    </row>
    <row r="910" spans="1:5" hidden="1" x14ac:dyDescent="0.25">
      <c r="A910">
        <v>22</v>
      </c>
      <c r="B910">
        <v>25</v>
      </c>
      <c r="C910" t="s">
        <v>21</v>
      </c>
      <c r="D910" t="s">
        <v>24</v>
      </c>
      <c r="E910">
        <f t="shared" ca="1" si="13"/>
        <v>29.526215591568128</v>
      </c>
    </row>
    <row r="911" spans="1:5" hidden="1" x14ac:dyDescent="0.25">
      <c r="A911">
        <v>22</v>
      </c>
      <c r="B911">
        <v>26</v>
      </c>
      <c r="C911" t="s">
        <v>21</v>
      </c>
      <c r="D911" t="s">
        <v>25</v>
      </c>
      <c r="E911">
        <f t="shared" ca="1" si="13"/>
        <v>111.54412987143392</v>
      </c>
    </row>
    <row r="912" spans="1:5" hidden="1" x14ac:dyDescent="0.25">
      <c r="A912">
        <v>22</v>
      </c>
      <c r="B912">
        <v>27</v>
      </c>
      <c r="C912" t="s">
        <v>21</v>
      </c>
      <c r="D912" t="s">
        <v>145</v>
      </c>
      <c r="E912">
        <f t="shared" ca="1" si="13"/>
        <v>48.125085021056208</v>
      </c>
    </row>
    <row r="913" spans="1:5" hidden="1" x14ac:dyDescent="0.25">
      <c r="A913">
        <v>22</v>
      </c>
      <c r="B913">
        <v>28</v>
      </c>
      <c r="C913" t="s">
        <v>21</v>
      </c>
      <c r="D913" t="s">
        <v>147</v>
      </c>
      <c r="E913">
        <f t="shared" ca="1" si="13"/>
        <v>0</v>
      </c>
    </row>
    <row r="914" spans="1:5" hidden="1" x14ac:dyDescent="0.25">
      <c r="A914">
        <v>22</v>
      </c>
      <c r="B914">
        <v>29</v>
      </c>
      <c r="C914" t="s">
        <v>21</v>
      </c>
      <c r="D914" t="s">
        <v>146</v>
      </c>
      <c r="E914">
        <f t="shared" ca="1" si="13"/>
        <v>30.053993369345907</v>
      </c>
    </row>
    <row r="915" spans="1:5" hidden="1" x14ac:dyDescent="0.25">
      <c r="A915">
        <v>22</v>
      </c>
      <c r="B915">
        <v>30</v>
      </c>
      <c r="C915" t="s">
        <v>21</v>
      </c>
      <c r="D915" t="s">
        <v>30</v>
      </c>
      <c r="E915">
        <f t="shared" ca="1" si="13"/>
        <v>85.731573008399025</v>
      </c>
    </row>
    <row r="916" spans="1:5" hidden="1" x14ac:dyDescent="0.25">
      <c r="A916">
        <v>22</v>
      </c>
      <c r="B916">
        <v>31</v>
      </c>
      <c r="C916" t="s">
        <v>21</v>
      </c>
      <c r="D916" t="s">
        <v>31</v>
      </c>
      <c r="E916">
        <f t="shared" ca="1" si="13"/>
        <v>62.226756577866922</v>
      </c>
    </row>
    <row r="917" spans="1:5" hidden="1" x14ac:dyDescent="0.25">
      <c r="A917">
        <v>22</v>
      </c>
      <c r="B917">
        <v>32</v>
      </c>
      <c r="C917" t="s">
        <v>21</v>
      </c>
      <c r="D917" t="s">
        <v>32</v>
      </c>
      <c r="E917">
        <f t="shared" ca="1" si="13"/>
        <v>60.91897880008915</v>
      </c>
    </row>
    <row r="918" spans="1:5" hidden="1" x14ac:dyDescent="0.25">
      <c r="A918">
        <v>22</v>
      </c>
      <c r="B918">
        <v>33</v>
      </c>
      <c r="C918" t="s">
        <v>21</v>
      </c>
      <c r="D918" t="s">
        <v>33</v>
      </c>
      <c r="E918">
        <f t="shared" ca="1" si="13"/>
        <v>52.295953456386073</v>
      </c>
    </row>
    <row r="919" spans="1:5" hidden="1" x14ac:dyDescent="0.25">
      <c r="A919">
        <v>22</v>
      </c>
      <c r="B919">
        <v>34</v>
      </c>
      <c r="C919" t="s">
        <v>21</v>
      </c>
      <c r="D919" t="s">
        <v>34</v>
      </c>
      <c r="E919">
        <f t="shared" ca="1" si="13"/>
        <v>53.220397900830513</v>
      </c>
    </row>
    <row r="920" spans="1:5" hidden="1" x14ac:dyDescent="0.25">
      <c r="A920">
        <v>22</v>
      </c>
      <c r="B920">
        <v>35</v>
      </c>
      <c r="C920" t="s">
        <v>21</v>
      </c>
      <c r="D920" t="s">
        <v>35</v>
      </c>
      <c r="E920">
        <f t="shared" ca="1" si="13"/>
        <v>37.625168374917884</v>
      </c>
    </row>
    <row r="921" spans="1:5" hidden="1" x14ac:dyDescent="0.25">
      <c r="A921">
        <v>22</v>
      </c>
      <c r="B921">
        <v>36</v>
      </c>
      <c r="C921" t="s">
        <v>21</v>
      </c>
      <c r="D921" t="s">
        <v>36</v>
      </c>
      <c r="E921">
        <f t="shared" ref="E921:E983" ca="1" si="14">OFFSET($B$3,A921,B921)</f>
        <v>72.095274445969395</v>
      </c>
    </row>
    <row r="922" spans="1:5" hidden="1" x14ac:dyDescent="0.25">
      <c r="A922">
        <v>22</v>
      </c>
      <c r="B922">
        <v>37</v>
      </c>
      <c r="C922" t="s">
        <v>21</v>
      </c>
      <c r="D922" t="s">
        <v>37</v>
      </c>
      <c r="E922">
        <f t="shared" ca="1" si="14"/>
        <v>90.540914737706458</v>
      </c>
    </row>
    <row r="923" spans="1:5" hidden="1" x14ac:dyDescent="0.25">
      <c r="A923">
        <v>22</v>
      </c>
      <c r="B923">
        <v>38</v>
      </c>
      <c r="C923" t="s">
        <v>21</v>
      </c>
      <c r="D923" t="s">
        <v>38</v>
      </c>
      <c r="E923">
        <f t="shared" ca="1" si="14"/>
        <v>71.817496668191623</v>
      </c>
    </row>
    <row r="924" spans="1:5" hidden="1" x14ac:dyDescent="0.25">
      <c r="A924">
        <v>22</v>
      </c>
      <c r="B924">
        <v>39</v>
      </c>
      <c r="C924" t="s">
        <v>21</v>
      </c>
      <c r="D924" t="s">
        <v>39</v>
      </c>
      <c r="E924">
        <f t="shared" ca="1" si="14"/>
        <v>88.492025848817562</v>
      </c>
    </row>
    <row r="925" spans="1:5" hidden="1" x14ac:dyDescent="0.25">
      <c r="A925">
        <v>22</v>
      </c>
      <c r="B925">
        <v>40</v>
      </c>
      <c r="C925" t="s">
        <v>21</v>
      </c>
      <c r="D925" t="s">
        <v>40</v>
      </c>
      <c r="E925">
        <f t="shared" ca="1" si="14"/>
        <v>89.94091473770645</v>
      </c>
    </row>
    <row r="926" spans="1:5" hidden="1" x14ac:dyDescent="0.25">
      <c r="A926">
        <v>23</v>
      </c>
      <c r="B926">
        <v>1</v>
      </c>
      <c r="C926" t="s">
        <v>22</v>
      </c>
      <c r="D926" t="s">
        <v>0</v>
      </c>
      <c r="E926">
        <f t="shared" ca="1" si="14"/>
        <v>53.401714421452695</v>
      </c>
    </row>
    <row r="927" spans="1:5" hidden="1" x14ac:dyDescent="0.25">
      <c r="A927">
        <v>23</v>
      </c>
      <c r="B927">
        <v>2</v>
      </c>
      <c r="C927" t="s">
        <v>22</v>
      </c>
      <c r="D927" t="s">
        <v>1</v>
      </c>
      <c r="E927">
        <f t="shared" ca="1" si="14"/>
        <v>53.779492199230475</v>
      </c>
    </row>
    <row r="928" spans="1:5" hidden="1" x14ac:dyDescent="0.25">
      <c r="A928">
        <v>23</v>
      </c>
      <c r="B928">
        <v>3</v>
      </c>
      <c r="C928" t="s">
        <v>22</v>
      </c>
      <c r="D928" t="s">
        <v>2</v>
      </c>
      <c r="E928">
        <f t="shared" ca="1" si="14"/>
        <v>25.760122420760602</v>
      </c>
    </row>
    <row r="929" spans="1:5" hidden="1" x14ac:dyDescent="0.25">
      <c r="A929">
        <v>23</v>
      </c>
      <c r="B929">
        <v>4</v>
      </c>
      <c r="C929" t="s">
        <v>22</v>
      </c>
      <c r="D929" t="s">
        <v>3</v>
      </c>
      <c r="E929">
        <f t="shared" ca="1" si="14"/>
        <v>69.566125390038465</v>
      </c>
    </row>
    <row r="930" spans="1:5" hidden="1" x14ac:dyDescent="0.25">
      <c r="A930">
        <v>23</v>
      </c>
      <c r="B930">
        <v>5</v>
      </c>
      <c r="C930" t="s">
        <v>22</v>
      </c>
      <c r="D930" t="s">
        <v>4</v>
      </c>
      <c r="E930">
        <f t="shared" ca="1" si="14"/>
        <v>66.26737710562125</v>
      </c>
    </row>
    <row r="931" spans="1:5" hidden="1" x14ac:dyDescent="0.25">
      <c r="A931">
        <v>23</v>
      </c>
      <c r="B931">
        <v>6</v>
      </c>
      <c r="C931" t="s">
        <v>22</v>
      </c>
      <c r="D931" t="s">
        <v>5</v>
      </c>
      <c r="E931">
        <f t="shared" ca="1" si="14"/>
        <v>68.811821550065687</v>
      </c>
    </row>
    <row r="932" spans="1:5" hidden="1" x14ac:dyDescent="0.25">
      <c r="A932">
        <v>23</v>
      </c>
      <c r="B932">
        <v>7</v>
      </c>
      <c r="C932" t="s">
        <v>22</v>
      </c>
      <c r="D932" t="s">
        <v>6</v>
      </c>
      <c r="E932">
        <f t="shared" ca="1" si="14"/>
        <v>66.706265994510133</v>
      </c>
    </row>
    <row r="933" spans="1:5" hidden="1" x14ac:dyDescent="0.25">
      <c r="A933">
        <v>23</v>
      </c>
      <c r="B933">
        <v>8</v>
      </c>
      <c r="C933" t="s">
        <v>22</v>
      </c>
      <c r="D933" t="s">
        <v>7</v>
      </c>
      <c r="E933">
        <f t="shared" ca="1" si="14"/>
        <v>69.719458723371801</v>
      </c>
    </row>
    <row r="934" spans="1:5" hidden="1" x14ac:dyDescent="0.25">
      <c r="A934">
        <v>23</v>
      </c>
      <c r="B934">
        <v>9</v>
      </c>
      <c r="C934" t="s">
        <v>22</v>
      </c>
      <c r="D934" t="s">
        <v>148</v>
      </c>
      <c r="E934">
        <f t="shared" ca="1" si="14"/>
        <v>55.862825532563811</v>
      </c>
    </row>
    <row r="935" spans="1:5" hidden="1" x14ac:dyDescent="0.25">
      <c r="A935">
        <v>23</v>
      </c>
      <c r="B935">
        <v>10</v>
      </c>
      <c r="C935" t="s">
        <v>22</v>
      </c>
      <c r="D935" t="s">
        <v>9</v>
      </c>
      <c r="E935">
        <f t="shared" ca="1" si="14"/>
        <v>67.255154883399015</v>
      </c>
    </row>
    <row r="936" spans="1:5" hidden="1" x14ac:dyDescent="0.25">
      <c r="A936">
        <v>23</v>
      </c>
      <c r="B936">
        <v>11</v>
      </c>
      <c r="C936" t="s">
        <v>22</v>
      </c>
      <c r="D936" t="s">
        <v>10</v>
      </c>
      <c r="E936">
        <f t="shared" ca="1" si="14"/>
        <v>49.018702145504875</v>
      </c>
    </row>
    <row r="937" spans="1:5" hidden="1" x14ac:dyDescent="0.25">
      <c r="A937">
        <v>23</v>
      </c>
      <c r="B937">
        <v>12</v>
      </c>
      <c r="C937" t="s">
        <v>22</v>
      </c>
      <c r="D937" t="s">
        <v>11</v>
      </c>
      <c r="E937">
        <f t="shared" ca="1" si="14"/>
        <v>39.679240144930084</v>
      </c>
    </row>
    <row r="938" spans="1:5" hidden="1" x14ac:dyDescent="0.25">
      <c r="A938">
        <v>23</v>
      </c>
      <c r="B938">
        <v>13</v>
      </c>
      <c r="C938" t="s">
        <v>22</v>
      </c>
      <c r="D938" t="s">
        <v>12</v>
      </c>
      <c r="E938">
        <f t="shared" ca="1" si="14"/>
        <v>28.282622065180416</v>
      </c>
    </row>
    <row r="939" spans="1:5" hidden="1" x14ac:dyDescent="0.25">
      <c r="A939">
        <v>23</v>
      </c>
      <c r="B939">
        <v>14</v>
      </c>
      <c r="C939" t="s">
        <v>22</v>
      </c>
      <c r="D939" t="s">
        <v>13</v>
      </c>
      <c r="E939">
        <f t="shared" ca="1" si="14"/>
        <v>27.784844287402638</v>
      </c>
    </row>
    <row r="940" spans="1:5" hidden="1" x14ac:dyDescent="0.25">
      <c r="A940">
        <v>23</v>
      </c>
      <c r="B940">
        <v>15</v>
      </c>
      <c r="C940" t="s">
        <v>22</v>
      </c>
      <c r="D940" t="s">
        <v>14</v>
      </c>
      <c r="E940">
        <f t="shared" ca="1" si="14"/>
        <v>102.59664589198574</v>
      </c>
    </row>
    <row r="941" spans="1:5" hidden="1" x14ac:dyDescent="0.25">
      <c r="A941">
        <v>23</v>
      </c>
      <c r="B941">
        <v>16</v>
      </c>
      <c r="C941" t="s">
        <v>22</v>
      </c>
      <c r="D941" t="s">
        <v>15</v>
      </c>
      <c r="E941">
        <f t="shared" ca="1" si="14"/>
        <v>100.89863162185624</v>
      </c>
    </row>
    <row r="942" spans="1:5" hidden="1" x14ac:dyDescent="0.25">
      <c r="A942">
        <v>23</v>
      </c>
      <c r="B942">
        <v>17</v>
      </c>
      <c r="C942" t="s">
        <v>22</v>
      </c>
      <c r="D942" t="s">
        <v>16</v>
      </c>
      <c r="E942">
        <f t="shared" ca="1" si="14"/>
        <v>81.85117705987237</v>
      </c>
    </row>
    <row r="943" spans="1:5" hidden="1" x14ac:dyDescent="0.25">
      <c r="A943">
        <v>23</v>
      </c>
      <c r="B943">
        <v>18</v>
      </c>
      <c r="C943" t="s">
        <v>22</v>
      </c>
      <c r="D943" t="s">
        <v>17</v>
      </c>
      <c r="E943">
        <f t="shared" ca="1" si="14"/>
        <v>102.93974273296735</v>
      </c>
    </row>
    <row r="944" spans="1:5" hidden="1" x14ac:dyDescent="0.25">
      <c r="A944">
        <v>23</v>
      </c>
      <c r="B944">
        <v>19</v>
      </c>
      <c r="C944" t="s">
        <v>22</v>
      </c>
      <c r="D944" t="s">
        <v>18</v>
      </c>
      <c r="E944">
        <f t="shared" ca="1" si="14"/>
        <v>44.329094046194626</v>
      </c>
    </row>
    <row r="945" spans="1:5" hidden="1" x14ac:dyDescent="0.25">
      <c r="A945">
        <v>23</v>
      </c>
      <c r="B945">
        <v>20</v>
      </c>
      <c r="C945" t="s">
        <v>22</v>
      </c>
      <c r="D945" t="s">
        <v>19</v>
      </c>
      <c r="E945">
        <f t="shared" ca="1" si="14"/>
        <v>46.783496002838774</v>
      </c>
    </row>
    <row r="946" spans="1:5" hidden="1" x14ac:dyDescent="0.25">
      <c r="A946">
        <v>23</v>
      </c>
      <c r="B946">
        <v>21</v>
      </c>
      <c r="C946" t="s">
        <v>22</v>
      </c>
      <c r="D946" t="s">
        <v>20</v>
      </c>
      <c r="E946">
        <f t="shared" ca="1" si="14"/>
        <v>52.057444330072251</v>
      </c>
    </row>
    <row r="947" spans="1:5" hidden="1" x14ac:dyDescent="0.25">
      <c r="A947">
        <v>23</v>
      </c>
      <c r="B947">
        <v>22</v>
      </c>
      <c r="C947" t="s">
        <v>22</v>
      </c>
      <c r="D947" t="s">
        <v>21</v>
      </c>
      <c r="E947">
        <f t="shared" ca="1" si="14"/>
        <v>31.576215591568129</v>
      </c>
    </row>
    <row r="948" spans="1:5" hidden="1" x14ac:dyDescent="0.25">
      <c r="A948">
        <v>23</v>
      </c>
      <c r="B948">
        <v>23</v>
      </c>
      <c r="C948" t="s">
        <v>22</v>
      </c>
      <c r="D948" t="s">
        <v>22</v>
      </c>
      <c r="E948">
        <f t="shared" ca="1" si="14"/>
        <v>0</v>
      </c>
    </row>
    <row r="949" spans="1:5" hidden="1" x14ac:dyDescent="0.25">
      <c r="A949">
        <v>23</v>
      </c>
      <c r="B949">
        <v>24</v>
      </c>
      <c r="C949" t="s">
        <v>22</v>
      </c>
      <c r="D949" t="s">
        <v>23</v>
      </c>
      <c r="E949">
        <f t="shared" ca="1" si="14"/>
        <v>0</v>
      </c>
    </row>
    <row r="950" spans="1:5" hidden="1" x14ac:dyDescent="0.25">
      <c r="A950">
        <v>23</v>
      </c>
      <c r="B950">
        <v>25</v>
      </c>
      <c r="C950" t="s">
        <v>22</v>
      </c>
      <c r="D950" t="s">
        <v>24</v>
      </c>
      <c r="E950">
        <f t="shared" ca="1" si="14"/>
        <v>0</v>
      </c>
    </row>
    <row r="951" spans="1:5" hidden="1" x14ac:dyDescent="0.25">
      <c r="A951">
        <v>23</v>
      </c>
      <c r="B951">
        <v>26</v>
      </c>
      <c r="C951" t="s">
        <v>22</v>
      </c>
      <c r="D951" t="s">
        <v>25</v>
      </c>
      <c r="E951">
        <f t="shared" ca="1" si="14"/>
        <v>105.29553478087463</v>
      </c>
    </row>
    <row r="952" spans="1:5" hidden="1" x14ac:dyDescent="0.25">
      <c r="A952">
        <v>23</v>
      </c>
      <c r="B952">
        <v>27</v>
      </c>
      <c r="C952" t="s">
        <v>22</v>
      </c>
      <c r="D952" t="s">
        <v>145</v>
      </c>
      <c r="E952">
        <f t="shared" ca="1" si="14"/>
        <v>48.23016266950544</v>
      </c>
    </row>
    <row r="953" spans="1:5" hidden="1" x14ac:dyDescent="0.25">
      <c r="A953">
        <v>23</v>
      </c>
      <c r="B953">
        <v>28</v>
      </c>
      <c r="C953" t="s">
        <v>22</v>
      </c>
      <c r="D953" t="s">
        <v>147</v>
      </c>
      <c r="E953">
        <f t="shared" ca="1" si="14"/>
        <v>32.020660036012572</v>
      </c>
    </row>
    <row r="954" spans="1:5" hidden="1" x14ac:dyDescent="0.25">
      <c r="A954">
        <v>23</v>
      </c>
      <c r="B954">
        <v>29</v>
      </c>
      <c r="C954" t="s">
        <v>22</v>
      </c>
      <c r="D954" t="s">
        <v>146</v>
      </c>
      <c r="E954">
        <f t="shared" ca="1" si="14"/>
        <v>0</v>
      </c>
    </row>
    <row r="955" spans="1:5" hidden="1" x14ac:dyDescent="0.25">
      <c r="A955">
        <v>23</v>
      </c>
      <c r="B955">
        <v>30</v>
      </c>
      <c r="C955" t="s">
        <v>22</v>
      </c>
      <c r="D955" t="s">
        <v>30</v>
      </c>
      <c r="E955">
        <f t="shared" ca="1" si="14"/>
        <v>70.821680945594011</v>
      </c>
    </row>
    <row r="956" spans="1:5" hidden="1" x14ac:dyDescent="0.25">
      <c r="A956">
        <v>23</v>
      </c>
      <c r="B956">
        <v>31</v>
      </c>
      <c r="C956" t="s">
        <v>22</v>
      </c>
      <c r="D956" t="s">
        <v>31</v>
      </c>
      <c r="E956">
        <f t="shared" ca="1" si="14"/>
        <v>62.009857281109227</v>
      </c>
    </row>
    <row r="957" spans="1:5" hidden="1" x14ac:dyDescent="0.25">
      <c r="A957">
        <v>23</v>
      </c>
      <c r="B957">
        <v>32</v>
      </c>
      <c r="C957" t="s">
        <v>22</v>
      </c>
      <c r="D957" t="s">
        <v>32</v>
      </c>
      <c r="E957">
        <f t="shared" ca="1" si="14"/>
        <v>60.702079503331447</v>
      </c>
    </row>
    <row r="958" spans="1:5" hidden="1" x14ac:dyDescent="0.25">
      <c r="A958">
        <v>23</v>
      </c>
      <c r="B958">
        <v>33</v>
      </c>
      <c r="C958" t="s">
        <v>22</v>
      </c>
      <c r="D958" t="s">
        <v>33</v>
      </c>
      <c r="E958">
        <f t="shared" ca="1" si="14"/>
        <v>60.996523947775891</v>
      </c>
    </row>
    <row r="959" spans="1:5" hidden="1" x14ac:dyDescent="0.25">
      <c r="A959">
        <v>23</v>
      </c>
      <c r="B959">
        <v>34</v>
      </c>
      <c r="C959" t="s">
        <v>22</v>
      </c>
      <c r="D959" t="s">
        <v>34</v>
      </c>
      <c r="E959">
        <f t="shared" ca="1" si="14"/>
        <v>61.920968392220338</v>
      </c>
    </row>
    <row r="960" spans="1:5" hidden="1" x14ac:dyDescent="0.25">
      <c r="A960">
        <v>23</v>
      </c>
      <c r="B960">
        <v>35</v>
      </c>
      <c r="C960" t="s">
        <v>22</v>
      </c>
      <c r="D960" t="s">
        <v>35</v>
      </c>
      <c r="E960">
        <f t="shared" ca="1" si="14"/>
        <v>54.0217144214527</v>
      </c>
    </row>
    <row r="961" spans="1:5" hidden="1" x14ac:dyDescent="0.25">
      <c r="A961">
        <v>23</v>
      </c>
      <c r="B961">
        <v>36</v>
      </c>
      <c r="C961" t="s">
        <v>22</v>
      </c>
      <c r="D961" t="s">
        <v>36</v>
      </c>
      <c r="E961">
        <f t="shared" ca="1" si="14"/>
        <v>54.984024026956639</v>
      </c>
    </row>
    <row r="962" spans="1:5" hidden="1" x14ac:dyDescent="0.25">
      <c r="A962">
        <v>23</v>
      </c>
      <c r="B962">
        <v>37</v>
      </c>
      <c r="C962" t="s">
        <v>22</v>
      </c>
      <c r="D962" t="s">
        <v>37</v>
      </c>
      <c r="E962">
        <f t="shared" ca="1" si="14"/>
        <v>62.932947599943688</v>
      </c>
    </row>
    <row r="963" spans="1:5" hidden="1" x14ac:dyDescent="0.25">
      <c r="A963">
        <v>23</v>
      </c>
      <c r="B963">
        <v>38</v>
      </c>
      <c r="C963" t="s">
        <v>22</v>
      </c>
      <c r="D963" t="s">
        <v>38</v>
      </c>
      <c r="E963">
        <f t="shared" ca="1" si="14"/>
        <v>54.706246249178861</v>
      </c>
    </row>
    <row r="964" spans="1:5" hidden="1" x14ac:dyDescent="0.25">
      <c r="A964">
        <v>23</v>
      </c>
      <c r="B964">
        <v>39</v>
      </c>
      <c r="C964" t="s">
        <v>22</v>
      </c>
      <c r="D964" t="s">
        <v>39</v>
      </c>
      <c r="E964">
        <f t="shared" ca="1" si="14"/>
        <v>57.795606757929789</v>
      </c>
    </row>
    <row r="965" spans="1:5" hidden="1" x14ac:dyDescent="0.25">
      <c r="A965">
        <v>23</v>
      </c>
      <c r="B965">
        <v>40</v>
      </c>
      <c r="C965" t="s">
        <v>22</v>
      </c>
      <c r="D965" t="s">
        <v>40</v>
      </c>
      <c r="E965">
        <f t="shared" ca="1" si="14"/>
        <v>62.332947599943694</v>
      </c>
    </row>
    <row r="966" spans="1:5" hidden="1" x14ac:dyDescent="0.25">
      <c r="A966">
        <v>24</v>
      </c>
      <c r="B966">
        <v>1</v>
      </c>
      <c r="C966" t="s">
        <v>23</v>
      </c>
      <c r="D966" t="s">
        <v>0</v>
      </c>
      <c r="E966">
        <f t="shared" ca="1" si="14"/>
        <v>52.690603310341587</v>
      </c>
    </row>
    <row r="967" spans="1:5" hidden="1" x14ac:dyDescent="0.25">
      <c r="A967">
        <v>24</v>
      </c>
      <c r="B967">
        <v>2</v>
      </c>
      <c r="C967" t="s">
        <v>23</v>
      </c>
      <c r="D967" t="s">
        <v>1</v>
      </c>
      <c r="E967">
        <f t="shared" ca="1" si="14"/>
        <v>53.068381088119366</v>
      </c>
    </row>
    <row r="968" spans="1:5" hidden="1" x14ac:dyDescent="0.25">
      <c r="A968">
        <v>24</v>
      </c>
      <c r="B968">
        <v>3</v>
      </c>
      <c r="C968" t="s">
        <v>23</v>
      </c>
      <c r="D968" t="s">
        <v>2</v>
      </c>
      <c r="E968">
        <f t="shared" ca="1" si="14"/>
        <v>25.049011309649494</v>
      </c>
    </row>
    <row r="969" spans="1:5" hidden="1" x14ac:dyDescent="0.25">
      <c r="A969">
        <v>24</v>
      </c>
      <c r="B969">
        <v>4</v>
      </c>
      <c r="C969" t="s">
        <v>23</v>
      </c>
      <c r="D969" t="s">
        <v>3</v>
      </c>
      <c r="E969">
        <f t="shared" ca="1" si="14"/>
        <v>68.855014278927356</v>
      </c>
    </row>
    <row r="970" spans="1:5" hidden="1" x14ac:dyDescent="0.25">
      <c r="A970">
        <v>24</v>
      </c>
      <c r="B970">
        <v>5</v>
      </c>
      <c r="C970" t="s">
        <v>23</v>
      </c>
      <c r="D970" t="s">
        <v>4</v>
      </c>
      <c r="E970">
        <f t="shared" ca="1" si="14"/>
        <v>65.556265994510127</v>
      </c>
    </row>
    <row r="971" spans="1:5" hidden="1" x14ac:dyDescent="0.25">
      <c r="A971">
        <v>24</v>
      </c>
      <c r="B971">
        <v>6</v>
      </c>
      <c r="C971" t="s">
        <v>23</v>
      </c>
      <c r="D971" t="s">
        <v>5</v>
      </c>
      <c r="E971">
        <f t="shared" ca="1" si="14"/>
        <v>68.100710438954579</v>
      </c>
    </row>
    <row r="972" spans="1:5" hidden="1" x14ac:dyDescent="0.25">
      <c r="A972">
        <v>24</v>
      </c>
      <c r="B972">
        <v>7</v>
      </c>
      <c r="C972" t="s">
        <v>23</v>
      </c>
      <c r="D972" t="s">
        <v>6</v>
      </c>
      <c r="E972">
        <f t="shared" ca="1" si="14"/>
        <v>65.995154883399024</v>
      </c>
    </row>
    <row r="973" spans="1:5" hidden="1" x14ac:dyDescent="0.25">
      <c r="A973">
        <v>24</v>
      </c>
      <c r="B973">
        <v>8</v>
      </c>
      <c r="C973" t="s">
        <v>23</v>
      </c>
      <c r="D973" t="s">
        <v>7</v>
      </c>
      <c r="E973">
        <f t="shared" ca="1" si="14"/>
        <v>69.008347612260678</v>
      </c>
    </row>
    <row r="974" spans="1:5" hidden="1" x14ac:dyDescent="0.25">
      <c r="A974">
        <v>24</v>
      </c>
      <c r="B974">
        <v>9</v>
      </c>
      <c r="C974" t="s">
        <v>23</v>
      </c>
      <c r="D974" t="s">
        <v>148</v>
      </c>
      <c r="E974">
        <f t="shared" ca="1" si="14"/>
        <v>55.151714421452695</v>
      </c>
    </row>
    <row r="975" spans="1:5" hidden="1" x14ac:dyDescent="0.25">
      <c r="A975">
        <v>24</v>
      </c>
      <c r="B975">
        <v>10</v>
      </c>
      <c r="C975" t="s">
        <v>23</v>
      </c>
      <c r="D975" t="s">
        <v>9</v>
      </c>
      <c r="E975">
        <f t="shared" ca="1" si="14"/>
        <v>66.544043772287907</v>
      </c>
    </row>
    <row r="976" spans="1:5" hidden="1" x14ac:dyDescent="0.25">
      <c r="A976">
        <v>24</v>
      </c>
      <c r="B976">
        <v>11</v>
      </c>
      <c r="C976" t="s">
        <v>23</v>
      </c>
      <c r="D976" t="s">
        <v>10</v>
      </c>
      <c r="E976">
        <f t="shared" ca="1" si="14"/>
        <v>48.307591034393766</v>
      </c>
    </row>
    <row r="977" spans="1:5" hidden="1" x14ac:dyDescent="0.25">
      <c r="A977">
        <v>24</v>
      </c>
      <c r="B977">
        <v>12</v>
      </c>
      <c r="C977" t="s">
        <v>23</v>
      </c>
      <c r="D977" t="s">
        <v>11</v>
      </c>
      <c r="E977">
        <f t="shared" ca="1" si="14"/>
        <v>38.968129033818968</v>
      </c>
    </row>
    <row r="978" spans="1:5" hidden="1" x14ac:dyDescent="0.25">
      <c r="A978">
        <v>24</v>
      </c>
      <c r="B978">
        <v>13</v>
      </c>
      <c r="C978" t="s">
        <v>23</v>
      </c>
      <c r="D978" t="s">
        <v>12</v>
      </c>
      <c r="E978">
        <f t="shared" ca="1" si="14"/>
        <v>27.571510954069304</v>
      </c>
    </row>
    <row r="979" spans="1:5" hidden="1" x14ac:dyDescent="0.25">
      <c r="A979">
        <v>24</v>
      </c>
      <c r="B979">
        <v>14</v>
      </c>
      <c r="C979" t="s">
        <v>23</v>
      </c>
      <c r="D979" t="s">
        <v>13</v>
      </c>
      <c r="E979">
        <f t="shared" ca="1" si="14"/>
        <v>27.073733176291526</v>
      </c>
    </row>
    <row r="980" spans="1:5" hidden="1" x14ac:dyDescent="0.25">
      <c r="A980">
        <v>24</v>
      </c>
      <c r="B980">
        <v>15</v>
      </c>
      <c r="C980" t="s">
        <v>23</v>
      </c>
      <c r="D980" t="s">
        <v>14</v>
      </c>
      <c r="E980">
        <f t="shared" ca="1" si="14"/>
        <v>101.88553478087464</v>
      </c>
    </row>
    <row r="981" spans="1:5" hidden="1" x14ac:dyDescent="0.25">
      <c r="A981">
        <v>24</v>
      </c>
      <c r="B981">
        <v>16</v>
      </c>
      <c r="C981" t="s">
        <v>23</v>
      </c>
      <c r="D981" t="s">
        <v>15</v>
      </c>
      <c r="E981">
        <f t="shared" ca="1" si="14"/>
        <v>100.18752051074513</v>
      </c>
    </row>
    <row r="982" spans="1:5" hidden="1" x14ac:dyDescent="0.25">
      <c r="A982">
        <v>24</v>
      </c>
      <c r="B982">
        <v>17</v>
      </c>
      <c r="C982" t="s">
        <v>23</v>
      </c>
      <c r="D982" t="s">
        <v>16</v>
      </c>
      <c r="E982">
        <f t="shared" ca="1" si="14"/>
        <v>81.140065948761261</v>
      </c>
    </row>
    <row r="983" spans="1:5" hidden="1" x14ac:dyDescent="0.25">
      <c r="A983">
        <v>24</v>
      </c>
      <c r="B983">
        <v>18</v>
      </c>
      <c r="C983" t="s">
        <v>23</v>
      </c>
      <c r="D983" t="s">
        <v>17</v>
      </c>
      <c r="E983">
        <f t="shared" ca="1" si="14"/>
        <v>102.22863162185624</v>
      </c>
    </row>
    <row r="984" spans="1:5" hidden="1" x14ac:dyDescent="0.25">
      <c r="A984">
        <v>24</v>
      </c>
      <c r="B984">
        <v>19</v>
      </c>
      <c r="C984" t="s">
        <v>23</v>
      </c>
      <c r="D984" t="s">
        <v>18</v>
      </c>
      <c r="E984">
        <f t="shared" ref="E984:E1045" ca="1" si="15">OFFSET($B$3,A984,B984)</f>
        <v>43.617982935083518</v>
      </c>
    </row>
    <row r="985" spans="1:5" hidden="1" x14ac:dyDescent="0.25">
      <c r="A985">
        <v>24</v>
      </c>
      <c r="B985">
        <v>20</v>
      </c>
      <c r="C985" t="s">
        <v>23</v>
      </c>
      <c r="D985" t="s">
        <v>19</v>
      </c>
      <c r="E985">
        <f t="shared" ca="1" si="15"/>
        <v>46.072384891727665</v>
      </c>
    </row>
    <row r="986" spans="1:5" hidden="1" x14ac:dyDescent="0.25">
      <c r="A986">
        <v>24</v>
      </c>
      <c r="B986">
        <v>21</v>
      </c>
      <c r="C986" t="s">
        <v>23</v>
      </c>
      <c r="D986" t="s">
        <v>20</v>
      </c>
      <c r="E986">
        <f t="shared" ca="1" si="15"/>
        <v>51.346333218961142</v>
      </c>
    </row>
    <row r="987" spans="1:5" hidden="1" x14ac:dyDescent="0.25">
      <c r="A987">
        <v>24</v>
      </c>
      <c r="B987">
        <v>22</v>
      </c>
      <c r="C987" t="s">
        <v>23</v>
      </c>
      <c r="D987" t="s">
        <v>21</v>
      </c>
      <c r="E987">
        <f t="shared" ca="1" si="15"/>
        <v>30.865104480457017</v>
      </c>
    </row>
    <row r="988" spans="1:5" hidden="1" x14ac:dyDescent="0.25">
      <c r="A988">
        <v>24</v>
      </c>
      <c r="B988">
        <v>23</v>
      </c>
      <c r="C988" t="s">
        <v>23</v>
      </c>
      <c r="D988" t="s">
        <v>22</v>
      </c>
      <c r="E988">
        <f t="shared" ca="1" si="15"/>
        <v>0</v>
      </c>
    </row>
    <row r="989" spans="1:5" hidden="1" x14ac:dyDescent="0.25">
      <c r="A989">
        <v>24</v>
      </c>
      <c r="B989">
        <v>24</v>
      </c>
      <c r="C989" t="s">
        <v>23</v>
      </c>
      <c r="D989" t="s">
        <v>23</v>
      </c>
      <c r="E989">
        <f t="shared" ca="1" si="15"/>
        <v>0</v>
      </c>
    </row>
    <row r="990" spans="1:5" hidden="1" x14ac:dyDescent="0.25">
      <c r="A990">
        <v>24</v>
      </c>
      <c r="B990">
        <v>25</v>
      </c>
      <c r="C990" t="s">
        <v>23</v>
      </c>
      <c r="D990" t="s">
        <v>24</v>
      </c>
      <c r="E990">
        <f t="shared" ca="1" si="15"/>
        <v>0</v>
      </c>
    </row>
    <row r="991" spans="1:5" hidden="1" x14ac:dyDescent="0.25">
      <c r="A991">
        <v>24</v>
      </c>
      <c r="B991">
        <v>26</v>
      </c>
      <c r="C991" t="s">
        <v>23</v>
      </c>
      <c r="D991" t="s">
        <v>25</v>
      </c>
      <c r="E991">
        <f t="shared" ca="1" si="15"/>
        <v>104.58442366976352</v>
      </c>
    </row>
    <row r="992" spans="1:5" hidden="1" x14ac:dyDescent="0.25">
      <c r="A992">
        <v>24</v>
      </c>
      <c r="B992">
        <v>27</v>
      </c>
      <c r="C992" t="s">
        <v>23</v>
      </c>
      <c r="D992" t="s">
        <v>145</v>
      </c>
      <c r="E992">
        <f t="shared" ca="1" si="15"/>
        <v>47.519051558394331</v>
      </c>
    </row>
    <row r="993" spans="1:5" hidden="1" x14ac:dyDescent="0.25">
      <c r="A993">
        <v>24</v>
      </c>
      <c r="B993">
        <v>28</v>
      </c>
      <c r="C993" t="s">
        <v>23</v>
      </c>
      <c r="D993" t="s">
        <v>147</v>
      </c>
      <c r="E993">
        <f t="shared" ca="1" si="15"/>
        <v>31.309548924901463</v>
      </c>
    </row>
    <row r="994" spans="1:5" hidden="1" x14ac:dyDescent="0.25">
      <c r="A994">
        <v>24</v>
      </c>
      <c r="B994">
        <v>29</v>
      </c>
      <c r="C994" t="s">
        <v>23</v>
      </c>
      <c r="D994" t="s">
        <v>146</v>
      </c>
      <c r="E994">
        <f t="shared" ca="1" si="15"/>
        <v>0</v>
      </c>
    </row>
    <row r="995" spans="1:5" hidden="1" x14ac:dyDescent="0.25">
      <c r="A995">
        <v>24</v>
      </c>
      <c r="B995">
        <v>30</v>
      </c>
      <c r="C995" t="s">
        <v>23</v>
      </c>
      <c r="D995" t="s">
        <v>30</v>
      </c>
      <c r="E995">
        <f t="shared" ca="1" si="15"/>
        <v>70.110569834482902</v>
      </c>
    </row>
    <row r="996" spans="1:5" hidden="1" x14ac:dyDescent="0.25">
      <c r="A996">
        <v>24</v>
      </c>
      <c r="B996">
        <v>31</v>
      </c>
      <c r="C996" t="s">
        <v>23</v>
      </c>
      <c r="D996" t="s">
        <v>31</v>
      </c>
      <c r="E996">
        <f t="shared" ca="1" si="15"/>
        <v>61.298746169998118</v>
      </c>
    </row>
    <row r="997" spans="1:5" hidden="1" x14ac:dyDescent="0.25">
      <c r="A997">
        <v>24</v>
      </c>
      <c r="B997">
        <v>32</v>
      </c>
      <c r="C997" t="s">
        <v>23</v>
      </c>
      <c r="D997" t="s">
        <v>32</v>
      </c>
      <c r="E997">
        <f t="shared" ca="1" si="15"/>
        <v>59.990968392220339</v>
      </c>
    </row>
    <row r="998" spans="1:5" hidden="1" x14ac:dyDescent="0.25">
      <c r="A998">
        <v>24</v>
      </c>
      <c r="B998">
        <v>33</v>
      </c>
      <c r="C998" t="s">
        <v>23</v>
      </c>
      <c r="D998" t="s">
        <v>33</v>
      </c>
      <c r="E998">
        <f t="shared" ca="1" si="15"/>
        <v>60.285412836664783</v>
      </c>
    </row>
    <row r="999" spans="1:5" hidden="1" x14ac:dyDescent="0.25">
      <c r="A999">
        <v>24</v>
      </c>
      <c r="B999">
        <v>34</v>
      </c>
      <c r="C999" t="s">
        <v>23</v>
      </c>
      <c r="D999" t="s">
        <v>34</v>
      </c>
      <c r="E999">
        <f t="shared" ca="1" si="15"/>
        <v>61.20985728110923</v>
      </c>
    </row>
    <row r="1000" spans="1:5" hidden="1" x14ac:dyDescent="0.25">
      <c r="A1000">
        <v>24</v>
      </c>
      <c r="B1000">
        <v>35</v>
      </c>
      <c r="C1000" t="s">
        <v>23</v>
      </c>
      <c r="D1000" t="s">
        <v>35</v>
      </c>
      <c r="E1000">
        <f t="shared" ca="1" si="15"/>
        <v>53.310603310341584</v>
      </c>
    </row>
    <row r="1001" spans="1:5" hidden="1" x14ac:dyDescent="0.25">
      <c r="A1001">
        <v>24</v>
      </c>
      <c r="B1001">
        <v>36</v>
      </c>
      <c r="C1001" t="s">
        <v>23</v>
      </c>
      <c r="D1001" t="s">
        <v>36</v>
      </c>
      <c r="E1001">
        <f t="shared" ca="1" si="15"/>
        <v>54.272912915845531</v>
      </c>
    </row>
    <row r="1002" spans="1:5" hidden="1" x14ac:dyDescent="0.25">
      <c r="A1002">
        <v>24</v>
      </c>
      <c r="B1002">
        <v>37</v>
      </c>
      <c r="C1002" t="s">
        <v>23</v>
      </c>
      <c r="D1002" t="s">
        <v>37</v>
      </c>
      <c r="E1002">
        <f t="shared" ca="1" si="15"/>
        <v>62.221836488832579</v>
      </c>
    </row>
    <row r="1003" spans="1:5" hidden="1" x14ac:dyDescent="0.25">
      <c r="A1003">
        <v>24</v>
      </c>
      <c r="B1003">
        <v>38</v>
      </c>
      <c r="C1003" t="s">
        <v>23</v>
      </c>
      <c r="D1003" t="s">
        <v>38</v>
      </c>
      <c r="E1003">
        <f t="shared" ca="1" si="15"/>
        <v>53.995135138067752</v>
      </c>
    </row>
    <row r="1004" spans="1:5" hidden="1" x14ac:dyDescent="0.25">
      <c r="A1004">
        <v>24</v>
      </c>
      <c r="B1004">
        <v>39</v>
      </c>
      <c r="C1004" t="s">
        <v>23</v>
      </c>
      <c r="D1004" t="s">
        <v>39</v>
      </c>
      <c r="E1004">
        <f t="shared" ca="1" si="15"/>
        <v>57.084495646818681</v>
      </c>
    </row>
    <row r="1005" spans="1:5" hidden="1" x14ac:dyDescent="0.25">
      <c r="A1005">
        <v>24</v>
      </c>
      <c r="B1005">
        <v>40</v>
      </c>
      <c r="C1005" t="s">
        <v>23</v>
      </c>
      <c r="D1005" t="s">
        <v>40</v>
      </c>
      <c r="E1005">
        <f t="shared" ca="1" si="15"/>
        <v>61.621836488832578</v>
      </c>
    </row>
    <row r="1006" spans="1:5" hidden="1" x14ac:dyDescent="0.25">
      <c r="A1006">
        <v>25</v>
      </c>
      <c r="B1006">
        <v>1</v>
      </c>
      <c r="C1006" t="s">
        <v>24</v>
      </c>
      <c r="D1006" t="s">
        <v>0</v>
      </c>
      <c r="E1006">
        <f t="shared" ca="1" si="15"/>
        <v>51.351714421452698</v>
      </c>
    </row>
    <row r="1007" spans="1:5" hidden="1" x14ac:dyDescent="0.25">
      <c r="A1007">
        <v>25</v>
      </c>
      <c r="B1007">
        <v>2</v>
      </c>
      <c r="C1007" t="s">
        <v>24</v>
      </c>
      <c r="D1007" t="s">
        <v>1</v>
      </c>
      <c r="E1007">
        <f t="shared" ca="1" si="15"/>
        <v>51.729492199230478</v>
      </c>
    </row>
    <row r="1008" spans="1:5" hidden="1" x14ac:dyDescent="0.25">
      <c r="A1008">
        <v>25</v>
      </c>
      <c r="B1008">
        <v>3</v>
      </c>
      <c r="C1008" t="s">
        <v>24</v>
      </c>
      <c r="D1008" t="s">
        <v>2</v>
      </c>
      <c r="E1008">
        <f t="shared" ca="1" si="15"/>
        <v>23.710122420760605</v>
      </c>
    </row>
    <row r="1009" spans="1:5" hidden="1" x14ac:dyDescent="0.25">
      <c r="A1009">
        <v>25</v>
      </c>
      <c r="B1009">
        <v>4</v>
      </c>
      <c r="C1009" t="s">
        <v>24</v>
      </c>
      <c r="D1009" t="s">
        <v>3</v>
      </c>
      <c r="E1009">
        <f t="shared" ca="1" si="15"/>
        <v>67.516125390038468</v>
      </c>
    </row>
    <row r="1010" spans="1:5" hidden="1" x14ac:dyDescent="0.25">
      <c r="A1010">
        <v>25</v>
      </c>
      <c r="B1010">
        <v>5</v>
      </c>
      <c r="C1010" t="s">
        <v>24</v>
      </c>
      <c r="D1010" t="s">
        <v>4</v>
      </c>
      <c r="E1010">
        <f t="shared" ca="1" si="15"/>
        <v>64.217377105621239</v>
      </c>
    </row>
    <row r="1011" spans="1:5" hidden="1" x14ac:dyDescent="0.25">
      <c r="A1011">
        <v>25</v>
      </c>
      <c r="B1011">
        <v>6</v>
      </c>
      <c r="C1011" t="s">
        <v>24</v>
      </c>
      <c r="D1011" t="s">
        <v>5</v>
      </c>
      <c r="E1011">
        <f t="shared" ca="1" si="15"/>
        <v>66.76182155006569</v>
      </c>
    </row>
    <row r="1012" spans="1:5" hidden="1" x14ac:dyDescent="0.25">
      <c r="A1012">
        <v>25</v>
      </c>
      <c r="B1012">
        <v>7</v>
      </c>
      <c r="C1012" t="s">
        <v>24</v>
      </c>
      <c r="D1012" t="s">
        <v>6</v>
      </c>
      <c r="E1012">
        <f t="shared" ca="1" si="15"/>
        <v>64.656265994510136</v>
      </c>
    </row>
    <row r="1013" spans="1:5" hidden="1" x14ac:dyDescent="0.25">
      <c r="A1013">
        <v>25</v>
      </c>
      <c r="B1013">
        <v>8</v>
      </c>
      <c r="C1013" t="s">
        <v>24</v>
      </c>
      <c r="D1013" t="s">
        <v>7</v>
      </c>
      <c r="E1013">
        <f t="shared" ca="1" si="15"/>
        <v>67.66945872337179</v>
      </c>
    </row>
    <row r="1014" spans="1:5" hidden="1" x14ac:dyDescent="0.25">
      <c r="A1014">
        <v>25</v>
      </c>
      <c r="B1014">
        <v>9</v>
      </c>
      <c r="C1014" t="s">
        <v>24</v>
      </c>
      <c r="D1014" t="s">
        <v>148</v>
      </c>
      <c r="E1014">
        <f t="shared" ca="1" si="15"/>
        <v>53.812825532563807</v>
      </c>
    </row>
    <row r="1015" spans="1:5" hidden="1" x14ac:dyDescent="0.25">
      <c r="A1015">
        <v>25</v>
      </c>
      <c r="B1015">
        <v>10</v>
      </c>
      <c r="C1015" t="s">
        <v>24</v>
      </c>
      <c r="D1015" t="s">
        <v>9</v>
      </c>
      <c r="E1015">
        <f t="shared" ca="1" si="15"/>
        <v>65.205154883399018</v>
      </c>
    </row>
    <row r="1016" spans="1:5" hidden="1" x14ac:dyDescent="0.25">
      <c r="A1016">
        <v>25</v>
      </c>
      <c r="B1016">
        <v>11</v>
      </c>
      <c r="C1016" t="s">
        <v>24</v>
      </c>
      <c r="D1016" t="s">
        <v>10</v>
      </c>
      <c r="E1016">
        <f t="shared" ca="1" si="15"/>
        <v>46.968702145504878</v>
      </c>
    </row>
    <row r="1017" spans="1:5" hidden="1" x14ac:dyDescent="0.25">
      <c r="A1017">
        <v>25</v>
      </c>
      <c r="B1017">
        <v>12</v>
      </c>
      <c r="C1017" t="s">
        <v>24</v>
      </c>
      <c r="D1017" t="s">
        <v>11</v>
      </c>
      <c r="E1017">
        <f t="shared" ca="1" si="15"/>
        <v>37.62924014493008</v>
      </c>
    </row>
    <row r="1018" spans="1:5" hidden="1" x14ac:dyDescent="0.25">
      <c r="A1018">
        <v>25</v>
      </c>
      <c r="B1018">
        <v>13</v>
      </c>
      <c r="C1018" t="s">
        <v>24</v>
      </c>
      <c r="D1018" t="s">
        <v>12</v>
      </c>
      <c r="E1018">
        <f t="shared" ca="1" si="15"/>
        <v>26.232622065180415</v>
      </c>
    </row>
    <row r="1019" spans="1:5" hidden="1" x14ac:dyDescent="0.25">
      <c r="A1019">
        <v>25</v>
      </c>
      <c r="B1019">
        <v>14</v>
      </c>
      <c r="C1019" t="s">
        <v>24</v>
      </c>
      <c r="D1019" t="s">
        <v>13</v>
      </c>
      <c r="E1019">
        <f t="shared" ca="1" si="15"/>
        <v>25.734844287402638</v>
      </c>
    </row>
    <row r="1020" spans="1:5" hidden="1" x14ac:dyDescent="0.25">
      <c r="A1020">
        <v>25</v>
      </c>
      <c r="B1020">
        <v>15</v>
      </c>
      <c r="C1020" t="s">
        <v>24</v>
      </c>
      <c r="D1020" t="s">
        <v>14</v>
      </c>
      <c r="E1020">
        <f t="shared" ca="1" si="15"/>
        <v>100.54664589198575</v>
      </c>
    </row>
    <row r="1021" spans="1:5" hidden="1" x14ac:dyDescent="0.25">
      <c r="A1021">
        <v>25</v>
      </c>
      <c r="B1021">
        <v>16</v>
      </c>
      <c r="C1021" t="s">
        <v>24</v>
      </c>
      <c r="D1021" t="s">
        <v>15</v>
      </c>
      <c r="E1021">
        <f t="shared" ca="1" si="15"/>
        <v>98.848631621856242</v>
      </c>
    </row>
    <row r="1022" spans="1:5" hidden="1" x14ac:dyDescent="0.25">
      <c r="A1022">
        <v>25</v>
      </c>
      <c r="B1022">
        <v>17</v>
      </c>
      <c r="C1022" t="s">
        <v>24</v>
      </c>
      <c r="D1022" t="s">
        <v>16</v>
      </c>
      <c r="E1022">
        <f t="shared" ca="1" si="15"/>
        <v>79.801177059872373</v>
      </c>
    </row>
    <row r="1023" spans="1:5" hidden="1" x14ac:dyDescent="0.25">
      <c r="A1023">
        <v>25</v>
      </c>
      <c r="B1023">
        <v>18</v>
      </c>
      <c r="C1023" t="s">
        <v>24</v>
      </c>
      <c r="D1023" t="s">
        <v>17</v>
      </c>
      <c r="E1023">
        <f t="shared" ca="1" si="15"/>
        <v>100.88974273296735</v>
      </c>
    </row>
    <row r="1024" spans="1:5" hidden="1" x14ac:dyDescent="0.25">
      <c r="A1024">
        <v>25</v>
      </c>
      <c r="B1024">
        <v>19</v>
      </c>
      <c r="C1024" t="s">
        <v>24</v>
      </c>
      <c r="D1024" t="s">
        <v>18</v>
      </c>
      <c r="E1024">
        <f t="shared" ca="1" si="15"/>
        <v>42.279094046194629</v>
      </c>
    </row>
    <row r="1025" spans="1:5" hidden="1" x14ac:dyDescent="0.25">
      <c r="A1025">
        <v>25</v>
      </c>
      <c r="B1025">
        <v>20</v>
      </c>
      <c r="C1025" t="s">
        <v>24</v>
      </c>
      <c r="D1025" t="s">
        <v>19</v>
      </c>
      <c r="E1025">
        <f t="shared" ca="1" si="15"/>
        <v>44.733496002838777</v>
      </c>
    </row>
    <row r="1026" spans="1:5" hidden="1" x14ac:dyDescent="0.25">
      <c r="A1026">
        <v>25</v>
      </c>
      <c r="B1026">
        <v>21</v>
      </c>
      <c r="C1026" t="s">
        <v>24</v>
      </c>
      <c r="D1026" t="s">
        <v>20</v>
      </c>
      <c r="E1026">
        <f t="shared" ca="1" si="15"/>
        <v>50.007444330072254</v>
      </c>
    </row>
    <row r="1027" spans="1:5" hidden="1" x14ac:dyDescent="0.25">
      <c r="A1027">
        <v>25</v>
      </c>
      <c r="B1027">
        <v>22</v>
      </c>
      <c r="C1027" t="s">
        <v>24</v>
      </c>
      <c r="D1027" t="s">
        <v>21</v>
      </c>
      <c r="E1027">
        <f t="shared" ca="1" si="15"/>
        <v>29.526215591568128</v>
      </c>
    </row>
    <row r="1028" spans="1:5" hidden="1" x14ac:dyDescent="0.25">
      <c r="A1028">
        <v>25</v>
      </c>
      <c r="B1028">
        <v>23</v>
      </c>
      <c r="C1028" t="s">
        <v>24</v>
      </c>
      <c r="D1028" t="s">
        <v>22</v>
      </c>
      <c r="E1028">
        <f t="shared" ca="1" si="15"/>
        <v>0</v>
      </c>
    </row>
    <row r="1029" spans="1:5" hidden="1" x14ac:dyDescent="0.25">
      <c r="A1029">
        <v>25</v>
      </c>
      <c r="B1029">
        <v>24</v>
      </c>
      <c r="C1029" t="s">
        <v>24</v>
      </c>
      <c r="D1029" t="s">
        <v>23</v>
      </c>
      <c r="E1029">
        <f t="shared" ca="1" si="15"/>
        <v>0</v>
      </c>
    </row>
    <row r="1030" spans="1:5" hidden="1" x14ac:dyDescent="0.25">
      <c r="A1030">
        <v>25</v>
      </c>
      <c r="B1030">
        <v>25</v>
      </c>
      <c r="C1030" t="s">
        <v>24</v>
      </c>
      <c r="D1030" t="s">
        <v>24</v>
      </c>
      <c r="E1030">
        <f t="shared" ca="1" si="15"/>
        <v>0</v>
      </c>
    </row>
    <row r="1031" spans="1:5" hidden="1" x14ac:dyDescent="0.25">
      <c r="A1031">
        <v>25</v>
      </c>
      <c r="B1031">
        <v>26</v>
      </c>
      <c r="C1031" t="s">
        <v>24</v>
      </c>
      <c r="D1031" t="s">
        <v>25</v>
      </c>
      <c r="E1031">
        <f t="shared" ca="1" si="15"/>
        <v>103.24553478087464</v>
      </c>
    </row>
    <row r="1032" spans="1:5" hidden="1" x14ac:dyDescent="0.25">
      <c r="A1032">
        <v>25</v>
      </c>
      <c r="B1032">
        <v>27</v>
      </c>
      <c r="C1032" t="s">
        <v>24</v>
      </c>
      <c r="D1032" t="s">
        <v>145</v>
      </c>
      <c r="E1032">
        <f t="shared" ca="1" si="15"/>
        <v>46.180162669505442</v>
      </c>
    </row>
    <row r="1033" spans="1:5" hidden="1" x14ac:dyDescent="0.25">
      <c r="A1033">
        <v>25</v>
      </c>
      <c r="B1033">
        <v>28</v>
      </c>
      <c r="C1033" t="s">
        <v>24</v>
      </c>
      <c r="D1033" t="s">
        <v>147</v>
      </c>
      <c r="E1033">
        <f t="shared" ca="1" si="15"/>
        <v>29.970660036012571</v>
      </c>
    </row>
    <row r="1034" spans="1:5" hidden="1" x14ac:dyDescent="0.25">
      <c r="A1034">
        <v>25</v>
      </c>
      <c r="B1034">
        <v>29</v>
      </c>
      <c r="C1034" t="s">
        <v>24</v>
      </c>
      <c r="D1034" t="s">
        <v>146</v>
      </c>
      <c r="E1034">
        <f t="shared" ca="1" si="15"/>
        <v>0</v>
      </c>
    </row>
    <row r="1035" spans="1:5" hidden="1" x14ac:dyDescent="0.25">
      <c r="A1035">
        <v>25</v>
      </c>
      <c r="B1035">
        <v>30</v>
      </c>
      <c r="C1035" t="s">
        <v>24</v>
      </c>
      <c r="D1035" t="s">
        <v>30</v>
      </c>
      <c r="E1035">
        <f t="shared" ca="1" si="15"/>
        <v>68.771680945594014</v>
      </c>
    </row>
    <row r="1036" spans="1:5" hidden="1" x14ac:dyDescent="0.25">
      <c r="A1036">
        <v>25</v>
      </c>
      <c r="B1036">
        <v>31</v>
      </c>
      <c r="C1036" t="s">
        <v>24</v>
      </c>
      <c r="D1036" t="s">
        <v>31</v>
      </c>
      <c r="E1036">
        <f t="shared" ca="1" si="15"/>
        <v>59.95985728110923</v>
      </c>
    </row>
    <row r="1037" spans="1:5" hidden="1" x14ac:dyDescent="0.25">
      <c r="A1037">
        <v>25</v>
      </c>
      <c r="B1037">
        <v>32</v>
      </c>
      <c r="C1037" t="s">
        <v>24</v>
      </c>
      <c r="D1037" t="s">
        <v>32</v>
      </c>
      <c r="E1037">
        <f t="shared" ca="1" si="15"/>
        <v>58.65207950333145</v>
      </c>
    </row>
    <row r="1038" spans="1:5" hidden="1" x14ac:dyDescent="0.25">
      <c r="A1038">
        <v>25</v>
      </c>
      <c r="B1038">
        <v>33</v>
      </c>
      <c r="C1038" t="s">
        <v>24</v>
      </c>
      <c r="D1038" t="s">
        <v>33</v>
      </c>
      <c r="E1038">
        <f t="shared" ca="1" si="15"/>
        <v>58.946523947775894</v>
      </c>
    </row>
    <row r="1039" spans="1:5" hidden="1" x14ac:dyDescent="0.25">
      <c r="A1039">
        <v>25</v>
      </c>
      <c r="B1039">
        <v>34</v>
      </c>
      <c r="C1039" t="s">
        <v>24</v>
      </c>
      <c r="D1039" t="s">
        <v>34</v>
      </c>
      <c r="E1039">
        <f t="shared" ca="1" si="15"/>
        <v>59.870968392220341</v>
      </c>
    </row>
    <row r="1040" spans="1:5" hidden="1" x14ac:dyDescent="0.25">
      <c r="A1040">
        <v>25</v>
      </c>
      <c r="B1040">
        <v>35</v>
      </c>
      <c r="C1040" t="s">
        <v>24</v>
      </c>
      <c r="D1040" t="s">
        <v>35</v>
      </c>
      <c r="E1040">
        <f t="shared" ca="1" si="15"/>
        <v>51.971714421452695</v>
      </c>
    </row>
    <row r="1041" spans="1:5" hidden="1" x14ac:dyDescent="0.25">
      <c r="A1041">
        <v>25</v>
      </c>
      <c r="B1041">
        <v>36</v>
      </c>
      <c r="C1041" t="s">
        <v>24</v>
      </c>
      <c r="D1041" t="s">
        <v>36</v>
      </c>
      <c r="E1041">
        <f t="shared" ca="1" si="15"/>
        <v>52.934024026956642</v>
      </c>
    </row>
    <row r="1042" spans="1:5" hidden="1" x14ac:dyDescent="0.25">
      <c r="A1042">
        <v>25</v>
      </c>
      <c r="B1042">
        <v>37</v>
      </c>
      <c r="C1042" t="s">
        <v>24</v>
      </c>
      <c r="D1042" t="s">
        <v>37</v>
      </c>
      <c r="E1042">
        <f t="shared" ca="1" si="15"/>
        <v>60.882947599943691</v>
      </c>
    </row>
    <row r="1043" spans="1:5" hidden="1" x14ac:dyDescent="0.25">
      <c r="A1043">
        <v>25</v>
      </c>
      <c r="B1043">
        <v>38</v>
      </c>
      <c r="C1043" t="s">
        <v>24</v>
      </c>
      <c r="D1043" t="s">
        <v>38</v>
      </c>
      <c r="E1043">
        <f t="shared" ca="1" si="15"/>
        <v>52.656246249178864</v>
      </c>
    </row>
    <row r="1044" spans="1:5" hidden="1" x14ac:dyDescent="0.25">
      <c r="A1044">
        <v>25</v>
      </c>
      <c r="B1044">
        <v>39</v>
      </c>
      <c r="C1044" t="s">
        <v>24</v>
      </c>
      <c r="D1044" t="s">
        <v>39</v>
      </c>
      <c r="E1044">
        <f t="shared" ca="1" si="15"/>
        <v>55.745606757929792</v>
      </c>
    </row>
    <row r="1045" spans="1:5" hidden="1" x14ac:dyDescent="0.25">
      <c r="A1045">
        <v>25</v>
      </c>
      <c r="B1045">
        <v>40</v>
      </c>
      <c r="C1045" t="s">
        <v>24</v>
      </c>
      <c r="D1045" t="s">
        <v>40</v>
      </c>
      <c r="E1045">
        <f t="shared" ca="1" si="15"/>
        <v>60.282947599943689</v>
      </c>
    </row>
    <row r="1046" spans="1:5" hidden="1" x14ac:dyDescent="0.25">
      <c r="A1046">
        <v>26</v>
      </c>
      <c r="B1046">
        <v>1</v>
      </c>
      <c r="C1046" t="s">
        <v>25</v>
      </c>
      <c r="D1046" t="s">
        <v>0</v>
      </c>
      <c r="E1046">
        <f t="shared" ref="E1046:E1108" ca="1" si="16">OFFSET($B$3,A1046,B1046)</f>
        <v>119.09961183840089</v>
      </c>
    </row>
    <row r="1047" spans="1:5" hidden="1" x14ac:dyDescent="0.25">
      <c r="A1047">
        <v>26</v>
      </c>
      <c r="B1047">
        <v>2</v>
      </c>
      <c r="C1047" t="s">
        <v>25</v>
      </c>
      <c r="D1047" t="s">
        <v>1</v>
      </c>
      <c r="E1047">
        <f t="shared" ca="1" si="16"/>
        <v>119.47738961617867</v>
      </c>
    </row>
    <row r="1048" spans="1:5" hidden="1" x14ac:dyDescent="0.25">
      <c r="A1048">
        <v>26</v>
      </c>
      <c r="B1048">
        <v>3</v>
      </c>
      <c r="C1048" t="s">
        <v>25</v>
      </c>
      <c r="D1048" t="s">
        <v>2</v>
      </c>
      <c r="E1048">
        <f t="shared" ca="1" si="16"/>
        <v>120.89337393839152</v>
      </c>
    </row>
    <row r="1049" spans="1:5" hidden="1" x14ac:dyDescent="0.25">
      <c r="A1049">
        <v>26</v>
      </c>
      <c r="B1049">
        <v>4</v>
      </c>
      <c r="C1049" t="s">
        <v>25</v>
      </c>
      <c r="D1049" t="s">
        <v>3</v>
      </c>
      <c r="E1049">
        <f t="shared" ca="1" si="16"/>
        <v>136.16145405170798</v>
      </c>
    </row>
    <row r="1050" spans="1:5" hidden="1" x14ac:dyDescent="0.25">
      <c r="A1050">
        <v>26</v>
      </c>
      <c r="B1050">
        <v>5</v>
      </c>
      <c r="C1050" t="s">
        <v>25</v>
      </c>
      <c r="D1050" t="s">
        <v>4</v>
      </c>
      <c r="E1050">
        <f t="shared" ca="1" si="16"/>
        <v>134.24299438109983</v>
      </c>
    </row>
    <row r="1051" spans="1:5" hidden="1" x14ac:dyDescent="0.25">
      <c r="A1051">
        <v>26</v>
      </c>
      <c r="B1051">
        <v>6</v>
      </c>
      <c r="C1051" t="s">
        <v>25</v>
      </c>
      <c r="D1051" t="s">
        <v>5</v>
      </c>
      <c r="E1051">
        <f t="shared" ca="1" si="16"/>
        <v>136.78743882554429</v>
      </c>
    </row>
    <row r="1052" spans="1:5" hidden="1" x14ac:dyDescent="0.25">
      <c r="A1052">
        <v>26</v>
      </c>
      <c r="B1052">
        <v>7</v>
      </c>
      <c r="C1052" t="s">
        <v>25</v>
      </c>
      <c r="D1052" t="s">
        <v>6</v>
      </c>
      <c r="E1052">
        <f t="shared" ca="1" si="16"/>
        <v>134.68188326998873</v>
      </c>
    </row>
    <row r="1053" spans="1:5" hidden="1" x14ac:dyDescent="0.25">
      <c r="A1053">
        <v>26</v>
      </c>
      <c r="B1053">
        <v>8</v>
      </c>
      <c r="C1053" t="s">
        <v>25</v>
      </c>
      <c r="D1053" t="s">
        <v>7</v>
      </c>
      <c r="E1053">
        <f t="shared" ca="1" si="16"/>
        <v>136.31478738504131</v>
      </c>
    </row>
    <row r="1054" spans="1:5" hidden="1" x14ac:dyDescent="0.25">
      <c r="A1054">
        <v>26</v>
      </c>
      <c r="B1054">
        <v>9</v>
      </c>
      <c r="C1054" t="s">
        <v>25</v>
      </c>
      <c r="D1054" t="s">
        <v>148</v>
      </c>
      <c r="E1054">
        <f t="shared" ca="1" si="16"/>
        <v>121.560722949512</v>
      </c>
    </row>
    <row r="1055" spans="1:5" hidden="1" x14ac:dyDescent="0.25">
      <c r="A1055">
        <v>26</v>
      </c>
      <c r="B1055">
        <v>10</v>
      </c>
      <c r="C1055" t="s">
        <v>25</v>
      </c>
      <c r="D1055" t="s">
        <v>9</v>
      </c>
      <c r="E1055">
        <f t="shared" ca="1" si="16"/>
        <v>135.23077215887761</v>
      </c>
    </row>
    <row r="1056" spans="1:5" hidden="1" x14ac:dyDescent="0.25">
      <c r="A1056">
        <v>26</v>
      </c>
      <c r="B1056">
        <v>11</v>
      </c>
      <c r="C1056" t="s">
        <v>25</v>
      </c>
      <c r="D1056" t="s">
        <v>10</v>
      </c>
      <c r="E1056">
        <f t="shared" ca="1" si="16"/>
        <v>78.916356864677184</v>
      </c>
    </row>
    <row r="1057" spans="1:5" hidden="1" x14ac:dyDescent="0.25">
      <c r="A1057">
        <v>26</v>
      </c>
      <c r="B1057">
        <v>12</v>
      </c>
      <c r="C1057" t="s">
        <v>25</v>
      </c>
      <c r="D1057" t="s">
        <v>11</v>
      </c>
      <c r="E1057">
        <f t="shared" ca="1" si="16"/>
        <v>87.060376648132518</v>
      </c>
    </row>
    <row r="1058" spans="1:5" hidden="1" x14ac:dyDescent="0.25">
      <c r="A1058">
        <v>26</v>
      </c>
      <c r="B1058">
        <v>13</v>
      </c>
      <c r="C1058" t="s">
        <v>25</v>
      </c>
      <c r="D1058" t="s">
        <v>12</v>
      </c>
      <c r="E1058">
        <f t="shared" ca="1" si="16"/>
        <v>92.500650590043179</v>
      </c>
    </row>
    <row r="1059" spans="1:5" hidden="1" x14ac:dyDescent="0.25">
      <c r="A1059">
        <v>26</v>
      </c>
      <c r="B1059">
        <v>14</v>
      </c>
      <c r="C1059" t="s">
        <v>25</v>
      </c>
      <c r="D1059" t="s">
        <v>13</v>
      </c>
      <c r="E1059">
        <f t="shared" ca="1" si="16"/>
        <v>92.002872812265409</v>
      </c>
    </row>
    <row r="1060" spans="1:5" hidden="1" x14ac:dyDescent="0.25">
      <c r="A1060">
        <v>26</v>
      </c>
      <c r="B1060">
        <v>15</v>
      </c>
      <c r="C1060" t="s">
        <v>25</v>
      </c>
      <c r="D1060" t="s">
        <v>14</v>
      </c>
      <c r="E1060">
        <f t="shared" ca="1" si="16"/>
        <v>0</v>
      </c>
    </row>
    <row r="1061" spans="1:5" hidden="1" x14ac:dyDescent="0.25">
      <c r="A1061">
        <v>26</v>
      </c>
      <c r="B1061">
        <v>16</v>
      </c>
      <c r="C1061" t="s">
        <v>25</v>
      </c>
      <c r="D1061" t="s">
        <v>15</v>
      </c>
      <c r="E1061">
        <f t="shared" ca="1" si="16"/>
        <v>0</v>
      </c>
    </row>
    <row r="1062" spans="1:5" hidden="1" x14ac:dyDescent="0.25">
      <c r="A1062">
        <v>26</v>
      </c>
      <c r="B1062">
        <v>17</v>
      </c>
      <c r="C1062" t="s">
        <v>25</v>
      </c>
      <c r="D1062" t="s">
        <v>16</v>
      </c>
      <c r="E1062">
        <f t="shared" ca="1" si="16"/>
        <v>0</v>
      </c>
    </row>
    <row r="1063" spans="1:5" hidden="1" x14ac:dyDescent="0.25">
      <c r="A1063">
        <v>26</v>
      </c>
      <c r="B1063">
        <v>18</v>
      </c>
      <c r="C1063" t="s">
        <v>25</v>
      </c>
      <c r="D1063" t="s">
        <v>17</v>
      </c>
      <c r="E1063">
        <f t="shared" ca="1" si="16"/>
        <v>0</v>
      </c>
    </row>
    <row r="1064" spans="1:5" hidden="1" x14ac:dyDescent="0.25">
      <c r="A1064">
        <v>26</v>
      </c>
      <c r="B1064">
        <v>19</v>
      </c>
      <c r="C1064" t="s">
        <v>25</v>
      </c>
      <c r="D1064" t="s">
        <v>18</v>
      </c>
      <c r="E1064">
        <f t="shared" ca="1" si="16"/>
        <v>111.83845904302741</v>
      </c>
    </row>
    <row r="1065" spans="1:5" hidden="1" x14ac:dyDescent="0.25">
      <c r="A1065">
        <v>26</v>
      </c>
      <c r="B1065">
        <v>20</v>
      </c>
      <c r="C1065" t="s">
        <v>25</v>
      </c>
      <c r="D1065" t="s">
        <v>19</v>
      </c>
      <c r="E1065">
        <f t="shared" ca="1" si="16"/>
        <v>112.75432183159722</v>
      </c>
    </row>
    <row r="1066" spans="1:5" hidden="1" x14ac:dyDescent="0.25">
      <c r="A1066">
        <v>26</v>
      </c>
      <c r="B1066">
        <v>21</v>
      </c>
      <c r="C1066" t="s">
        <v>25</v>
      </c>
      <c r="D1066" t="s">
        <v>20</v>
      </c>
      <c r="E1066">
        <f t="shared" ca="1" si="16"/>
        <v>114.99280172555369</v>
      </c>
    </row>
    <row r="1067" spans="1:5" hidden="1" x14ac:dyDescent="0.25">
      <c r="A1067">
        <v>26</v>
      </c>
      <c r="B1067">
        <v>22</v>
      </c>
      <c r="C1067" t="s">
        <v>25</v>
      </c>
      <c r="D1067" t="s">
        <v>21</v>
      </c>
      <c r="E1067">
        <f t="shared" ca="1" si="16"/>
        <v>111.54412987143392</v>
      </c>
    </row>
    <row r="1068" spans="1:5" hidden="1" x14ac:dyDescent="0.25">
      <c r="A1068">
        <v>26</v>
      </c>
      <c r="B1068">
        <v>23</v>
      </c>
      <c r="C1068" t="s">
        <v>25</v>
      </c>
      <c r="D1068" t="s">
        <v>22</v>
      </c>
      <c r="E1068">
        <f t="shared" ca="1" si="16"/>
        <v>105.29553478087463</v>
      </c>
    </row>
    <row r="1069" spans="1:5" hidden="1" x14ac:dyDescent="0.25">
      <c r="A1069">
        <v>26</v>
      </c>
      <c r="B1069">
        <v>24</v>
      </c>
      <c r="C1069" t="s">
        <v>25</v>
      </c>
      <c r="D1069" t="s">
        <v>23</v>
      </c>
      <c r="E1069">
        <f t="shared" ca="1" si="16"/>
        <v>104.58442366976352</v>
      </c>
    </row>
    <row r="1070" spans="1:5" hidden="1" x14ac:dyDescent="0.25">
      <c r="A1070">
        <v>26</v>
      </c>
      <c r="B1070">
        <v>25</v>
      </c>
      <c r="C1070" t="s">
        <v>25</v>
      </c>
      <c r="D1070" t="s">
        <v>24</v>
      </c>
      <c r="E1070">
        <f t="shared" ca="1" si="16"/>
        <v>103.24553478087464</v>
      </c>
    </row>
    <row r="1071" spans="1:5" hidden="1" x14ac:dyDescent="0.25">
      <c r="A1071">
        <v>26</v>
      </c>
      <c r="B1071">
        <v>26</v>
      </c>
      <c r="C1071" t="s">
        <v>25</v>
      </c>
      <c r="D1071" t="s">
        <v>25</v>
      </c>
      <c r="E1071">
        <f t="shared" ca="1" si="16"/>
        <v>0</v>
      </c>
    </row>
    <row r="1072" spans="1:5" hidden="1" x14ac:dyDescent="0.25">
      <c r="A1072">
        <v>26</v>
      </c>
      <c r="B1072">
        <v>27</v>
      </c>
      <c r="C1072" t="s">
        <v>25</v>
      </c>
      <c r="D1072" t="s">
        <v>145</v>
      </c>
      <c r="E1072">
        <f t="shared" ca="1" si="16"/>
        <v>114.20098849826388</v>
      </c>
    </row>
    <row r="1073" spans="1:5" hidden="1" x14ac:dyDescent="0.25">
      <c r="A1073">
        <v>26</v>
      </c>
      <c r="B1073">
        <v>28</v>
      </c>
      <c r="C1073" t="s">
        <v>25</v>
      </c>
      <c r="D1073" t="s">
        <v>147</v>
      </c>
      <c r="E1073">
        <f t="shared" ca="1" si="16"/>
        <v>113.8873479319163</v>
      </c>
    </row>
    <row r="1074" spans="1:5" hidden="1" x14ac:dyDescent="0.25">
      <c r="A1074">
        <v>26</v>
      </c>
      <c r="B1074">
        <v>29</v>
      </c>
      <c r="C1074" t="s">
        <v>25</v>
      </c>
      <c r="D1074" t="s">
        <v>146</v>
      </c>
      <c r="E1074">
        <f t="shared" ca="1" si="16"/>
        <v>103.77331255865241</v>
      </c>
    </row>
    <row r="1075" spans="1:5" hidden="1" x14ac:dyDescent="0.25">
      <c r="A1075">
        <v>26</v>
      </c>
      <c r="B1075">
        <v>30</v>
      </c>
      <c r="C1075" t="s">
        <v>25</v>
      </c>
      <c r="D1075" t="s">
        <v>30</v>
      </c>
      <c r="E1075">
        <f t="shared" ca="1" si="16"/>
        <v>137.41700960726351</v>
      </c>
    </row>
    <row r="1076" spans="1:5" hidden="1" x14ac:dyDescent="0.25">
      <c r="A1076">
        <v>26</v>
      </c>
      <c r="B1076">
        <v>31</v>
      </c>
      <c r="C1076" t="s">
        <v>25</v>
      </c>
      <c r="D1076" t="s">
        <v>31</v>
      </c>
      <c r="E1076">
        <f t="shared" ca="1" si="16"/>
        <v>135.79639094172293</v>
      </c>
    </row>
    <row r="1077" spans="1:5" hidden="1" x14ac:dyDescent="0.25">
      <c r="A1077">
        <v>26</v>
      </c>
      <c r="B1077">
        <v>32</v>
      </c>
      <c r="C1077" t="s">
        <v>25</v>
      </c>
      <c r="D1077" t="s">
        <v>32</v>
      </c>
      <c r="E1077">
        <f t="shared" ca="1" si="16"/>
        <v>134.48861316394516</v>
      </c>
    </row>
    <row r="1078" spans="1:5" hidden="1" x14ac:dyDescent="0.25">
      <c r="A1078">
        <v>26</v>
      </c>
      <c r="B1078">
        <v>33</v>
      </c>
      <c r="C1078" t="s">
        <v>25</v>
      </c>
      <c r="D1078" t="s">
        <v>33</v>
      </c>
      <c r="E1078">
        <f t="shared" ca="1" si="16"/>
        <v>125.38143739442567</v>
      </c>
    </row>
    <row r="1079" spans="1:5" hidden="1" x14ac:dyDescent="0.25">
      <c r="A1079">
        <v>26</v>
      </c>
      <c r="B1079">
        <v>34</v>
      </c>
      <c r="C1079" t="s">
        <v>25</v>
      </c>
      <c r="D1079" t="s">
        <v>34</v>
      </c>
      <c r="E1079">
        <f t="shared" ca="1" si="16"/>
        <v>126.30588183887012</v>
      </c>
    </row>
    <row r="1080" spans="1:5" hidden="1" x14ac:dyDescent="0.25">
      <c r="A1080">
        <v>26</v>
      </c>
      <c r="B1080">
        <v>35</v>
      </c>
      <c r="C1080" t="s">
        <v>25</v>
      </c>
      <c r="D1080" t="s">
        <v>35</v>
      </c>
      <c r="E1080">
        <f t="shared" ca="1" si="16"/>
        <v>119.71961183840089</v>
      </c>
    </row>
    <row r="1081" spans="1:5" hidden="1" x14ac:dyDescent="0.25">
      <c r="A1081">
        <v>26</v>
      </c>
      <c r="B1081">
        <v>36</v>
      </c>
      <c r="C1081" t="s">
        <v>25</v>
      </c>
      <c r="D1081" t="s">
        <v>36</v>
      </c>
      <c r="E1081">
        <f t="shared" ca="1" si="16"/>
        <v>74.19172028962555</v>
      </c>
    </row>
    <row r="1082" spans="1:5" hidden="1" x14ac:dyDescent="0.25">
      <c r="A1082">
        <v>26</v>
      </c>
      <c r="B1082">
        <v>37</v>
      </c>
      <c r="C1082" t="s">
        <v>25</v>
      </c>
      <c r="D1082" t="s">
        <v>37</v>
      </c>
      <c r="E1082">
        <f t="shared" ca="1" si="16"/>
        <v>61.550212626689181</v>
      </c>
    </row>
    <row r="1083" spans="1:5" hidden="1" x14ac:dyDescent="0.25">
      <c r="A1083">
        <v>26</v>
      </c>
      <c r="B1083">
        <v>38</v>
      </c>
      <c r="C1083" t="s">
        <v>25</v>
      </c>
      <c r="D1083" t="s">
        <v>38</v>
      </c>
      <c r="E1083">
        <f t="shared" ca="1" si="16"/>
        <v>73.913942511847779</v>
      </c>
    </row>
    <row r="1084" spans="1:5" hidden="1" x14ac:dyDescent="0.25">
      <c r="A1084">
        <v>26</v>
      </c>
      <c r="B1084">
        <v>39</v>
      </c>
      <c r="C1084" t="s">
        <v>25</v>
      </c>
      <c r="D1084" t="s">
        <v>39</v>
      </c>
      <c r="E1084">
        <f t="shared" ca="1" si="16"/>
        <v>61.659477139053116</v>
      </c>
    </row>
    <row r="1085" spans="1:5" hidden="1" x14ac:dyDescent="0.25">
      <c r="A1085">
        <v>26</v>
      </c>
      <c r="B1085">
        <v>40</v>
      </c>
      <c r="C1085" t="s">
        <v>25</v>
      </c>
      <c r="D1085" t="s">
        <v>40</v>
      </c>
      <c r="E1085">
        <f t="shared" ca="1" si="16"/>
        <v>60.950212626689179</v>
      </c>
    </row>
    <row r="1086" spans="1:5" hidden="1" x14ac:dyDescent="0.25">
      <c r="A1086">
        <v>27</v>
      </c>
      <c r="B1086">
        <v>1</v>
      </c>
      <c r="C1086" t="s">
        <v>145</v>
      </c>
      <c r="D1086" t="s">
        <v>0</v>
      </c>
      <c r="E1086">
        <f t="shared" ca="1" si="16"/>
        <v>27.340289566910663</v>
      </c>
    </row>
    <row r="1087" spans="1:5" hidden="1" x14ac:dyDescent="0.25">
      <c r="A1087">
        <v>27</v>
      </c>
      <c r="B1087">
        <v>2</v>
      </c>
      <c r="C1087" t="s">
        <v>145</v>
      </c>
      <c r="D1087" t="s">
        <v>1</v>
      </c>
      <c r="E1087">
        <f t="shared" ca="1" si="16"/>
        <v>27.718067344688439</v>
      </c>
    </row>
    <row r="1088" spans="1:5" hidden="1" x14ac:dyDescent="0.25">
      <c r="A1088">
        <v>27</v>
      </c>
      <c r="B1088">
        <v>3</v>
      </c>
      <c r="C1088" t="s">
        <v>145</v>
      </c>
      <c r="D1088" t="s">
        <v>2</v>
      </c>
      <c r="E1088">
        <f t="shared" ca="1" si="16"/>
        <v>51.703965421476155</v>
      </c>
    </row>
    <row r="1089" spans="1:5" hidden="1" x14ac:dyDescent="0.25">
      <c r="A1089">
        <v>27</v>
      </c>
      <c r="B1089">
        <v>4</v>
      </c>
      <c r="C1089" t="s">
        <v>145</v>
      </c>
      <c r="D1089" t="s">
        <v>3</v>
      </c>
      <c r="E1089">
        <f t="shared" ca="1" si="16"/>
        <v>40.965171199031062</v>
      </c>
    </row>
    <row r="1090" spans="1:5" hidden="1" x14ac:dyDescent="0.25">
      <c r="A1090">
        <v>27</v>
      </c>
      <c r="B1090">
        <v>5</v>
      </c>
      <c r="C1090" t="s">
        <v>145</v>
      </c>
      <c r="D1090" t="s">
        <v>4</v>
      </c>
      <c r="E1090">
        <f t="shared" ca="1" si="16"/>
        <v>41.31098385739255</v>
      </c>
    </row>
    <row r="1091" spans="1:5" hidden="1" x14ac:dyDescent="0.25">
      <c r="A1091">
        <v>27</v>
      </c>
      <c r="B1091">
        <v>6</v>
      </c>
      <c r="C1091" t="s">
        <v>145</v>
      </c>
      <c r="D1091" t="s">
        <v>5</v>
      </c>
      <c r="E1091">
        <f t="shared" ca="1" si="16"/>
        <v>43.855428301836994</v>
      </c>
    </row>
    <row r="1092" spans="1:5" hidden="1" x14ac:dyDescent="0.25">
      <c r="A1092">
        <v>27</v>
      </c>
      <c r="B1092">
        <v>7</v>
      </c>
      <c r="C1092" t="s">
        <v>145</v>
      </c>
      <c r="D1092" t="s">
        <v>6</v>
      </c>
      <c r="E1092">
        <f t="shared" ca="1" si="16"/>
        <v>41.74987274628144</v>
      </c>
    </row>
    <row r="1093" spans="1:5" hidden="1" x14ac:dyDescent="0.25">
      <c r="A1093">
        <v>27</v>
      </c>
      <c r="B1093">
        <v>8</v>
      </c>
      <c r="C1093" t="s">
        <v>145</v>
      </c>
      <c r="D1093" t="s">
        <v>7</v>
      </c>
      <c r="E1093">
        <f t="shared" ca="1" si="16"/>
        <v>41.118504532364398</v>
      </c>
    </row>
    <row r="1094" spans="1:5" hidden="1" x14ac:dyDescent="0.25">
      <c r="A1094">
        <v>27</v>
      </c>
      <c r="B1094">
        <v>9</v>
      </c>
      <c r="C1094" t="s">
        <v>145</v>
      </c>
      <c r="D1094" t="s">
        <v>148</v>
      </c>
      <c r="E1094">
        <f t="shared" ca="1" si="16"/>
        <v>29.801400678021771</v>
      </c>
    </row>
    <row r="1095" spans="1:5" hidden="1" x14ac:dyDescent="0.25">
      <c r="A1095">
        <v>27</v>
      </c>
      <c r="B1095">
        <v>10</v>
      </c>
      <c r="C1095" t="s">
        <v>145</v>
      </c>
      <c r="D1095" t="s">
        <v>9</v>
      </c>
      <c r="E1095">
        <f t="shared" ca="1" si="16"/>
        <v>42.298761635170322</v>
      </c>
    </row>
    <row r="1096" spans="1:5" hidden="1" x14ac:dyDescent="0.25">
      <c r="A1096">
        <v>27</v>
      </c>
      <c r="B1096">
        <v>11</v>
      </c>
      <c r="C1096" t="s">
        <v>145</v>
      </c>
      <c r="D1096" t="s">
        <v>10</v>
      </c>
      <c r="E1096">
        <f t="shared" ca="1" si="16"/>
        <v>60.569008375563058</v>
      </c>
    </row>
    <row r="1097" spans="1:5" hidden="1" x14ac:dyDescent="0.25">
      <c r="A1097">
        <v>27</v>
      </c>
      <c r="B1097">
        <v>12</v>
      </c>
      <c r="C1097" t="s">
        <v>145</v>
      </c>
      <c r="D1097" t="s">
        <v>11</v>
      </c>
      <c r="E1097">
        <f t="shared" ca="1" si="16"/>
        <v>52.123910786763325</v>
      </c>
    </row>
    <row r="1098" spans="1:5" hidden="1" x14ac:dyDescent="0.25">
      <c r="A1098">
        <v>27</v>
      </c>
      <c r="B1098">
        <v>13</v>
      </c>
      <c r="C1098" t="s">
        <v>145</v>
      </c>
      <c r="D1098" t="s">
        <v>12</v>
      </c>
      <c r="E1098">
        <f t="shared" ca="1" si="16"/>
        <v>46.132412135768575</v>
      </c>
    </row>
    <row r="1099" spans="1:5" hidden="1" x14ac:dyDescent="0.25">
      <c r="A1099">
        <v>27</v>
      </c>
      <c r="B1099">
        <v>14</v>
      </c>
      <c r="C1099" t="s">
        <v>145</v>
      </c>
      <c r="D1099" t="s">
        <v>13</v>
      </c>
      <c r="E1099">
        <f t="shared" ca="1" si="16"/>
        <v>45.634634357990798</v>
      </c>
    </row>
    <row r="1100" spans="1:5" hidden="1" x14ac:dyDescent="0.25">
      <c r="A1100">
        <v>27</v>
      </c>
      <c r="B1100">
        <v>15</v>
      </c>
      <c r="C1100" t="s">
        <v>145</v>
      </c>
      <c r="D1100" t="s">
        <v>14</v>
      </c>
      <c r="E1100">
        <f t="shared" ca="1" si="16"/>
        <v>109.42622534839528</v>
      </c>
    </row>
    <row r="1101" spans="1:5" hidden="1" x14ac:dyDescent="0.25">
      <c r="A1101">
        <v>27</v>
      </c>
      <c r="B1101">
        <v>16</v>
      </c>
      <c r="C1101" t="s">
        <v>145</v>
      </c>
      <c r="D1101" t="s">
        <v>15</v>
      </c>
      <c r="E1101">
        <f t="shared" ca="1" si="16"/>
        <v>111.08209960937501</v>
      </c>
    </row>
    <row r="1102" spans="1:5" hidden="1" x14ac:dyDescent="0.25">
      <c r="A1102">
        <v>27</v>
      </c>
      <c r="B1102">
        <v>17</v>
      </c>
      <c r="C1102" t="s">
        <v>145</v>
      </c>
      <c r="D1102" t="s">
        <v>16</v>
      </c>
      <c r="E1102">
        <f t="shared" ca="1" si="16"/>
        <v>88.738463107638893</v>
      </c>
    </row>
    <row r="1103" spans="1:5" hidden="1" x14ac:dyDescent="0.25">
      <c r="A1103">
        <v>27</v>
      </c>
      <c r="B1103">
        <v>18</v>
      </c>
      <c r="C1103" t="s">
        <v>145</v>
      </c>
      <c r="D1103" t="s">
        <v>17</v>
      </c>
      <c r="E1103">
        <f t="shared" ca="1" si="16"/>
        <v>113.12321072048611</v>
      </c>
    </row>
    <row r="1104" spans="1:5" hidden="1" x14ac:dyDescent="0.25">
      <c r="A1104">
        <v>27</v>
      </c>
      <c r="B1104">
        <v>19</v>
      </c>
      <c r="C1104" t="s">
        <v>145</v>
      </c>
      <c r="D1104" t="s">
        <v>18</v>
      </c>
      <c r="E1104">
        <f t="shared" ca="1" si="16"/>
        <v>19.08551249351158</v>
      </c>
    </row>
    <row r="1105" spans="1:5" hidden="1" x14ac:dyDescent="0.25">
      <c r="A1105">
        <v>27</v>
      </c>
      <c r="B1105">
        <v>20</v>
      </c>
      <c r="C1105" t="s">
        <v>145</v>
      </c>
      <c r="D1105" t="s">
        <v>19</v>
      </c>
      <c r="E1105">
        <f t="shared" ca="1" si="16"/>
        <v>0</v>
      </c>
    </row>
    <row r="1106" spans="1:5" hidden="1" x14ac:dyDescent="0.25">
      <c r="A1106">
        <v>27</v>
      </c>
      <c r="B1106">
        <v>21</v>
      </c>
      <c r="C1106" t="s">
        <v>145</v>
      </c>
      <c r="D1106" t="s">
        <v>20</v>
      </c>
      <c r="E1106">
        <f t="shared" ca="1" si="16"/>
        <v>24.166950950095604</v>
      </c>
    </row>
    <row r="1107" spans="1:5" hidden="1" x14ac:dyDescent="0.25">
      <c r="A1107">
        <v>27</v>
      </c>
      <c r="B1107">
        <v>22</v>
      </c>
      <c r="C1107" t="s">
        <v>145</v>
      </c>
      <c r="D1107" t="s">
        <v>21</v>
      </c>
      <c r="E1107">
        <f t="shared" ca="1" si="16"/>
        <v>48.125085021056208</v>
      </c>
    </row>
    <row r="1108" spans="1:5" hidden="1" x14ac:dyDescent="0.25">
      <c r="A1108">
        <v>27</v>
      </c>
      <c r="B1108">
        <v>23</v>
      </c>
      <c r="C1108" t="s">
        <v>145</v>
      </c>
      <c r="D1108" t="s">
        <v>22</v>
      </c>
      <c r="E1108">
        <f t="shared" ca="1" si="16"/>
        <v>48.23016266950544</v>
      </c>
    </row>
    <row r="1109" spans="1:5" hidden="1" x14ac:dyDescent="0.25">
      <c r="A1109">
        <v>27</v>
      </c>
      <c r="B1109">
        <v>24</v>
      </c>
      <c r="C1109" t="s">
        <v>145</v>
      </c>
      <c r="D1109" t="s">
        <v>23</v>
      </c>
      <c r="E1109">
        <f t="shared" ref="E1109:E1130" ca="1" si="17">OFFSET($B$3,A1109,B1109)</f>
        <v>47.519051558394331</v>
      </c>
    </row>
    <row r="1110" spans="1:5" hidden="1" x14ac:dyDescent="0.25">
      <c r="A1110">
        <v>27</v>
      </c>
      <c r="B1110">
        <v>25</v>
      </c>
      <c r="C1110" t="s">
        <v>145</v>
      </c>
      <c r="D1110" t="s">
        <v>24</v>
      </c>
      <c r="E1110">
        <f t="shared" ca="1" si="17"/>
        <v>46.180162669505442</v>
      </c>
    </row>
    <row r="1111" spans="1:5" hidden="1" x14ac:dyDescent="0.25">
      <c r="A1111">
        <v>27</v>
      </c>
      <c r="B1111">
        <v>26</v>
      </c>
      <c r="C1111" t="s">
        <v>145</v>
      </c>
      <c r="D1111" t="s">
        <v>25</v>
      </c>
      <c r="E1111">
        <f t="shared" ca="1" si="17"/>
        <v>114.20098849826388</v>
      </c>
    </row>
    <row r="1112" spans="1:5" hidden="1" x14ac:dyDescent="0.25">
      <c r="A1112">
        <v>27</v>
      </c>
      <c r="B1112">
        <v>27</v>
      </c>
      <c r="C1112" t="s">
        <v>145</v>
      </c>
      <c r="D1112" t="s">
        <v>145</v>
      </c>
      <c r="E1112">
        <f t="shared" ca="1" si="17"/>
        <v>0</v>
      </c>
    </row>
    <row r="1113" spans="1:5" hidden="1" x14ac:dyDescent="0.25">
      <c r="A1113">
        <v>27</v>
      </c>
      <c r="B1113">
        <v>28</v>
      </c>
      <c r="C1113" t="s">
        <v>145</v>
      </c>
      <c r="D1113" t="s">
        <v>147</v>
      </c>
      <c r="E1113">
        <f t="shared" ca="1" si="17"/>
        <v>48.569529465500658</v>
      </c>
    </row>
    <row r="1114" spans="1:5" hidden="1" x14ac:dyDescent="0.25">
      <c r="A1114">
        <v>27</v>
      </c>
      <c r="B1114">
        <v>29</v>
      </c>
      <c r="C1114" t="s">
        <v>145</v>
      </c>
      <c r="D1114" t="s">
        <v>146</v>
      </c>
      <c r="E1114">
        <f t="shared" ca="1" si="17"/>
        <v>46.707940447283221</v>
      </c>
    </row>
    <row r="1115" spans="1:5" hidden="1" x14ac:dyDescent="0.25">
      <c r="A1115">
        <v>27</v>
      </c>
      <c r="B1115">
        <v>30</v>
      </c>
      <c r="C1115" t="s">
        <v>145</v>
      </c>
      <c r="D1115" t="s">
        <v>30</v>
      </c>
      <c r="E1115">
        <f t="shared" ca="1" si="17"/>
        <v>42.220726754586622</v>
      </c>
    </row>
    <row r="1116" spans="1:5" hidden="1" x14ac:dyDescent="0.25">
      <c r="A1116">
        <v>27</v>
      </c>
      <c r="B1116">
        <v>31</v>
      </c>
      <c r="C1116" t="s">
        <v>145</v>
      </c>
      <c r="D1116" t="s">
        <v>31</v>
      </c>
      <c r="E1116">
        <f t="shared" ca="1" si="17"/>
        <v>36.437041946731895</v>
      </c>
    </row>
    <row r="1117" spans="1:5" hidden="1" x14ac:dyDescent="0.25">
      <c r="A1117">
        <v>27</v>
      </c>
      <c r="B1117">
        <v>32</v>
      </c>
      <c r="C1117" t="s">
        <v>145</v>
      </c>
      <c r="D1117" t="s">
        <v>32</v>
      </c>
      <c r="E1117">
        <f t="shared" ca="1" si="17"/>
        <v>35.129264168954116</v>
      </c>
    </row>
    <row r="1118" spans="1:5" hidden="1" x14ac:dyDescent="0.25">
      <c r="A1118">
        <v>27</v>
      </c>
      <c r="B1118">
        <v>33</v>
      </c>
      <c r="C1118" t="s">
        <v>145</v>
      </c>
      <c r="D1118" t="s">
        <v>33</v>
      </c>
      <c r="E1118">
        <f t="shared" ca="1" si="17"/>
        <v>328750.94136752165</v>
      </c>
    </row>
    <row r="1119" spans="1:5" hidden="1" x14ac:dyDescent="0.25">
      <c r="A1119">
        <v>27</v>
      </c>
      <c r="B1119">
        <v>34</v>
      </c>
      <c r="C1119" t="s">
        <v>145</v>
      </c>
      <c r="D1119" t="s">
        <v>34</v>
      </c>
      <c r="E1119">
        <f t="shared" ca="1" si="17"/>
        <v>328751.86581196613</v>
      </c>
    </row>
    <row r="1120" spans="1:5" hidden="1" x14ac:dyDescent="0.25">
      <c r="A1120">
        <v>27</v>
      </c>
      <c r="B1120">
        <v>35</v>
      </c>
      <c r="C1120" t="s">
        <v>145</v>
      </c>
      <c r="D1120" t="s">
        <v>35</v>
      </c>
      <c r="E1120">
        <f t="shared" ca="1" si="17"/>
        <v>27.96028956691066</v>
      </c>
    </row>
    <row r="1121" spans="1:5" hidden="1" x14ac:dyDescent="0.25">
      <c r="A1121">
        <v>27</v>
      </c>
      <c r="B1121">
        <v>36</v>
      </c>
      <c r="C1121" t="s">
        <v>145</v>
      </c>
      <c r="D1121" t="s">
        <v>36</v>
      </c>
      <c r="E1121">
        <f t="shared" ca="1" si="17"/>
        <v>65.99990949934309</v>
      </c>
    </row>
    <row r="1122" spans="1:5" hidden="1" x14ac:dyDescent="0.25">
      <c r="A1122">
        <v>27</v>
      </c>
      <c r="B1122">
        <v>37</v>
      </c>
      <c r="C1122" t="s">
        <v>145</v>
      </c>
      <c r="D1122" t="s">
        <v>37</v>
      </c>
      <c r="E1122">
        <f t="shared" ca="1" si="17"/>
        <v>73.794895809872372</v>
      </c>
    </row>
    <row r="1123" spans="1:5" hidden="1" x14ac:dyDescent="0.25">
      <c r="A1123">
        <v>27</v>
      </c>
      <c r="B1123">
        <v>38</v>
      </c>
      <c r="C1123" t="s">
        <v>145</v>
      </c>
      <c r="D1123" t="s">
        <v>38</v>
      </c>
      <c r="E1123">
        <f t="shared" ca="1" si="17"/>
        <v>65.722131721565319</v>
      </c>
    </row>
    <row r="1124" spans="1:5" hidden="1" x14ac:dyDescent="0.25">
      <c r="A1124">
        <v>27</v>
      </c>
      <c r="B1124">
        <v>39</v>
      </c>
      <c r="C1124" t="s">
        <v>145</v>
      </c>
      <c r="D1124" t="s">
        <v>39</v>
      </c>
      <c r="E1124">
        <f t="shared" ca="1" si="17"/>
        <v>83.998488302599469</v>
      </c>
    </row>
    <row r="1125" spans="1:5" hidden="1" x14ac:dyDescent="0.25">
      <c r="A1125">
        <v>27</v>
      </c>
      <c r="B1125">
        <v>40</v>
      </c>
      <c r="C1125" t="s">
        <v>145</v>
      </c>
      <c r="D1125" t="s">
        <v>40</v>
      </c>
      <c r="E1125">
        <f t="shared" ca="1" si="17"/>
        <v>73.194895809872378</v>
      </c>
    </row>
    <row r="1126" spans="1:5" hidden="1" x14ac:dyDescent="0.25">
      <c r="A1126">
        <v>28</v>
      </c>
      <c r="B1126">
        <v>1</v>
      </c>
      <c r="C1126" t="s">
        <v>147</v>
      </c>
      <c r="D1126" t="s">
        <v>0</v>
      </c>
      <c r="E1126">
        <f t="shared" ca="1" si="17"/>
        <v>68.228642773757414</v>
      </c>
    </row>
    <row r="1127" spans="1:5" hidden="1" x14ac:dyDescent="0.25">
      <c r="A1127">
        <v>28</v>
      </c>
      <c r="B1127">
        <v>2</v>
      </c>
      <c r="C1127" t="s">
        <v>147</v>
      </c>
      <c r="D1127" t="s">
        <v>1</v>
      </c>
      <c r="E1127">
        <f t="shared" ca="1" si="17"/>
        <v>68.606420551535194</v>
      </c>
    </row>
    <row r="1128" spans="1:5" hidden="1" x14ac:dyDescent="0.25">
      <c r="A1128">
        <v>28</v>
      </c>
      <c r="B1128">
        <v>3</v>
      </c>
      <c r="C1128" t="s">
        <v>147</v>
      </c>
      <c r="D1128" t="s">
        <v>2</v>
      </c>
      <c r="E1128">
        <f t="shared" ca="1" si="17"/>
        <v>25.326789087427269</v>
      </c>
    </row>
    <row r="1129" spans="1:5" hidden="1" x14ac:dyDescent="0.25">
      <c r="A1129">
        <v>28</v>
      </c>
      <c r="B1129">
        <v>4</v>
      </c>
      <c r="C1129" t="s">
        <v>147</v>
      </c>
      <c r="D1129" t="s">
        <v>3</v>
      </c>
      <c r="E1129">
        <f t="shared" ca="1" si="17"/>
        <v>84.920461897287908</v>
      </c>
    </row>
    <row r="1130" spans="1:5" hidden="1" x14ac:dyDescent="0.25">
      <c r="A1130">
        <v>28</v>
      </c>
      <c r="B1130">
        <v>5</v>
      </c>
      <c r="C1130" t="s">
        <v>147</v>
      </c>
      <c r="D1130" t="s">
        <v>4</v>
      </c>
      <c r="E1130">
        <f t="shared" ca="1" si="17"/>
        <v>84.380710524821694</v>
      </c>
    </row>
    <row r="1131" spans="1:5" hidden="1" x14ac:dyDescent="0.25">
      <c r="A1131">
        <v>28</v>
      </c>
      <c r="B1131">
        <v>6</v>
      </c>
      <c r="C1131" t="s">
        <v>147</v>
      </c>
      <c r="D1131" t="s">
        <v>5</v>
      </c>
      <c r="E1131">
        <f t="shared" ref="E1131:E1192" ca="1" si="18">OFFSET($B$3,A1131,B1131)</f>
        <v>86.925154969266146</v>
      </c>
    </row>
    <row r="1132" spans="1:5" hidden="1" x14ac:dyDescent="0.25">
      <c r="A1132">
        <v>28</v>
      </c>
      <c r="B1132">
        <v>7</v>
      </c>
      <c r="C1132" t="s">
        <v>147</v>
      </c>
      <c r="D1132" t="s">
        <v>6</v>
      </c>
      <c r="E1132">
        <f t="shared" ca="1" si="18"/>
        <v>84.819599413710591</v>
      </c>
    </row>
    <row r="1133" spans="1:5" hidden="1" x14ac:dyDescent="0.25">
      <c r="A1133">
        <v>28</v>
      </c>
      <c r="B1133">
        <v>8</v>
      </c>
      <c r="C1133" t="s">
        <v>147</v>
      </c>
      <c r="D1133" t="s">
        <v>7</v>
      </c>
      <c r="E1133">
        <f t="shared" ca="1" si="18"/>
        <v>85.073795230621243</v>
      </c>
    </row>
    <row r="1134" spans="1:5" hidden="1" x14ac:dyDescent="0.25">
      <c r="A1134">
        <v>28</v>
      </c>
      <c r="B1134">
        <v>9</v>
      </c>
      <c r="C1134" t="s">
        <v>147</v>
      </c>
      <c r="D1134" t="s">
        <v>148</v>
      </c>
      <c r="E1134">
        <f t="shared" ca="1" si="18"/>
        <v>70.689753884868523</v>
      </c>
    </row>
    <row r="1135" spans="1:5" hidden="1" x14ac:dyDescent="0.25">
      <c r="A1135">
        <v>28</v>
      </c>
      <c r="B1135">
        <v>10</v>
      </c>
      <c r="C1135" t="s">
        <v>147</v>
      </c>
      <c r="D1135" t="s">
        <v>9</v>
      </c>
      <c r="E1135">
        <f t="shared" ca="1" si="18"/>
        <v>85.368488302599474</v>
      </c>
    </row>
    <row r="1136" spans="1:5" hidden="1" x14ac:dyDescent="0.25">
      <c r="A1136">
        <v>28</v>
      </c>
      <c r="B1136">
        <v>11</v>
      </c>
      <c r="C1136" t="s">
        <v>147</v>
      </c>
      <c r="D1136" t="s">
        <v>10</v>
      </c>
      <c r="E1136">
        <f t="shared" ca="1" si="18"/>
        <v>51.759345401065133</v>
      </c>
    </row>
    <row r="1137" spans="1:5" hidden="1" x14ac:dyDescent="0.25">
      <c r="A1137">
        <v>28</v>
      </c>
      <c r="B1137">
        <v>12</v>
      </c>
      <c r="C1137" t="s">
        <v>147</v>
      </c>
      <c r="D1137" t="s">
        <v>11</v>
      </c>
      <c r="E1137">
        <f t="shared" ca="1" si="18"/>
        <v>62.130761442438533</v>
      </c>
    </row>
    <row r="1138" spans="1:5" hidden="1" x14ac:dyDescent="0.25">
      <c r="A1138">
        <v>28</v>
      </c>
      <c r="B1138">
        <v>13</v>
      </c>
      <c r="C1138" t="s">
        <v>147</v>
      </c>
      <c r="D1138" t="s">
        <v>12</v>
      </c>
      <c r="E1138">
        <f t="shared" ca="1" si="18"/>
        <v>57.530479607018236</v>
      </c>
    </row>
    <row r="1139" spans="1:5" hidden="1" x14ac:dyDescent="0.25">
      <c r="A1139">
        <v>28</v>
      </c>
      <c r="B1139">
        <v>14</v>
      </c>
      <c r="C1139" t="s">
        <v>147</v>
      </c>
      <c r="D1139" t="s">
        <v>13</v>
      </c>
      <c r="E1139">
        <f t="shared" ca="1" si="18"/>
        <v>57.032701829240459</v>
      </c>
    </row>
    <row r="1140" spans="1:5" hidden="1" x14ac:dyDescent="0.25">
      <c r="A1140">
        <v>28</v>
      </c>
      <c r="B1140">
        <v>15</v>
      </c>
      <c r="C1140" t="s">
        <v>147</v>
      </c>
      <c r="D1140" t="s">
        <v>14</v>
      </c>
      <c r="E1140">
        <f t="shared" ca="1" si="18"/>
        <v>102.16331255865241</v>
      </c>
    </row>
    <row r="1141" spans="1:5" hidden="1" x14ac:dyDescent="0.25">
      <c r="A1141">
        <v>28</v>
      </c>
      <c r="B1141">
        <v>16</v>
      </c>
      <c r="C1141" t="s">
        <v>147</v>
      </c>
      <c r="D1141" t="s">
        <v>15</v>
      </c>
      <c r="E1141">
        <f t="shared" ca="1" si="18"/>
        <v>108.86968542698949</v>
      </c>
    </row>
    <row r="1142" spans="1:5" hidden="1" x14ac:dyDescent="0.25">
      <c r="A1142">
        <v>28</v>
      </c>
      <c r="B1142">
        <v>17</v>
      </c>
      <c r="C1142" t="s">
        <v>147</v>
      </c>
      <c r="D1142" t="s">
        <v>16</v>
      </c>
      <c r="E1142">
        <f t="shared" ca="1" si="18"/>
        <v>99.70424423963027</v>
      </c>
    </row>
    <row r="1143" spans="1:5" hidden="1" x14ac:dyDescent="0.25">
      <c r="A1143">
        <v>28</v>
      </c>
      <c r="B1143">
        <v>18</v>
      </c>
      <c r="C1143" t="s">
        <v>147</v>
      </c>
      <c r="D1143" t="s">
        <v>17</v>
      </c>
      <c r="E1143">
        <f t="shared" ca="1" si="18"/>
        <v>110.9107965381006</v>
      </c>
    </row>
    <row r="1144" spans="1:5" hidden="1" x14ac:dyDescent="0.25">
      <c r="A1144">
        <v>28</v>
      </c>
      <c r="B1144">
        <v>19</v>
      </c>
      <c r="C1144" t="s">
        <v>147</v>
      </c>
      <c r="D1144" t="s">
        <v>18</v>
      </c>
      <c r="E1144">
        <f t="shared" ca="1" si="18"/>
        <v>46.448283939212644</v>
      </c>
    </row>
    <row r="1145" spans="1:5" hidden="1" x14ac:dyDescent="0.25">
      <c r="A1145">
        <v>28</v>
      </c>
      <c r="B1145">
        <v>20</v>
      </c>
      <c r="C1145" t="s">
        <v>147</v>
      </c>
      <c r="D1145" t="s">
        <v>19</v>
      </c>
      <c r="E1145">
        <f t="shared" ca="1" si="18"/>
        <v>47.122862798833992</v>
      </c>
    </row>
    <row r="1146" spans="1:5" hidden="1" x14ac:dyDescent="0.25">
      <c r="A1146">
        <v>28</v>
      </c>
      <c r="B1146">
        <v>21</v>
      </c>
      <c r="C1146" t="s">
        <v>147</v>
      </c>
      <c r="D1146" t="s">
        <v>20</v>
      </c>
      <c r="E1146">
        <f t="shared" ca="1" si="18"/>
        <v>50.416611260674735</v>
      </c>
    </row>
    <row r="1147" spans="1:5" hidden="1" x14ac:dyDescent="0.25">
      <c r="A1147">
        <v>28</v>
      </c>
      <c r="B1147">
        <v>22</v>
      </c>
      <c r="C1147" t="s">
        <v>147</v>
      </c>
      <c r="D1147" t="s">
        <v>21</v>
      </c>
      <c r="E1147">
        <f t="shared" ca="1" si="18"/>
        <v>0</v>
      </c>
    </row>
    <row r="1148" spans="1:5" hidden="1" x14ac:dyDescent="0.25">
      <c r="A1148">
        <v>28</v>
      </c>
      <c r="B1148">
        <v>23</v>
      </c>
      <c r="C1148" t="s">
        <v>147</v>
      </c>
      <c r="D1148" t="s">
        <v>22</v>
      </c>
      <c r="E1148">
        <f t="shared" ca="1" si="18"/>
        <v>32.020660036012572</v>
      </c>
    </row>
    <row r="1149" spans="1:5" hidden="1" x14ac:dyDescent="0.25">
      <c r="A1149">
        <v>28</v>
      </c>
      <c r="B1149">
        <v>24</v>
      </c>
      <c r="C1149" t="s">
        <v>147</v>
      </c>
      <c r="D1149" t="s">
        <v>23</v>
      </c>
      <c r="E1149">
        <f t="shared" ca="1" si="18"/>
        <v>31.309548924901463</v>
      </c>
    </row>
    <row r="1150" spans="1:5" hidden="1" x14ac:dyDescent="0.25">
      <c r="A1150">
        <v>28</v>
      </c>
      <c r="B1150">
        <v>25</v>
      </c>
      <c r="C1150" t="s">
        <v>147</v>
      </c>
      <c r="D1150" t="s">
        <v>24</v>
      </c>
      <c r="E1150">
        <f t="shared" ca="1" si="18"/>
        <v>29.970660036012571</v>
      </c>
    </row>
    <row r="1151" spans="1:5" hidden="1" x14ac:dyDescent="0.25">
      <c r="A1151">
        <v>28</v>
      </c>
      <c r="B1151">
        <v>26</v>
      </c>
      <c r="C1151" t="s">
        <v>147</v>
      </c>
      <c r="D1151" t="s">
        <v>25</v>
      </c>
      <c r="E1151">
        <f t="shared" ca="1" si="18"/>
        <v>113.8873479319163</v>
      </c>
    </row>
    <row r="1152" spans="1:5" hidden="1" x14ac:dyDescent="0.25">
      <c r="A1152">
        <v>28</v>
      </c>
      <c r="B1152">
        <v>27</v>
      </c>
      <c r="C1152" t="s">
        <v>147</v>
      </c>
      <c r="D1152" t="s">
        <v>145</v>
      </c>
      <c r="E1152">
        <f t="shared" ca="1" si="18"/>
        <v>48.569529465500658</v>
      </c>
    </row>
    <row r="1153" spans="1:5" hidden="1" x14ac:dyDescent="0.25">
      <c r="A1153">
        <v>28</v>
      </c>
      <c r="B1153">
        <v>28</v>
      </c>
      <c r="C1153" t="s">
        <v>147</v>
      </c>
      <c r="D1153" t="s">
        <v>147</v>
      </c>
      <c r="E1153">
        <f t="shared" ca="1" si="18"/>
        <v>0</v>
      </c>
    </row>
    <row r="1154" spans="1:5" hidden="1" x14ac:dyDescent="0.25">
      <c r="A1154">
        <v>28</v>
      </c>
      <c r="B1154">
        <v>29</v>
      </c>
      <c r="C1154" t="s">
        <v>147</v>
      </c>
      <c r="D1154" t="s">
        <v>146</v>
      </c>
      <c r="E1154">
        <f t="shared" ca="1" si="18"/>
        <v>47.802862798833992</v>
      </c>
    </row>
    <row r="1155" spans="1:5" hidden="1" x14ac:dyDescent="0.25">
      <c r="A1155">
        <v>28</v>
      </c>
      <c r="B1155">
        <v>30</v>
      </c>
      <c r="C1155" t="s">
        <v>147</v>
      </c>
      <c r="D1155" t="s">
        <v>30</v>
      </c>
      <c r="E1155">
        <f t="shared" ca="1" si="18"/>
        <v>86.176017452843467</v>
      </c>
    </row>
    <row r="1156" spans="1:5" hidden="1" x14ac:dyDescent="0.25">
      <c r="A1156">
        <v>28</v>
      </c>
      <c r="B1156">
        <v>31</v>
      </c>
      <c r="C1156" t="s">
        <v>147</v>
      </c>
      <c r="D1156" t="s">
        <v>31</v>
      </c>
      <c r="E1156">
        <f t="shared" ca="1" si="18"/>
        <v>62.671201022311372</v>
      </c>
    </row>
    <row r="1157" spans="1:5" hidden="1" x14ac:dyDescent="0.25">
      <c r="A1157">
        <v>28</v>
      </c>
      <c r="B1157">
        <v>32</v>
      </c>
      <c r="C1157" t="s">
        <v>147</v>
      </c>
      <c r="D1157" t="s">
        <v>32</v>
      </c>
      <c r="E1157">
        <f t="shared" ca="1" si="18"/>
        <v>61.363423244533593</v>
      </c>
    </row>
    <row r="1158" spans="1:5" hidden="1" x14ac:dyDescent="0.25">
      <c r="A1158">
        <v>28</v>
      </c>
      <c r="B1158">
        <v>33</v>
      </c>
      <c r="C1158" t="s">
        <v>147</v>
      </c>
      <c r="D1158" t="s">
        <v>33</v>
      </c>
      <c r="E1158">
        <f t="shared" ca="1" si="18"/>
        <v>52.740397900830516</v>
      </c>
    </row>
    <row r="1159" spans="1:5" hidden="1" x14ac:dyDescent="0.25">
      <c r="A1159">
        <v>28</v>
      </c>
      <c r="B1159">
        <v>34</v>
      </c>
      <c r="C1159" t="s">
        <v>147</v>
      </c>
      <c r="D1159" t="s">
        <v>34</v>
      </c>
      <c r="E1159">
        <f t="shared" ca="1" si="18"/>
        <v>53.664842345274963</v>
      </c>
    </row>
    <row r="1160" spans="1:5" hidden="1" x14ac:dyDescent="0.25">
      <c r="A1160">
        <v>28</v>
      </c>
      <c r="B1160">
        <v>35</v>
      </c>
      <c r="C1160" t="s">
        <v>147</v>
      </c>
      <c r="D1160" t="s">
        <v>35</v>
      </c>
      <c r="E1160">
        <f t="shared" ca="1" si="18"/>
        <v>68.848642773757419</v>
      </c>
    </row>
    <row r="1161" spans="1:5" hidden="1" x14ac:dyDescent="0.25">
      <c r="A1161">
        <v>28</v>
      </c>
      <c r="B1161">
        <v>36</v>
      </c>
      <c r="C1161" t="s">
        <v>147</v>
      </c>
      <c r="D1161" t="s">
        <v>36</v>
      </c>
      <c r="E1161">
        <f t="shared" ca="1" si="18"/>
        <v>72.539718890413837</v>
      </c>
    </row>
    <row r="1162" spans="1:5" hidden="1" x14ac:dyDescent="0.25">
      <c r="A1162">
        <v>28</v>
      </c>
      <c r="B1162">
        <v>37</v>
      </c>
      <c r="C1162" t="s">
        <v>147</v>
      </c>
      <c r="D1162" t="s">
        <v>37</v>
      </c>
      <c r="E1162">
        <f t="shared" ca="1" si="18"/>
        <v>90.985359182150901</v>
      </c>
    </row>
    <row r="1163" spans="1:5" hidden="1" x14ac:dyDescent="0.25">
      <c r="A1163">
        <v>28</v>
      </c>
      <c r="B1163">
        <v>38</v>
      </c>
      <c r="C1163" t="s">
        <v>147</v>
      </c>
      <c r="D1163" t="s">
        <v>38</v>
      </c>
      <c r="E1163">
        <f t="shared" ca="1" si="18"/>
        <v>72.261941112636066</v>
      </c>
    </row>
    <row r="1164" spans="1:5" hidden="1" x14ac:dyDescent="0.25">
      <c r="A1164">
        <v>28</v>
      </c>
      <c r="B1164">
        <v>39</v>
      </c>
      <c r="C1164" t="s">
        <v>147</v>
      </c>
      <c r="D1164" t="s">
        <v>39</v>
      </c>
      <c r="E1164">
        <f t="shared" ca="1" si="18"/>
        <v>88.936470293262005</v>
      </c>
    </row>
    <row r="1165" spans="1:5" hidden="1" x14ac:dyDescent="0.25">
      <c r="A1165">
        <v>28</v>
      </c>
      <c r="B1165">
        <v>40</v>
      </c>
      <c r="C1165" t="s">
        <v>147</v>
      </c>
      <c r="D1165" t="s">
        <v>40</v>
      </c>
      <c r="E1165">
        <f t="shared" ca="1" si="18"/>
        <v>90.385359182150893</v>
      </c>
    </row>
    <row r="1166" spans="1:5" hidden="1" x14ac:dyDescent="0.25">
      <c r="A1166">
        <v>29</v>
      </c>
      <c r="B1166">
        <v>1</v>
      </c>
      <c r="C1166" t="s">
        <v>146</v>
      </c>
      <c r="D1166" t="s">
        <v>0</v>
      </c>
      <c r="E1166">
        <f t="shared" ca="1" si="18"/>
        <v>51.879492199230477</v>
      </c>
    </row>
    <row r="1167" spans="1:5" hidden="1" x14ac:dyDescent="0.25">
      <c r="A1167">
        <v>29</v>
      </c>
      <c r="B1167">
        <v>2</v>
      </c>
      <c r="C1167" t="s">
        <v>146</v>
      </c>
      <c r="D1167" t="s">
        <v>1</v>
      </c>
      <c r="E1167">
        <f t="shared" ca="1" si="18"/>
        <v>52.257269977008249</v>
      </c>
    </row>
    <row r="1168" spans="1:5" hidden="1" x14ac:dyDescent="0.25">
      <c r="A1168">
        <v>29</v>
      </c>
      <c r="B1168">
        <v>3</v>
      </c>
      <c r="C1168" t="s">
        <v>146</v>
      </c>
      <c r="D1168" t="s">
        <v>2</v>
      </c>
      <c r="E1168">
        <f t="shared" ca="1" si="18"/>
        <v>24.23790019853838</v>
      </c>
    </row>
    <row r="1169" spans="1:5" hidden="1" x14ac:dyDescent="0.25">
      <c r="A1169">
        <v>29</v>
      </c>
      <c r="B1169">
        <v>4</v>
      </c>
      <c r="C1169" t="s">
        <v>146</v>
      </c>
      <c r="D1169" t="s">
        <v>3</v>
      </c>
      <c r="E1169">
        <f t="shared" ca="1" si="18"/>
        <v>68.043903167816239</v>
      </c>
    </row>
    <row r="1170" spans="1:5" hidden="1" x14ac:dyDescent="0.25">
      <c r="A1170">
        <v>29</v>
      </c>
      <c r="B1170">
        <v>5</v>
      </c>
      <c r="C1170" t="s">
        <v>146</v>
      </c>
      <c r="D1170" t="s">
        <v>4</v>
      </c>
      <c r="E1170">
        <f t="shared" ca="1" si="18"/>
        <v>64.745154883399024</v>
      </c>
    </row>
    <row r="1171" spans="1:5" hidden="1" x14ac:dyDescent="0.25">
      <c r="A1171">
        <v>29</v>
      </c>
      <c r="B1171">
        <v>6</v>
      </c>
      <c r="C1171" t="s">
        <v>146</v>
      </c>
      <c r="D1171" t="s">
        <v>5</v>
      </c>
      <c r="E1171">
        <f t="shared" ca="1" si="18"/>
        <v>67.289599327843462</v>
      </c>
    </row>
    <row r="1172" spans="1:5" hidden="1" x14ac:dyDescent="0.25">
      <c r="A1172">
        <v>29</v>
      </c>
      <c r="B1172">
        <v>7</v>
      </c>
      <c r="C1172" t="s">
        <v>146</v>
      </c>
      <c r="D1172" t="s">
        <v>6</v>
      </c>
      <c r="E1172">
        <f t="shared" ca="1" si="18"/>
        <v>65.184043772287907</v>
      </c>
    </row>
    <row r="1173" spans="1:5" hidden="1" x14ac:dyDescent="0.25">
      <c r="A1173">
        <v>29</v>
      </c>
      <c r="B1173">
        <v>8</v>
      </c>
      <c r="C1173" t="s">
        <v>146</v>
      </c>
      <c r="D1173" t="s">
        <v>7</v>
      </c>
      <c r="E1173">
        <f t="shared" ca="1" si="18"/>
        <v>68.197236501149575</v>
      </c>
    </row>
    <row r="1174" spans="1:5" hidden="1" x14ac:dyDescent="0.25">
      <c r="A1174">
        <v>29</v>
      </c>
      <c r="B1174">
        <v>9</v>
      </c>
      <c r="C1174" t="s">
        <v>146</v>
      </c>
      <c r="D1174" t="s">
        <v>148</v>
      </c>
      <c r="E1174">
        <f t="shared" ca="1" si="18"/>
        <v>54.340603310341585</v>
      </c>
    </row>
    <row r="1175" spans="1:5" hidden="1" x14ac:dyDescent="0.25">
      <c r="A1175">
        <v>29</v>
      </c>
      <c r="B1175">
        <v>10</v>
      </c>
      <c r="C1175" t="s">
        <v>146</v>
      </c>
      <c r="D1175" t="s">
        <v>9</v>
      </c>
      <c r="E1175">
        <f t="shared" ca="1" si="18"/>
        <v>65.732932661176804</v>
      </c>
    </row>
    <row r="1176" spans="1:5" hidden="1" x14ac:dyDescent="0.25">
      <c r="A1176">
        <v>29</v>
      </c>
      <c r="B1176">
        <v>11</v>
      </c>
      <c r="C1176" t="s">
        <v>146</v>
      </c>
      <c r="D1176" t="s">
        <v>10</v>
      </c>
      <c r="E1176">
        <f t="shared" ca="1" si="18"/>
        <v>47.496479923282649</v>
      </c>
    </row>
    <row r="1177" spans="1:5" hidden="1" x14ac:dyDescent="0.25">
      <c r="A1177">
        <v>29</v>
      </c>
      <c r="B1177">
        <v>12</v>
      </c>
      <c r="C1177" t="s">
        <v>146</v>
      </c>
      <c r="D1177" t="s">
        <v>11</v>
      </c>
      <c r="E1177">
        <f t="shared" ca="1" si="18"/>
        <v>38.157017922707858</v>
      </c>
    </row>
    <row r="1178" spans="1:5" hidden="1" x14ac:dyDescent="0.25">
      <c r="A1178">
        <v>29</v>
      </c>
      <c r="B1178">
        <v>13</v>
      </c>
      <c r="C1178" t="s">
        <v>146</v>
      </c>
      <c r="D1178" t="s">
        <v>12</v>
      </c>
      <c r="E1178">
        <f t="shared" ca="1" si="18"/>
        <v>26.760399842958194</v>
      </c>
    </row>
    <row r="1179" spans="1:5" hidden="1" x14ac:dyDescent="0.25">
      <c r="A1179">
        <v>29</v>
      </c>
      <c r="B1179">
        <v>14</v>
      </c>
      <c r="C1179" t="s">
        <v>146</v>
      </c>
      <c r="D1179" t="s">
        <v>13</v>
      </c>
      <c r="E1179">
        <f t="shared" ca="1" si="18"/>
        <v>26.262622065180416</v>
      </c>
    </row>
    <row r="1180" spans="1:5" hidden="1" x14ac:dyDescent="0.25">
      <c r="A1180">
        <v>29</v>
      </c>
      <c r="B1180">
        <v>15</v>
      </c>
      <c r="C1180" t="s">
        <v>146</v>
      </c>
      <c r="D1180" t="s">
        <v>14</v>
      </c>
      <c r="E1180">
        <f t="shared" ca="1" si="18"/>
        <v>101.07442366976352</v>
      </c>
    </row>
    <row r="1181" spans="1:5" hidden="1" x14ac:dyDescent="0.25">
      <c r="A1181">
        <v>29</v>
      </c>
      <c r="B1181">
        <v>16</v>
      </c>
      <c r="C1181" t="s">
        <v>146</v>
      </c>
      <c r="D1181" t="s">
        <v>15</v>
      </c>
      <c r="E1181">
        <f t="shared" ca="1" si="18"/>
        <v>99.376409399634014</v>
      </c>
    </row>
    <row r="1182" spans="1:5" hidden="1" x14ac:dyDescent="0.25">
      <c r="A1182">
        <v>29</v>
      </c>
      <c r="B1182">
        <v>17</v>
      </c>
      <c r="C1182" t="s">
        <v>146</v>
      </c>
      <c r="D1182" t="s">
        <v>16</v>
      </c>
      <c r="E1182">
        <f t="shared" ca="1" si="18"/>
        <v>80.328954837650144</v>
      </c>
    </row>
    <row r="1183" spans="1:5" hidden="1" x14ac:dyDescent="0.25">
      <c r="A1183">
        <v>29</v>
      </c>
      <c r="B1183">
        <v>18</v>
      </c>
      <c r="C1183" t="s">
        <v>146</v>
      </c>
      <c r="D1183" t="s">
        <v>17</v>
      </c>
      <c r="E1183">
        <f t="shared" ca="1" si="18"/>
        <v>101.41752051074513</v>
      </c>
    </row>
    <row r="1184" spans="1:5" hidden="1" x14ac:dyDescent="0.25">
      <c r="A1184">
        <v>29</v>
      </c>
      <c r="B1184">
        <v>19</v>
      </c>
      <c r="C1184" t="s">
        <v>146</v>
      </c>
      <c r="D1184" t="s">
        <v>18</v>
      </c>
      <c r="E1184">
        <f t="shared" ca="1" si="18"/>
        <v>42.806871823972408</v>
      </c>
    </row>
    <row r="1185" spans="1:5" hidden="1" x14ac:dyDescent="0.25">
      <c r="A1185">
        <v>29</v>
      </c>
      <c r="B1185">
        <v>20</v>
      </c>
      <c r="C1185" t="s">
        <v>146</v>
      </c>
      <c r="D1185" t="s">
        <v>19</v>
      </c>
      <c r="E1185">
        <f t="shared" ca="1" si="18"/>
        <v>45.261273780616548</v>
      </c>
    </row>
    <row r="1186" spans="1:5" hidden="1" x14ac:dyDescent="0.25">
      <c r="A1186">
        <v>29</v>
      </c>
      <c r="B1186">
        <v>21</v>
      </c>
      <c r="C1186" t="s">
        <v>146</v>
      </c>
      <c r="D1186" t="s">
        <v>20</v>
      </c>
      <c r="E1186">
        <f t="shared" ca="1" si="18"/>
        <v>50.535222107850032</v>
      </c>
    </row>
    <row r="1187" spans="1:5" hidden="1" x14ac:dyDescent="0.25">
      <c r="A1187">
        <v>29</v>
      </c>
      <c r="B1187">
        <v>22</v>
      </c>
      <c r="C1187" t="s">
        <v>146</v>
      </c>
      <c r="D1187" t="s">
        <v>21</v>
      </c>
      <c r="E1187">
        <f t="shared" ca="1" si="18"/>
        <v>30.053993369345907</v>
      </c>
    </row>
    <row r="1188" spans="1:5" hidden="1" x14ac:dyDescent="0.25">
      <c r="A1188">
        <v>29</v>
      </c>
      <c r="B1188">
        <v>23</v>
      </c>
      <c r="C1188" t="s">
        <v>146</v>
      </c>
      <c r="D1188" t="s">
        <v>22</v>
      </c>
      <c r="E1188">
        <f t="shared" ca="1" si="18"/>
        <v>0</v>
      </c>
    </row>
    <row r="1189" spans="1:5" hidden="1" x14ac:dyDescent="0.25">
      <c r="A1189">
        <v>29</v>
      </c>
      <c r="B1189">
        <v>24</v>
      </c>
      <c r="C1189" t="s">
        <v>146</v>
      </c>
      <c r="D1189" t="s">
        <v>23</v>
      </c>
      <c r="E1189">
        <f t="shared" ca="1" si="18"/>
        <v>0</v>
      </c>
    </row>
    <row r="1190" spans="1:5" hidden="1" x14ac:dyDescent="0.25">
      <c r="A1190">
        <v>29</v>
      </c>
      <c r="B1190">
        <v>25</v>
      </c>
      <c r="C1190" t="s">
        <v>146</v>
      </c>
      <c r="D1190" t="s">
        <v>24</v>
      </c>
      <c r="E1190">
        <f t="shared" ca="1" si="18"/>
        <v>0</v>
      </c>
    </row>
    <row r="1191" spans="1:5" hidden="1" x14ac:dyDescent="0.25">
      <c r="A1191">
        <v>29</v>
      </c>
      <c r="B1191">
        <v>26</v>
      </c>
      <c r="C1191" t="s">
        <v>146</v>
      </c>
      <c r="D1191" t="s">
        <v>25</v>
      </c>
      <c r="E1191">
        <f t="shared" ca="1" si="18"/>
        <v>103.77331255865241</v>
      </c>
    </row>
    <row r="1192" spans="1:5" hidden="1" x14ac:dyDescent="0.25">
      <c r="A1192">
        <v>29</v>
      </c>
      <c r="B1192">
        <v>27</v>
      </c>
      <c r="C1192" t="s">
        <v>146</v>
      </c>
      <c r="D1192" t="s">
        <v>145</v>
      </c>
      <c r="E1192">
        <f t="shared" ca="1" si="18"/>
        <v>46.707940447283221</v>
      </c>
    </row>
    <row r="1193" spans="1:5" hidden="1" x14ac:dyDescent="0.25">
      <c r="A1193">
        <v>29</v>
      </c>
      <c r="B1193">
        <v>28</v>
      </c>
      <c r="C1193" t="s">
        <v>146</v>
      </c>
      <c r="D1193" t="s">
        <v>147</v>
      </c>
      <c r="E1193">
        <f t="shared" ref="E1193:E1255" ca="1" si="19">OFFSET($B$3,A1193,B1193)</f>
        <v>47.802862798833992</v>
      </c>
    </row>
    <row r="1194" spans="1:5" hidden="1" x14ac:dyDescent="0.25">
      <c r="A1194">
        <v>29</v>
      </c>
      <c r="B1194">
        <v>29</v>
      </c>
      <c r="C1194" t="s">
        <v>146</v>
      </c>
      <c r="D1194" t="s">
        <v>146</v>
      </c>
      <c r="E1194">
        <f t="shared" ca="1" si="19"/>
        <v>0</v>
      </c>
    </row>
    <row r="1195" spans="1:5" hidden="1" x14ac:dyDescent="0.25">
      <c r="A1195">
        <v>29</v>
      </c>
      <c r="B1195">
        <v>30</v>
      </c>
      <c r="C1195" t="s">
        <v>146</v>
      </c>
      <c r="D1195" t="s">
        <v>30</v>
      </c>
      <c r="E1195">
        <f t="shared" ca="1" si="19"/>
        <v>69.299458723371799</v>
      </c>
    </row>
    <row r="1196" spans="1:5" hidden="1" x14ac:dyDescent="0.25">
      <c r="A1196">
        <v>29</v>
      </c>
      <c r="B1196">
        <v>31</v>
      </c>
      <c r="C1196" t="s">
        <v>146</v>
      </c>
      <c r="D1196" t="s">
        <v>31</v>
      </c>
      <c r="E1196">
        <f t="shared" ca="1" si="19"/>
        <v>60.487635058887008</v>
      </c>
    </row>
    <row r="1197" spans="1:5" hidden="1" x14ac:dyDescent="0.25">
      <c r="A1197">
        <v>29</v>
      </c>
      <c r="B1197">
        <v>32</v>
      </c>
      <c r="C1197" t="s">
        <v>146</v>
      </c>
      <c r="D1197" t="s">
        <v>32</v>
      </c>
      <c r="E1197">
        <f t="shared" ca="1" si="19"/>
        <v>59.179857281109228</v>
      </c>
    </row>
    <row r="1198" spans="1:5" hidden="1" x14ac:dyDescent="0.25">
      <c r="A1198">
        <v>29</v>
      </c>
      <c r="B1198">
        <v>33</v>
      </c>
      <c r="C1198" t="s">
        <v>146</v>
      </c>
      <c r="D1198" t="s">
        <v>33</v>
      </c>
      <c r="E1198">
        <f t="shared" ca="1" si="19"/>
        <v>59.474301725553673</v>
      </c>
    </row>
    <row r="1199" spans="1:5" hidden="1" x14ac:dyDescent="0.25">
      <c r="A1199">
        <v>29</v>
      </c>
      <c r="B1199">
        <v>34</v>
      </c>
      <c r="C1199" t="s">
        <v>146</v>
      </c>
      <c r="D1199" t="s">
        <v>34</v>
      </c>
      <c r="E1199">
        <f t="shared" ca="1" si="19"/>
        <v>60.39874616999812</v>
      </c>
    </row>
    <row r="1200" spans="1:5" hidden="1" x14ac:dyDescent="0.25">
      <c r="A1200">
        <v>29</v>
      </c>
      <c r="B1200">
        <v>35</v>
      </c>
      <c r="C1200" t="s">
        <v>146</v>
      </c>
      <c r="D1200" t="s">
        <v>35</v>
      </c>
      <c r="E1200">
        <f t="shared" ca="1" si="19"/>
        <v>52.499492199230474</v>
      </c>
    </row>
    <row r="1201" spans="1:5" hidden="1" x14ac:dyDescent="0.25">
      <c r="A1201">
        <v>29</v>
      </c>
      <c r="B1201">
        <v>36</v>
      </c>
      <c r="C1201" t="s">
        <v>146</v>
      </c>
      <c r="D1201" t="s">
        <v>36</v>
      </c>
      <c r="E1201">
        <f t="shared" ca="1" si="19"/>
        <v>53.461801804734421</v>
      </c>
    </row>
    <row r="1202" spans="1:5" hidden="1" x14ac:dyDescent="0.25">
      <c r="A1202">
        <v>29</v>
      </c>
      <c r="B1202">
        <v>37</v>
      </c>
      <c r="C1202" t="s">
        <v>146</v>
      </c>
      <c r="D1202" t="s">
        <v>37</v>
      </c>
      <c r="E1202">
        <f t="shared" ca="1" si="19"/>
        <v>61.410725377721469</v>
      </c>
    </row>
    <row r="1203" spans="1:5" hidden="1" x14ac:dyDescent="0.25">
      <c r="A1203">
        <v>29</v>
      </c>
      <c r="B1203">
        <v>38</v>
      </c>
      <c r="C1203" t="s">
        <v>146</v>
      </c>
      <c r="D1203" t="s">
        <v>38</v>
      </c>
      <c r="E1203">
        <f t="shared" ca="1" si="19"/>
        <v>53.184024026956642</v>
      </c>
    </row>
    <row r="1204" spans="1:5" hidden="1" x14ac:dyDescent="0.25">
      <c r="A1204">
        <v>29</v>
      </c>
      <c r="B1204">
        <v>39</v>
      </c>
      <c r="C1204" t="s">
        <v>146</v>
      </c>
      <c r="D1204" t="s">
        <v>39</v>
      </c>
      <c r="E1204">
        <f t="shared" ca="1" si="19"/>
        <v>56.273384535707571</v>
      </c>
    </row>
    <row r="1205" spans="1:5" hidden="1" x14ac:dyDescent="0.25">
      <c r="A1205">
        <v>29</v>
      </c>
      <c r="B1205">
        <v>40</v>
      </c>
      <c r="C1205" t="s">
        <v>146</v>
      </c>
      <c r="D1205" t="s">
        <v>40</v>
      </c>
      <c r="E1205">
        <f t="shared" ca="1" si="19"/>
        <v>60.810725377721468</v>
      </c>
    </row>
    <row r="1206" spans="1:5" hidden="1" x14ac:dyDescent="0.25">
      <c r="A1206">
        <v>30</v>
      </c>
      <c r="B1206">
        <v>1</v>
      </c>
      <c r="C1206" t="s">
        <v>30</v>
      </c>
      <c r="D1206" t="s">
        <v>0</v>
      </c>
      <c r="E1206">
        <f t="shared" ca="1" si="19"/>
        <v>32.557126215571039</v>
      </c>
    </row>
    <row r="1207" spans="1:5" hidden="1" x14ac:dyDescent="0.25">
      <c r="A1207">
        <v>30</v>
      </c>
      <c r="B1207">
        <v>2</v>
      </c>
      <c r="C1207" t="s">
        <v>30</v>
      </c>
      <c r="D1207" t="s">
        <v>1</v>
      </c>
      <c r="E1207">
        <f t="shared" ca="1" si="19"/>
        <v>32.934903993348819</v>
      </c>
    </row>
    <row r="1208" spans="1:5" hidden="1" x14ac:dyDescent="0.25">
      <c r="A1208">
        <v>30</v>
      </c>
      <c r="B1208">
        <v>3</v>
      </c>
      <c r="C1208" t="s">
        <v>30</v>
      </c>
      <c r="D1208" t="s">
        <v>2</v>
      </c>
      <c r="E1208">
        <f t="shared" ca="1" si="19"/>
        <v>32.315438665716499</v>
      </c>
    </row>
    <row r="1209" spans="1:5" hidden="1" x14ac:dyDescent="0.25">
      <c r="A1209">
        <v>30</v>
      </c>
      <c r="B1209">
        <v>4</v>
      </c>
      <c r="C1209" t="s">
        <v>30</v>
      </c>
      <c r="D1209" t="s">
        <v>3</v>
      </c>
      <c r="E1209">
        <f t="shared" ca="1" si="19"/>
        <v>0</v>
      </c>
    </row>
    <row r="1210" spans="1:5" hidden="1" x14ac:dyDescent="0.25">
      <c r="A1210">
        <v>30</v>
      </c>
      <c r="B1210">
        <v>5</v>
      </c>
      <c r="C1210" t="s">
        <v>30</v>
      </c>
      <c r="D1210" t="s">
        <v>4</v>
      </c>
      <c r="E1210">
        <f t="shared" ca="1" si="19"/>
        <v>18.60965957779068</v>
      </c>
    </row>
    <row r="1211" spans="1:5" hidden="1" x14ac:dyDescent="0.25">
      <c r="A1211">
        <v>30</v>
      </c>
      <c r="B1211">
        <v>6</v>
      </c>
      <c r="C1211" t="s">
        <v>30</v>
      </c>
      <c r="D1211" t="s">
        <v>5</v>
      </c>
      <c r="E1211">
        <f t="shared" ca="1" si="19"/>
        <v>21.154104022235124</v>
      </c>
    </row>
    <row r="1212" spans="1:5" hidden="1" x14ac:dyDescent="0.25">
      <c r="A1212">
        <v>30</v>
      </c>
      <c r="B1212">
        <v>7</v>
      </c>
      <c r="C1212" t="s">
        <v>30</v>
      </c>
      <c r="D1212" t="s">
        <v>6</v>
      </c>
      <c r="E1212">
        <f t="shared" ca="1" si="19"/>
        <v>19.04854846667957</v>
      </c>
    </row>
    <row r="1213" spans="1:5" hidden="1" x14ac:dyDescent="0.25">
      <c r="A1213">
        <v>30</v>
      </c>
      <c r="B1213">
        <v>8</v>
      </c>
      <c r="C1213" t="s">
        <v>30</v>
      </c>
      <c r="D1213" t="s">
        <v>7</v>
      </c>
      <c r="E1213">
        <f t="shared" ca="1" si="19"/>
        <v>0</v>
      </c>
    </row>
    <row r="1214" spans="1:5" hidden="1" x14ac:dyDescent="0.25">
      <c r="A1214">
        <v>30</v>
      </c>
      <c r="B1214">
        <v>9</v>
      </c>
      <c r="C1214" t="s">
        <v>30</v>
      </c>
      <c r="D1214" t="s">
        <v>148</v>
      </c>
      <c r="E1214">
        <f t="shared" ca="1" si="19"/>
        <v>35.018237326682154</v>
      </c>
    </row>
    <row r="1215" spans="1:5" hidden="1" x14ac:dyDescent="0.25">
      <c r="A1215">
        <v>30</v>
      </c>
      <c r="B1215">
        <v>10</v>
      </c>
      <c r="C1215" t="s">
        <v>30</v>
      </c>
      <c r="D1215" t="s">
        <v>9</v>
      </c>
      <c r="E1215">
        <f t="shared" ca="1" si="19"/>
        <v>19.597437355568459</v>
      </c>
    </row>
    <row r="1216" spans="1:5" hidden="1" x14ac:dyDescent="0.25">
      <c r="A1216">
        <v>30</v>
      </c>
      <c r="B1216">
        <v>11</v>
      </c>
      <c r="C1216" t="s">
        <v>30</v>
      </c>
      <c r="D1216" t="s">
        <v>10</v>
      </c>
      <c r="E1216">
        <f t="shared" ca="1" si="19"/>
        <v>78.112873041009749</v>
      </c>
    </row>
    <row r="1217" spans="1:5" hidden="1" x14ac:dyDescent="0.25">
      <c r="A1217">
        <v>30</v>
      </c>
      <c r="B1217">
        <v>12</v>
      </c>
      <c r="C1217" t="s">
        <v>30</v>
      </c>
      <c r="D1217" t="s">
        <v>11</v>
      </c>
      <c r="E1217">
        <f t="shared" ca="1" si="19"/>
        <v>72.953446377041104</v>
      </c>
    </row>
    <row r="1218" spans="1:5" hidden="1" x14ac:dyDescent="0.25">
      <c r="A1218">
        <v>30</v>
      </c>
      <c r="B1218">
        <v>13</v>
      </c>
      <c r="C1218" t="s">
        <v>30</v>
      </c>
      <c r="D1218" t="s">
        <v>12</v>
      </c>
      <c r="E1218">
        <f t="shared" ca="1" si="19"/>
        <v>72.602831400736676</v>
      </c>
    </row>
    <row r="1219" spans="1:5" hidden="1" x14ac:dyDescent="0.25">
      <c r="A1219">
        <v>30</v>
      </c>
      <c r="B1219">
        <v>14</v>
      </c>
      <c r="C1219" t="s">
        <v>30</v>
      </c>
      <c r="D1219" t="s">
        <v>13</v>
      </c>
      <c r="E1219">
        <f t="shared" ca="1" si="19"/>
        <v>72.105053622958891</v>
      </c>
    </row>
    <row r="1220" spans="1:5" hidden="1" x14ac:dyDescent="0.25">
      <c r="A1220">
        <v>30</v>
      </c>
      <c r="B1220">
        <v>15</v>
      </c>
      <c r="C1220" t="s">
        <v>30</v>
      </c>
      <c r="D1220" t="s">
        <v>14</v>
      </c>
      <c r="E1220">
        <f t="shared" ca="1" si="19"/>
        <v>134.71812071837462</v>
      </c>
    </row>
    <row r="1221" spans="1:5" hidden="1" x14ac:dyDescent="0.25">
      <c r="A1221">
        <v>30</v>
      </c>
      <c r="B1221">
        <v>16</v>
      </c>
      <c r="C1221" t="s">
        <v>30</v>
      </c>
      <c r="D1221" t="s">
        <v>15</v>
      </c>
      <c r="E1221">
        <f t="shared" ca="1" si="19"/>
        <v>127.2060621950075</v>
      </c>
    </row>
    <row r="1222" spans="1:5" hidden="1" x14ac:dyDescent="0.25">
      <c r="A1222">
        <v>30</v>
      </c>
      <c r="B1222">
        <v>17</v>
      </c>
      <c r="C1222" t="s">
        <v>30</v>
      </c>
      <c r="D1222" t="s">
        <v>16</v>
      </c>
      <c r="E1222">
        <f t="shared" ca="1" si="19"/>
        <v>111.17113821438626</v>
      </c>
    </row>
    <row r="1223" spans="1:5" hidden="1" x14ac:dyDescent="0.25">
      <c r="A1223">
        <v>30</v>
      </c>
      <c r="B1223">
        <v>18</v>
      </c>
      <c r="C1223" t="s">
        <v>30</v>
      </c>
      <c r="D1223" t="s">
        <v>17</v>
      </c>
      <c r="E1223">
        <f t="shared" ca="1" si="19"/>
        <v>129.24717330611861</v>
      </c>
    </row>
    <row r="1224" spans="1:5" hidden="1" x14ac:dyDescent="0.25">
      <c r="A1224">
        <v>30</v>
      </c>
      <c r="B1224">
        <v>19</v>
      </c>
      <c r="C1224" t="s">
        <v>30</v>
      </c>
      <c r="D1224" t="s">
        <v>18</v>
      </c>
      <c r="E1224">
        <f t="shared" ca="1" si="19"/>
        <v>40.490151224955426</v>
      </c>
    </row>
    <row r="1225" spans="1:5" hidden="1" x14ac:dyDescent="0.25">
      <c r="A1225">
        <v>30</v>
      </c>
      <c r="B1225">
        <v>20</v>
      </c>
      <c r="C1225" t="s">
        <v>30</v>
      </c>
      <c r="D1225" t="s">
        <v>19</v>
      </c>
      <c r="E1225">
        <f t="shared" ca="1" si="19"/>
        <v>40.774060087919949</v>
      </c>
    </row>
    <row r="1226" spans="1:5" hidden="1" x14ac:dyDescent="0.25">
      <c r="A1226">
        <v>30</v>
      </c>
      <c r="B1226">
        <v>21</v>
      </c>
      <c r="C1226" t="s">
        <v>30</v>
      </c>
      <c r="D1226" t="s">
        <v>20</v>
      </c>
      <c r="E1226">
        <f t="shared" ca="1" si="19"/>
        <v>32.511495002815316</v>
      </c>
    </row>
    <row r="1227" spans="1:5" hidden="1" x14ac:dyDescent="0.25">
      <c r="A1227">
        <v>30</v>
      </c>
      <c r="B1227">
        <v>22</v>
      </c>
      <c r="C1227" t="s">
        <v>30</v>
      </c>
      <c r="D1227" t="s">
        <v>21</v>
      </c>
      <c r="E1227">
        <f t="shared" ca="1" si="19"/>
        <v>85.731573008399025</v>
      </c>
    </row>
    <row r="1228" spans="1:5" hidden="1" x14ac:dyDescent="0.25">
      <c r="A1228">
        <v>30</v>
      </c>
      <c r="B1228">
        <v>23</v>
      </c>
      <c r="C1228" t="s">
        <v>30</v>
      </c>
      <c r="D1228" t="s">
        <v>22</v>
      </c>
      <c r="E1228">
        <f t="shared" ca="1" si="19"/>
        <v>70.821680945594011</v>
      </c>
    </row>
    <row r="1229" spans="1:5" hidden="1" x14ac:dyDescent="0.25">
      <c r="A1229">
        <v>30</v>
      </c>
      <c r="B1229">
        <v>24</v>
      </c>
      <c r="C1229" t="s">
        <v>30</v>
      </c>
      <c r="D1229" t="s">
        <v>23</v>
      </c>
      <c r="E1229">
        <f t="shared" ca="1" si="19"/>
        <v>70.110569834482902</v>
      </c>
    </row>
    <row r="1230" spans="1:5" hidden="1" x14ac:dyDescent="0.25">
      <c r="A1230">
        <v>30</v>
      </c>
      <c r="B1230">
        <v>25</v>
      </c>
      <c r="C1230" t="s">
        <v>30</v>
      </c>
      <c r="D1230" t="s">
        <v>24</v>
      </c>
      <c r="E1230">
        <f t="shared" ca="1" si="19"/>
        <v>68.771680945594014</v>
      </c>
    </row>
    <row r="1231" spans="1:5" hidden="1" x14ac:dyDescent="0.25">
      <c r="A1231">
        <v>30</v>
      </c>
      <c r="B1231">
        <v>26</v>
      </c>
      <c r="C1231" t="s">
        <v>30</v>
      </c>
      <c r="D1231" t="s">
        <v>25</v>
      </c>
      <c r="E1231">
        <f t="shared" ca="1" si="19"/>
        <v>137.41700960726351</v>
      </c>
    </row>
    <row r="1232" spans="1:5" hidden="1" x14ac:dyDescent="0.25">
      <c r="A1232">
        <v>30</v>
      </c>
      <c r="B1232">
        <v>27</v>
      </c>
      <c r="C1232" t="s">
        <v>30</v>
      </c>
      <c r="D1232" t="s">
        <v>145</v>
      </c>
      <c r="E1232">
        <f t="shared" ca="1" si="19"/>
        <v>42.220726754586622</v>
      </c>
    </row>
    <row r="1233" spans="1:5" hidden="1" x14ac:dyDescent="0.25">
      <c r="A1233">
        <v>30</v>
      </c>
      <c r="B1233">
        <v>28</v>
      </c>
      <c r="C1233" t="s">
        <v>30</v>
      </c>
      <c r="D1233" t="s">
        <v>147</v>
      </c>
      <c r="E1233">
        <f t="shared" ca="1" si="19"/>
        <v>86.176017452843467</v>
      </c>
    </row>
    <row r="1234" spans="1:5" hidden="1" x14ac:dyDescent="0.25">
      <c r="A1234">
        <v>30</v>
      </c>
      <c r="B1234">
        <v>29</v>
      </c>
      <c r="C1234" t="s">
        <v>30</v>
      </c>
      <c r="D1234" t="s">
        <v>146</v>
      </c>
      <c r="E1234">
        <f t="shared" ca="1" si="19"/>
        <v>69.299458723371799</v>
      </c>
    </row>
    <row r="1235" spans="1:5" hidden="1" x14ac:dyDescent="0.25">
      <c r="A1235">
        <v>30</v>
      </c>
      <c r="B1235">
        <v>30</v>
      </c>
      <c r="C1235" t="s">
        <v>30</v>
      </c>
      <c r="D1235" t="s">
        <v>30</v>
      </c>
      <c r="E1235">
        <f t="shared" ca="1" si="19"/>
        <v>0</v>
      </c>
    </row>
    <row r="1236" spans="1:5" hidden="1" x14ac:dyDescent="0.25">
      <c r="A1236">
        <v>30</v>
      </c>
      <c r="B1236">
        <v>31</v>
      </c>
      <c r="C1236" t="s">
        <v>30</v>
      </c>
      <c r="D1236" t="s">
        <v>31</v>
      </c>
      <c r="E1236">
        <f t="shared" ca="1" si="19"/>
        <v>25.158033934813719</v>
      </c>
    </row>
    <row r="1237" spans="1:5" hidden="1" x14ac:dyDescent="0.25">
      <c r="A1237">
        <v>30</v>
      </c>
      <c r="B1237">
        <v>32</v>
      </c>
      <c r="C1237" t="s">
        <v>30</v>
      </c>
      <c r="D1237" t="s">
        <v>32</v>
      </c>
      <c r="E1237">
        <f t="shared" ca="1" si="19"/>
        <v>23.850256157035943</v>
      </c>
    </row>
    <row r="1238" spans="1:5" hidden="1" x14ac:dyDescent="0.25">
      <c r="A1238">
        <v>30</v>
      </c>
      <c r="B1238">
        <v>33</v>
      </c>
      <c r="C1238" t="s">
        <v>30</v>
      </c>
      <c r="D1238" t="s">
        <v>33</v>
      </c>
      <c r="E1238">
        <f t="shared" ca="1" si="19"/>
        <v>27.106082855316252</v>
      </c>
    </row>
    <row r="1239" spans="1:5" hidden="1" x14ac:dyDescent="0.25">
      <c r="A1239">
        <v>30</v>
      </c>
      <c r="B1239">
        <v>34</v>
      </c>
      <c r="C1239" t="s">
        <v>30</v>
      </c>
      <c r="D1239" t="s">
        <v>34</v>
      </c>
      <c r="E1239">
        <f t="shared" ca="1" si="19"/>
        <v>28.030527299760696</v>
      </c>
    </row>
    <row r="1240" spans="1:5" hidden="1" x14ac:dyDescent="0.25">
      <c r="A1240">
        <v>30</v>
      </c>
      <c r="B1240">
        <v>35</v>
      </c>
      <c r="C1240" t="s">
        <v>30</v>
      </c>
      <c r="D1240" t="s">
        <v>35</v>
      </c>
      <c r="E1240">
        <f t="shared" ca="1" si="19"/>
        <v>33.177126215571043</v>
      </c>
    </row>
    <row r="1241" spans="1:5" hidden="1" x14ac:dyDescent="0.25">
      <c r="A1241">
        <v>30</v>
      </c>
      <c r="B1241">
        <v>36</v>
      </c>
      <c r="C1241" t="s">
        <v>30</v>
      </c>
      <c r="D1241" t="s">
        <v>36</v>
      </c>
      <c r="E1241">
        <f t="shared" ca="1" si="19"/>
        <v>82.595254844688426</v>
      </c>
    </row>
    <row r="1242" spans="1:5" hidden="1" x14ac:dyDescent="0.25">
      <c r="A1242">
        <v>30</v>
      </c>
      <c r="B1242">
        <v>37</v>
      </c>
      <c r="C1242" t="s">
        <v>30</v>
      </c>
      <c r="D1242" t="s">
        <v>37</v>
      </c>
      <c r="E1242">
        <f t="shared" ca="1" si="19"/>
        <v>93.177621064423789</v>
      </c>
    </row>
    <row r="1243" spans="1:5" hidden="1" x14ac:dyDescent="0.25">
      <c r="A1243">
        <v>30</v>
      </c>
      <c r="B1243">
        <v>38</v>
      </c>
      <c r="C1243" t="s">
        <v>30</v>
      </c>
      <c r="D1243" t="s">
        <v>38</v>
      </c>
      <c r="E1243">
        <f t="shared" ca="1" si="19"/>
        <v>82.317477066910641</v>
      </c>
    </row>
    <row r="1244" spans="1:5" hidden="1" x14ac:dyDescent="0.25">
      <c r="A1244">
        <v>30</v>
      </c>
      <c r="B1244">
        <v>39</v>
      </c>
      <c r="C1244" t="s">
        <v>30</v>
      </c>
      <c r="D1244" t="s">
        <v>39</v>
      </c>
      <c r="E1244">
        <f t="shared" ca="1" si="19"/>
        <v>28.96210820884361</v>
      </c>
    </row>
    <row r="1245" spans="1:5" hidden="1" x14ac:dyDescent="0.25">
      <c r="A1245">
        <v>30</v>
      </c>
      <c r="B1245">
        <v>40</v>
      </c>
      <c r="C1245" t="s">
        <v>30</v>
      </c>
      <c r="D1245" t="s">
        <v>40</v>
      </c>
      <c r="E1245">
        <f t="shared" ca="1" si="19"/>
        <v>92.577621064423795</v>
      </c>
    </row>
    <row r="1246" spans="1:5" hidden="1" x14ac:dyDescent="0.25">
      <c r="A1246">
        <v>31</v>
      </c>
      <c r="B1246">
        <v>1</v>
      </c>
      <c r="C1246" t="s">
        <v>31</v>
      </c>
      <c r="D1246" t="s">
        <v>0</v>
      </c>
      <c r="E1246">
        <f t="shared" ca="1" si="19"/>
        <v>26.360456920543591</v>
      </c>
    </row>
    <row r="1247" spans="1:5" hidden="1" x14ac:dyDescent="0.25">
      <c r="A1247">
        <v>31</v>
      </c>
      <c r="B1247">
        <v>2</v>
      </c>
      <c r="C1247" t="s">
        <v>31</v>
      </c>
      <c r="D1247" t="s">
        <v>1</v>
      </c>
      <c r="E1247">
        <f t="shared" ca="1" si="19"/>
        <v>26.738234698321367</v>
      </c>
    </row>
    <row r="1248" spans="1:5" hidden="1" x14ac:dyDescent="0.25">
      <c r="A1248">
        <v>31</v>
      </c>
      <c r="B1248">
        <v>3</v>
      </c>
      <c r="C1248" t="s">
        <v>31</v>
      </c>
      <c r="D1248" t="s">
        <v>2</v>
      </c>
      <c r="E1248">
        <f t="shared" ca="1" si="19"/>
        <v>28.700676075978322</v>
      </c>
    </row>
    <row r="1249" spans="1:5" hidden="1" x14ac:dyDescent="0.25">
      <c r="A1249">
        <v>31</v>
      </c>
      <c r="B1249">
        <v>4</v>
      </c>
      <c r="C1249" t="s">
        <v>31</v>
      </c>
      <c r="D1249" t="s">
        <v>3</v>
      </c>
      <c r="E1249">
        <f t="shared" ca="1" si="19"/>
        <v>23.902478379258163</v>
      </c>
    </row>
    <row r="1250" spans="1:5" hidden="1" x14ac:dyDescent="0.25">
      <c r="A1250">
        <v>31</v>
      </c>
      <c r="B1250">
        <v>5</v>
      </c>
      <c r="C1250" t="s">
        <v>31</v>
      </c>
      <c r="D1250" t="s">
        <v>4</v>
      </c>
      <c r="E1250">
        <f t="shared" ca="1" si="19"/>
        <v>27.204605536933418</v>
      </c>
    </row>
    <row r="1251" spans="1:5" hidden="1" x14ac:dyDescent="0.25">
      <c r="A1251">
        <v>31</v>
      </c>
      <c r="B1251">
        <v>6</v>
      </c>
      <c r="C1251" t="s">
        <v>31</v>
      </c>
      <c r="D1251" t="s">
        <v>5</v>
      </c>
      <c r="E1251">
        <f t="shared" ca="1" si="19"/>
        <v>29.749049981377862</v>
      </c>
    </row>
    <row r="1252" spans="1:5" hidden="1" x14ac:dyDescent="0.25">
      <c r="A1252">
        <v>31</v>
      </c>
      <c r="B1252">
        <v>7</v>
      </c>
      <c r="C1252" t="s">
        <v>31</v>
      </c>
      <c r="D1252" t="s">
        <v>6</v>
      </c>
      <c r="E1252">
        <f t="shared" ca="1" si="19"/>
        <v>27.643494425822308</v>
      </c>
    </row>
    <row r="1253" spans="1:5" hidden="1" x14ac:dyDescent="0.25">
      <c r="A1253">
        <v>31</v>
      </c>
      <c r="B1253">
        <v>8</v>
      </c>
      <c r="C1253" t="s">
        <v>31</v>
      </c>
      <c r="D1253" t="s">
        <v>7</v>
      </c>
      <c r="E1253">
        <f t="shared" ca="1" si="19"/>
        <v>24.055811712591499</v>
      </c>
    </row>
    <row r="1254" spans="1:5" hidden="1" x14ac:dyDescent="0.25">
      <c r="A1254">
        <v>31</v>
      </c>
      <c r="B1254">
        <v>9</v>
      </c>
      <c r="C1254" t="s">
        <v>31</v>
      </c>
      <c r="D1254" t="s">
        <v>148</v>
      </c>
      <c r="E1254">
        <f t="shared" ca="1" si="19"/>
        <v>28.821568031654699</v>
      </c>
    </row>
    <row r="1255" spans="1:5" hidden="1" x14ac:dyDescent="0.25">
      <c r="A1255">
        <v>31</v>
      </c>
      <c r="B1255">
        <v>10</v>
      </c>
      <c r="C1255" t="s">
        <v>31</v>
      </c>
      <c r="D1255" t="s">
        <v>9</v>
      </c>
      <c r="E1255">
        <f t="shared" ca="1" si="19"/>
        <v>28.192383314711197</v>
      </c>
    </row>
    <row r="1256" spans="1:5" hidden="1" x14ac:dyDescent="0.25">
      <c r="A1256">
        <v>31</v>
      </c>
      <c r="B1256">
        <v>11</v>
      </c>
      <c r="C1256" t="s">
        <v>31</v>
      </c>
      <c r="D1256" t="s">
        <v>10</v>
      </c>
      <c r="E1256">
        <f t="shared" ref="E1256:E1317" ca="1" si="20">OFFSET($B$3,A1256,B1256)</f>
        <v>76.582949318459086</v>
      </c>
    </row>
    <row r="1257" spans="1:5" hidden="1" x14ac:dyDescent="0.25">
      <c r="A1257">
        <v>31</v>
      </c>
      <c r="B1257">
        <v>12</v>
      </c>
      <c r="C1257" t="s">
        <v>31</v>
      </c>
      <c r="D1257" t="s">
        <v>11</v>
      </c>
      <c r="E1257">
        <f t="shared" ca="1" si="20"/>
        <v>72.067001460444814</v>
      </c>
    </row>
    <row r="1258" spans="1:5" hidden="1" x14ac:dyDescent="0.25">
      <c r="A1258">
        <v>31</v>
      </c>
      <c r="B1258">
        <v>13</v>
      </c>
      <c r="C1258" t="s">
        <v>31</v>
      </c>
      <c r="D1258" t="s">
        <v>12</v>
      </c>
      <c r="E1258">
        <f t="shared" ca="1" si="20"/>
        <v>64.481508668825072</v>
      </c>
    </row>
    <row r="1259" spans="1:5" hidden="1" x14ac:dyDescent="0.25">
      <c r="A1259">
        <v>31</v>
      </c>
      <c r="B1259">
        <v>14</v>
      </c>
      <c r="C1259" t="s">
        <v>31</v>
      </c>
      <c r="D1259" t="s">
        <v>13</v>
      </c>
      <c r="E1259">
        <f t="shared" ca="1" si="20"/>
        <v>63.983730891047294</v>
      </c>
    </row>
    <row r="1260" spans="1:5" hidden="1" x14ac:dyDescent="0.25">
      <c r="A1260">
        <v>31</v>
      </c>
      <c r="B1260">
        <v>15</v>
      </c>
      <c r="C1260" t="s">
        <v>31</v>
      </c>
      <c r="D1260" t="s">
        <v>14</v>
      </c>
      <c r="E1260">
        <f t="shared" ca="1" si="20"/>
        <v>133.09750205283405</v>
      </c>
    </row>
    <row r="1261" spans="1:5" hidden="1" x14ac:dyDescent="0.25">
      <c r="A1261">
        <v>31</v>
      </c>
      <c r="B1261">
        <v>16</v>
      </c>
      <c r="C1261" t="s">
        <v>31</v>
      </c>
      <c r="D1261" t="s">
        <v>15</v>
      </c>
      <c r="E1261">
        <f t="shared" ca="1" si="20"/>
        <v>120.59335500539602</v>
      </c>
    </row>
    <row r="1262" spans="1:5" hidden="1" x14ac:dyDescent="0.25">
      <c r="A1262">
        <v>31</v>
      </c>
      <c r="B1262">
        <v>17</v>
      </c>
      <c r="C1262" t="s">
        <v>31</v>
      </c>
      <c r="D1262" t="s">
        <v>16</v>
      </c>
      <c r="E1262">
        <f t="shared" ca="1" si="20"/>
        <v>102.05984308136262</v>
      </c>
    </row>
    <row r="1263" spans="1:5" hidden="1" x14ac:dyDescent="0.25">
      <c r="A1263">
        <v>31</v>
      </c>
      <c r="B1263">
        <v>18</v>
      </c>
      <c r="C1263" t="s">
        <v>31</v>
      </c>
      <c r="D1263" t="s">
        <v>17</v>
      </c>
      <c r="E1263">
        <f t="shared" ca="1" si="20"/>
        <v>122.63446611650713</v>
      </c>
    </row>
    <row r="1264" spans="1:5" hidden="1" x14ac:dyDescent="0.25">
      <c r="A1264">
        <v>31</v>
      </c>
      <c r="B1264">
        <v>19</v>
      </c>
      <c r="C1264" t="s">
        <v>31</v>
      </c>
      <c r="D1264" t="s">
        <v>18</v>
      </c>
      <c r="E1264">
        <f t="shared" ca="1" si="20"/>
        <v>36.617390597140108</v>
      </c>
    </row>
    <row r="1265" spans="1:5" hidden="1" x14ac:dyDescent="0.25">
      <c r="A1265">
        <v>31</v>
      </c>
      <c r="B1265">
        <v>20</v>
      </c>
      <c r="C1265" t="s">
        <v>31</v>
      </c>
      <c r="D1265" t="s">
        <v>19</v>
      </c>
      <c r="E1265">
        <f t="shared" ca="1" si="20"/>
        <v>34.990375280065223</v>
      </c>
    </row>
    <row r="1266" spans="1:5" hidden="1" x14ac:dyDescent="0.25">
      <c r="A1266">
        <v>31</v>
      </c>
      <c r="B1266">
        <v>21</v>
      </c>
      <c r="C1266" t="s">
        <v>31</v>
      </c>
      <c r="D1266" t="s">
        <v>20</v>
      </c>
      <c r="E1266">
        <f t="shared" ca="1" si="20"/>
        <v>30.212817816107126</v>
      </c>
    </row>
    <row r="1267" spans="1:5" hidden="1" x14ac:dyDescent="0.25">
      <c r="A1267">
        <v>31</v>
      </c>
      <c r="B1267">
        <v>22</v>
      </c>
      <c r="C1267" t="s">
        <v>31</v>
      </c>
      <c r="D1267" t="s">
        <v>21</v>
      </c>
      <c r="E1267">
        <f t="shared" ca="1" si="20"/>
        <v>62.226756577866922</v>
      </c>
    </row>
    <row r="1268" spans="1:5" hidden="1" x14ac:dyDescent="0.25">
      <c r="A1268">
        <v>31</v>
      </c>
      <c r="B1268">
        <v>23</v>
      </c>
      <c r="C1268" t="s">
        <v>31</v>
      </c>
      <c r="D1268" t="s">
        <v>22</v>
      </c>
      <c r="E1268">
        <f t="shared" ca="1" si="20"/>
        <v>62.009857281109227</v>
      </c>
    </row>
    <row r="1269" spans="1:5" hidden="1" x14ac:dyDescent="0.25">
      <c r="A1269">
        <v>31</v>
      </c>
      <c r="B1269">
        <v>24</v>
      </c>
      <c r="C1269" t="s">
        <v>31</v>
      </c>
      <c r="D1269" t="s">
        <v>23</v>
      </c>
      <c r="E1269">
        <f t="shared" ca="1" si="20"/>
        <v>61.298746169998118</v>
      </c>
    </row>
    <row r="1270" spans="1:5" hidden="1" x14ac:dyDescent="0.25">
      <c r="A1270">
        <v>31</v>
      </c>
      <c r="B1270">
        <v>25</v>
      </c>
      <c r="C1270" t="s">
        <v>31</v>
      </c>
      <c r="D1270" t="s">
        <v>24</v>
      </c>
      <c r="E1270">
        <f t="shared" ca="1" si="20"/>
        <v>59.95985728110923</v>
      </c>
    </row>
    <row r="1271" spans="1:5" hidden="1" x14ac:dyDescent="0.25">
      <c r="A1271">
        <v>31</v>
      </c>
      <c r="B1271">
        <v>26</v>
      </c>
      <c r="C1271" t="s">
        <v>31</v>
      </c>
      <c r="D1271" t="s">
        <v>25</v>
      </c>
      <c r="E1271">
        <f t="shared" ca="1" si="20"/>
        <v>135.79639094172293</v>
      </c>
    </row>
    <row r="1272" spans="1:5" hidden="1" x14ac:dyDescent="0.25">
      <c r="A1272">
        <v>31</v>
      </c>
      <c r="B1272">
        <v>27</v>
      </c>
      <c r="C1272" t="s">
        <v>31</v>
      </c>
      <c r="D1272" t="s">
        <v>145</v>
      </c>
      <c r="E1272">
        <f t="shared" ca="1" si="20"/>
        <v>36.437041946731895</v>
      </c>
    </row>
    <row r="1273" spans="1:5" hidden="1" x14ac:dyDescent="0.25">
      <c r="A1273">
        <v>31</v>
      </c>
      <c r="B1273">
        <v>28</v>
      </c>
      <c r="C1273" t="s">
        <v>31</v>
      </c>
      <c r="D1273" t="s">
        <v>147</v>
      </c>
      <c r="E1273">
        <f t="shared" ca="1" si="20"/>
        <v>62.671201022311372</v>
      </c>
    </row>
    <row r="1274" spans="1:5" hidden="1" x14ac:dyDescent="0.25">
      <c r="A1274">
        <v>31</v>
      </c>
      <c r="B1274">
        <v>29</v>
      </c>
      <c r="C1274" t="s">
        <v>31</v>
      </c>
      <c r="D1274" t="s">
        <v>146</v>
      </c>
      <c r="E1274">
        <f t="shared" ca="1" si="20"/>
        <v>60.487635058887008</v>
      </c>
    </row>
    <row r="1275" spans="1:5" hidden="1" x14ac:dyDescent="0.25">
      <c r="A1275">
        <v>31</v>
      </c>
      <c r="B1275">
        <v>30</v>
      </c>
      <c r="C1275" t="s">
        <v>31</v>
      </c>
      <c r="D1275" t="s">
        <v>30</v>
      </c>
      <c r="E1275">
        <f t="shared" ca="1" si="20"/>
        <v>25.158033934813719</v>
      </c>
    </row>
    <row r="1276" spans="1:5" hidden="1" x14ac:dyDescent="0.25">
      <c r="A1276">
        <v>31</v>
      </c>
      <c r="B1276">
        <v>31</v>
      </c>
      <c r="C1276" t="s">
        <v>31</v>
      </c>
      <c r="D1276" t="s">
        <v>31</v>
      </c>
      <c r="E1276">
        <f t="shared" ca="1" si="20"/>
        <v>0</v>
      </c>
    </row>
    <row r="1277" spans="1:5" hidden="1" x14ac:dyDescent="0.25">
      <c r="A1277">
        <v>31</v>
      </c>
      <c r="B1277">
        <v>32</v>
      </c>
      <c r="C1277" t="s">
        <v>31</v>
      </c>
      <c r="D1277" t="s">
        <v>32</v>
      </c>
      <c r="E1277">
        <f t="shared" ca="1" si="20"/>
        <v>0</v>
      </c>
    </row>
    <row r="1278" spans="1:5" hidden="1" x14ac:dyDescent="0.25">
      <c r="A1278">
        <v>31</v>
      </c>
      <c r="B1278">
        <v>33</v>
      </c>
      <c r="C1278" t="s">
        <v>31</v>
      </c>
      <c r="D1278" t="s">
        <v>33</v>
      </c>
      <c r="E1278">
        <f t="shared" ca="1" si="20"/>
        <v>29.005956067151136</v>
      </c>
    </row>
    <row r="1279" spans="1:5" hidden="1" x14ac:dyDescent="0.25">
      <c r="A1279">
        <v>31</v>
      </c>
      <c r="B1279">
        <v>34</v>
      </c>
      <c r="C1279" t="s">
        <v>31</v>
      </c>
      <c r="D1279" t="s">
        <v>34</v>
      </c>
      <c r="E1279">
        <f t="shared" ca="1" si="20"/>
        <v>29.930400511595579</v>
      </c>
    </row>
    <row r="1280" spans="1:5" hidden="1" x14ac:dyDescent="0.25">
      <c r="A1280">
        <v>31</v>
      </c>
      <c r="B1280">
        <v>35</v>
      </c>
      <c r="C1280" t="s">
        <v>31</v>
      </c>
      <c r="D1280" t="s">
        <v>35</v>
      </c>
      <c r="E1280">
        <f t="shared" ca="1" si="20"/>
        <v>26.980456920543588</v>
      </c>
    </row>
    <row r="1281" spans="1:5" hidden="1" x14ac:dyDescent="0.25">
      <c r="A1281">
        <v>31</v>
      </c>
      <c r="B1281">
        <v>36</v>
      </c>
      <c r="C1281" t="s">
        <v>31</v>
      </c>
      <c r="D1281" t="s">
        <v>36</v>
      </c>
      <c r="E1281">
        <f t="shared" ca="1" si="20"/>
        <v>80.9929269308371</v>
      </c>
    </row>
    <row r="1282" spans="1:5" hidden="1" x14ac:dyDescent="0.25">
      <c r="A1282">
        <v>31</v>
      </c>
      <c r="B1282">
        <v>37</v>
      </c>
      <c r="C1282" t="s">
        <v>31</v>
      </c>
      <c r="D1282" t="s">
        <v>37</v>
      </c>
      <c r="E1282">
        <f t="shared" ca="1" si="20"/>
        <v>93.363338582723344</v>
      </c>
    </row>
    <row r="1283" spans="1:5" hidden="1" x14ac:dyDescent="0.25">
      <c r="A1283">
        <v>31</v>
      </c>
      <c r="B1283">
        <v>38</v>
      </c>
      <c r="C1283" t="s">
        <v>31</v>
      </c>
      <c r="D1283" t="s">
        <v>38</v>
      </c>
      <c r="E1283">
        <f t="shared" ca="1" si="20"/>
        <v>80.715149153059315</v>
      </c>
    </row>
    <row r="1284" spans="1:5" hidden="1" x14ac:dyDescent="0.25">
      <c r="A1284">
        <v>31</v>
      </c>
      <c r="B1284">
        <v>39</v>
      </c>
      <c r="C1284" t="s">
        <v>31</v>
      </c>
      <c r="D1284" t="s">
        <v>39</v>
      </c>
      <c r="E1284">
        <f t="shared" ca="1" si="20"/>
        <v>90.589068757038291</v>
      </c>
    </row>
    <row r="1285" spans="1:5" hidden="1" x14ac:dyDescent="0.25">
      <c r="A1285">
        <v>31</v>
      </c>
      <c r="B1285">
        <v>40</v>
      </c>
      <c r="C1285" t="s">
        <v>31</v>
      </c>
      <c r="D1285" t="s">
        <v>40</v>
      </c>
      <c r="E1285">
        <f t="shared" ca="1" si="20"/>
        <v>92.76333858272335</v>
      </c>
    </row>
    <row r="1286" spans="1:5" hidden="1" x14ac:dyDescent="0.25">
      <c r="A1286">
        <v>32</v>
      </c>
      <c r="B1286">
        <v>1</v>
      </c>
      <c r="C1286" t="s">
        <v>32</v>
      </c>
      <c r="D1286" t="s">
        <v>0</v>
      </c>
      <c r="E1286">
        <f t="shared" ca="1" si="20"/>
        <v>25.052679142765811</v>
      </c>
    </row>
    <row r="1287" spans="1:5" hidden="1" x14ac:dyDescent="0.25">
      <c r="A1287">
        <v>32</v>
      </c>
      <c r="B1287">
        <v>2</v>
      </c>
      <c r="C1287" t="s">
        <v>32</v>
      </c>
      <c r="D1287" t="s">
        <v>1</v>
      </c>
      <c r="E1287">
        <f t="shared" ca="1" si="20"/>
        <v>25.430456920543591</v>
      </c>
    </row>
    <row r="1288" spans="1:5" hidden="1" x14ac:dyDescent="0.25">
      <c r="A1288">
        <v>32</v>
      </c>
      <c r="B1288">
        <v>3</v>
      </c>
      <c r="C1288" t="s">
        <v>32</v>
      </c>
      <c r="D1288" t="s">
        <v>2</v>
      </c>
      <c r="E1288">
        <f t="shared" ca="1" si="20"/>
        <v>27.392898298200546</v>
      </c>
    </row>
    <row r="1289" spans="1:5" hidden="1" x14ac:dyDescent="0.25">
      <c r="A1289">
        <v>32</v>
      </c>
      <c r="B1289">
        <v>4</v>
      </c>
      <c r="C1289" t="s">
        <v>32</v>
      </c>
      <c r="D1289" t="s">
        <v>3</v>
      </c>
      <c r="E1289">
        <f t="shared" ca="1" si="20"/>
        <v>22.594700601480387</v>
      </c>
    </row>
    <row r="1290" spans="1:5" hidden="1" x14ac:dyDescent="0.25">
      <c r="A1290">
        <v>32</v>
      </c>
      <c r="B1290">
        <v>5</v>
      </c>
      <c r="C1290" t="s">
        <v>32</v>
      </c>
      <c r="D1290" t="s">
        <v>4</v>
      </c>
      <c r="E1290">
        <f t="shared" ca="1" si="20"/>
        <v>25.896827759155642</v>
      </c>
    </row>
    <row r="1291" spans="1:5" hidden="1" x14ac:dyDescent="0.25">
      <c r="A1291">
        <v>32</v>
      </c>
      <c r="B1291">
        <v>6</v>
      </c>
      <c r="C1291" t="s">
        <v>32</v>
      </c>
      <c r="D1291" t="s">
        <v>5</v>
      </c>
      <c r="E1291">
        <f t="shared" ca="1" si="20"/>
        <v>28.441272203600086</v>
      </c>
    </row>
    <row r="1292" spans="1:5" hidden="1" x14ac:dyDescent="0.25">
      <c r="A1292">
        <v>32</v>
      </c>
      <c r="B1292">
        <v>7</v>
      </c>
      <c r="C1292" t="s">
        <v>32</v>
      </c>
      <c r="D1292" t="s">
        <v>6</v>
      </c>
      <c r="E1292">
        <f t="shared" ca="1" si="20"/>
        <v>26.335716648044528</v>
      </c>
    </row>
    <row r="1293" spans="1:5" hidden="1" x14ac:dyDescent="0.25">
      <c r="A1293">
        <v>32</v>
      </c>
      <c r="B1293">
        <v>8</v>
      </c>
      <c r="C1293" t="s">
        <v>32</v>
      </c>
      <c r="D1293" t="s">
        <v>7</v>
      </c>
      <c r="E1293">
        <f t="shared" ca="1" si="20"/>
        <v>22.748033934813719</v>
      </c>
    </row>
    <row r="1294" spans="1:5" hidden="1" x14ac:dyDescent="0.25">
      <c r="A1294">
        <v>32</v>
      </c>
      <c r="B1294">
        <v>9</v>
      </c>
      <c r="C1294" t="s">
        <v>32</v>
      </c>
      <c r="D1294" t="s">
        <v>148</v>
      </c>
      <c r="E1294">
        <f t="shared" ca="1" si="20"/>
        <v>27.513790253876923</v>
      </c>
    </row>
    <row r="1295" spans="1:5" hidden="1" x14ac:dyDescent="0.25">
      <c r="A1295">
        <v>32</v>
      </c>
      <c r="B1295">
        <v>10</v>
      </c>
      <c r="C1295" t="s">
        <v>32</v>
      </c>
      <c r="D1295" t="s">
        <v>9</v>
      </c>
      <c r="E1295">
        <f t="shared" ca="1" si="20"/>
        <v>26.884605536933417</v>
      </c>
    </row>
    <row r="1296" spans="1:5" hidden="1" x14ac:dyDescent="0.25">
      <c r="A1296">
        <v>32</v>
      </c>
      <c r="B1296">
        <v>11</v>
      </c>
      <c r="C1296" t="s">
        <v>32</v>
      </c>
      <c r="D1296" t="s">
        <v>10</v>
      </c>
      <c r="E1296">
        <f t="shared" ca="1" si="20"/>
        <v>75.275171540681313</v>
      </c>
    </row>
    <row r="1297" spans="1:5" hidden="1" x14ac:dyDescent="0.25">
      <c r="A1297">
        <v>32</v>
      </c>
      <c r="B1297">
        <v>12</v>
      </c>
      <c r="C1297" t="s">
        <v>32</v>
      </c>
      <c r="D1297" t="s">
        <v>11</v>
      </c>
      <c r="E1297">
        <f t="shared" ca="1" si="20"/>
        <v>70.759223682667042</v>
      </c>
    </row>
    <row r="1298" spans="1:5" hidden="1" x14ac:dyDescent="0.25">
      <c r="A1298">
        <v>32</v>
      </c>
      <c r="B1298">
        <v>13</v>
      </c>
      <c r="C1298" t="s">
        <v>32</v>
      </c>
      <c r="D1298" t="s">
        <v>12</v>
      </c>
      <c r="E1298">
        <f t="shared" ca="1" si="20"/>
        <v>63.173730891047292</v>
      </c>
    </row>
    <row r="1299" spans="1:5" hidden="1" x14ac:dyDescent="0.25">
      <c r="A1299">
        <v>32</v>
      </c>
      <c r="B1299">
        <v>14</v>
      </c>
      <c r="C1299" t="s">
        <v>32</v>
      </c>
      <c r="D1299" t="s">
        <v>13</v>
      </c>
      <c r="E1299">
        <f t="shared" ca="1" si="20"/>
        <v>62.675953113269514</v>
      </c>
    </row>
    <row r="1300" spans="1:5" hidden="1" x14ac:dyDescent="0.25">
      <c r="A1300">
        <v>32</v>
      </c>
      <c r="B1300">
        <v>15</v>
      </c>
      <c r="C1300" t="s">
        <v>32</v>
      </c>
      <c r="D1300" t="s">
        <v>14</v>
      </c>
      <c r="E1300">
        <f t="shared" ca="1" si="20"/>
        <v>131.78972427505627</v>
      </c>
    </row>
    <row r="1301" spans="1:5" hidden="1" x14ac:dyDescent="0.25">
      <c r="A1301">
        <v>32</v>
      </c>
      <c r="B1301">
        <v>16</v>
      </c>
      <c r="C1301" t="s">
        <v>32</v>
      </c>
      <c r="D1301" t="s">
        <v>15</v>
      </c>
      <c r="E1301">
        <f t="shared" ca="1" si="20"/>
        <v>119.28557722761825</v>
      </c>
    </row>
    <row r="1302" spans="1:5" hidden="1" x14ac:dyDescent="0.25">
      <c r="A1302">
        <v>32</v>
      </c>
      <c r="B1302">
        <v>17</v>
      </c>
      <c r="C1302" t="s">
        <v>32</v>
      </c>
      <c r="D1302" t="s">
        <v>16</v>
      </c>
      <c r="E1302">
        <f t="shared" ca="1" si="20"/>
        <v>100.75206530358484</v>
      </c>
    </row>
    <row r="1303" spans="1:5" hidden="1" x14ac:dyDescent="0.25">
      <c r="A1303">
        <v>32</v>
      </c>
      <c r="B1303">
        <v>18</v>
      </c>
      <c r="C1303" t="s">
        <v>32</v>
      </c>
      <c r="D1303" t="s">
        <v>17</v>
      </c>
      <c r="E1303">
        <f t="shared" ca="1" si="20"/>
        <v>121.32668833872935</v>
      </c>
    </row>
    <row r="1304" spans="1:5" hidden="1" x14ac:dyDescent="0.25">
      <c r="A1304">
        <v>32</v>
      </c>
      <c r="B1304">
        <v>19</v>
      </c>
      <c r="C1304" t="s">
        <v>32</v>
      </c>
      <c r="D1304" t="s">
        <v>18</v>
      </c>
      <c r="E1304">
        <f t="shared" ca="1" si="20"/>
        <v>35.309612819362329</v>
      </c>
    </row>
    <row r="1305" spans="1:5" hidden="1" x14ac:dyDescent="0.25">
      <c r="A1305">
        <v>32</v>
      </c>
      <c r="B1305">
        <v>20</v>
      </c>
      <c r="C1305" t="s">
        <v>32</v>
      </c>
      <c r="D1305" t="s">
        <v>19</v>
      </c>
      <c r="E1305">
        <f t="shared" ca="1" si="20"/>
        <v>33.68259750228745</v>
      </c>
    </row>
    <row r="1306" spans="1:5" hidden="1" x14ac:dyDescent="0.25">
      <c r="A1306">
        <v>32</v>
      </c>
      <c r="B1306">
        <v>21</v>
      </c>
      <c r="C1306" t="s">
        <v>32</v>
      </c>
      <c r="D1306" t="s">
        <v>20</v>
      </c>
      <c r="E1306">
        <f t="shared" ca="1" si="20"/>
        <v>28.905040038329346</v>
      </c>
    </row>
    <row r="1307" spans="1:5" hidden="1" x14ac:dyDescent="0.25">
      <c r="A1307">
        <v>32</v>
      </c>
      <c r="B1307">
        <v>22</v>
      </c>
      <c r="C1307" t="s">
        <v>32</v>
      </c>
      <c r="D1307" t="s">
        <v>21</v>
      </c>
      <c r="E1307">
        <f t="shared" ca="1" si="20"/>
        <v>60.91897880008915</v>
      </c>
    </row>
    <row r="1308" spans="1:5" hidden="1" x14ac:dyDescent="0.25">
      <c r="A1308">
        <v>32</v>
      </c>
      <c r="B1308">
        <v>23</v>
      </c>
      <c r="C1308" t="s">
        <v>32</v>
      </c>
      <c r="D1308" t="s">
        <v>22</v>
      </c>
      <c r="E1308">
        <f t="shared" ca="1" si="20"/>
        <v>60.702079503331447</v>
      </c>
    </row>
    <row r="1309" spans="1:5" hidden="1" x14ac:dyDescent="0.25">
      <c r="A1309">
        <v>32</v>
      </c>
      <c r="B1309">
        <v>24</v>
      </c>
      <c r="C1309" t="s">
        <v>32</v>
      </c>
      <c r="D1309" t="s">
        <v>23</v>
      </c>
      <c r="E1309">
        <f t="shared" ca="1" si="20"/>
        <v>59.990968392220339</v>
      </c>
    </row>
    <row r="1310" spans="1:5" hidden="1" x14ac:dyDescent="0.25">
      <c r="A1310">
        <v>32</v>
      </c>
      <c r="B1310">
        <v>25</v>
      </c>
      <c r="C1310" t="s">
        <v>32</v>
      </c>
      <c r="D1310" t="s">
        <v>24</v>
      </c>
      <c r="E1310">
        <f t="shared" ca="1" si="20"/>
        <v>58.65207950333145</v>
      </c>
    </row>
    <row r="1311" spans="1:5" hidden="1" x14ac:dyDescent="0.25">
      <c r="A1311">
        <v>32</v>
      </c>
      <c r="B1311">
        <v>26</v>
      </c>
      <c r="C1311" t="s">
        <v>32</v>
      </c>
      <c r="D1311" t="s">
        <v>25</v>
      </c>
      <c r="E1311">
        <f t="shared" ca="1" si="20"/>
        <v>134.48861316394516</v>
      </c>
    </row>
    <row r="1312" spans="1:5" hidden="1" x14ac:dyDescent="0.25">
      <c r="A1312">
        <v>32</v>
      </c>
      <c r="B1312">
        <v>27</v>
      </c>
      <c r="C1312" t="s">
        <v>32</v>
      </c>
      <c r="D1312" t="s">
        <v>145</v>
      </c>
      <c r="E1312">
        <f t="shared" ca="1" si="20"/>
        <v>35.129264168954116</v>
      </c>
    </row>
    <row r="1313" spans="1:5" hidden="1" x14ac:dyDescent="0.25">
      <c r="A1313">
        <v>32</v>
      </c>
      <c r="B1313">
        <v>28</v>
      </c>
      <c r="C1313" t="s">
        <v>32</v>
      </c>
      <c r="D1313" t="s">
        <v>147</v>
      </c>
      <c r="E1313">
        <f t="shared" ca="1" si="20"/>
        <v>61.363423244533593</v>
      </c>
    </row>
    <row r="1314" spans="1:5" hidden="1" x14ac:dyDescent="0.25">
      <c r="A1314">
        <v>32</v>
      </c>
      <c r="B1314">
        <v>29</v>
      </c>
      <c r="C1314" t="s">
        <v>32</v>
      </c>
      <c r="D1314" t="s">
        <v>146</v>
      </c>
      <c r="E1314">
        <f t="shared" ca="1" si="20"/>
        <v>59.179857281109228</v>
      </c>
    </row>
    <row r="1315" spans="1:5" hidden="1" x14ac:dyDescent="0.25">
      <c r="A1315">
        <v>32</v>
      </c>
      <c r="B1315">
        <v>30</v>
      </c>
      <c r="C1315" t="s">
        <v>32</v>
      </c>
      <c r="D1315" t="s">
        <v>30</v>
      </c>
      <c r="E1315">
        <f t="shared" ca="1" si="20"/>
        <v>23.850256157035943</v>
      </c>
    </row>
    <row r="1316" spans="1:5" hidden="1" x14ac:dyDescent="0.25">
      <c r="A1316">
        <v>32</v>
      </c>
      <c r="B1316">
        <v>31</v>
      </c>
      <c r="C1316" t="s">
        <v>32</v>
      </c>
      <c r="D1316" t="s">
        <v>31</v>
      </c>
      <c r="E1316">
        <f t="shared" ca="1" si="20"/>
        <v>0</v>
      </c>
    </row>
    <row r="1317" spans="1:5" hidden="1" x14ac:dyDescent="0.25">
      <c r="A1317">
        <v>32</v>
      </c>
      <c r="B1317">
        <v>32</v>
      </c>
      <c r="C1317" t="s">
        <v>32</v>
      </c>
      <c r="D1317" t="s">
        <v>32</v>
      </c>
      <c r="E1317">
        <f t="shared" ca="1" si="20"/>
        <v>0</v>
      </c>
    </row>
    <row r="1318" spans="1:5" hidden="1" x14ac:dyDescent="0.25">
      <c r="A1318">
        <v>32</v>
      </c>
      <c r="B1318">
        <v>33</v>
      </c>
      <c r="C1318" t="s">
        <v>32</v>
      </c>
      <c r="D1318" t="s">
        <v>33</v>
      </c>
      <c r="E1318">
        <f t="shared" ref="E1318:E1380" ca="1" si="21">OFFSET($B$3,A1318,B1318)</f>
        <v>27.698178289373356</v>
      </c>
    </row>
    <row r="1319" spans="1:5" hidden="1" x14ac:dyDescent="0.25">
      <c r="A1319">
        <v>32</v>
      </c>
      <c r="B1319">
        <v>34</v>
      </c>
      <c r="C1319" t="s">
        <v>32</v>
      </c>
      <c r="D1319" t="s">
        <v>34</v>
      </c>
      <c r="E1319">
        <f t="shared" ca="1" si="21"/>
        <v>28.622622733817803</v>
      </c>
    </row>
    <row r="1320" spans="1:5" hidden="1" x14ac:dyDescent="0.25">
      <c r="A1320">
        <v>32</v>
      </c>
      <c r="B1320">
        <v>35</v>
      </c>
      <c r="C1320" t="s">
        <v>32</v>
      </c>
      <c r="D1320" t="s">
        <v>35</v>
      </c>
      <c r="E1320">
        <f t="shared" ca="1" si="21"/>
        <v>25.672679142765812</v>
      </c>
    </row>
    <row r="1321" spans="1:5" hidden="1" x14ac:dyDescent="0.25">
      <c r="A1321">
        <v>32</v>
      </c>
      <c r="B1321">
        <v>36</v>
      </c>
      <c r="C1321" t="s">
        <v>32</v>
      </c>
      <c r="D1321" t="s">
        <v>36</v>
      </c>
      <c r="E1321">
        <f t="shared" ca="1" si="21"/>
        <v>79.685149153059328</v>
      </c>
    </row>
    <row r="1322" spans="1:5" hidden="1" x14ac:dyDescent="0.25">
      <c r="A1322">
        <v>32</v>
      </c>
      <c r="B1322">
        <v>37</v>
      </c>
      <c r="C1322" t="s">
        <v>32</v>
      </c>
      <c r="D1322" t="s">
        <v>37</v>
      </c>
      <c r="E1322">
        <f t="shared" ca="1" si="21"/>
        <v>92.055560804945571</v>
      </c>
    </row>
    <row r="1323" spans="1:5" hidden="1" x14ac:dyDescent="0.25">
      <c r="A1323">
        <v>32</v>
      </c>
      <c r="B1323">
        <v>38</v>
      </c>
      <c r="C1323" t="s">
        <v>32</v>
      </c>
      <c r="D1323" t="s">
        <v>38</v>
      </c>
      <c r="E1323">
        <f t="shared" ca="1" si="21"/>
        <v>79.407371375281542</v>
      </c>
    </row>
    <row r="1324" spans="1:5" hidden="1" x14ac:dyDescent="0.25">
      <c r="A1324">
        <v>32</v>
      </c>
      <c r="B1324">
        <v>39</v>
      </c>
      <c r="C1324" t="s">
        <v>32</v>
      </c>
      <c r="D1324" t="s">
        <v>39</v>
      </c>
      <c r="E1324">
        <f t="shared" ca="1" si="21"/>
        <v>89.281290979260518</v>
      </c>
    </row>
    <row r="1325" spans="1:5" hidden="1" x14ac:dyDescent="0.25">
      <c r="A1325">
        <v>32</v>
      </c>
      <c r="B1325">
        <v>40</v>
      </c>
      <c r="C1325" t="s">
        <v>32</v>
      </c>
      <c r="D1325" t="s">
        <v>40</v>
      </c>
      <c r="E1325">
        <f t="shared" ca="1" si="21"/>
        <v>91.455560804945577</v>
      </c>
    </row>
    <row r="1326" spans="1:5" hidden="1" x14ac:dyDescent="0.25">
      <c r="A1326">
        <v>33</v>
      </c>
      <c r="B1326">
        <v>1</v>
      </c>
      <c r="C1326" t="s">
        <v>33</v>
      </c>
      <c r="D1326" t="s">
        <v>0</v>
      </c>
      <c r="E1326">
        <f t="shared" ca="1" si="21"/>
        <v>18.849199381876993</v>
      </c>
    </row>
    <row r="1327" spans="1:5" hidden="1" x14ac:dyDescent="0.25">
      <c r="A1327">
        <v>33</v>
      </c>
      <c r="B1327">
        <v>2</v>
      </c>
      <c r="C1327" t="s">
        <v>33</v>
      </c>
      <c r="D1327" t="s">
        <v>1</v>
      </c>
      <c r="E1327">
        <f t="shared" ca="1" si="21"/>
        <v>19.226977159654773</v>
      </c>
    </row>
    <row r="1328" spans="1:5" hidden="1" x14ac:dyDescent="0.25">
      <c r="A1328">
        <v>33</v>
      </c>
      <c r="B1328">
        <v>3</v>
      </c>
      <c r="C1328" t="s">
        <v>33</v>
      </c>
      <c r="D1328" t="s">
        <v>2</v>
      </c>
      <c r="E1328">
        <f t="shared" ca="1" si="21"/>
        <v>44.827244351773651</v>
      </c>
    </row>
    <row r="1329" spans="1:5" hidden="1" x14ac:dyDescent="0.25">
      <c r="A1329">
        <v>33</v>
      </c>
      <c r="B1329">
        <v>4</v>
      </c>
      <c r="C1329" t="s">
        <v>33</v>
      </c>
      <c r="D1329" t="s">
        <v>3</v>
      </c>
      <c r="E1329">
        <f t="shared" ca="1" si="21"/>
        <v>25.850527299760696</v>
      </c>
    </row>
    <row r="1330" spans="1:5" hidden="1" x14ac:dyDescent="0.25">
      <c r="A1330">
        <v>33</v>
      </c>
      <c r="B1330">
        <v>5</v>
      </c>
      <c r="C1330" t="s">
        <v>33</v>
      </c>
      <c r="D1330" t="s">
        <v>4</v>
      </c>
      <c r="E1330">
        <f t="shared" ca="1" si="21"/>
        <v>28.039069681253519</v>
      </c>
    </row>
    <row r="1331" spans="1:5" hidden="1" x14ac:dyDescent="0.25">
      <c r="A1331">
        <v>33</v>
      </c>
      <c r="B1331">
        <v>6</v>
      </c>
      <c r="C1331" t="s">
        <v>33</v>
      </c>
      <c r="D1331" t="s">
        <v>5</v>
      </c>
      <c r="E1331">
        <f t="shared" ca="1" si="21"/>
        <v>30.583514125697963</v>
      </c>
    </row>
    <row r="1332" spans="1:5" hidden="1" x14ac:dyDescent="0.25">
      <c r="A1332">
        <v>33</v>
      </c>
      <c r="B1332">
        <v>7</v>
      </c>
      <c r="C1332" t="s">
        <v>33</v>
      </c>
      <c r="D1332" t="s">
        <v>6</v>
      </c>
      <c r="E1332">
        <f t="shared" ca="1" si="21"/>
        <v>28.477958570142405</v>
      </c>
    </row>
    <row r="1333" spans="1:5" hidden="1" x14ac:dyDescent="0.25">
      <c r="A1333">
        <v>33</v>
      </c>
      <c r="B1333">
        <v>8</v>
      </c>
      <c r="C1333" t="s">
        <v>33</v>
      </c>
      <c r="D1333" t="s">
        <v>7</v>
      </c>
      <c r="E1333">
        <f t="shared" ca="1" si="21"/>
        <v>26.003860633094028</v>
      </c>
    </row>
    <row r="1334" spans="1:5" hidden="1" x14ac:dyDescent="0.25">
      <c r="A1334">
        <v>33</v>
      </c>
      <c r="B1334">
        <v>9</v>
      </c>
      <c r="C1334" t="s">
        <v>33</v>
      </c>
      <c r="D1334" t="s">
        <v>148</v>
      </c>
      <c r="E1334">
        <f t="shared" ca="1" si="21"/>
        <v>21.310310492988105</v>
      </c>
    </row>
    <row r="1335" spans="1:5" hidden="1" x14ac:dyDescent="0.25">
      <c r="A1335">
        <v>33</v>
      </c>
      <c r="B1335">
        <v>10</v>
      </c>
      <c r="C1335" t="s">
        <v>33</v>
      </c>
      <c r="D1335" t="s">
        <v>9</v>
      </c>
      <c r="E1335">
        <f t="shared" ca="1" si="21"/>
        <v>29.026847459031295</v>
      </c>
    </row>
    <row r="1336" spans="1:5" hidden="1" x14ac:dyDescent="0.25">
      <c r="A1336">
        <v>33</v>
      </c>
      <c r="B1336">
        <v>11</v>
      </c>
      <c r="C1336" t="s">
        <v>33</v>
      </c>
      <c r="D1336" t="s">
        <v>10</v>
      </c>
      <c r="E1336">
        <f t="shared" ca="1" si="21"/>
        <v>61.741943758211335</v>
      </c>
    </row>
    <row r="1337" spans="1:5" hidden="1" x14ac:dyDescent="0.25">
      <c r="A1337">
        <v>33</v>
      </c>
      <c r="B1337">
        <v>12</v>
      </c>
      <c r="C1337" t="s">
        <v>33</v>
      </c>
      <c r="D1337" t="s">
        <v>11</v>
      </c>
      <c r="E1337">
        <f t="shared" ca="1" si="21"/>
        <v>56.232119211007877</v>
      </c>
    </row>
    <row r="1338" spans="1:5" hidden="1" x14ac:dyDescent="0.25">
      <c r="A1338">
        <v>33</v>
      </c>
      <c r="B1338">
        <v>13</v>
      </c>
      <c r="C1338" t="s">
        <v>33</v>
      </c>
      <c r="D1338" t="s">
        <v>12</v>
      </c>
      <c r="E1338">
        <f t="shared" ca="1" si="21"/>
        <v>55.589655874624619</v>
      </c>
    </row>
    <row r="1339" spans="1:5" hidden="1" x14ac:dyDescent="0.25">
      <c r="A1339">
        <v>33</v>
      </c>
      <c r="B1339">
        <v>14</v>
      </c>
      <c r="C1339" t="s">
        <v>33</v>
      </c>
      <c r="D1339" t="s">
        <v>13</v>
      </c>
      <c r="E1339">
        <f t="shared" ca="1" si="21"/>
        <v>55.091878096846841</v>
      </c>
    </row>
    <row r="1340" spans="1:5" hidden="1" x14ac:dyDescent="0.25">
      <c r="A1340">
        <v>33</v>
      </c>
      <c r="B1340">
        <v>15</v>
      </c>
      <c r="C1340" t="s">
        <v>33</v>
      </c>
      <c r="D1340" t="s">
        <v>14</v>
      </c>
      <c r="E1340">
        <f t="shared" ca="1" si="21"/>
        <v>122.68254850553679</v>
      </c>
    </row>
    <row r="1341" spans="1:5" hidden="1" x14ac:dyDescent="0.25">
      <c r="A1341">
        <v>33</v>
      </c>
      <c r="B1341">
        <v>16</v>
      </c>
      <c r="C1341" t="s">
        <v>33</v>
      </c>
      <c r="D1341" t="s">
        <v>15</v>
      </c>
      <c r="E1341">
        <f t="shared" ca="1" si="21"/>
        <v>121.39575919669669</v>
      </c>
    </row>
    <row r="1342" spans="1:5" hidden="1" x14ac:dyDescent="0.25">
      <c r="A1342">
        <v>33</v>
      </c>
      <c r="B1342">
        <v>17</v>
      </c>
      <c r="C1342" t="s">
        <v>33</v>
      </c>
      <c r="D1342" t="s">
        <v>16</v>
      </c>
      <c r="E1342">
        <f t="shared" ca="1" si="21"/>
        <v>93.895786687077717</v>
      </c>
    </row>
    <row r="1343" spans="1:5" hidden="1" x14ac:dyDescent="0.25">
      <c r="A1343">
        <v>33</v>
      </c>
      <c r="B1343">
        <v>18</v>
      </c>
      <c r="C1343" t="s">
        <v>33</v>
      </c>
      <c r="D1343" t="s">
        <v>17</v>
      </c>
      <c r="E1343">
        <f t="shared" ca="1" si="21"/>
        <v>123.43687030780779</v>
      </c>
    </row>
    <row r="1344" spans="1:5" hidden="1" x14ac:dyDescent="0.25">
      <c r="A1344">
        <v>33</v>
      </c>
      <c r="B1344">
        <v>19</v>
      </c>
      <c r="C1344" t="s">
        <v>33</v>
      </c>
      <c r="D1344" t="s">
        <v>18</v>
      </c>
      <c r="E1344">
        <f t="shared" ca="1" si="21"/>
        <v>28.201937775666295</v>
      </c>
    </row>
    <row r="1345" spans="1:5" hidden="1" x14ac:dyDescent="0.25">
      <c r="A1345">
        <v>33</v>
      </c>
      <c r="B1345">
        <v>20</v>
      </c>
      <c r="C1345" t="s">
        <v>33</v>
      </c>
      <c r="D1345" t="s">
        <v>19</v>
      </c>
      <c r="E1345">
        <f t="shared" ca="1" si="21"/>
        <v>328749.49470085499</v>
      </c>
    </row>
    <row r="1346" spans="1:5" hidden="1" x14ac:dyDescent="0.25">
      <c r="A1346">
        <v>33</v>
      </c>
      <c r="B1346">
        <v>21</v>
      </c>
      <c r="C1346" t="s">
        <v>33</v>
      </c>
      <c r="D1346" t="s">
        <v>20</v>
      </c>
      <c r="E1346">
        <f t="shared" ca="1" si="21"/>
        <v>21.69365599596178</v>
      </c>
    </row>
    <row r="1347" spans="1:5" hidden="1" x14ac:dyDescent="0.25">
      <c r="A1347">
        <v>33</v>
      </c>
      <c r="B1347">
        <v>22</v>
      </c>
      <c r="C1347" t="s">
        <v>33</v>
      </c>
      <c r="D1347" t="s">
        <v>21</v>
      </c>
      <c r="E1347">
        <f t="shared" ca="1" si="21"/>
        <v>52.295953456386073</v>
      </c>
    </row>
    <row r="1348" spans="1:5" hidden="1" x14ac:dyDescent="0.25">
      <c r="A1348">
        <v>33</v>
      </c>
      <c r="B1348">
        <v>23</v>
      </c>
      <c r="C1348" t="s">
        <v>33</v>
      </c>
      <c r="D1348" t="s">
        <v>22</v>
      </c>
      <c r="E1348">
        <f t="shared" ca="1" si="21"/>
        <v>60.996523947775891</v>
      </c>
    </row>
    <row r="1349" spans="1:5" hidden="1" x14ac:dyDescent="0.25">
      <c r="A1349">
        <v>33</v>
      </c>
      <c r="B1349">
        <v>24</v>
      </c>
      <c r="C1349" t="s">
        <v>33</v>
      </c>
      <c r="D1349" t="s">
        <v>23</v>
      </c>
      <c r="E1349">
        <f t="shared" ca="1" si="21"/>
        <v>60.285412836664783</v>
      </c>
    </row>
    <row r="1350" spans="1:5" hidden="1" x14ac:dyDescent="0.25">
      <c r="A1350">
        <v>33</v>
      </c>
      <c r="B1350">
        <v>25</v>
      </c>
      <c r="C1350" t="s">
        <v>33</v>
      </c>
      <c r="D1350" t="s">
        <v>24</v>
      </c>
      <c r="E1350">
        <f t="shared" ca="1" si="21"/>
        <v>58.946523947775894</v>
      </c>
    </row>
    <row r="1351" spans="1:5" hidden="1" x14ac:dyDescent="0.25">
      <c r="A1351">
        <v>33</v>
      </c>
      <c r="B1351">
        <v>26</v>
      </c>
      <c r="C1351" t="s">
        <v>33</v>
      </c>
      <c r="D1351" t="s">
        <v>25</v>
      </c>
      <c r="E1351">
        <f t="shared" ca="1" si="21"/>
        <v>125.38143739442567</v>
      </c>
    </row>
    <row r="1352" spans="1:5" hidden="1" x14ac:dyDescent="0.25">
      <c r="A1352">
        <v>33</v>
      </c>
      <c r="B1352">
        <v>27</v>
      </c>
      <c r="C1352" t="s">
        <v>33</v>
      </c>
      <c r="D1352" t="s">
        <v>145</v>
      </c>
      <c r="E1352">
        <f t="shared" ca="1" si="21"/>
        <v>328750.94136752165</v>
      </c>
    </row>
    <row r="1353" spans="1:5" hidden="1" x14ac:dyDescent="0.25">
      <c r="A1353">
        <v>33</v>
      </c>
      <c r="B1353">
        <v>28</v>
      </c>
      <c r="C1353" t="s">
        <v>33</v>
      </c>
      <c r="D1353" t="s">
        <v>147</v>
      </c>
      <c r="E1353">
        <f t="shared" ca="1" si="21"/>
        <v>52.740397900830516</v>
      </c>
    </row>
    <row r="1354" spans="1:5" hidden="1" x14ac:dyDescent="0.25">
      <c r="A1354">
        <v>33</v>
      </c>
      <c r="B1354">
        <v>29</v>
      </c>
      <c r="C1354" t="s">
        <v>33</v>
      </c>
      <c r="D1354" t="s">
        <v>146</v>
      </c>
      <c r="E1354">
        <f t="shared" ca="1" si="21"/>
        <v>59.474301725553673</v>
      </c>
    </row>
    <row r="1355" spans="1:5" hidden="1" x14ac:dyDescent="0.25">
      <c r="A1355">
        <v>33</v>
      </c>
      <c r="B1355">
        <v>30</v>
      </c>
      <c r="C1355" t="s">
        <v>33</v>
      </c>
      <c r="D1355" t="s">
        <v>30</v>
      </c>
      <c r="E1355">
        <f t="shared" ca="1" si="21"/>
        <v>27.106082855316252</v>
      </c>
    </row>
    <row r="1356" spans="1:5" hidden="1" x14ac:dyDescent="0.25">
      <c r="A1356">
        <v>33</v>
      </c>
      <c r="B1356">
        <v>31</v>
      </c>
      <c r="C1356" t="s">
        <v>33</v>
      </c>
      <c r="D1356" t="s">
        <v>31</v>
      </c>
      <c r="E1356">
        <f t="shared" ca="1" si="21"/>
        <v>29.005956067151136</v>
      </c>
    </row>
    <row r="1357" spans="1:5" hidden="1" x14ac:dyDescent="0.25">
      <c r="A1357">
        <v>33</v>
      </c>
      <c r="B1357">
        <v>32</v>
      </c>
      <c r="C1357" t="s">
        <v>33</v>
      </c>
      <c r="D1357" t="s">
        <v>32</v>
      </c>
      <c r="E1357">
        <f t="shared" ca="1" si="21"/>
        <v>27.698178289373356</v>
      </c>
    </row>
    <row r="1358" spans="1:5" hidden="1" x14ac:dyDescent="0.25">
      <c r="A1358">
        <v>33</v>
      </c>
      <c r="B1358">
        <v>33</v>
      </c>
      <c r="C1358" t="s">
        <v>33</v>
      </c>
      <c r="D1358" t="s">
        <v>33</v>
      </c>
      <c r="E1358">
        <f t="shared" ca="1" si="21"/>
        <v>0</v>
      </c>
    </row>
    <row r="1359" spans="1:5" hidden="1" x14ac:dyDescent="0.25">
      <c r="A1359">
        <v>33</v>
      </c>
      <c r="B1359">
        <v>34</v>
      </c>
      <c r="C1359" t="s">
        <v>33</v>
      </c>
      <c r="D1359" t="s">
        <v>34</v>
      </c>
      <c r="E1359">
        <f t="shared" ca="1" si="21"/>
        <v>0</v>
      </c>
    </row>
    <row r="1360" spans="1:5" hidden="1" x14ac:dyDescent="0.25">
      <c r="A1360">
        <v>33</v>
      </c>
      <c r="B1360">
        <v>35</v>
      </c>
      <c r="C1360" t="s">
        <v>33</v>
      </c>
      <c r="D1360" t="s">
        <v>35</v>
      </c>
      <c r="E1360">
        <f t="shared" ca="1" si="21"/>
        <v>19.469199381876994</v>
      </c>
    </row>
    <row r="1361" spans="1:5" hidden="1" x14ac:dyDescent="0.25">
      <c r="A1361">
        <v>33</v>
      </c>
      <c r="B1361">
        <v>36</v>
      </c>
      <c r="C1361" t="s">
        <v>33</v>
      </c>
      <c r="D1361" t="s">
        <v>36</v>
      </c>
      <c r="E1361">
        <f t="shared" ca="1" si="21"/>
        <v>72.063602078641139</v>
      </c>
    </row>
    <row r="1362" spans="1:5" hidden="1" x14ac:dyDescent="0.25">
      <c r="A1362">
        <v>33</v>
      </c>
      <c r="B1362">
        <v>37</v>
      </c>
      <c r="C1362" t="s">
        <v>33</v>
      </c>
      <c r="D1362" t="s">
        <v>37</v>
      </c>
      <c r="E1362">
        <f t="shared" ca="1" si="21"/>
        <v>84.885747155358501</v>
      </c>
    </row>
    <row r="1363" spans="1:5" hidden="1" x14ac:dyDescent="0.25">
      <c r="A1363">
        <v>33</v>
      </c>
      <c r="B1363">
        <v>38</v>
      </c>
      <c r="C1363" t="s">
        <v>33</v>
      </c>
      <c r="D1363" t="s">
        <v>38</v>
      </c>
      <c r="E1363">
        <f t="shared" ca="1" si="21"/>
        <v>71.785824300863368</v>
      </c>
    </row>
    <row r="1364" spans="1:5" hidden="1" x14ac:dyDescent="0.25">
      <c r="A1364">
        <v>33</v>
      </c>
      <c r="B1364">
        <v>39</v>
      </c>
      <c r="C1364" t="s">
        <v>33</v>
      </c>
      <c r="D1364" t="s">
        <v>39</v>
      </c>
      <c r="E1364">
        <f t="shared" ca="1" si="21"/>
        <v>80.633422906109232</v>
      </c>
    </row>
    <row r="1365" spans="1:5" hidden="1" x14ac:dyDescent="0.25">
      <c r="A1365">
        <v>33</v>
      </c>
      <c r="B1365">
        <v>40</v>
      </c>
      <c r="C1365" t="s">
        <v>33</v>
      </c>
      <c r="D1365" t="s">
        <v>40</v>
      </c>
      <c r="E1365">
        <f t="shared" ca="1" si="21"/>
        <v>84.285747155358493</v>
      </c>
    </row>
    <row r="1366" spans="1:5" hidden="1" x14ac:dyDescent="0.25">
      <c r="A1366">
        <v>34</v>
      </c>
      <c r="B1366">
        <v>1</v>
      </c>
      <c r="C1366" t="s">
        <v>34</v>
      </c>
      <c r="D1366" t="s">
        <v>0</v>
      </c>
      <c r="E1366">
        <f t="shared" ca="1" si="21"/>
        <v>19.77364382632144</v>
      </c>
    </row>
    <row r="1367" spans="1:5" hidden="1" x14ac:dyDescent="0.25">
      <c r="A1367">
        <v>34</v>
      </c>
      <c r="B1367">
        <v>2</v>
      </c>
      <c r="C1367" t="s">
        <v>34</v>
      </c>
      <c r="D1367" t="s">
        <v>1</v>
      </c>
      <c r="E1367">
        <f t="shared" ca="1" si="21"/>
        <v>20.151421604099216</v>
      </c>
    </row>
    <row r="1368" spans="1:5" hidden="1" x14ac:dyDescent="0.25">
      <c r="A1368">
        <v>34</v>
      </c>
      <c r="B1368">
        <v>3</v>
      </c>
      <c r="C1368" t="s">
        <v>34</v>
      </c>
      <c r="D1368" t="s">
        <v>2</v>
      </c>
      <c r="E1368">
        <f t="shared" ca="1" si="21"/>
        <v>45.751688796218097</v>
      </c>
    </row>
    <row r="1369" spans="1:5" hidden="1" x14ac:dyDescent="0.25">
      <c r="A1369">
        <v>34</v>
      </c>
      <c r="B1369">
        <v>4</v>
      </c>
      <c r="C1369" t="s">
        <v>34</v>
      </c>
      <c r="D1369" t="s">
        <v>3</v>
      </c>
      <c r="E1369">
        <f t="shared" ca="1" si="21"/>
        <v>26.774971744205139</v>
      </c>
    </row>
    <row r="1370" spans="1:5" hidden="1" x14ac:dyDescent="0.25">
      <c r="A1370">
        <v>34</v>
      </c>
      <c r="B1370">
        <v>5</v>
      </c>
      <c r="C1370" t="s">
        <v>34</v>
      </c>
      <c r="D1370" t="s">
        <v>4</v>
      </c>
      <c r="E1370">
        <f t="shared" ca="1" si="21"/>
        <v>28.963514125697962</v>
      </c>
    </row>
    <row r="1371" spans="1:5" hidden="1" x14ac:dyDescent="0.25">
      <c r="A1371">
        <v>34</v>
      </c>
      <c r="B1371">
        <v>6</v>
      </c>
      <c r="C1371" t="s">
        <v>34</v>
      </c>
      <c r="D1371" t="s">
        <v>5</v>
      </c>
      <c r="E1371">
        <f t="shared" ca="1" si="21"/>
        <v>31.507958570142407</v>
      </c>
    </row>
    <row r="1372" spans="1:5" hidden="1" x14ac:dyDescent="0.25">
      <c r="A1372">
        <v>34</v>
      </c>
      <c r="B1372">
        <v>7</v>
      </c>
      <c r="C1372" t="s">
        <v>34</v>
      </c>
      <c r="D1372" t="s">
        <v>6</v>
      </c>
      <c r="E1372">
        <f t="shared" ca="1" si="21"/>
        <v>29.402403014586852</v>
      </c>
    </row>
    <row r="1373" spans="1:5" hidden="1" x14ac:dyDescent="0.25">
      <c r="A1373">
        <v>34</v>
      </c>
      <c r="B1373">
        <v>8</v>
      </c>
      <c r="C1373" t="s">
        <v>34</v>
      </c>
      <c r="D1373" t="s">
        <v>7</v>
      </c>
      <c r="E1373">
        <f t="shared" ca="1" si="21"/>
        <v>26.928305077538475</v>
      </c>
    </row>
    <row r="1374" spans="1:5" hidden="1" x14ac:dyDescent="0.25">
      <c r="A1374">
        <v>34</v>
      </c>
      <c r="B1374">
        <v>9</v>
      </c>
      <c r="C1374" t="s">
        <v>34</v>
      </c>
      <c r="D1374" t="s">
        <v>148</v>
      </c>
      <c r="E1374">
        <f t="shared" ca="1" si="21"/>
        <v>22.234754937432548</v>
      </c>
    </row>
    <row r="1375" spans="1:5" hidden="1" x14ac:dyDescent="0.25">
      <c r="A1375">
        <v>34</v>
      </c>
      <c r="B1375">
        <v>10</v>
      </c>
      <c r="C1375" t="s">
        <v>34</v>
      </c>
      <c r="D1375" t="s">
        <v>9</v>
      </c>
      <c r="E1375">
        <f t="shared" ca="1" si="21"/>
        <v>29.951291903475742</v>
      </c>
    </row>
    <row r="1376" spans="1:5" hidden="1" x14ac:dyDescent="0.25">
      <c r="A1376">
        <v>34</v>
      </c>
      <c r="B1376">
        <v>11</v>
      </c>
      <c r="C1376" t="s">
        <v>34</v>
      </c>
      <c r="D1376" t="s">
        <v>10</v>
      </c>
      <c r="E1376">
        <f t="shared" ca="1" si="21"/>
        <v>62.666388202655774</v>
      </c>
    </row>
    <row r="1377" spans="1:5" hidden="1" x14ac:dyDescent="0.25">
      <c r="A1377">
        <v>34</v>
      </c>
      <c r="B1377">
        <v>12</v>
      </c>
      <c r="C1377" t="s">
        <v>34</v>
      </c>
      <c r="D1377" t="s">
        <v>11</v>
      </c>
      <c r="E1377">
        <f t="shared" ca="1" si="21"/>
        <v>57.156563655452324</v>
      </c>
    </row>
    <row r="1378" spans="1:5" hidden="1" x14ac:dyDescent="0.25">
      <c r="A1378">
        <v>34</v>
      </c>
      <c r="B1378">
        <v>13</v>
      </c>
      <c r="C1378" t="s">
        <v>34</v>
      </c>
      <c r="D1378" t="s">
        <v>12</v>
      </c>
      <c r="E1378">
        <f t="shared" ca="1" si="21"/>
        <v>56.514100319069065</v>
      </c>
    </row>
    <row r="1379" spans="1:5" hidden="1" x14ac:dyDescent="0.25">
      <c r="A1379">
        <v>34</v>
      </c>
      <c r="B1379">
        <v>14</v>
      </c>
      <c r="C1379" t="s">
        <v>34</v>
      </c>
      <c r="D1379" t="s">
        <v>13</v>
      </c>
      <c r="E1379">
        <f t="shared" ca="1" si="21"/>
        <v>56.016322541291288</v>
      </c>
    </row>
    <row r="1380" spans="1:5" hidden="1" x14ac:dyDescent="0.25">
      <c r="A1380">
        <v>34</v>
      </c>
      <c r="B1380">
        <v>15</v>
      </c>
      <c r="C1380" t="s">
        <v>34</v>
      </c>
      <c r="D1380" t="s">
        <v>14</v>
      </c>
      <c r="E1380">
        <f t="shared" ca="1" si="21"/>
        <v>123.60699294998123</v>
      </c>
    </row>
    <row r="1381" spans="1:5" hidden="1" x14ac:dyDescent="0.25">
      <c r="A1381">
        <v>34</v>
      </c>
      <c r="B1381">
        <v>16</v>
      </c>
      <c r="C1381" t="s">
        <v>34</v>
      </c>
      <c r="D1381" t="s">
        <v>15</v>
      </c>
      <c r="E1381">
        <f t="shared" ref="E1381:E1442" ca="1" si="22">OFFSET($B$3,A1381,B1381)</f>
        <v>122.32020364114113</v>
      </c>
    </row>
    <row r="1382" spans="1:5" hidden="1" x14ac:dyDescent="0.25">
      <c r="A1382">
        <v>34</v>
      </c>
      <c r="B1382">
        <v>17</v>
      </c>
      <c r="C1382" t="s">
        <v>34</v>
      </c>
      <c r="D1382" t="s">
        <v>16</v>
      </c>
      <c r="E1382">
        <f t="shared" ca="1" si="22"/>
        <v>94.820231131522164</v>
      </c>
    </row>
    <row r="1383" spans="1:5" hidden="1" x14ac:dyDescent="0.25">
      <c r="A1383">
        <v>34</v>
      </c>
      <c r="B1383">
        <v>18</v>
      </c>
      <c r="C1383" t="s">
        <v>34</v>
      </c>
      <c r="D1383" t="s">
        <v>17</v>
      </c>
      <c r="E1383">
        <f t="shared" ca="1" si="22"/>
        <v>124.36131475225224</v>
      </c>
    </row>
    <row r="1384" spans="1:5" hidden="1" x14ac:dyDescent="0.25">
      <c r="A1384">
        <v>34</v>
      </c>
      <c r="B1384">
        <v>19</v>
      </c>
      <c r="C1384" t="s">
        <v>34</v>
      </c>
      <c r="D1384" t="s">
        <v>18</v>
      </c>
      <c r="E1384">
        <f t="shared" ca="1" si="22"/>
        <v>29.126382220110738</v>
      </c>
    </row>
    <row r="1385" spans="1:5" hidden="1" x14ac:dyDescent="0.25">
      <c r="A1385">
        <v>34</v>
      </c>
      <c r="B1385">
        <v>20</v>
      </c>
      <c r="C1385" t="s">
        <v>34</v>
      </c>
      <c r="D1385" t="s">
        <v>19</v>
      </c>
      <c r="E1385">
        <f t="shared" ca="1" si="22"/>
        <v>328750.41914529947</v>
      </c>
    </row>
    <row r="1386" spans="1:5" hidden="1" x14ac:dyDescent="0.25">
      <c r="A1386">
        <v>34</v>
      </c>
      <c r="B1386">
        <v>21</v>
      </c>
      <c r="C1386" t="s">
        <v>34</v>
      </c>
      <c r="D1386" t="s">
        <v>20</v>
      </c>
      <c r="E1386">
        <f t="shared" ca="1" si="22"/>
        <v>22.618100440406227</v>
      </c>
    </row>
    <row r="1387" spans="1:5" hidden="1" x14ac:dyDescent="0.25">
      <c r="A1387">
        <v>34</v>
      </c>
      <c r="B1387">
        <v>22</v>
      </c>
      <c r="C1387" t="s">
        <v>34</v>
      </c>
      <c r="D1387" t="s">
        <v>21</v>
      </c>
      <c r="E1387">
        <f t="shared" ca="1" si="22"/>
        <v>53.220397900830513</v>
      </c>
    </row>
    <row r="1388" spans="1:5" hidden="1" x14ac:dyDescent="0.25">
      <c r="A1388">
        <v>34</v>
      </c>
      <c r="B1388">
        <v>23</v>
      </c>
      <c r="C1388" t="s">
        <v>34</v>
      </c>
      <c r="D1388" t="s">
        <v>22</v>
      </c>
      <c r="E1388">
        <f t="shared" ca="1" si="22"/>
        <v>61.920968392220338</v>
      </c>
    </row>
    <row r="1389" spans="1:5" hidden="1" x14ac:dyDescent="0.25">
      <c r="A1389">
        <v>34</v>
      </c>
      <c r="B1389">
        <v>24</v>
      </c>
      <c r="C1389" t="s">
        <v>34</v>
      </c>
      <c r="D1389" t="s">
        <v>23</v>
      </c>
      <c r="E1389">
        <f t="shared" ca="1" si="22"/>
        <v>61.20985728110923</v>
      </c>
    </row>
    <row r="1390" spans="1:5" hidden="1" x14ac:dyDescent="0.25">
      <c r="A1390">
        <v>34</v>
      </c>
      <c r="B1390">
        <v>25</v>
      </c>
      <c r="C1390" t="s">
        <v>34</v>
      </c>
      <c r="D1390" t="s">
        <v>24</v>
      </c>
      <c r="E1390">
        <f t="shared" ca="1" si="22"/>
        <v>59.870968392220341</v>
      </c>
    </row>
    <row r="1391" spans="1:5" hidden="1" x14ac:dyDescent="0.25">
      <c r="A1391">
        <v>34</v>
      </c>
      <c r="B1391">
        <v>26</v>
      </c>
      <c r="C1391" t="s">
        <v>34</v>
      </c>
      <c r="D1391" t="s">
        <v>25</v>
      </c>
      <c r="E1391">
        <f t="shared" ca="1" si="22"/>
        <v>126.30588183887012</v>
      </c>
    </row>
    <row r="1392" spans="1:5" hidden="1" x14ac:dyDescent="0.25">
      <c r="A1392">
        <v>34</v>
      </c>
      <c r="B1392">
        <v>27</v>
      </c>
      <c r="C1392" t="s">
        <v>34</v>
      </c>
      <c r="D1392" t="s">
        <v>145</v>
      </c>
      <c r="E1392">
        <f t="shared" ca="1" si="22"/>
        <v>328751.86581196613</v>
      </c>
    </row>
    <row r="1393" spans="1:5" hidden="1" x14ac:dyDescent="0.25">
      <c r="A1393">
        <v>34</v>
      </c>
      <c r="B1393">
        <v>28</v>
      </c>
      <c r="C1393" t="s">
        <v>34</v>
      </c>
      <c r="D1393" t="s">
        <v>147</v>
      </c>
      <c r="E1393">
        <f t="shared" ca="1" si="22"/>
        <v>53.664842345274963</v>
      </c>
    </row>
    <row r="1394" spans="1:5" hidden="1" x14ac:dyDescent="0.25">
      <c r="A1394">
        <v>34</v>
      </c>
      <c r="B1394">
        <v>29</v>
      </c>
      <c r="C1394" t="s">
        <v>34</v>
      </c>
      <c r="D1394" t="s">
        <v>146</v>
      </c>
      <c r="E1394">
        <f t="shared" ca="1" si="22"/>
        <v>60.39874616999812</v>
      </c>
    </row>
    <row r="1395" spans="1:5" hidden="1" x14ac:dyDescent="0.25">
      <c r="A1395">
        <v>34</v>
      </c>
      <c r="B1395">
        <v>30</v>
      </c>
      <c r="C1395" t="s">
        <v>34</v>
      </c>
      <c r="D1395" t="s">
        <v>30</v>
      </c>
      <c r="E1395">
        <f t="shared" ca="1" si="22"/>
        <v>28.030527299760696</v>
      </c>
    </row>
    <row r="1396" spans="1:5" hidden="1" x14ac:dyDescent="0.25">
      <c r="A1396">
        <v>34</v>
      </c>
      <c r="B1396">
        <v>31</v>
      </c>
      <c r="C1396" t="s">
        <v>34</v>
      </c>
      <c r="D1396" t="s">
        <v>31</v>
      </c>
      <c r="E1396">
        <f t="shared" ca="1" si="22"/>
        <v>29.930400511595579</v>
      </c>
    </row>
    <row r="1397" spans="1:5" hidden="1" x14ac:dyDescent="0.25">
      <c r="A1397">
        <v>34</v>
      </c>
      <c r="B1397">
        <v>32</v>
      </c>
      <c r="C1397" t="s">
        <v>34</v>
      </c>
      <c r="D1397" t="s">
        <v>32</v>
      </c>
      <c r="E1397">
        <f t="shared" ca="1" si="22"/>
        <v>28.622622733817803</v>
      </c>
    </row>
    <row r="1398" spans="1:5" hidden="1" x14ac:dyDescent="0.25">
      <c r="A1398">
        <v>34</v>
      </c>
      <c r="B1398">
        <v>33</v>
      </c>
      <c r="C1398" t="s">
        <v>34</v>
      </c>
      <c r="D1398" t="s">
        <v>33</v>
      </c>
      <c r="E1398">
        <f t="shared" ca="1" si="22"/>
        <v>0</v>
      </c>
    </row>
    <row r="1399" spans="1:5" hidden="1" x14ac:dyDescent="0.25">
      <c r="A1399">
        <v>34</v>
      </c>
      <c r="B1399">
        <v>34</v>
      </c>
      <c r="C1399" t="s">
        <v>34</v>
      </c>
      <c r="D1399" t="s">
        <v>34</v>
      </c>
      <c r="E1399">
        <f t="shared" ca="1" si="22"/>
        <v>0</v>
      </c>
    </row>
    <row r="1400" spans="1:5" hidden="1" x14ac:dyDescent="0.25">
      <c r="A1400">
        <v>34</v>
      </c>
      <c r="B1400">
        <v>35</v>
      </c>
      <c r="C1400" t="s">
        <v>34</v>
      </c>
      <c r="D1400" t="s">
        <v>35</v>
      </c>
      <c r="E1400">
        <f t="shared" ca="1" si="22"/>
        <v>20.393643826321437</v>
      </c>
    </row>
    <row r="1401" spans="1:5" hidden="1" x14ac:dyDescent="0.25">
      <c r="A1401">
        <v>34</v>
      </c>
      <c r="B1401">
        <v>36</v>
      </c>
      <c r="C1401" t="s">
        <v>34</v>
      </c>
      <c r="D1401" t="s">
        <v>36</v>
      </c>
      <c r="E1401">
        <f t="shared" ca="1" si="22"/>
        <v>72.988046523085586</v>
      </c>
    </row>
    <row r="1402" spans="1:5" hidden="1" x14ac:dyDescent="0.25">
      <c r="A1402">
        <v>34</v>
      </c>
      <c r="B1402">
        <v>37</v>
      </c>
      <c r="C1402" t="s">
        <v>34</v>
      </c>
      <c r="D1402" t="s">
        <v>37</v>
      </c>
      <c r="E1402">
        <f t="shared" ca="1" si="22"/>
        <v>85.810191599802934</v>
      </c>
    </row>
    <row r="1403" spans="1:5" hidden="1" x14ac:dyDescent="0.25">
      <c r="A1403">
        <v>34</v>
      </c>
      <c r="B1403">
        <v>38</v>
      </c>
      <c r="C1403" t="s">
        <v>34</v>
      </c>
      <c r="D1403" t="s">
        <v>38</v>
      </c>
      <c r="E1403">
        <f t="shared" ca="1" si="22"/>
        <v>72.7102687453078</v>
      </c>
    </row>
    <row r="1404" spans="1:5" hidden="1" x14ac:dyDescent="0.25">
      <c r="A1404">
        <v>34</v>
      </c>
      <c r="B1404">
        <v>39</v>
      </c>
      <c r="C1404" t="s">
        <v>34</v>
      </c>
      <c r="D1404" t="s">
        <v>39</v>
      </c>
      <c r="E1404">
        <f t="shared" ca="1" si="22"/>
        <v>81.557867350553678</v>
      </c>
    </row>
    <row r="1405" spans="1:5" hidden="1" x14ac:dyDescent="0.25">
      <c r="A1405">
        <v>34</v>
      </c>
      <c r="B1405">
        <v>40</v>
      </c>
      <c r="C1405" t="s">
        <v>34</v>
      </c>
      <c r="D1405" t="s">
        <v>40</v>
      </c>
      <c r="E1405">
        <f t="shared" ca="1" si="22"/>
        <v>85.21019159980294</v>
      </c>
    </row>
    <row r="1406" spans="1:5" hidden="1" x14ac:dyDescent="0.25">
      <c r="A1406">
        <v>35</v>
      </c>
      <c r="B1406">
        <v>1</v>
      </c>
      <c r="C1406" t="s">
        <v>35</v>
      </c>
      <c r="D1406" t="s">
        <v>0</v>
      </c>
      <c r="E1406">
        <f t="shared" ca="1" si="22"/>
        <v>0</v>
      </c>
    </row>
    <row r="1407" spans="1:5" hidden="1" x14ac:dyDescent="0.25">
      <c r="A1407">
        <v>35</v>
      </c>
      <c r="B1407">
        <v>2</v>
      </c>
      <c r="C1407" t="s">
        <v>35</v>
      </c>
      <c r="D1407" t="s">
        <v>1</v>
      </c>
      <c r="E1407">
        <f t="shared" ca="1" si="22"/>
        <v>0</v>
      </c>
    </row>
    <row r="1408" spans="1:5" hidden="1" x14ac:dyDescent="0.25">
      <c r="A1408">
        <v>35</v>
      </c>
      <c r="B1408">
        <v>3</v>
      </c>
      <c r="C1408" t="s">
        <v>35</v>
      </c>
      <c r="D1408" t="s">
        <v>2</v>
      </c>
      <c r="E1408">
        <f t="shared" ca="1" si="22"/>
        <v>20.165737809464737</v>
      </c>
    </row>
    <row r="1409" spans="1:5" hidden="1" x14ac:dyDescent="0.25">
      <c r="A1409">
        <v>35</v>
      </c>
      <c r="B1409">
        <v>4</v>
      </c>
      <c r="C1409" t="s">
        <v>35</v>
      </c>
      <c r="D1409" t="s">
        <v>3</v>
      </c>
      <c r="E1409">
        <f t="shared" ca="1" si="22"/>
        <v>31.921570660015487</v>
      </c>
    </row>
    <row r="1410" spans="1:5" hidden="1" x14ac:dyDescent="0.25">
      <c r="A1410">
        <v>35</v>
      </c>
      <c r="B1410">
        <v>5</v>
      </c>
      <c r="C1410" t="s">
        <v>35</v>
      </c>
      <c r="D1410" t="s">
        <v>4</v>
      </c>
      <c r="E1410">
        <f t="shared" ca="1" si="22"/>
        <v>31.900547182925113</v>
      </c>
    </row>
    <row r="1411" spans="1:5" hidden="1" x14ac:dyDescent="0.25">
      <c r="A1411">
        <v>35</v>
      </c>
      <c r="B1411">
        <v>6</v>
      </c>
      <c r="C1411" t="s">
        <v>35</v>
      </c>
      <c r="D1411" t="s">
        <v>5</v>
      </c>
      <c r="E1411">
        <f t="shared" ca="1" si="22"/>
        <v>34.444991627369561</v>
      </c>
    </row>
    <row r="1412" spans="1:5" hidden="1" x14ac:dyDescent="0.25">
      <c r="A1412">
        <v>35</v>
      </c>
      <c r="B1412">
        <v>7</v>
      </c>
      <c r="C1412" t="s">
        <v>35</v>
      </c>
      <c r="D1412" t="s">
        <v>6</v>
      </c>
      <c r="E1412">
        <f t="shared" ca="1" si="22"/>
        <v>32.339436071814006</v>
      </c>
    </row>
    <row r="1413" spans="1:5" hidden="1" x14ac:dyDescent="0.25">
      <c r="A1413">
        <v>35</v>
      </c>
      <c r="B1413">
        <v>8</v>
      </c>
      <c r="C1413" t="s">
        <v>35</v>
      </c>
      <c r="D1413" t="s">
        <v>7</v>
      </c>
      <c r="E1413">
        <f t="shared" ca="1" si="22"/>
        <v>32.074903993348819</v>
      </c>
    </row>
    <row r="1414" spans="1:5" hidden="1" x14ac:dyDescent="0.25">
      <c r="A1414">
        <v>35</v>
      </c>
      <c r="B1414">
        <v>9</v>
      </c>
      <c r="C1414" t="s">
        <v>35</v>
      </c>
      <c r="D1414" t="s">
        <v>148</v>
      </c>
      <c r="E1414">
        <f t="shared" ca="1" si="22"/>
        <v>0</v>
      </c>
    </row>
    <row r="1415" spans="1:5" hidden="1" x14ac:dyDescent="0.25">
      <c r="A1415">
        <v>35</v>
      </c>
      <c r="B1415">
        <v>10</v>
      </c>
      <c r="C1415" t="s">
        <v>35</v>
      </c>
      <c r="D1415" t="s">
        <v>9</v>
      </c>
      <c r="E1415">
        <f t="shared" ca="1" si="22"/>
        <v>32.888324960702889</v>
      </c>
    </row>
    <row r="1416" spans="1:5" hidden="1" x14ac:dyDescent="0.25">
      <c r="A1416">
        <v>35</v>
      </c>
      <c r="B1416">
        <v>11</v>
      </c>
      <c r="C1416" t="s">
        <v>35</v>
      </c>
      <c r="D1416" t="s">
        <v>10</v>
      </c>
      <c r="E1416">
        <f t="shared" ca="1" si="22"/>
        <v>62.103080846471464</v>
      </c>
    </row>
    <row r="1417" spans="1:5" hidden="1" x14ac:dyDescent="0.25">
      <c r="A1417">
        <v>35</v>
      </c>
      <c r="B1417">
        <v>12</v>
      </c>
      <c r="C1417" t="s">
        <v>35</v>
      </c>
      <c r="D1417" t="s">
        <v>11</v>
      </c>
      <c r="E1417">
        <f t="shared" ca="1" si="22"/>
        <v>57.459622299056868</v>
      </c>
    </row>
    <row r="1418" spans="1:5" hidden="1" x14ac:dyDescent="0.25">
      <c r="A1418">
        <v>35</v>
      </c>
      <c r="B1418">
        <v>13</v>
      </c>
      <c r="C1418" t="s">
        <v>35</v>
      </c>
      <c r="D1418" t="s">
        <v>12</v>
      </c>
      <c r="E1418">
        <f t="shared" ca="1" si="22"/>
        <v>53.92434989383915</v>
      </c>
    </row>
    <row r="1419" spans="1:5" hidden="1" x14ac:dyDescent="0.25">
      <c r="A1419">
        <v>35</v>
      </c>
      <c r="B1419">
        <v>14</v>
      </c>
      <c r="C1419" t="s">
        <v>35</v>
      </c>
      <c r="D1419" t="s">
        <v>13</v>
      </c>
      <c r="E1419">
        <f t="shared" ca="1" si="22"/>
        <v>53.426572116061372</v>
      </c>
    </row>
    <row r="1420" spans="1:5" hidden="1" x14ac:dyDescent="0.25">
      <c r="A1420">
        <v>35</v>
      </c>
      <c r="B1420">
        <v>15</v>
      </c>
      <c r="C1420" t="s">
        <v>35</v>
      </c>
      <c r="D1420" t="s">
        <v>14</v>
      </c>
      <c r="E1420">
        <f t="shared" ca="1" si="22"/>
        <v>117.02072294951201</v>
      </c>
    </row>
    <row r="1421" spans="1:5" hidden="1" x14ac:dyDescent="0.25">
      <c r="A1421">
        <v>35</v>
      </c>
      <c r="B1421">
        <v>16</v>
      </c>
      <c r="C1421" t="s">
        <v>35</v>
      </c>
      <c r="D1421" t="s">
        <v>15</v>
      </c>
      <c r="E1421">
        <f t="shared" ca="1" si="22"/>
        <v>113.73647470908409</v>
      </c>
    </row>
    <row r="1422" spans="1:5" hidden="1" x14ac:dyDescent="0.25">
      <c r="A1422">
        <v>35</v>
      </c>
      <c r="B1422">
        <v>17</v>
      </c>
      <c r="C1422" t="s">
        <v>35</v>
      </c>
      <c r="D1422" t="s">
        <v>16</v>
      </c>
      <c r="E1422">
        <f t="shared" ca="1" si="22"/>
        <v>94.131376108530404</v>
      </c>
    </row>
    <row r="1423" spans="1:5" hidden="1" x14ac:dyDescent="0.25">
      <c r="A1423">
        <v>35</v>
      </c>
      <c r="B1423">
        <v>18</v>
      </c>
      <c r="C1423" t="s">
        <v>35</v>
      </c>
      <c r="D1423" t="s">
        <v>17</v>
      </c>
      <c r="E1423">
        <f t="shared" ca="1" si="22"/>
        <v>115.7775858201952</v>
      </c>
    </row>
    <row r="1424" spans="1:5" hidden="1" x14ac:dyDescent="0.25">
      <c r="A1424">
        <v>35</v>
      </c>
      <c r="B1424">
        <v>19</v>
      </c>
      <c r="C1424" t="s">
        <v>35</v>
      </c>
      <c r="D1424" t="s">
        <v>18</v>
      </c>
      <c r="E1424">
        <f t="shared" ca="1" si="22"/>
        <v>27.301948319901935</v>
      </c>
    </row>
    <row r="1425" spans="1:5" hidden="1" x14ac:dyDescent="0.25">
      <c r="A1425">
        <v>35</v>
      </c>
      <c r="B1425">
        <v>20</v>
      </c>
      <c r="C1425" t="s">
        <v>35</v>
      </c>
      <c r="D1425" t="s">
        <v>19</v>
      </c>
      <c r="E1425">
        <f t="shared" ca="1" si="22"/>
        <v>26.513622900243995</v>
      </c>
    </row>
    <row r="1426" spans="1:5" hidden="1" x14ac:dyDescent="0.25">
      <c r="A1426">
        <v>35</v>
      </c>
      <c r="B1426">
        <v>21</v>
      </c>
      <c r="C1426" t="s">
        <v>35</v>
      </c>
      <c r="D1426" t="s">
        <v>20</v>
      </c>
      <c r="E1426">
        <f t="shared" ca="1" si="22"/>
        <v>19.443466218965547</v>
      </c>
    </row>
    <row r="1427" spans="1:5" hidden="1" x14ac:dyDescent="0.25">
      <c r="A1427">
        <v>35</v>
      </c>
      <c r="B1427">
        <v>22</v>
      </c>
      <c r="C1427" t="s">
        <v>35</v>
      </c>
      <c r="D1427" t="s">
        <v>21</v>
      </c>
      <c r="E1427">
        <f t="shared" ca="1" si="22"/>
        <v>37.625168374917884</v>
      </c>
    </row>
    <row r="1428" spans="1:5" hidden="1" x14ac:dyDescent="0.25">
      <c r="A1428">
        <v>35</v>
      </c>
      <c r="B1428">
        <v>23</v>
      </c>
      <c r="C1428" t="s">
        <v>35</v>
      </c>
      <c r="D1428" t="s">
        <v>22</v>
      </c>
      <c r="E1428">
        <f t="shared" ca="1" si="22"/>
        <v>54.0217144214527</v>
      </c>
    </row>
    <row r="1429" spans="1:5" hidden="1" x14ac:dyDescent="0.25">
      <c r="A1429">
        <v>35</v>
      </c>
      <c r="B1429">
        <v>24</v>
      </c>
      <c r="C1429" t="s">
        <v>35</v>
      </c>
      <c r="D1429" t="s">
        <v>23</v>
      </c>
      <c r="E1429">
        <f t="shared" ca="1" si="22"/>
        <v>53.310603310341584</v>
      </c>
    </row>
    <row r="1430" spans="1:5" hidden="1" x14ac:dyDescent="0.25">
      <c r="A1430">
        <v>35</v>
      </c>
      <c r="B1430">
        <v>25</v>
      </c>
      <c r="C1430" t="s">
        <v>35</v>
      </c>
      <c r="D1430" t="s">
        <v>24</v>
      </c>
      <c r="E1430">
        <f t="shared" ca="1" si="22"/>
        <v>51.971714421452695</v>
      </c>
    </row>
    <row r="1431" spans="1:5" hidden="1" x14ac:dyDescent="0.25">
      <c r="A1431">
        <v>35</v>
      </c>
      <c r="B1431">
        <v>26</v>
      </c>
      <c r="C1431" t="s">
        <v>35</v>
      </c>
      <c r="D1431" t="s">
        <v>25</v>
      </c>
      <c r="E1431">
        <f t="shared" ca="1" si="22"/>
        <v>119.71961183840089</v>
      </c>
    </row>
    <row r="1432" spans="1:5" hidden="1" x14ac:dyDescent="0.25">
      <c r="A1432">
        <v>35</v>
      </c>
      <c r="B1432">
        <v>27</v>
      </c>
      <c r="C1432" t="s">
        <v>35</v>
      </c>
      <c r="D1432" t="s">
        <v>145</v>
      </c>
      <c r="E1432">
        <f t="shared" ca="1" si="22"/>
        <v>27.96028956691066</v>
      </c>
    </row>
    <row r="1433" spans="1:5" hidden="1" x14ac:dyDescent="0.25">
      <c r="A1433">
        <v>35</v>
      </c>
      <c r="B1433">
        <v>28</v>
      </c>
      <c r="C1433" t="s">
        <v>35</v>
      </c>
      <c r="D1433" t="s">
        <v>147</v>
      </c>
      <c r="E1433">
        <f t="shared" ca="1" si="22"/>
        <v>68.848642773757419</v>
      </c>
    </row>
    <row r="1434" spans="1:5" hidden="1" x14ac:dyDescent="0.25">
      <c r="A1434">
        <v>35</v>
      </c>
      <c r="B1434">
        <v>29</v>
      </c>
      <c r="C1434" t="s">
        <v>35</v>
      </c>
      <c r="D1434" t="s">
        <v>146</v>
      </c>
      <c r="E1434">
        <f t="shared" ca="1" si="22"/>
        <v>52.499492199230474</v>
      </c>
    </row>
    <row r="1435" spans="1:5" hidden="1" x14ac:dyDescent="0.25">
      <c r="A1435">
        <v>35</v>
      </c>
      <c r="B1435">
        <v>30</v>
      </c>
      <c r="C1435" t="s">
        <v>35</v>
      </c>
      <c r="D1435" t="s">
        <v>30</v>
      </c>
      <c r="E1435">
        <f t="shared" ca="1" si="22"/>
        <v>33.177126215571043</v>
      </c>
    </row>
    <row r="1436" spans="1:5" hidden="1" x14ac:dyDescent="0.25">
      <c r="A1436">
        <v>35</v>
      </c>
      <c r="B1436">
        <v>31</v>
      </c>
      <c r="C1436" t="s">
        <v>35</v>
      </c>
      <c r="D1436" t="s">
        <v>31</v>
      </c>
      <c r="E1436">
        <f t="shared" ca="1" si="22"/>
        <v>26.980456920543588</v>
      </c>
    </row>
    <row r="1437" spans="1:5" hidden="1" x14ac:dyDescent="0.25">
      <c r="A1437">
        <v>35</v>
      </c>
      <c r="B1437">
        <v>32</v>
      </c>
      <c r="C1437" t="s">
        <v>35</v>
      </c>
      <c r="D1437" t="s">
        <v>32</v>
      </c>
      <c r="E1437">
        <f t="shared" ca="1" si="22"/>
        <v>25.672679142765812</v>
      </c>
    </row>
    <row r="1438" spans="1:5" hidden="1" x14ac:dyDescent="0.25">
      <c r="A1438">
        <v>35</v>
      </c>
      <c r="B1438">
        <v>33</v>
      </c>
      <c r="C1438" t="s">
        <v>35</v>
      </c>
      <c r="D1438" t="s">
        <v>33</v>
      </c>
      <c r="E1438">
        <f t="shared" ca="1" si="22"/>
        <v>19.469199381876994</v>
      </c>
    </row>
    <row r="1439" spans="1:5" hidden="1" x14ac:dyDescent="0.25">
      <c r="A1439">
        <v>35</v>
      </c>
      <c r="B1439">
        <v>34</v>
      </c>
      <c r="C1439" t="s">
        <v>35</v>
      </c>
      <c r="D1439" t="s">
        <v>34</v>
      </c>
      <c r="E1439">
        <f t="shared" ca="1" si="22"/>
        <v>20.393643826321437</v>
      </c>
    </row>
    <row r="1440" spans="1:5" hidden="1" x14ac:dyDescent="0.25">
      <c r="A1440">
        <v>35</v>
      </c>
      <c r="B1440">
        <v>35</v>
      </c>
      <c r="C1440" t="s">
        <v>35</v>
      </c>
      <c r="D1440" t="s">
        <v>35</v>
      </c>
      <c r="E1440">
        <f t="shared" ca="1" si="22"/>
        <v>0</v>
      </c>
    </row>
    <row r="1441" spans="1:5" hidden="1" x14ac:dyDescent="0.25">
      <c r="A1441">
        <v>35</v>
      </c>
      <c r="B1441">
        <v>36</v>
      </c>
      <c r="C1441" t="s">
        <v>35</v>
      </c>
      <c r="D1441" t="s">
        <v>36</v>
      </c>
      <c r="E1441">
        <f t="shared" ca="1" si="22"/>
        <v>73.412894818646791</v>
      </c>
    </row>
    <row r="1442" spans="1:5" hidden="1" x14ac:dyDescent="0.25">
      <c r="A1442">
        <v>35</v>
      </c>
      <c r="B1442">
        <v>37</v>
      </c>
      <c r="C1442" t="s">
        <v>35</v>
      </c>
      <c r="D1442" t="s">
        <v>37</v>
      </c>
      <c r="E1442">
        <f t="shared" ca="1" si="22"/>
        <v>85.039556065831448</v>
      </c>
    </row>
    <row r="1443" spans="1:5" hidden="1" x14ac:dyDescent="0.25">
      <c r="A1443">
        <v>35</v>
      </c>
      <c r="B1443">
        <v>38</v>
      </c>
      <c r="C1443" t="s">
        <v>35</v>
      </c>
      <c r="D1443" t="s">
        <v>38</v>
      </c>
      <c r="E1443">
        <f t="shared" ref="E1443:E1505" ca="1" si="23">OFFSET($B$3,A1443,B1443)</f>
        <v>73.135117040869005</v>
      </c>
    </row>
    <row r="1444" spans="1:5" hidden="1" x14ac:dyDescent="0.25">
      <c r="A1444">
        <v>35</v>
      </c>
      <c r="B1444">
        <v>39</v>
      </c>
      <c r="C1444" t="s">
        <v>35</v>
      </c>
      <c r="D1444" t="s">
        <v>39</v>
      </c>
      <c r="E1444">
        <f t="shared" ca="1" si="23"/>
        <v>81.374191839104725</v>
      </c>
    </row>
    <row r="1445" spans="1:5" hidden="1" x14ac:dyDescent="0.25">
      <c r="A1445">
        <v>35</v>
      </c>
      <c r="B1445">
        <v>40</v>
      </c>
      <c r="C1445" t="s">
        <v>35</v>
      </c>
      <c r="D1445" t="s">
        <v>40</v>
      </c>
      <c r="E1445">
        <f t="shared" ca="1" si="23"/>
        <v>84.439556065831454</v>
      </c>
    </row>
    <row r="1446" spans="1:5" hidden="1" x14ac:dyDescent="0.25">
      <c r="A1446">
        <v>36</v>
      </c>
      <c r="B1446">
        <v>1</v>
      </c>
      <c r="C1446" t="s">
        <v>36</v>
      </c>
      <c r="D1446" t="s">
        <v>0</v>
      </c>
      <c r="E1446">
        <f t="shared" ca="1" si="23"/>
        <v>72.792894818646786</v>
      </c>
    </row>
    <row r="1447" spans="1:5" hidden="1" x14ac:dyDescent="0.25">
      <c r="A1447">
        <v>36</v>
      </c>
      <c r="B1447">
        <v>2</v>
      </c>
      <c r="C1447" t="s">
        <v>36</v>
      </c>
      <c r="D1447" t="s">
        <v>1</v>
      </c>
      <c r="E1447">
        <f t="shared" ca="1" si="23"/>
        <v>73.170672596424566</v>
      </c>
    </row>
    <row r="1448" spans="1:5" hidden="1" x14ac:dyDescent="0.25">
      <c r="A1448">
        <v>36</v>
      </c>
      <c r="B1448">
        <v>3</v>
      </c>
      <c r="C1448" t="s">
        <v>36</v>
      </c>
      <c r="D1448" t="s">
        <v>2</v>
      </c>
      <c r="E1448">
        <f t="shared" ca="1" si="23"/>
        <v>65.307741184543914</v>
      </c>
    </row>
    <row r="1449" spans="1:5" hidden="1" x14ac:dyDescent="0.25">
      <c r="A1449">
        <v>36</v>
      </c>
      <c r="B1449">
        <v>4</v>
      </c>
      <c r="C1449" t="s">
        <v>36</v>
      </c>
      <c r="D1449" t="s">
        <v>3</v>
      </c>
      <c r="E1449">
        <f t="shared" ca="1" si="23"/>
        <v>81.339699289132867</v>
      </c>
    </row>
    <row r="1450" spans="1:5" hidden="1" x14ac:dyDescent="0.25">
      <c r="A1450">
        <v>36</v>
      </c>
      <c r="B1450">
        <v>5</v>
      </c>
      <c r="C1450" t="s">
        <v>36</v>
      </c>
      <c r="D1450" t="s">
        <v>4</v>
      </c>
      <c r="E1450">
        <f t="shared" ca="1" si="23"/>
        <v>78.547071016328829</v>
      </c>
    </row>
    <row r="1451" spans="1:5" hidden="1" x14ac:dyDescent="0.25">
      <c r="A1451">
        <v>36</v>
      </c>
      <c r="B1451">
        <v>6</v>
      </c>
      <c r="C1451" t="s">
        <v>36</v>
      </c>
      <c r="D1451" t="s">
        <v>5</v>
      </c>
      <c r="E1451">
        <f t="shared" ca="1" si="23"/>
        <v>81.09151546077328</v>
      </c>
    </row>
    <row r="1452" spans="1:5" hidden="1" x14ac:dyDescent="0.25">
      <c r="A1452">
        <v>36</v>
      </c>
      <c r="B1452">
        <v>7</v>
      </c>
      <c r="C1452" t="s">
        <v>36</v>
      </c>
      <c r="D1452" t="s">
        <v>6</v>
      </c>
      <c r="E1452">
        <f t="shared" ca="1" si="23"/>
        <v>78.985959905217726</v>
      </c>
    </row>
    <row r="1453" spans="1:5" hidden="1" x14ac:dyDescent="0.25">
      <c r="A1453">
        <v>36</v>
      </c>
      <c r="B1453">
        <v>8</v>
      </c>
      <c r="C1453" t="s">
        <v>36</v>
      </c>
      <c r="D1453" t="s">
        <v>7</v>
      </c>
      <c r="E1453">
        <f t="shared" ca="1" si="23"/>
        <v>81.493032622466202</v>
      </c>
    </row>
    <row r="1454" spans="1:5" hidden="1" x14ac:dyDescent="0.25">
      <c r="A1454">
        <v>36</v>
      </c>
      <c r="B1454">
        <v>9</v>
      </c>
      <c r="C1454" t="s">
        <v>36</v>
      </c>
      <c r="D1454" t="s">
        <v>148</v>
      </c>
      <c r="E1454">
        <f t="shared" ca="1" si="23"/>
        <v>75.254005929757895</v>
      </c>
    </row>
    <row r="1455" spans="1:5" hidden="1" x14ac:dyDescent="0.25">
      <c r="A1455">
        <v>36</v>
      </c>
      <c r="B1455">
        <v>10</v>
      </c>
      <c r="C1455" t="s">
        <v>36</v>
      </c>
      <c r="D1455" t="s">
        <v>9</v>
      </c>
      <c r="E1455">
        <f t="shared" ca="1" si="23"/>
        <v>79.534848794106608</v>
      </c>
    </row>
    <row r="1456" spans="1:5" hidden="1" x14ac:dyDescent="0.25">
      <c r="A1456">
        <v>36</v>
      </c>
      <c r="B1456">
        <v>11</v>
      </c>
      <c r="C1456" t="s">
        <v>36</v>
      </c>
      <c r="D1456" t="s">
        <v>10</v>
      </c>
      <c r="E1456">
        <f t="shared" ca="1" si="23"/>
        <v>0</v>
      </c>
    </row>
    <row r="1457" spans="1:5" hidden="1" x14ac:dyDescent="0.25">
      <c r="A1457">
        <v>36</v>
      </c>
      <c r="B1457">
        <v>12</v>
      </c>
      <c r="C1457" t="s">
        <v>36</v>
      </c>
      <c r="D1457" t="s">
        <v>11</v>
      </c>
      <c r="E1457">
        <f t="shared" ca="1" si="23"/>
        <v>28.378812216269008</v>
      </c>
    </row>
    <row r="1458" spans="1:5" hidden="1" x14ac:dyDescent="0.25">
      <c r="A1458">
        <v>36</v>
      </c>
      <c r="B1458">
        <v>13</v>
      </c>
      <c r="C1458" t="s">
        <v>36</v>
      </c>
      <c r="D1458" t="s">
        <v>12</v>
      </c>
      <c r="E1458">
        <f t="shared" ca="1" si="23"/>
        <v>40.80063951940221</v>
      </c>
    </row>
    <row r="1459" spans="1:5" hidden="1" x14ac:dyDescent="0.25">
      <c r="A1459">
        <v>36</v>
      </c>
      <c r="B1459">
        <v>14</v>
      </c>
      <c r="C1459" t="s">
        <v>36</v>
      </c>
      <c r="D1459" t="s">
        <v>13</v>
      </c>
      <c r="E1459">
        <f t="shared" ca="1" si="23"/>
        <v>40.302861741624433</v>
      </c>
    </row>
    <row r="1460" spans="1:5" hidden="1" x14ac:dyDescent="0.25">
      <c r="A1460">
        <v>36</v>
      </c>
      <c r="B1460">
        <v>15</v>
      </c>
      <c r="C1460" t="s">
        <v>36</v>
      </c>
      <c r="D1460" t="s">
        <v>14</v>
      </c>
      <c r="E1460">
        <f t="shared" ca="1" si="23"/>
        <v>71.492831400736662</v>
      </c>
    </row>
    <row r="1461" spans="1:5" hidden="1" x14ac:dyDescent="0.25">
      <c r="A1461">
        <v>36</v>
      </c>
      <c r="B1461">
        <v>16</v>
      </c>
      <c r="C1461" t="s">
        <v>36</v>
      </c>
      <c r="D1461" t="s">
        <v>15</v>
      </c>
      <c r="E1461">
        <f t="shared" ca="1" si="23"/>
        <v>68.430608577327348</v>
      </c>
    </row>
    <row r="1462" spans="1:5" hidden="1" x14ac:dyDescent="0.25">
      <c r="A1462">
        <v>36</v>
      </c>
      <c r="B1462">
        <v>17</v>
      </c>
      <c r="C1462" t="s">
        <v>36</v>
      </c>
      <c r="D1462" t="s">
        <v>16</v>
      </c>
      <c r="E1462">
        <f t="shared" ca="1" si="23"/>
        <v>49.462740559895828</v>
      </c>
    </row>
    <row r="1463" spans="1:5" hidden="1" x14ac:dyDescent="0.25">
      <c r="A1463">
        <v>36</v>
      </c>
      <c r="B1463">
        <v>18</v>
      </c>
      <c r="C1463" t="s">
        <v>36</v>
      </c>
      <c r="D1463" t="s">
        <v>17</v>
      </c>
      <c r="E1463">
        <f t="shared" ca="1" si="23"/>
        <v>70.471719688438455</v>
      </c>
    </row>
    <row r="1464" spans="1:5" hidden="1" x14ac:dyDescent="0.25">
      <c r="A1464">
        <v>36</v>
      </c>
      <c r="B1464">
        <v>19</v>
      </c>
      <c r="C1464" t="s">
        <v>36</v>
      </c>
      <c r="D1464" t="s">
        <v>18</v>
      </c>
      <c r="E1464">
        <f t="shared" ca="1" si="23"/>
        <v>57.461482310435429</v>
      </c>
    </row>
    <row r="1465" spans="1:5" hidden="1" x14ac:dyDescent="0.25">
      <c r="A1465">
        <v>36</v>
      </c>
      <c r="B1465">
        <v>20</v>
      </c>
      <c r="C1465" t="s">
        <v>36</v>
      </c>
      <c r="D1465" t="s">
        <v>19</v>
      </c>
      <c r="E1465">
        <f t="shared" ca="1" si="23"/>
        <v>64.553242832676432</v>
      </c>
    </row>
    <row r="1466" spans="1:5" hidden="1" x14ac:dyDescent="0.25">
      <c r="A1466">
        <v>36</v>
      </c>
      <c r="B1466">
        <v>21</v>
      </c>
      <c r="C1466" t="s">
        <v>36</v>
      </c>
      <c r="D1466" t="s">
        <v>20</v>
      </c>
      <c r="E1466">
        <f t="shared" ca="1" si="23"/>
        <v>66.793094181095157</v>
      </c>
    </row>
    <row r="1467" spans="1:5" hidden="1" x14ac:dyDescent="0.25">
      <c r="A1467">
        <v>36</v>
      </c>
      <c r="B1467">
        <v>22</v>
      </c>
      <c r="C1467" t="s">
        <v>36</v>
      </c>
      <c r="D1467" t="s">
        <v>21</v>
      </c>
      <c r="E1467">
        <f t="shared" ca="1" si="23"/>
        <v>72.095274445969395</v>
      </c>
    </row>
    <row r="1468" spans="1:5" hidden="1" x14ac:dyDescent="0.25">
      <c r="A1468">
        <v>36</v>
      </c>
      <c r="B1468">
        <v>23</v>
      </c>
      <c r="C1468" t="s">
        <v>36</v>
      </c>
      <c r="D1468" t="s">
        <v>22</v>
      </c>
      <c r="E1468">
        <f t="shared" ca="1" si="23"/>
        <v>54.984024026956639</v>
      </c>
    </row>
    <row r="1469" spans="1:5" hidden="1" x14ac:dyDescent="0.25">
      <c r="A1469">
        <v>36</v>
      </c>
      <c r="B1469">
        <v>24</v>
      </c>
      <c r="C1469" t="s">
        <v>36</v>
      </c>
      <c r="D1469" t="s">
        <v>23</v>
      </c>
      <c r="E1469">
        <f t="shared" ca="1" si="23"/>
        <v>54.272912915845531</v>
      </c>
    </row>
    <row r="1470" spans="1:5" hidden="1" x14ac:dyDescent="0.25">
      <c r="A1470">
        <v>36</v>
      </c>
      <c r="B1470">
        <v>25</v>
      </c>
      <c r="C1470" t="s">
        <v>36</v>
      </c>
      <c r="D1470" t="s">
        <v>24</v>
      </c>
      <c r="E1470">
        <f t="shared" ca="1" si="23"/>
        <v>52.934024026956642</v>
      </c>
    </row>
    <row r="1471" spans="1:5" hidden="1" x14ac:dyDescent="0.25">
      <c r="A1471">
        <v>36</v>
      </c>
      <c r="B1471">
        <v>26</v>
      </c>
      <c r="C1471" t="s">
        <v>36</v>
      </c>
      <c r="D1471" t="s">
        <v>25</v>
      </c>
      <c r="E1471">
        <f t="shared" ca="1" si="23"/>
        <v>74.19172028962555</v>
      </c>
    </row>
    <row r="1472" spans="1:5" hidden="1" x14ac:dyDescent="0.25">
      <c r="A1472">
        <v>36</v>
      </c>
      <c r="B1472">
        <v>27</v>
      </c>
      <c r="C1472" t="s">
        <v>36</v>
      </c>
      <c r="D1472" t="s">
        <v>145</v>
      </c>
      <c r="E1472">
        <f t="shared" ca="1" si="23"/>
        <v>65.99990949934309</v>
      </c>
    </row>
    <row r="1473" spans="1:5" hidden="1" x14ac:dyDescent="0.25">
      <c r="A1473">
        <v>36</v>
      </c>
      <c r="B1473">
        <v>28</v>
      </c>
      <c r="C1473" t="s">
        <v>36</v>
      </c>
      <c r="D1473" t="s">
        <v>147</v>
      </c>
      <c r="E1473">
        <f t="shared" ca="1" si="23"/>
        <v>72.539718890413837</v>
      </c>
    </row>
    <row r="1474" spans="1:5" hidden="1" x14ac:dyDescent="0.25">
      <c r="A1474">
        <v>36</v>
      </c>
      <c r="B1474">
        <v>29</v>
      </c>
      <c r="C1474" t="s">
        <v>36</v>
      </c>
      <c r="D1474" t="s">
        <v>146</v>
      </c>
      <c r="E1474">
        <f t="shared" ca="1" si="23"/>
        <v>53.461801804734421</v>
      </c>
    </row>
    <row r="1475" spans="1:5" hidden="1" x14ac:dyDescent="0.25">
      <c r="A1475">
        <v>36</v>
      </c>
      <c r="B1475">
        <v>30</v>
      </c>
      <c r="C1475" t="s">
        <v>36</v>
      </c>
      <c r="D1475" t="s">
        <v>30</v>
      </c>
      <c r="E1475">
        <f t="shared" ca="1" si="23"/>
        <v>82.595254844688426</v>
      </c>
    </row>
    <row r="1476" spans="1:5" hidden="1" x14ac:dyDescent="0.25">
      <c r="A1476">
        <v>36</v>
      </c>
      <c r="B1476">
        <v>31</v>
      </c>
      <c r="C1476" t="s">
        <v>36</v>
      </c>
      <c r="D1476" t="s">
        <v>31</v>
      </c>
      <c r="E1476">
        <f t="shared" ca="1" si="23"/>
        <v>80.9929269308371</v>
      </c>
    </row>
    <row r="1477" spans="1:5" hidden="1" x14ac:dyDescent="0.25">
      <c r="A1477">
        <v>36</v>
      </c>
      <c r="B1477">
        <v>32</v>
      </c>
      <c r="C1477" t="s">
        <v>36</v>
      </c>
      <c r="D1477" t="s">
        <v>32</v>
      </c>
      <c r="E1477">
        <f t="shared" ca="1" si="23"/>
        <v>79.685149153059328</v>
      </c>
    </row>
    <row r="1478" spans="1:5" hidden="1" x14ac:dyDescent="0.25">
      <c r="A1478">
        <v>36</v>
      </c>
      <c r="B1478">
        <v>33</v>
      </c>
      <c r="C1478" t="s">
        <v>36</v>
      </c>
      <c r="D1478" t="s">
        <v>33</v>
      </c>
      <c r="E1478">
        <f t="shared" ca="1" si="23"/>
        <v>72.063602078641139</v>
      </c>
    </row>
    <row r="1479" spans="1:5" hidden="1" x14ac:dyDescent="0.25">
      <c r="A1479">
        <v>36</v>
      </c>
      <c r="B1479">
        <v>34</v>
      </c>
      <c r="C1479" t="s">
        <v>36</v>
      </c>
      <c r="D1479" t="s">
        <v>34</v>
      </c>
      <c r="E1479">
        <f t="shared" ca="1" si="23"/>
        <v>72.988046523085586</v>
      </c>
    </row>
    <row r="1480" spans="1:5" hidden="1" x14ac:dyDescent="0.25">
      <c r="A1480">
        <v>36</v>
      </c>
      <c r="B1480">
        <v>35</v>
      </c>
      <c r="C1480" t="s">
        <v>36</v>
      </c>
      <c r="D1480" t="s">
        <v>35</v>
      </c>
      <c r="E1480">
        <f t="shared" ca="1" si="23"/>
        <v>73.412894818646791</v>
      </c>
    </row>
    <row r="1481" spans="1:5" hidden="1" x14ac:dyDescent="0.25">
      <c r="A1481">
        <v>36</v>
      </c>
      <c r="B1481">
        <v>36</v>
      </c>
      <c r="C1481" t="s">
        <v>36</v>
      </c>
      <c r="D1481" t="s">
        <v>36</v>
      </c>
      <c r="E1481">
        <f t="shared" ca="1" si="23"/>
        <v>0</v>
      </c>
    </row>
    <row r="1482" spans="1:5" hidden="1" x14ac:dyDescent="0.25">
      <c r="A1482">
        <v>36</v>
      </c>
      <c r="B1482">
        <v>37</v>
      </c>
      <c r="C1482" t="s">
        <v>36</v>
      </c>
      <c r="D1482" t="s">
        <v>37</v>
      </c>
      <c r="E1482">
        <f t="shared" ca="1" si="23"/>
        <v>30.760026825702653</v>
      </c>
    </row>
    <row r="1483" spans="1:5" hidden="1" x14ac:dyDescent="0.25">
      <c r="A1483">
        <v>36</v>
      </c>
      <c r="B1483">
        <v>38</v>
      </c>
      <c r="C1483" t="s">
        <v>36</v>
      </c>
      <c r="D1483" t="s">
        <v>38</v>
      </c>
      <c r="E1483">
        <f t="shared" ca="1" si="23"/>
        <v>0</v>
      </c>
    </row>
    <row r="1484" spans="1:5" hidden="1" x14ac:dyDescent="0.25">
      <c r="A1484">
        <v>36</v>
      </c>
      <c r="B1484">
        <v>39</v>
      </c>
      <c r="C1484" t="s">
        <v>36</v>
      </c>
      <c r="D1484" t="s">
        <v>39</v>
      </c>
      <c r="E1484">
        <f t="shared" ca="1" si="23"/>
        <v>28.711137936813763</v>
      </c>
    </row>
    <row r="1485" spans="1:5" hidden="1" x14ac:dyDescent="0.25">
      <c r="A1485">
        <v>36</v>
      </c>
      <c r="B1485">
        <v>40</v>
      </c>
      <c r="C1485" t="s">
        <v>36</v>
      </c>
      <c r="D1485" t="s">
        <v>40</v>
      </c>
      <c r="E1485">
        <f t="shared" ca="1" si="23"/>
        <v>30.160026825702651</v>
      </c>
    </row>
    <row r="1486" spans="1:5" hidden="1" x14ac:dyDescent="0.25">
      <c r="A1486">
        <v>37</v>
      </c>
      <c r="B1486">
        <v>1</v>
      </c>
      <c r="C1486" t="s">
        <v>37</v>
      </c>
      <c r="D1486" t="s">
        <v>0</v>
      </c>
      <c r="E1486">
        <f t="shared" ca="1" si="23"/>
        <v>84.419556065831458</v>
      </c>
    </row>
    <row r="1487" spans="1:5" hidden="1" x14ac:dyDescent="0.25">
      <c r="A1487">
        <v>37</v>
      </c>
      <c r="B1487">
        <v>2</v>
      </c>
      <c r="C1487" t="s">
        <v>37</v>
      </c>
      <c r="D1487" t="s">
        <v>1</v>
      </c>
      <c r="E1487">
        <f t="shared" ca="1" si="23"/>
        <v>84.797333843609223</v>
      </c>
    </row>
    <row r="1488" spans="1:5" hidden="1" x14ac:dyDescent="0.25">
      <c r="A1488">
        <v>37</v>
      </c>
      <c r="B1488">
        <v>3</v>
      </c>
      <c r="C1488" t="s">
        <v>37</v>
      </c>
      <c r="D1488" t="s">
        <v>2</v>
      </c>
      <c r="E1488">
        <f t="shared" ca="1" si="23"/>
        <v>76.778452561936945</v>
      </c>
    </row>
    <row r="1489" spans="1:5" hidden="1" x14ac:dyDescent="0.25">
      <c r="A1489">
        <v>37</v>
      </c>
      <c r="B1489">
        <v>4</v>
      </c>
      <c r="C1489" t="s">
        <v>37</v>
      </c>
      <c r="D1489" t="s">
        <v>3</v>
      </c>
      <c r="E1489">
        <f t="shared" ca="1" si="23"/>
        <v>91.922065508868243</v>
      </c>
    </row>
    <row r="1490" spans="1:5" hidden="1" x14ac:dyDescent="0.25">
      <c r="A1490">
        <v>37</v>
      </c>
      <c r="B1490">
        <v>5</v>
      </c>
      <c r="C1490" t="s">
        <v>37</v>
      </c>
      <c r="D1490" t="s">
        <v>4</v>
      </c>
      <c r="E1490">
        <f t="shared" ca="1" si="23"/>
        <v>89.791150707347967</v>
      </c>
    </row>
    <row r="1491" spans="1:5" hidden="1" x14ac:dyDescent="0.25">
      <c r="A1491">
        <v>37</v>
      </c>
      <c r="B1491">
        <v>6</v>
      </c>
      <c r="C1491" t="s">
        <v>37</v>
      </c>
      <c r="D1491" t="s">
        <v>5</v>
      </c>
      <c r="E1491">
        <f t="shared" ca="1" si="23"/>
        <v>92.335595151792404</v>
      </c>
    </row>
    <row r="1492" spans="1:5" hidden="1" x14ac:dyDescent="0.25">
      <c r="A1492">
        <v>37</v>
      </c>
      <c r="B1492">
        <v>7</v>
      </c>
      <c r="C1492" t="s">
        <v>37</v>
      </c>
      <c r="D1492" t="s">
        <v>6</v>
      </c>
      <c r="E1492">
        <f t="shared" ca="1" si="23"/>
        <v>90.23003959623685</v>
      </c>
    </row>
    <row r="1493" spans="1:5" hidden="1" x14ac:dyDescent="0.25">
      <c r="A1493">
        <v>37</v>
      </c>
      <c r="B1493">
        <v>8</v>
      </c>
      <c r="C1493" t="s">
        <v>37</v>
      </c>
      <c r="D1493" t="s">
        <v>7</v>
      </c>
      <c r="E1493">
        <f t="shared" ca="1" si="23"/>
        <v>92.075398842201579</v>
      </c>
    </row>
    <row r="1494" spans="1:5" hidden="1" x14ac:dyDescent="0.25">
      <c r="A1494">
        <v>37</v>
      </c>
      <c r="B1494">
        <v>9</v>
      </c>
      <c r="C1494" t="s">
        <v>37</v>
      </c>
      <c r="D1494" t="s">
        <v>148</v>
      </c>
      <c r="E1494">
        <f t="shared" ca="1" si="23"/>
        <v>86.880667176942566</v>
      </c>
    </row>
    <row r="1495" spans="1:5" hidden="1" x14ac:dyDescent="0.25">
      <c r="A1495">
        <v>37</v>
      </c>
      <c r="B1495">
        <v>10</v>
      </c>
      <c r="C1495" t="s">
        <v>37</v>
      </c>
      <c r="D1495" t="s">
        <v>9</v>
      </c>
      <c r="E1495">
        <f t="shared" ca="1" si="23"/>
        <v>90.778928485125746</v>
      </c>
    </row>
    <row r="1496" spans="1:5" hidden="1" x14ac:dyDescent="0.25">
      <c r="A1496">
        <v>37</v>
      </c>
      <c r="B1496">
        <v>11</v>
      </c>
      <c r="C1496" t="s">
        <v>37</v>
      </c>
      <c r="D1496" t="s">
        <v>10</v>
      </c>
      <c r="E1496">
        <f t="shared" ca="1" si="23"/>
        <v>34.54916179998358</v>
      </c>
    </row>
    <row r="1497" spans="1:5" hidden="1" x14ac:dyDescent="0.25">
      <c r="A1497">
        <v>37</v>
      </c>
      <c r="B1497">
        <v>12</v>
      </c>
      <c r="C1497" t="s">
        <v>37</v>
      </c>
      <c r="D1497" t="s">
        <v>11</v>
      </c>
      <c r="E1497">
        <f t="shared" ca="1" si="23"/>
        <v>40.555188476562492</v>
      </c>
    </row>
    <row r="1498" spans="1:5" hidden="1" x14ac:dyDescent="0.25">
      <c r="A1498">
        <v>37</v>
      </c>
      <c r="B1498">
        <v>13</v>
      </c>
      <c r="C1498" t="s">
        <v>37</v>
      </c>
      <c r="D1498" t="s">
        <v>12</v>
      </c>
      <c r="E1498">
        <f t="shared" ca="1" si="23"/>
        <v>51.502977761941629</v>
      </c>
    </row>
    <row r="1499" spans="1:5" hidden="1" x14ac:dyDescent="0.25">
      <c r="A1499">
        <v>37</v>
      </c>
      <c r="B1499">
        <v>14</v>
      </c>
      <c r="C1499" t="s">
        <v>37</v>
      </c>
      <c r="D1499" t="s">
        <v>13</v>
      </c>
      <c r="E1499">
        <f t="shared" ca="1" si="23"/>
        <v>51.005199984163852</v>
      </c>
    </row>
    <row r="1500" spans="1:5" hidden="1" x14ac:dyDescent="0.25">
      <c r="A1500">
        <v>37</v>
      </c>
      <c r="B1500">
        <v>15</v>
      </c>
      <c r="C1500" t="s">
        <v>37</v>
      </c>
      <c r="D1500" t="s">
        <v>14</v>
      </c>
      <c r="E1500">
        <f t="shared" ca="1" si="23"/>
        <v>58.851323737800293</v>
      </c>
    </row>
    <row r="1501" spans="1:5" hidden="1" x14ac:dyDescent="0.25">
      <c r="A1501">
        <v>37</v>
      </c>
      <c r="B1501">
        <v>16</v>
      </c>
      <c r="C1501" t="s">
        <v>37</v>
      </c>
      <c r="D1501" t="s">
        <v>15</v>
      </c>
      <c r="E1501">
        <f t="shared" ca="1" si="23"/>
        <v>55.022446793473158</v>
      </c>
    </row>
    <row r="1502" spans="1:5" hidden="1" x14ac:dyDescent="0.25">
      <c r="A1502">
        <v>37</v>
      </c>
      <c r="B1502">
        <v>17</v>
      </c>
      <c r="C1502" t="s">
        <v>37</v>
      </c>
      <c r="D1502" t="s">
        <v>16</v>
      </c>
      <c r="E1502">
        <f t="shared" ca="1" si="23"/>
        <v>34.762011107298704</v>
      </c>
    </row>
    <row r="1503" spans="1:5" hidden="1" x14ac:dyDescent="0.25">
      <c r="A1503">
        <v>37</v>
      </c>
      <c r="B1503">
        <v>18</v>
      </c>
      <c r="C1503" t="s">
        <v>37</v>
      </c>
      <c r="D1503" t="s">
        <v>17</v>
      </c>
      <c r="E1503">
        <f t="shared" ca="1" si="23"/>
        <v>57.063557904584272</v>
      </c>
    </row>
    <row r="1504" spans="1:5" hidden="1" x14ac:dyDescent="0.25">
      <c r="A1504">
        <v>37</v>
      </c>
      <c r="B1504">
        <v>19</v>
      </c>
      <c r="C1504" t="s">
        <v>37</v>
      </c>
      <c r="D1504" t="s">
        <v>18</v>
      </c>
      <c r="E1504">
        <f t="shared" ca="1" si="23"/>
        <v>69.345939561631937</v>
      </c>
    </row>
    <row r="1505" spans="1:5" hidden="1" x14ac:dyDescent="0.25">
      <c r="A1505">
        <v>37</v>
      </c>
      <c r="B1505">
        <v>20</v>
      </c>
      <c r="C1505" t="s">
        <v>37</v>
      </c>
      <c r="D1505" t="s">
        <v>19</v>
      </c>
      <c r="E1505">
        <f t="shared" ca="1" si="23"/>
        <v>72.3482291432057</v>
      </c>
    </row>
    <row r="1506" spans="1:5" hidden="1" x14ac:dyDescent="0.25">
      <c r="A1506">
        <v>37</v>
      </c>
      <c r="B1506">
        <v>21</v>
      </c>
      <c r="C1506" t="s">
        <v>37</v>
      </c>
      <c r="D1506" t="s">
        <v>20</v>
      </c>
      <c r="E1506">
        <f t="shared" ref="E1506:E1567" ca="1" si="24">OFFSET($B$3,A1506,B1506)</f>
        <v>77.448329778997746</v>
      </c>
    </row>
    <row r="1507" spans="1:5" hidden="1" x14ac:dyDescent="0.25">
      <c r="A1507">
        <v>37</v>
      </c>
      <c r="B1507">
        <v>22</v>
      </c>
      <c r="C1507" t="s">
        <v>37</v>
      </c>
      <c r="D1507" t="s">
        <v>21</v>
      </c>
      <c r="E1507">
        <f t="shared" ca="1" si="24"/>
        <v>90.540914737706458</v>
      </c>
    </row>
    <row r="1508" spans="1:5" hidden="1" x14ac:dyDescent="0.25">
      <c r="A1508">
        <v>37</v>
      </c>
      <c r="B1508">
        <v>23</v>
      </c>
      <c r="C1508" t="s">
        <v>37</v>
      </c>
      <c r="D1508" t="s">
        <v>22</v>
      </c>
      <c r="E1508">
        <f t="shared" ca="1" si="24"/>
        <v>62.932947599943688</v>
      </c>
    </row>
    <row r="1509" spans="1:5" hidden="1" x14ac:dyDescent="0.25">
      <c r="A1509">
        <v>37</v>
      </c>
      <c r="B1509">
        <v>24</v>
      </c>
      <c r="C1509" t="s">
        <v>37</v>
      </c>
      <c r="D1509" t="s">
        <v>23</v>
      </c>
      <c r="E1509">
        <f t="shared" ca="1" si="24"/>
        <v>62.221836488832579</v>
      </c>
    </row>
    <row r="1510" spans="1:5" hidden="1" x14ac:dyDescent="0.25">
      <c r="A1510">
        <v>37</v>
      </c>
      <c r="B1510">
        <v>25</v>
      </c>
      <c r="C1510" t="s">
        <v>37</v>
      </c>
      <c r="D1510" t="s">
        <v>24</v>
      </c>
      <c r="E1510">
        <f t="shared" ca="1" si="24"/>
        <v>60.882947599943691</v>
      </c>
    </row>
    <row r="1511" spans="1:5" hidden="1" x14ac:dyDescent="0.25">
      <c r="A1511">
        <v>37</v>
      </c>
      <c r="B1511">
        <v>26</v>
      </c>
      <c r="C1511" t="s">
        <v>37</v>
      </c>
      <c r="D1511" t="s">
        <v>25</v>
      </c>
      <c r="E1511">
        <f t="shared" ca="1" si="24"/>
        <v>61.550212626689181</v>
      </c>
    </row>
    <row r="1512" spans="1:5" hidden="1" x14ac:dyDescent="0.25">
      <c r="A1512">
        <v>37</v>
      </c>
      <c r="B1512">
        <v>27</v>
      </c>
      <c r="C1512" t="s">
        <v>37</v>
      </c>
      <c r="D1512" t="s">
        <v>145</v>
      </c>
      <c r="E1512">
        <f t="shared" ca="1" si="24"/>
        <v>73.794895809872372</v>
      </c>
    </row>
    <row r="1513" spans="1:5" hidden="1" x14ac:dyDescent="0.25">
      <c r="A1513">
        <v>37</v>
      </c>
      <c r="B1513">
        <v>28</v>
      </c>
      <c r="C1513" t="s">
        <v>37</v>
      </c>
      <c r="D1513" t="s">
        <v>147</v>
      </c>
      <c r="E1513">
        <f t="shared" ca="1" si="24"/>
        <v>90.985359182150901</v>
      </c>
    </row>
    <row r="1514" spans="1:5" hidden="1" x14ac:dyDescent="0.25">
      <c r="A1514">
        <v>37</v>
      </c>
      <c r="B1514">
        <v>29</v>
      </c>
      <c r="C1514" t="s">
        <v>37</v>
      </c>
      <c r="D1514" t="s">
        <v>146</v>
      </c>
      <c r="E1514">
        <f t="shared" ca="1" si="24"/>
        <v>61.410725377721469</v>
      </c>
    </row>
    <row r="1515" spans="1:5" hidden="1" x14ac:dyDescent="0.25">
      <c r="A1515">
        <v>37</v>
      </c>
      <c r="B1515">
        <v>30</v>
      </c>
      <c r="C1515" t="s">
        <v>37</v>
      </c>
      <c r="D1515" t="s">
        <v>30</v>
      </c>
      <c r="E1515">
        <f t="shared" ca="1" si="24"/>
        <v>93.177621064423789</v>
      </c>
    </row>
    <row r="1516" spans="1:5" hidden="1" x14ac:dyDescent="0.25">
      <c r="A1516">
        <v>37</v>
      </c>
      <c r="B1516">
        <v>31</v>
      </c>
      <c r="C1516" t="s">
        <v>37</v>
      </c>
      <c r="D1516" t="s">
        <v>31</v>
      </c>
      <c r="E1516">
        <f t="shared" ca="1" si="24"/>
        <v>93.363338582723344</v>
      </c>
    </row>
    <row r="1517" spans="1:5" hidden="1" x14ac:dyDescent="0.25">
      <c r="A1517">
        <v>37</v>
      </c>
      <c r="B1517">
        <v>32</v>
      </c>
      <c r="C1517" t="s">
        <v>37</v>
      </c>
      <c r="D1517" t="s">
        <v>32</v>
      </c>
      <c r="E1517">
        <f t="shared" ca="1" si="24"/>
        <v>92.055560804945571</v>
      </c>
    </row>
    <row r="1518" spans="1:5" hidden="1" x14ac:dyDescent="0.25">
      <c r="A1518">
        <v>37</v>
      </c>
      <c r="B1518">
        <v>33</v>
      </c>
      <c r="C1518" t="s">
        <v>37</v>
      </c>
      <c r="D1518" t="s">
        <v>33</v>
      </c>
      <c r="E1518">
        <f t="shared" ca="1" si="24"/>
        <v>84.885747155358501</v>
      </c>
    </row>
    <row r="1519" spans="1:5" hidden="1" x14ac:dyDescent="0.25">
      <c r="A1519">
        <v>37</v>
      </c>
      <c r="B1519">
        <v>34</v>
      </c>
      <c r="C1519" t="s">
        <v>37</v>
      </c>
      <c r="D1519" t="s">
        <v>34</v>
      </c>
      <c r="E1519">
        <f t="shared" ca="1" si="24"/>
        <v>85.810191599802934</v>
      </c>
    </row>
    <row r="1520" spans="1:5" hidden="1" x14ac:dyDescent="0.25">
      <c r="A1520">
        <v>37</v>
      </c>
      <c r="B1520">
        <v>35</v>
      </c>
      <c r="C1520" t="s">
        <v>37</v>
      </c>
      <c r="D1520" t="s">
        <v>35</v>
      </c>
      <c r="E1520">
        <f t="shared" ca="1" si="24"/>
        <v>85.039556065831448</v>
      </c>
    </row>
    <row r="1521" spans="1:5" hidden="1" x14ac:dyDescent="0.25">
      <c r="A1521">
        <v>37</v>
      </c>
      <c r="B1521">
        <v>36</v>
      </c>
      <c r="C1521" t="s">
        <v>37</v>
      </c>
      <c r="D1521" t="s">
        <v>36</v>
      </c>
      <c r="E1521">
        <f t="shared" ca="1" si="24"/>
        <v>30.760026825702653</v>
      </c>
    </row>
    <row r="1522" spans="1:5" hidden="1" x14ac:dyDescent="0.25">
      <c r="A1522">
        <v>37</v>
      </c>
      <c r="B1522">
        <v>37</v>
      </c>
      <c r="C1522" t="s">
        <v>37</v>
      </c>
      <c r="D1522" t="s">
        <v>37</v>
      </c>
      <c r="E1522">
        <f t="shared" ca="1" si="24"/>
        <v>0</v>
      </c>
    </row>
    <row r="1523" spans="1:5" hidden="1" x14ac:dyDescent="0.25">
      <c r="A1523">
        <v>37</v>
      </c>
      <c r="B1523">
        <v>38</v>
      </c>
      <c r="C1523" t="s">
        <v>37</v>
      </c>
      <c r="D1523" t="s">
        <v>38</v>
      </c>
      <c r="E1523">
        <f t="shared" ca="1" si="24"/>
        <v>30.482249047924874</v>
      </c>
    </row>
    <row r="1524" spans="1:5" hidden="1" x14ac:dyDescent="0.25">
      <c r="A1524">
        <v>37</v>
      </c>
      <c r="B1524">
        <v>39</v>
      </c>
      <c r="C1524" t="s">
        <v>37</v>
      </c>
      <c r="D1524" t="s">
        <v>39</v>
      </c>
      <c r="E1524">
        <f t="shared" ca="1" si="24"/>
        <v>0</v>
      </c>
    </row>
    <row r="1525" spans="1:5" hidden="1" x14ac:dyDescent="0.25">
      <c r="A1525">
        <v>37</v>
      </c>
      <c r="B1525">
        <v>40</v>
      </c>
      <c r="C1525" t="s">
        <v>37</v>
      </c>
      <c r="D1525" t="s">
        <v>40</v>
      </c>
      <c r="E1525">
        <f t="shared" ca="1" si="24"/>
        <v>0</v>
      </c>
    </row>
    <row r="1526" spans="1:5" hidden="1" x14ac:dyDescent="0.25">
      <c r="A1526">
        <v>37</v>
      </c>
      <c r="B1526">
        <v>1</v>
      </c>
      <c r="C1526" t="s">
        <v>38</v>
      </c>
      <c r="D1526" t="s">
        <v>0</v>
      </c>
      <c r="E1526">
        <f t="shared" ca="1" si="24"/>
        <v>84.419556065831458</v>
      </c>
    </row>
    <row r="1527" spans="1:5" hidden="1" x14ac:dyDescent="0.25">
      <c r="A1527">
        <v>37</v>
      </c>
      <c r="B1527">
        <v>2</v>
      </c>
      <c r="C1527" t="s">
        <v>38</v>
      </c>
      <c r="D1527" t="s">
        <v>1</v>
      </c>
      <c r="E1527">
        <f t="shared" ca="1" si="24"/>
        <v>84.797333843609223</v>
      </c>
    </row>
    <row r="1528" spans="1:5" hidden="1" x14ac:dyDescent="0.25">
      <c r="A1528">
        <v>37</v>
      </c>
      <c r="B1528">
        <v>3</v>
      </c>
      <c r="C1528" t="s">
        <v>38</v>
      </c>
      <c r="D1528" t="s">
        <v>2</v>
      </c>
      <c r="E1528">
        <f t="shared" ca="1" si="24"/>
        <v>76.778452561936945</v>
      </c>
    </row>
    <row r="1529" spans="1:5" hidden="1" x14ac:dyDescent="0.25">
      <c r="A1529">
        <v>37</v>
      </c>
      <c r="B1529">
        <v>4</v>
      </c>
      <c r="C1529" t="s">
        <v>38</v>
      </c>
      <c r="D1529" t="s">
        <v>3</v>
      </c>
      <c r="E1529">
        <f t="shared" ca="1" si="24"/>
        <v>91.922065508868243</v>
      </c>
    </row>
    <row r="1530" spans="1:5" hidden="1" x14ac:dyDescent="0.25">
      <c r="A1530">
        <v>37</v>
      </c>
      <c r="B1530">
        <v>5</v>
      </c>
      <c r="C1530" t="s">
        <v>38</v>
      </c>
      <c r="D1530" t="s">
        <v>4</v>
      </c>
      <c r="E1530">
        <f t="shared" ca="1" si="24"/>
        <v>89.791150707347967</v>
      </c>
    </row>
    <row r="1531" spans="1:5" hidden="1" x14ac:dyDescent="0.25">
      <c r="A1531">
        <v>37</v>
      </c>
      <c r="B1531">
        <v>6</v>
      </c>
      <c r="C1531" t="s">
        <v>38</v>
      </c>
      <c r="D1531" t="s">
        <v>5</v>
      </c>
      <c r="E1531">
        <f t="shared" ca="1" si="24"/>
        <v>92.335595151792404</v>
      </c>
    </row>
    <row r="1532" spans="1:5" hidden="1" x14ac:dyDescent="0.25">
      <c r="A1532">
        <v>37</v>
      </c>
      <c r="B1532">
        <v>7</v>
      </c>
      <c r="C1532" t="s">
        <v>38</v>
      </c>
      <c r="D1532" t="s">
        <v>6</v>
      </c>
      <c r="E1532">
        <f t="shared" ca="1" si="24"/>
        <v>90.23003959623685</v>
      </c>
    </row>
    <row r="1533" spans="1:5" hidden="1" x14ac:dyDescent="0.25">
      <c r="A1533">
        <v>37</v>
      </c>
      <c r="B1533">
        <v>8</v>
      </c>
      <c r="C1533" t="s">
        <v>38</v>
      </c>
      <c r="D1533" t="s">
        <v>7</v>
      </c>
      <c r="E1533">
        <f t="shared" ca="1" si="24"/>
        <v>92.075398842201579</v>
      </c>
    </row>
    <row r="1534" spans="1:5" hidden="1" x14ac:dyDescent="0.25">
      <c r="A1534">
        <v>37</v>
      </c>
      <c r="B1534">
        <v>9</v>
      </c>
      <c r="C1534" t="s">
        <v>38</v>
      </c>
      <c r="D1534" t="s">
        <v>148</v>
      </c>
      <c r="E1534">
        <f t="shared" ca="1" si="24"/>
        <v>86.880667176942566</v>
      </c>
    </row>
    <row r="1535" spans="1:5" hidden="1" x14ac:dyDescent="0.25">
      <c r="A1535">
        <v>37</v>
      </c>
      <c r="B1535">
        <v>10</v>
      </c>
      <c r="C1535" t="s">
        <v>38</v>
      </c>
      <c r="D1535" t="s">
        <v>9</v>
      </c>
      <c r="E1535">
        <f t="shared" ca="1" si="24"/>
        <v>90.778928485125746</v>
      </c>
    </row>
    <row r="1536" spans="1:5" hidden="1" x14ac:dyDescent="0.25">
      <c r="A1536">
        <v>37</v>
      </c>
      <c r="B1536">
        <v>11</v>
      </c>
      <c r="C1536" t="s">
        <v>38</v>
      </c>
      <c r="D1536" t="s">
        <v>10</v>
      </c>
      <c r="E1536">
        <f t="shared" ca="1" si="24"/>
        <v>34.54916179998358</v>
      </c>
    </row>
    <row r="1537" spans="1:5" hidden="1" x14ac:dyDescent="0.25">
      <c r="A1537">
        <v>37</v>
      </c>
      <c r="B1537">
        <v>12</v>
      </c>
      <c r="C1537" t="s">
        <v>38</v>
      </c>
      <c r="D1537" t="s">
        <v>11</v>
      </c>
      <c r="E1537">
        <f t="shared" ca="1" si="24"/>
        <v>40.555188476562492</v>
      </c>
    </row>
    <row r="1538" spans="1:5" hidden="1" x14ac:dyDescent="0.25">
      <c r="A1538">
        <v>37</v>
      </c>
      <c r="B1538">
        <v>13</v>
      </c>
      <c r="C1538" t="s">
        <v>38</v>
      </c>
      <c r="D1538" t="s">
        <v>12</v>
      </c>
      <c r="E1538">
        <f t="shared" ca="1" si="24"/>
        <v>51.502977761941629</v>
      </c>
    </row>
    <row r="1539" spans="1:5" hidden="1" x14ac:dyDescent="0.25">
      <c r="A1539">
        <v>37</v>
      </c>
      <c r="B1539">
        <v>14</v>
      </c>
      <c r="C1539" t="s">
        <v>38</v>
      </c>
      <c r="D1539" t="s">
        <v>13</v>
      </c>
      <c r="E1539">
        <f t="shared" ca="1" si="24"/>
        <v>51.005199984163852</v>
      </c>
    </row>
    <row r="1540" spans="1:5" hidden="1" x14ac:dyDescent="0.25">
      <c r="A1540">
        <v>37</v>
      </c>
      <c r="B1540">
        <v>15</v>
      </c>
      <c r="C1540" t="s">
        <v>38</v>
      </c>
      <c r="D1540" t="s">
        <v>14</v>
      </c>
      <c r="E1540">
        <f t="shared" ca="1" si="24"/>
        <v>58.851323737800293</v>
      </c>
    </row>
    <row r="1541" spans="1:5" hidden="1" x14ac:dyDescent="0.25">
      <c r="A1541">
        <v>37</v>
      </c>
      <c r="B1541">
        <v>16</v>
      </c>
      <c r="C1541" t="s">
        <v>38</v>
      </c>
      <c r="D1541" t="s">
        <v>15</v>
      </c>
      <c r="E1541">
        <f t="shared" ca="1" si="24"/>
        <v>55.022446793473158</v>
      </c>
    </row>
    <row r="1542" spans="1:5" hidden="1" x14ac:dyDescent="0.25">
      <c r="A1542">
        <v>37</v>
      </c>
      <c r="B1542">
        <v>17</v>
      </c>
      <c r="C1542" t="s">
        <v>38</v>
      </c>
      <c r="D1542" t="s">
        <v>16</v>
      </c>
      <c r="E1542">
        <f t="shared" ca="1" si="24"/>
        <v>34.762011107298704</v>
      </c>
    </row>
    <row r="1543" spans="1:5" hidden="1" x14ac:dyDescent="0.25">
      <c r="A1543">
        <v>37</v>
      </c>
      <c r="B1543">
        <v>18</v>
      </c>
      <c r="C1543" t="s">
        <v>38</v>
      </c>
      <c r="D1543" t="s">
        <v>17</v>
      </c>
      <c r="E1543">
        <f t="shared" ca="1" si="24"/>
        <v>57.063557904584272</v>
      </c>
    </row>
    <row r="1544" spans="1:5" hidden="1" x14ac:dyDescent="0.25">
      <c r="A1544">
        <v>37</v>
      </c>
      <c r="B1544">
        <v>19</v>
      </c>
      <c r="C1544" t="s">
        <v>38</v>
      </c>
      <c r="D1544" t="s">
        <v>18</v>
      </c>
      <c r="E1544">
        <f t="shared" ca="1" si="24"/>
        <v>69.345939561631937</v>
      </c>
    </row>
    <row r="1545" spans="1:5" hidden="1" x14ac:dyDescent="0.25">
      <c r="A1545">
        <v>37</v>
      </c>
      <c r="B1545">
        <v>20</v>
      </c>
      <c r="C1545" t="s">
        <v>38</v>
      </c>
      <c r="D1545" t="s">
        <v>19</v>
      </c>
      <c r="E1545">
        <f t="shared" ca="1" si="24"/>
        <v>72.3482291432057</v>
      </c>
    </row>
    <row r="1546" spans="1:5" hidden="1" x14ac:dyDescent="0.25">
      <c r="A1546">
        <v>37</v>
      </c>
      <c r="B1546">
        <v>21</v>
      </c>
      <c r="C1546" t="s">
        <v>38</v>
      </c>
      <c r="D1546" t="s">
        <v>20</v>
      </c>
      <c r="E1546">
        <f t="shared" ca="1" si="24"/>
        <v>77.448329778997746</v>
      </c>
    </row>
    <row r="1547" spans="1:5" hidden="1" x14ac:dyDescent="0.25">
      <c r="A1547">
        <v>37</v>
      </c>
      <c r="B1547">
        <v>22</v>
      </c>
      <c r="C1547" t="s">
        <v>38</v>
      </c>
      <c r="D1547" t="s">
        <v>21</v>
      </c>
      <c r="E1547">
        <f t="shared" ca="1" si="24"/>
        <v>90.540914737706458</v>
      </c>
    </row>
    <row r="1548" spans="1:5" hidden="1" x14ac:dyDescent="0.25">
      <c r="A1548">
        <v>37</v>
      </c>
      <c r="B1548">
        <v>23</v>
      </c>
      <c r="C1548" t="s">
        <v>38</v>
      </c>
      <c r="D1548" t="s">
        <v>22</v>
      </c>
      <c r="E1548">
        <f t="shared" ca="1" si="24"/>
        <v>62.932947599943688</v>
      </c>
    </row>
    <row r="1549" spans="1:5" hidden="1" x14ac:dyDescent="0.25">
      <c r="A1549">
        <v>37</v>
      </c>
      <c r="B1549">
        <v>24</v>
      </c>
      <c r="C1549" t="s">
        <v>38</v>
      </c>
      <c r="D1549" t="s">
        <v>23</v>
      </c>
      <c r="E1549">
        <f t="shared" ca="1" si="24"/>
        <v>62.221836488832579</v>
      </c>
    </row>
    <row r="1550" spans="1:5" hidden="1" x14ac:dyDescent="0.25">
      <c r="A1550">
        <v>37</v>
      </c>
      <c r="B1550">
        <v>25</v>
      </c>
      <c r="C1550" t="s">
        <v>38</v>
      </c>
      <c r="D1550" t="s">
        <v>24</v>
      </c>
      <c r="E1550">
        <f t="shared" ca="1" si="24"/>
        <v>60.882947599943691</v>
      </c>
    </row>
    <row r="1551" spans="1:5" hidden="1" x14ac:dyDescent="0.25">
      <c r="A1551">
        <v>37</v>
      </c>
      <c r="B1551">
        <v>26</v>
      </c>
      <c r="C1551" t="s">
        <v>38</v>
      </c>
      <c r="D1551" t="s">
        <v>25</v>
      </c>
      <c r="E1551">
        <f t="shared" ca="1" si="24"/>
        <v>61.550212626689181</v>
      </c>
    </row>
    <row r="1552" spans="1:5" hidden="1" x14ac:dyDescent="0.25">
      <c r="A1552">
        <v>37</v>
      </c>
      <c r="B1552">
        <v>27</v>
      </c>
      <c r="C1552" t="s">
        <v>38</v>
      </c>
      <c r="D1552" t="s">
        <v>145</v>
      </c>
      <c r="E1552">
        <f t="shared" ca="1" si="24"/>
        <v>73.794895809872372</v>
      </c>
    </row>
    <row r="1553" spans="1:5" hidden="1" x14ac:dyDescent="0.25">
      <c r="A1553">
        <v>37</v>
      </c>
      <c r="B1553">
        <v>28</v>
      </c>
      <c r="C1553" t="s">
        <v>38</v>
      </c>
      <c r="D1553" t="s">
        <v>147</v>
      </c>
      <c r="E1553">
        <f t="shared" ca="1" si="24"/>
        <v>90.985359182150901</v>
      </c>
    </row>
    <row r="1554" spans="1:5" hidden="1" x14ac:dyDescent="0.25">
      <c r="A1554">
        <v>37</v>
      </c>
      <c r="B1554">
        <v>29</v>
      </c>
      <c r="C1554" t="s">
        <v>38</v>
      </c>
      <c r="D1554" t="s">
        <v>146</v>
      </c>
      <c r="E1554">
        <f t="shared" ca="1" si="24"/>
        <v>61.410725377721469</v>
      </c>
    </row>
    <row r="1555" spans="1:5" hidden="1" x14ac:dyDescent="0.25">
      <c r="A1555">
        <v>37</v>
      </c>
      <c r="B1555">
        <v>30</v>
      </c>
      <c r="C1555" t="s">
        <v>38</v>
      </c>
      <c r="D1555" t="s">
        <v>30</v>
      </c>
      <c r="E1555">
        <f t="shared" ca="1" si="24"/>
        <v>93.177621064423789</v>
      </c>
    </row>
    <row r="1556" spans="1:5" hidden="1" x14ac:dyDescent="0.25">
      <c r="A1556">
        <v>37</v>
      </c>
      <c r="B1556">
        <v>31</v>
      </c>
      <c r="C1556" t="s">
        <v>38</v>
      </c>
      <c r="D1556" t="s">
        <v>31</v>
      </c>
      <c r="E1556">
        <f t="shared" ca="1" si="24"/>
        <v>93.363338582723344</v>
      </c>
    </row>
    <row r="1557" spans="1:5" hidden="1" x14ac:dyDescent="0.25">
      <c r="A1557">
        <v>37</v>
      </c>
      <c r="B1557">
        <v>32</v>
      </c>
      <c r="C1557" t="s">
        <v>38</v>
      </c>
      <c r="D1557" t="s">
        <v>32</v>
      </c>
      <c r="E1557">
        <f t="shared" ca="1" si="24"/>
        <v>92.055560804945571</v>
      </c>
    </row>
    <row r="1558" spans="1:5" hidden="1" x14ac:dyDescent="0.25">
      <c r="A1558">
        <v>37</v>
      </c>
      <c r="B1558">
        <v>33</v>
      </c>
      <c r="C1558" t="s">
        <v>38</v>
      </c>
      <c r="D1558" t="s">
        <v>33</v>
      </c>
      <c r="E1558">
        <f t="shared" ca="1" si="24"/>
        <v>84.885747155358501</v>
      </c>
    </row>
    <row r="1559" spans="1:5" hidden="1" x14ac:dyDescent="0.25">
      <c r="A1559">
        <v>37</v>
      </c>
      <c r="B1559">
        <v>34</v>
      </c>
      <c r="C1559" t="s">
        <v>38</v>
      </c>
      <c r="D1559" t="s">
        <v>34</v>
      </c>
      <c r="E1559">
        <f t="shared" ca="1" si="24"/>
        <v>85.810191599802934</v>
      </c>
    </row>
    <row r="1560" spans="1:5" hidden="1" x14ac:dyDescent="0.25">
      <c r="A1560">
        <v>37</v>
      </c>
      <c r="B1560">
        <v>35</v>
      </c>
      <c r="C1560" t="s">
        <v>38</v>
      </c>
      <c r="D1560" t="s">
        <v>35</v>
      </c>
      <c r="E1560">
        <f t="shared" ca="1" si="24"/>
        <v>85.039556065831448</v>
      </c>
    </row>
    <row r="1561" spans="1:5" hidden="1" x14ac:dyDescent="0.25">
      <c r="A1561">
        <v>37</v>
      </c>
      <c r="B1561">
        <v>36</v>
      </c>
      <c r="C1561" t="s">
        <v>38</v>
      </c>
      <c r="D1561" t="s">
        <v>36</v>
      </c>
      <c r="E1561">
        <f t="shared" ca="1" si="24"/>
        <v>30.760026825702653</v>
      </c>
    </row>
    <row r="1562" spans="1:5" hidden="1" x14ac:dyDescent="0.25">
      <c r="A1562">
        <v>37</v>
      </c>
      <c r="B1562">
        <v>37</v>
      </c>
      <c r="C1562" t="s">
        <v>38</v>
      </c>
      <c r="D1562" t="s">
        <v>37</v>
      </c>
      <c r="E1562">
        <f t="shared" ca="1" si="24"/>
        <v>0</v>
      </c>
    </row>
    <row r="1563" spans="1:5" hidden="1" x14ac:dyDescent="0.25">
      <c r="A1563">
        <v>37</v>
      </c>
      <c r="B1563">
        <v>38</v>
      </c>
      <c r="C1563" t="s">
        <v>38</v>
      </c>
      <c r="D1563" t="s">
        <v>38</v>
      </c>
      <c r="E1563">
        <f t="shared" ca="1" si="24"/>
        <v>30.482249047924874</v>
      </c>
    </row>
    <row r="1564" spans="1:5" hidden="1" x14ac:dyDescent="0.25">
      <c r="A1564">
        <v>37</v>
      </c>
      <c r="B1564">
        <v>39</v>
      </c>
      <c r="C1564" t="s">
        <v>38</v>
      </c>
      <c r="D1564" t="s">
        <v>39</v>
      </c>
      <c r="E1564">
        <f t="shared" ca="1" si="24"/>
        <v>0</v>
      </c>
    </row>
    <row r="1565" spans="1:5" hidden="1" x14ac:dyDescent="0.25">
      <c r="A1565">
        <v>37</v>
      </c>
      <c r="B1565">
        <v>40</v>
      </c>
      <c r="C1565" t="s">
        <v>38</v>
      </c>
      <c r="D1565" t="s">
        <v>40</v>
      </c>
      <c r="E1565">
        <f t="shared" ca="1" si="24"/>
        <v>0</v>
      </c>
    </row>
    <row r="1566" spans="1:5" hidden="1" x14ac:dyDescent="0.25">
      <c r="A1566">
        <v>38</v>
      </c>
      <c r="B1566">
        <v>1</v>
      </c>
      <c r="C1566" t="s">
        <v>39</v>
      </c>
      <c r="D1566" t="s">
        <v>0</v>
      </c>
      <c r="E1566">
        <f t="shared" ca="1" si="24"/>
        <v>72.515117040869015</v>
      </c>
    </row>
    <row r="1567" spans="1:5" hidden="1" x14ac:dyDescent="0.25">
      <c r="A1567">
        <v>38</v>
      </c>
      <c r="B1567">
        <v>2</v>
      </c>
      <c r="C1567" t="s">
        <v>39</v>
      </c>
      <c r="D1567" t="s">
        <v>1</v>
      </c>
      <c r="E1567">
        <f t="shared" ca="1" si="24"/>
        <v>72.892894818646781</v>
      </c>
    </row>
    <row r="1568" spans="1:5" hidden="1" x14ac:dyDescent="0.25">
      <c r="A1568">
        <v>38</v>
      </c>
      <c r="B1568">
        <v>3</v>
      </c>
      <c r="C1568" t="s">
        <v>39</v>
      </c>
      <c r="D1568" t="s">
        <v>2</v>
      </c>
      <c r="E1568">
        <f t="shared" ref="E1568:E1630" ca="1" si="25">OFFSET($B$3,A1568,B1568)</f>
        <v>65.029963406766129</v>
      </c>
    </row>
    <row r="1569" spans="1:5" hidden="1" x14ac:dyDescent="0.25">
      <c r="A1569">
        <v>38</v>
      </c>
      <c r="B1569">
        <v>4</v>
      </c>
      <c r="C1569" t="s">
        <v>39</v>
      </c>
      <c r="D1569" t="s">
        <v>3</v>
      </c>
      <c r="E1569">
        <f t="shared" ca="1" si="25"/>
        <v>81.061921511355095</v>
      </c>
    </row>
    <row r="1570" spans="1:5" hidden="1" x14ac:dyDescent="0.25">
      <c r="A1570">
        <v>38</v>
      </c>
      <c r="B1570">
        <v>5</v>
      </c>
      <c r="C1570" t="s">
        <v>39</v>
      </c>
      <c r="D1570" t="s">
        <v>4</v>
      </c>
      <c r="E1570">
        <f t="shared" ca="1" si="25"/>
        <v>78.269293238551057</v>
      </c>
    </row>
    <row r="1571" spans="1:5" hidden="1" x14ac:dyDescent="0.25">
      <c r="A1571">
        <v>38</v>
      </c>
      <c r="B1571">
        <v>6</v>
      </c>
      <c r="C1571" t="s">
        <v>39</v>
      </c>
      <c r="D1571" t="s">
        <v>5</v>
      </c>
      <c r="E1571">
        <f t="shared" ca="1" si="25"/>
        <v>80.813737682995495</v>
      </c>
    </row>
    <row r="1572" spans="1:5" hidden="1" x14ac:dyDescent="0.25">
      <c r="A1572">
        <v>38</v>
      </c>
      <c r="B1572">
        <v>7</v>
      </c>
      <c r="C1572" t="s">
        <v>39</v>
      </c>
      <c r="D1572" t="s">
        <v>6</v>
      </c>
      <c r="E1572">
        <f t="shared" ca="1" si="25"/>
        <v>76.947071016328835</v>
      </c>
    </row>
    <row r="1573" spans="1:5" hidden="1" x14ac:dyDescent="0.25">
      <c r="A1573">
        <v>38</v>
      </c>
      <c r="B1573">
        <v>8</v>
      </c>
      <c r="C1573" t="s">
        <v>39</v>
      </c>
      <c r="D1573" t="s">
        <v>7</v>
      </c>
      <c r="E1573">
        <f t="shared" ca="1" si="25"/>
        <v>81.215254844688431</v>
      </c>
    </row>
    <row r="1574" spans="1:5" hidden="1" x14ac:dyDescent="0.25">
      <c r="A1574">
        <v>38</v>
      </c>
      <c r="B1574">
        <v>9</v>
      </c>
      <c r="C1574" t="s">
        <v>39</v>
      </c>
      <c r="D1574" t="s">
        <v>148</v>
      </c>
      <c r="E1574">
        <f t="shared" ca="1" si="25"/>
        <v>74.976228151980123</v>
      </c>
    </row>
    <row r="1575" spans="1:5" hidden="1" x14ac:dyDescent="0.25">
      <c r="A1575">
        <v>38</v>
      </c>
      <c r="B1575">
        <v>10</v>
      </c>
      <c r="C1575" t="s">
        <v>39</v>
      </c>
      <c r="D1575" t="s">
        <v>9</v>
      </c>
      <c r="E1575">
        <f t="shared" ca="1" si="25"/>
        <v>79.257071016328837</v>
      </c>
    </row>
    <row r="1576" spans="1:5" hidden="1" x14ac:dyDescent="0.25">
      <c r="A1576">
        <v>38</v>
      </c>
      <c r="B1576">
        <v>11</v>
      </c>
      <c r="C1576" t="s">
        <v>39</v>
      </c>
      <c r="D1576" t="s">
        <v>10</v>
      </c>
      <c r="E1576">
        <f t="shared" ca="1" si="25"/>
        <v>0</v>
      </c>
    </row>
    <row r="1577" spans="1:5" hidden="1" x14ac:dyDescent="0.25">
      <c r="A1577">
        <v>38</v>
      </c>
      <c r="B1577">
        <v>12</v>
      </c>
      <c r="C1577" t="s">
        <v>39</v>
      </c>
      <c r="D1577" t="s">
        <v>11</v>
      </c>
      <c r="E1577">
        <f t="shared" ca="1" si="25"/>
        <v>28.101034438491229</v>
      </c>
    </row>
    <row r="1578" spans="1:5" hidden="1" x14ac:dyDescent="0.25">
      <c r="A1578">
        <v>38</v>
      </c>
      <c r="B1578">
        <v>13</v>
      </c>
      <c r="C1578" t="s">
        <v>39</v>
      </c>
      <c r="D1578" t="s">
        <v>12</v>
      </c>
      <c r="E1578">
        <f t="shared" ca="1" si="25"/>
        <v>40.522861741624432</v>
      </c>
    </row>
    <row r="1579" spans="1:5" hidden="1" x14ac:dyDescent="0.25">
      <c r="A1579">
        <v>38</v>
      </c>
      <c r="B1579">
        <v>14</v>
      </c>
      <c r="C1579" t="s">
        <v>39</v>
      </c>
      <c r="D1579" t="s">
        <v>13</v>
      </c>
      <c r="E1579">
        <f t="shared" ca="1" si="25"/>
        <v>40.025083963846654</v>
      </c>
    </row>
    <row r="1580" spans="1:5" hidden="1" x14ac:dyDescent="0.25">
      <c r="A1580">
        <v>38</v>
      </c>
      <c r="B1580">
        <v>15</v>
      </c>
      <c r="C1580" t="s">
        <v>39</v>
      </c>
      <c r="D1580" t="s">
        <v>14</v>
      </c>
      <c r="E1580">
        <f t="shared" ca="1" si="25"/>
        <v>71.215053622958891</v>
      </c>
    </row>
    <row r="1581" spans="1:5" hidden="1" x14ac:dyDescent="0.25">
      <c r="A1581">
        <v>38</v>
      </c>
      <c r="B1581">
        <v>16</v>
      </c>
      <c r="C1581" t="s">
        <v>39</v>
      </c>
      <c r="D1581" t="s">
        <v>15</v>
      </c>
      <c r="E1581">
        <f t="shared" ca="1" si="25"/>
        <v>68.152830799549562</v>
      </c>
    </row>
    <row r="1582" spans="1:5" hidden="1" x14ac:dyDescent="0.25">
      <c r="A1582">
        <v>38</v>
      </c>
      <c r="B1582">
        <v>17</v>
      </c>
      <c r="C1582" t="s">
        <v>39</v>
      </c>
      <c r="D1582" t="s">
        <v>16</v>
      </c>
      <c r="E1582">
        <f t="shared" ca="1" si="25"/>
        <v>49.184962782118049</v>
      </c>
    </row>
    <row r="1583" spans="1:5" hidden="1" x14ac:dyDescent="0.25">
      <c r="A1583">
        <v>38</v>
      </c>
      <c r="B1583">
        <v>18</v>
      </c>
      <c r="C1583" t="s">
        <v>39</v>
      </c>
      <c r="D1583" t="s">
        <v>17</v>
      </c>
      <c r="E1583">
        <f t="shared" ca="1" si="25"/>
        <v>70.193941910660669</v>
      </c>
    </row>
    <row r="1584" spans="1:5" hidden="1" x14ac:dyDescent="0.25">
      <c r="A1584">
        <v>38</v>
      </c>
      <c r="B1584">
        <v>19</v>
      </c>
      <c r="C1584" t="s">
        <v>39</v>
      </c>
      <c r="D1584" t="s">
        <v>18</v>
      </c>
      <c r="E1584">
        <f t="shared" ca="1" si="25"/>
        <v>57.18370453265765</v>
      </c>
    </row>
    <row r="1585" spans="1:5" hidden="1" x14ac:dyDescent="0.25">
      <c r="A1585">
        <v>38</v>
      </c>
      <c r="B1585">
        <v>20</v>
      </c>
      <c r="C1585" t="s">
        <v>39</v>
      </c>
      <c r="D1585" t="s">
        <v>19</v>
      </c>
      <c r="E1585">
        <f t="shared" ca="1" si="25"/>
        <v>64.275465054898646</v>
      </c>
    </row>
    <row r="1586" spans="1:5" hidden="1" x14ac:dyDescent="0.25">
      <c r="A1586">
        <v>38</v>
      </c>
      <c r="B1586">
        <v>21</v>
      </c>
      <c r="C1586" t="s">
        <v>39</v>
      </c>
      <c r="D1586" t="s">
        <v>20</v>
      </c>
      <c r="E1586">
        <f t="shared" ca="1" si="25"/>
        <v>66.515316403317371</v>
      </c>
    </row>
    <row r="1587" spans="1:5" hidden="1" x14ac:dyDescent="0.25">
      <c r="A1587">
        <v>38</v>
      </c>
      <c r="B1587">
        <v>22</v>
      </c>
      <c r="C1587" t="s">
        <v>39</v>
      </c>
      <c r="D1587" t="s">
        <v>21</v>
      </c>
      <c r="E1587">
        <f t="shared" ca="1" si="25"/>
        <v>71.817496668191623</v>
      </c>
    </row>
    <row r="1588" spans="1:5" hidden="1" x14ac:dyDescent="0.25">
      <c r="A1588">
        <v>38</v>
      </c>
      <c r="B1588">
        <v>23</v>
      </c>
      <c r="C1588" t="s">
        <v>39</v>
      </c>
      <c r="D1588" t="s">
        <v>22</v>
      </c>
      <c r="E1588">
        <f t="shared" ca="1" si="25"/>
        <v>54.706246249178861</v>
      </c>
    </row>
    <row r="1589" spans="1:5" hidden="1" x14ac:dyDescent="0.25">
      <c r="A1589">
        <v>38</v>
      </c>
      <c r="B1589">
        <v>24</v>
      </c>
      <c r="C1589" t="s">
        <v>39</v>
      </c>
      <c r="D1589" t="s">
        <v>23</v>
      </c>
      <c r="E1589">
        <f t="shared" ca="1" si="25"/>
        <v>53.995135138067752</v>
      </c>
    </row>
    <row r="1590" spans="1:5" hidden="1" x14ac:dyDescent="0.25">
      <c r="A1590">
        <v>38</v>
      </c>
      <c r="B1590">
        <v>25</v>
      </c>
      <c r="C1590" t="s">
        <v>39</v>
      </c>
      <c r="D1590" t="s">
        <v>24</v>
      </c>
      <c r="E1590">
        <f t="shared" ca="1" si="25"/>
        <v>52.656246249178864</v>
      </c>
    </row>
    <row r="1591" spans="1:5" hidden="1" x14ac:dyDescent="0.25">
      <c r="A1591">
        <v>38</v>
      </c>
      <c r="B1591">
        <v>26</v>
      </c>
      <c r="C1591" t="s">
        <v>39</v>
      </c>
      <c r="D1591" t="s">
        <v>25</v>
      </c>
      <c r="E1591">
        <f t="shared" ca="1" si="25"/>
        <v>73.913942511847779</v>
      </c>
    </row>
    <row r="1592" spans="1:5" hidden="1" x14ac:dyDescent="0.25">
      <c r="A1592">
        <v>38</v>
      </c>
      <c r="B1592">
        <v>27</v>
      </c>
      <c r="C1592" t="s">
        <v>39</v>
      </c>
      <c r="D1592" t="s">
        <v>145</v>
      </c>
      <c r="E1592">
        <f t="shared" ca="1" si="25"/>
        <v>65.722131721565319</v>
      </c>
    </row>
    <row r="1593" spans="1:5" hidden="1" x14ac:dyDescent="0.25">
      <c r="A1593">
        <v>38</v>
      </c>
      <c r="B1593">
        <v>28</v>
      </c>
      <c r="C1593" t="s">
        <v>39</v>
      </c>
      <c r="D1593" t="s">
        <v>147</v>
      </c>
      <c r="E1593">
        <f t="shared" ca="1" si="25"/>
        <v>72.261941112636066</v>
      </c>
    </row>
    <row r="1594" spans="1:5" hidden="1" x14ac:dyDescent="0.25">
      <c r="A1594">
        <v>38</v>
      </c>
      <c r="B1594">
        <v>29</v>
      </c>
      <c r="C1594" t="s">
        <v>39</v>
      </c>
      <c r="D1594" t="s">
        <v>146</v>
      </c>
      <c r="E1594">
        <f t="shared" ca="1" si="25"/>
        <v>53.184024026956642</v>
      </c>
    </row>
    <row r="1595" spans="1:5" hidden="1" x14ac:dyDescent="0.25">
      <c r="A1595">
        <v>38</v>
      </c>
      <c r="B1595">
        <v>30</v>
      </c>
      <c r="C1595" t="s">
        <v>39</v>
      </c>
      <c r="D1595" t="s">
        <v>30</v>
      </c>
      <c r="E1595">
        <f t="shared" ca="1" si="25"/>
        <v>82.317477066910641</v>
      </c>
    </row>
    <row r="1596" spans="1:5" hidden="1" x14ac:dyDescent="0.25">
      <c r="A1596">
        <v>38</v>
      </c>
      <c r="B1596">
        <v>31</v>
      </c>
      <c r="C1596" t="s">
        <v>39</v>
      </c>
      <c r="D1596" t="s">
        <v>31</v>
      </c>
      <c r="E1596">
        <f t="shared" ca="1" si="25"/>
        <v>80.715149153059315</v>
      </c>
    </row>
    <row r="1597" spans="1:5" hidden="1" x14ac:dyDescent="0.25">
      <c r="A1597">
        <v>38</v>
      </c>
      <c r="B1597">
        <v>32</v>
      </c>
      <c r="C1597" t="s">
        <v>39</v>
      </c>
      <c r="D1597" t="s">
        <v>32</v>
      </c>
      <c r="E1597">
        <f t="shared" ca="1" si="25"/>
        <v>79.407371375281542</v>
      </c>
    </row>
    <row r="1598" spans="1:5" hidden="1" x14ac:dyDescent="0.25">
      <c r="A1598">
        <v>38</v>
      </c>
      <c r="B1598">
        <v>33</v>
      </c>
      <c r="C1598" t="s">
        <v>39</v>
      </c>
      <c r="D1598" t="s">
        <v>33</v>
      </c>
      <c r="E1598">
        <f t="shared" ca="1" si="25"/>
        <v>71.785824300863368</v>
      </c>
    </row>
    <row r="1599" spans="1:5" hidden="1" x14ac:dyDescent="0.25">
      <c r="A1599">
        <v>38</v>
      </c>
      <c r="B1599">
        <v>34</v>
      </c>
      <c r="C1599" t="s">
        <v>39</v>
      </c>
      <c r="D1599" t="s">
        <v>34</v>
      </c>
      <c r="E1599">
        <f t="shared" ca="1" si="25"/>
        <v>72.7102687453078</v>
      </c>
    </row>
    <row r="1600" spans="1:5" hidden="1" x14ac:dyDescent="0.25">
      <c r="A1600">
        <v>38</v>
      </c>
      <c r="B1600">
        <v>35</v>
      </c>
      <c r="C1600" t="s">
        <v>39</v>
      </c>
      <c r="D1600" t="s">
        <v>35</v>
      </c>
      <c r="E1600">
        <f t="shared" ca="1" si="25"/>
        <v>73.135117040869005</v>
      </c>
    </row>
    <row r="1601" spans="1:5" hidden="1" x14ac:dyDescent="0.25">
      <c r="A1601">
        <v>38</v>
      </c>
      <c r="B1601">
        <v>36</v>
      </c>
      <c r="C1601" t="s">
        <v>39</v>
      </c>
      <c r="D1601" t="s">
        <v>36</v>
      </c>
      <c r="E1601">
        <f t="shared" ca="1" si="25"/>
        <v>0</v>
      </c>
    </row>
    <row r="1602" spans="1:5" hidden="1" x14ac:dyDescent="0.25">
      <c r="A1602">
        <v>38</v>
      </c>
      <c r="B1602">
        <v>37</v>
      </c>
      <c r="C1602" t="s">
        <v>39</v>
      </c>
      <c r="D1602" t="s">
        <v>37</v>
      </c>
      <c r="E1602">
        <f t="shared" ca="1" si="25"/>
        <v>30.482249047924874</v>
      </c>
    </row>
    <row r="1603" spans="1:5" hidden="1" x14ac:dyDescent="0.25">
      <c r="A1603">
        <v>38</v>
      </c>
      <c r="B1603">
        <v>38</v>
      </c>
      <c r="C1603" t="s">
        <v>39</v>
      </c>
      <c r="D1603" t="s">
        <v>38</v>
      </c>
      <c r="E1603">
        <f t="shared" ca="1" si="25"/>
        <v>0</v>
      </c>
    </row>
    <row r="1604" spans="1:5" hidden="1" x14ac:dyDescent="0.25">
      <c r="A1604">
        <v>38</v>
      </c>
      <c r="B1604">
        <v>39</v>
      </c>
      <c r="C1604" t="s">
        <v>39</v>
      </c>
      <c r="D1604" t="s">
        <v>39</v>
      </c>
      <c r="E1604">
        <f t="shared" ca="1" si="25"/>
        <v>28.433360159035985</v>
      </c>
    </row>
    <row r="1605" spans="1:5" hidden="1" x14ac:dyDescent="0.25">
      <c r="A1605">
        <v>38</v>
      </c>
      <c r="B1605">
        <v>40</v>
      </c>
      <c r="C1605" t="s">
        <v>39</v>
      </c>
      <c r="D1605" t="s">
        <v>40</v>
      </c>
      <c r="E1605">
        <f t="shared" ca="1" si="25"/>
        <v>29.882249047924876</v>
      </c>
    </row>
    <row r="1606" spans="1:5" hidden="1" x14ac:dyDescent="0.25">
      <c r="A1606">
        <v>39</v>
      </c>
      <c r="B1606">
        <v>1</v>
      </c>
      <c r="C1606" t="s">
        <v>40</v>
      </c>
      <c r="D1606" t="s">
        <v>0</v>
      </c>
      <c r="E1606">
        <f t="shared" ca="1" si="25"/>
        <v>80.75419183910472</v>
      </c>
    </row>
    <row r="1607" spans="1:5" hidden="1" x14ac:dyDescent="0.25">
      <c r="A1607">
        <v>39</v>
      </c>
      <c r="B1607">
        <v>2</v>
      </c>
      <c r="C1607" t="s">
        <v>40</v>
      </c>
      <c r="D1607" t="s">
        <v>1</v>
      </c>
      <c r="E1607">
        <f t="shared" ca="1" si="25"/>
        <v>81.1319696168825</v>
      </c>
    </row>
    <row r="1608" spans="1:5" hidden="1" x14ac:dyDescent="0.25">
      <c r="A1608">
        <v>39</v>
      </c>
      <c r="B1608">
        <v>3</v>
      </c>
      <c r="C1608" t="s">
        <v>40</v>
      </c>
      <c r="D1608" t="s">
        <v>2</v>
      </c>
      <c r="E1608">
        <f t="shared" ca="1" si="25"/>
        <v>73.865783876454572</v>
      </c>
    </row>
    <row r="1609" spans="1:5" hidden="1" x14ac:dyDescent="0.25">
      <c r="A1609">
        <v>39</v>
      </c>
      <c r="B1609">
        <v>4</v>
      </c>
      <c r="C1609" t="s">
        <v>40</v>
      </c>
      <c r="D1609" t="s">
        <v>3</v>
      </c>
      <c r="E1609">
        <f t="shared" ca="1" si="25"/>
        <v>27.706552653288053</v>
      </c>
    </row>
    <row r="1610" spans="1:5" hidden="1" x14ac:dyDescent="0.25">
      <c r="A1610">
        <v>39</v>
      </c>
      <c r="B1610">
        <v>5</v>
      </c>
      <c r="C1610" t="s">
        <v>40</v>
      </c>
      <c r="D1610" t="s">
        <v>4</v>
      </c>
      <c r="E1610">
        <f t="shared" ca="1" si="25"/>
        <v>88.074140840840826</v>
      </c>
    </row>
    <row r="1611" spans="1:5" hidden="1" x14ac:dyDescent="0.25">
      <c r="A1611">
        <v>39</v>
      </c>
      <c r="B1611">
        <v>6</v>
      </c>
      <c r="C1611" t="s">
        <v>40</v>
      </c>
      <c r="D1611" t="s">
        <v>5</v>
      </c>
      <c r="E1611">
        <f t="shared" ca="1" si="25"/>
        <v>90.618585285285278</v>
      </c>
    </row>
    <row r="1612" spans="1:5" hidden="1" x14ac:dyDescent="0.25">
      <c r="A1612">
        <v>39</v>
      </c>
      <c r="B1612">
        <v>7</v>
      </c>
      <c r="C1612" t="s">
        <v>40</v>
      </c>
      <c r="D1612" t="s">
        <v>6</v>
      </c>
      <c r="E1612">
        <f t="shared" ca="1" si="25"/>
        <v>88.513029729729723</v>
      </c>
    </row>
    <row r="1613" spans="1:5" hidden="1" x14ac:dyDescent="0.25">
      <c r="A1613">
        <v>39</v>
      </c>
      <c r="B1613">
        <v>8</v>
      </c>
      <c r="C1613" t="s">
        <v>40</v>
      </c>
      <c r="D1613" t="s">
        <v>7</v>
      </c>
      <c r="E1613">
        <f t="shared" ca="1" si="25"/>
        <v>27.859885986621386</v>
      </c>
    </row>
    <row r="1614" spans="1:5" hidden="1" x14ac:dyDescent="0.25">
      <c r="A1614">
        <v>39</v>
      </c>
      <c r="B1614">
        <v>9</v>
      </c>
      <c r="C1614" t="s">
        <v>40</v>
      </c>
      <c r="D1614" t="s">
        <v>148</v>
      </c>
      <c r="E1614">
        <f t="shared" ca="1" si="25"/>
        <v>83.215302950215829</v>
      </c>
    </row>
    <row r="1615" spans="1:5" hidden="1" x14ac:dyDescent="0.25">
      <c r="A1615">
        <v>39</v>
      </c>
      <c r="B1615">
        <v>10</v>
      </c>
      <c r="C1615" t="s">
        <v>40</v>
      </c>
      <c r="D1615" t="s">
        <v>9</v>
      </c>
      <c r="E1615">
        <f t="shared" ca="1" si="25"/>
        <v>89.061918618618606</v>
      </c>
    </row>
    <row r="1616" spans="1:5" hidden="1" x14ac:dyDescent="0.25">
      <c r="A1616">
        <v>39</v>
      </c>
      <c r="B1616">
        <v>11</v>
      </c>
      <c r="C1616" t="s">
        <v>40</v>
      </c>
      <c r="D1616" t="s">
        <v>10</v>
      </c>
      <c r="E1616">
        <f t="shared" ca="1" si="25"/>
        <v>31.063918917745873</v>
      </c>
    </row>
    <row r="1617" spans="1:5" hidden="1" x14ac:dyDescent="0.25">
      <c r="A1617">
        <v>39</v>
      </c>
      <c r="B1617">
        <v>12</v>
      </c>
      <c r="C1617" t="s">
        <v>40</v>
      </c>
      <c r="D1617" t="s">
        <v>11</v>
      </c>
      <c r="E1617">
        <f t="shared" ca="1" si="25"/>
        <v>36.62016740158127</v>
      </c>
    </row>
    <row r="1618" spans="1:5" hidden="1" x14ac:dyDescent="0.25">
      <c r="A1618">
        <v>39</v>
      </c>
      <c r="B1618">
        <v>13</v>
      </c>
      <c r="C1618" t="s">
        <v>40</v>
      </c>
      <c r="D1618" t="s">
        <v>12</v>
      </c>
      <c r="E1618">
        <f t="shared" ca="1" si="25"/>
        <v>54.288357297531903</v>
      </c>
    </row>
    <row r="1619" spans="1:5" hidden="1" x14ac:dyDescent="0.25">
      <c r="A1619">
        <v>39</v>
      </c>
      <c r="B1619">
        <v>14</v>
      </c>
      <c r="C1619" t="s">
        <v>40</v>
      </c>
      <c r="D1619" t="s">
        <v>13</v>
      </c>
      <c r="E1619">
        <f t="shared" ca="1" si="25"/>
        <v>53.790579519754125</v>
      </c>
    </row>
    <row r="1620" spans="1:5" hidden="1" x14ac:dyDescent="0.25">
      <c r="A1620">
        <v>39</v>
      </c>
      <c r="B1620">
        <v>15</v>
      </c>
      <c r="C1620" t="s">
        <v>40</v>
      </c>
      <c r="D1620" t="s">
        <v>14</v>
      </c>
      <c r="E1620">
        <f t="shared" ca="1" si="25"/>
        <v>58.960588250164228</v>
      </c>
    </row>
    <row r="1621" spans="1:5" hidden="1" x14ac:dyDescent="0.25">
      <c r="A1621">
        <v>39</v>
      </c>
      <c r="B1621">
        <v>16</v>
      </c>
      <c r="C1621" t="s">
        <v>40</v>
      </c>
      <c r="D1621" t="s">
        <v>15</v>
      </c>
      <c r="E1621">
        <f t="shared" ca="1" si="25"/>
        <v>55.451053612987998</v>
      </c>
    </row>
    <row r="1622" spans="1:5" hidden="1" x14ac:dyDescent="0.25">
      <c r="A1622">
        <v>39</v>
      </c>
      <c r="B1622">
        <v>17</v>
      </c>
      <c r="C1622" t="s">
        <v>40</v>
      </c>
      <c r="D1622" t="s">
        <v>16</v>
      </c>
      <c r="E1622">
        <f t="shared" ca="1" si="25"/>
        <v>50.879942306564367</v>
      </c>
    </row>
    <row r="1623" spans="1:5" hidden="1" x14ac:dyDescent="0.25">
      <c r="A1623">
        <v>39</v>
      </c>
      <c r="B1623">
        <v>18</v>
      </c>
      <c r="C1623" t="s">
        <v>40</v>
      </c>
      <c r="D1623" t="s">
        <v>17</v>
      </c>
      <c r="E1623">
        <f t="shared" ca="1" si="25"/>
        <v>57.492164724099112</v>
      </c>
    </row>
    <row r="1624" spans="1:5" hidden="1" x14ac:dyDescent="0.25">
      <c r="A1624">
        <v>39</v>
      </c>
      <c r="B1624">
        <v>19</v>
      </c>
      <c r="C1624" t="s">
        <v>40</v>
      </c>
      <c r="D1624" t="s">
        <v>18</v>
      </c>
      <c r="E1624">
        <f t="shared" ca="1" si="25"/>
        <v>36.325306186362141</v>
      </c>
    </row>
    <row r="1625" spans="1:5" hidden="1" x14ac:dyDescent="0.25">
      <c r="A1625">
        <v>39</v>
      </c>
      <c r="B1625">
        <v>20</v>
      </c>
      <c r="C1625" t="s">
        <v>40</v>
      </c>
      <c r="D1625" t="s">
        <v>19</v>
      </c>
      <c r="E1625">
        <f t="shared" ca="1" si="25"/>
        <v>72.871717587509394</v>
      </c>
    </row>
    <row r="1626" spans="1:5" hidden="1" x14ac:dyDescent="0.25">
      <c r="A1626">
        <v>39</v>
      </c>
      <c r="B1626">
        <v>21</v>
      </c>
      <c r="C1626" t="s">
        <v>40</v>
      </c>
      <c r="D1626" t="s">
        <v>20</v>
      </c>
      <c r="E1626">
        <f t="shared" ca="1" si="25"/>
        <v>74.706866259618991</v>
      </c>
    </row>
    <row r="1627" spans="1:5" hidden="1" x14ac:dyDescent="0.25">
      <c r="A1627">
        <v>39</v>
      </c>
      <c r="B1627">
        <v>22</v>
      </c>
      <c r="C1627" t="s">
        <v>40</v>
      </c>
      <c r="D1627" t="s">
        <v>21</v>
      </c>
      <c r="E1627">
        <f t="shared" ca="1" si="25"/>
        <v>88.492025848817562</v>
      </c>
    </row>
    <row r="1628" spans="1:5" hidden="1" x14ac:dyDescent="0.25">
      <c r="A1628">
        <v>39</v>
      </c>
      <c r="B1628">
        <v>23</v>
      </c>
      <c r="C1628" t="s">
        <v>40</v>
      </c>
      <c r="D1628" t="s">
        <v>22</v>
      </c>
      <c r="E1628">
        <f t="shared" ca="1" si="25"/>
        <v>57.795606757929789</v>
      </c>
    </row>
    <row r="1629" spans="1:5" hidden="1" x14ac:dyDescent="0.25">
      <c r="A1629">
        <v>39</v>
      </c>
      <c r="B1629">
        <v>24</v>
      </c>
      <c r="C1629" t="s">
        <v>40</v>
      </c>
      <c r="D1629" t="s">
        <v>23</v>
      </c>
      <c r="E1629">
        <f t="shared" ca="1" si="25"/>
        <v>57.084495646818681</v>
      </c>
    </row>
    <row r="1630" spans="1:5" hidden="1" x14ac:dyDescent="0.25">
      <c r="A1630">
        <v>39</v>
      </c>
      <c r="B1630">
        <v>25</v>
      </c>
      <c r="C1630" t="s">
        <v>40</v>
      </c>
      <c r="D1630" t="s">
        <v>24</v>
      </c>
      <c r="E1630">
        <f t="shared" ca="1" si="25"/>
        <v>55.745606757929792</v>
      </c>
    </row>
    <row r="1631" spans="1:5" hidden="1" x14ac:dyDescent="0.25">
      <c r="A1631">
        <v>39</v>
      </c>
      <c r="B1631">
        <v>26</v>
      </c>
      <c r="C1631" t="s">
        <v>40</v>
      </c>
      <c r="D1631" t="s">
        <v>25</v>
      </c>
      <c r="E1631">
        <f t="shared" ref="E1631:E1645" ca="1" si="26">OFFSET($B$3,A1631,B1631)</f>
        <v>61.659477139053116</v>
      </c>
    </row>
    <row r="1632" spans="1:5" hidden="1" x14ac:dyDescent="0.25">
      <c r="A1632">
        <v>39</v>
      </c>
      <c r="B1632">
        <v>27</v>
      </c>
      <c r="C1632" t="s">
        <v>40</v>
      </c>
      <c r="D1632" t="s">
        <v>145</v>
      </c>
      <c r="E1632">
        <f t="shared" ca="1" si="26"/>
        <v>83.998488302599469</v>
      </c>
    </row>
    <row r="1633" spans="1:5" hidden="1" x14ac:dyDescent="0.25">
      <c r="A1633">
        <v>39</v>
      </c>
      <c r="B1633">
        <v>28</v>
      </c>
      <c r="C1633" t="s">
        <v>40</v>
      </c>
      <c r="D1633" t="s">
        <v>147</v>
      </c>
      <c r="E1633">
        <f t="shared" ca="1" si="26"/>
        <v>88.936470293262005</v>
      </c>
    </row>
    <row r="1634" spans="1:5" hidden="1" x14ac:dyDescent="0.25">
      <c r="A1634">
        <v>39</v>
      </c>
      <c r="B1634">
        <v>29</v>
      </c>
      <c r="C1634" t="s">
        <v>40</v>
      </c>
      <c r="D1634" t="s">
        <v>146</v>
      </c>
      <c r="E1634">
        <f t="shared" ca="1" si="26"/>
        <v>56.273384535707571</v>
      </c>
    </row>
    <row r="1635" spans="1:5" hidden="1" x14ac:dyDescent="0.25">
      <c r="A1635">
        <v>39</v>
      </c>
      <c r="B1635">
        <v>30</v>
      </c>
      <c r="C1635" t="s">
        <v>40</v>
      </c>
      <c r="D1635" t="s">
        <v>30</v>
      </c>
      <c r="E1635">
        <f t="shared" ca="1" si="26"/>
        <v>28.96210820884361</v>
      </c>
    </row>
    <row r="1636" spans="1:5" hidden="1" x14ac:dyDescent="0.25">
      <c r="A1636">
        <v>39</v>
      </c>
      <c r="B1636">
        <v>31</v>
      </c>
      <c r="C1636" t="s">
        <v>40</v>
      </c>
      <c r="D1636" t="s">
        <v>31</v>
      </c>
      <c r="E1636">
        <f t="shared" ca="1" si="26"/>
        <v>90.589068757038291</v>
      </c>
    </row>
    <row r="1637" spans="1:5" hidden="1" x14ac:dyDescent="0.25">
      <c r="A1637">
        <v>39</v>
      </c>
      <c r="B1637">
        <v>32</v>
      </c>
      <c r="C1637" t="s">
        <v>40</v>
      </c>
      <c r="D1637" t="s">
        <v>32</v>
      </c>
      <c r="E1637">
        <f t="shared" ca="1" si="26"/>
        <v>89.281290979260518</v>
      </c>
    </row>
    <row r="1638" spans="1:5" hidden="1" x14ac:dyDescent="0.25">
      <c r="A1638">
        <v>39</v>
      </c>
      <c r="B1638">
        <v>33</v>
      </c>
      <c r="C1638" t="s">
        <v>40</v>
      </c>
      <c r="D1638" t="s">
        <v>33</v>
      </c>
      <c r="E1638">
        <f t="shared" ca="1" si="26"/>
        <v>80.633422906109232</v>
      </c>
    </row>
    <row r="1639" spans="1:5" hidden="1" x14ac:dyDescent="0.25">
      <c r="A1639">
        <v>39</v>
      </c>
      <c r="B1639">
        <v>34</v>
      </c>
      <c r="C1639" t="s">
        <v>40</v>
      </c>
      <c r="D1639" t="s">
        <v>34</v>
      </c>
      <c r="E1639">
        <f t="shared" ca="1" si="26"/>
        <v>81.557867350553678</v>
      </c>
    </row>
    <row r="1640" spans="1:5" hidden="1" x14ac:dyDescent="0.25">
      <c r="A1640">
        <v>39</v>
      </c>
      <c r="B1640">
        <v>35</v>
      </c>
      <c r="C1640" t="s">
        <v>40</v>
      </c>
      <c r="D1640" t="s">
        <v>35</v>
      </c>
      <c r="E1640">
        <f t="shared" ca="1" si="26"/>
        <v>81.374191839104725</v>
      </c>
    </row>
    <row r="1641" spans="1:5" hidden="1" x14ac:dyDescent="0.25">
      <c r="A1641">
        <v>39</v>
      </c>
      <c r="B1641">
        <v>36</v>
      </c>
      <c r="C1641" t="s">
        <v>40</v>
      </c>
      <c r="D1641" t="s">
        <v>36</v>
      </c>
      <c r="E1641">
        <f t="shared" ca="1" si="26"/>
        <v>28.711137936813763</v>
      </c>
    </row>
    <row r="1642" spans="1:5" hidden="1" x14ac:dyDescent="0.25">
      <c r="A1642">
        <v>39</v>
      </c>
      <c r="B1642">
        <v>37</v>
      </c>
      <c r="C1642" t="s">
        <v>40</v>
      </c>
      <c r="D1642" t="s">
        <v>37</v>
      </c>
      <c r="E1642">
        <f t="shared" ca="1" si="26"/>
        <v>0</v>
      </c>
    </row>
    <row r="1643" spans="1:5" hidden="1" x14ac:dyDescent="0.25">
      <c r="A1643">
        <v>39</v>
      </c>
      <c r="B1643">
        <v>38</v>
      </c>
      <c r="C1643" t="s">
        <v>40</v>
      </c>
      <c r="D1643" t="s">
        <v>38</v>
      </c>
      <c r="E1643">
        <f t="shared" ca="1" si="26"/>
        <v>28.433360159035985</v>
      </c>
    </row>
    <row r="1644" spans="1:5" hidden="1" x14ac:dyDescent="0.25">
      <c r="A1644">
        <v>39</v>
      </c>
      <c r="B1644">
        <v>39</v>
      </c>
      <c r="C1644" t="s">
        <v>40</v>
      </c>
      <c r="D1644" t="s">
        <v>39</v>
      </c>
      <c r="E1644">
        <f t="shared" ca="1" si="26"/>
        <v>0</v>
      </c>
    </row>
    <row r="1645" spans="1:5" hidden="1" x14ac:dyDescent="0.25">
      <c r="A1645">
        <v>39</v>
      </c>
      <c r="B1645">
        <v>40</v>
      </c>
      <c r="C1645" t="s">
        <v>40</v>
      </c>
      <c r="D1645" t="s">
        <v>40</v>
      </c>
      <c r="E1645">
        <f t="shared" ca="1" si="26"/>
        <v>0</v>
      </c>
    </row>
  </sheetData>
  <autoFilter ref="A45:E1645" xr:uid="{84258EEE-EE2C-457F-97B4-F4790EA35A12}">
    <filterColumn colId="2">
      <filters>
        <filter val="BE25"/>
      </filters>
    </filterColumn>
  </autoFilter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C28C65-F347-4147-B204-68D2053F074D}">
  <dimension ref="A3:AP1645"/>
  <sheetViews>
    <sheetView topLeftCell="AG1" zoomScale="85" zoomScaleNormal="85" workbookViewId="0">
      <selection activeCell="AP4" sqref="AP4"/>
    </sheetView>
  </sheetViews>
  <sheetFormatPr baseColWidth="10" defaultRowHeight="15" x14ac:dyDescent="0.25"/>
  <cols>
    <col min="3" max="3" width="10.85546875" customWidth="1"/>
    <col min="4" max="38" width="11.42578125" customWidth="1"/>
  </cols>
  <sheetData>
    <row r="3" spans="2:42" x14ac:dyDescent="0.25">
      <c r="C3" t="s">
        <v>0</v>
      </c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K3" t="s">
        <v>148</v>
      </c>
      <c r="L3" t="s">
        <v>9</v>
      </c>
      <c r="M3" t="s">
        <v>10</v>
      </c>
      <c r="N3" t="s">
        <v>11</v>
      </c>
      <c r="O3" t="s">
        <v>12</v>
      </c>
      <c r="P3" t="s">
        <v>13</v>
      </c>
      <c r="Q3" t="s">
        <v>14</v>
      </c>
      <c r="R3" t="s">
        <v>15</v>
      </c>
      <c r="S3" t="s">
        <v>16</v>
      </c>
      <c r="T3" t="s">
        <v>17</v>
      </c>
      <c r="U3" t="s">
        <v>145</v>
      </c>
      <c r="V3" t="s">
        <v>146</v>
      </c>
      <c r="W3" t="s">
        <v>18</v>
      </c>
      <c r="X3" t="s">
        <v>19</v>
      </c>
      <c r="Y3" t="s">
        <v>20</v>
      </c>
      <c r="Z3" t="s">
        <v>21</v>
      </c>
      <c r="AA3" t="s">
        <v>22</v>
      </c>
      <c r="AB3" t="s">
        <v>23</v>
      </c>
      <c r="AC3" t="s">
        <v>24</v>
      </c>
      <c r="AD3" t="s">
        <v>25</v>
      </c>
      <c r="AE3" t="s">
        <v>147</v>
      </c>
      <c r="AF3" t="s">
        <v>30</v>
      </c>
      <c r="AG3" t="s">
        <v>31</v>
      </c>
      <c r="AH3" t="s">
        <v>32</v>
      </c>
      <c r="AI3" t="s">
        <v>33</v>
      </c>
      <c r="AJ3" t="s">
        <v>34</v>
      </c>
      <c r="AK3" t="s">
        <v>35</v>
      </c>
      <c r="AL3" t="s">
        <v>36</v>
      </c>
      <c r="AM3" t="s">
        <v>37</v>
      </c>
      <c r="AN3" t="s">
        <v>38</v>
      </c>
      <c r="AO3" t="s">
        <v>39</v>
      </c>
      <c r="AP3" t="s">
        <v>40</v>
      </c>
    </row>
    <row r="4" spans="2:42" x14ac:dyDescent="0.25">
      <c r="B4" t="s">
        <v>0</v>
      </c>
      <c r="C4">
        <v>0</v>
      </c>
      <c r="D4">
        <f>1.66</f>
        <v>1.66</v>
      </c>
      <c r="E4">
        <f>2.13</f>
        <v>2.13</v>
      </c>
      <c r="F4">
        <f>4.93</f>
        <v>4.93</v>
      </c>
      <c r="G4">
        <f>6</f>
        <v>6</v>
      </c>
      <c r="H4">
        <f>7.93</f>
        <v>7.93</v>
      </c>
      <c r="I4">
        <f>6</f>
        <v>6</v>
      </c>
      <c r="J4">
        <f>4.75</f>
        <v>4.75</v>
      </c>
      <c r="K4">
        <f>3.05</f>
        <v>3.05</v>
      </c>
      <c r="L4">
        <f>6.75</f>
        <v>6.75</v>
      </c>
      <c r="M4">
        <f>19.36</f>
        <v>19.36</v>
      </c>
      <c r="N4">
        <f>16.25</f>
        <v>16.25</v>
      </c>
      <c r="O4">
        <f>15.01</f>
        <v>15.01</v>
      </c>
      <c r="P4">
        <f>13.51</f>
        <v>13.51</v>
      </c>
      <c r="Q4">
        <f>14.42</f>
        <v>14.42</v>
      </c>
      <c r="R4">
        <f>17.06</f>
        <v>17.059999999999999</v>
      </c>
      <c r="S4">
        <f>21.4</f>
        <v>21.4</v>
      </c>
      <c r="T4">
        <f>19.3</f>
        <v>19.3</v>
      </c>
      <c r="U4">
        <f>6.56</f>
        <v>6.56</v>
      </c>
      <c r="V4">
        <f>5</f>
        <v>5</v>
      </c>
      <c r="W4">
        <f>2.7</f>
        <v>2.7</v>
      </c>
      <c r="X4">
        <f>7.1</f>
        <v>7.1</v>
      </c>
      <c r="Y4">
        <f>7.13</f>
        <v>7.13</v>
      </c>
      <c r="Z4">
        <f>10.51</f>
        <v>10.51</v>
      </c>
      <c r="AA4">
        <f>9.13</f>
        <v>9.1300000000000008</v>
      </c>
      <c r="AB4">
        <f>11.5</f>
        <v>11.5</v>
      </c>
      <c r="AC4">
        <f>4.63</f>
        <v>4.63</v>
      </c>
      <c r="AD4">
        <f>6.63</f>
        <v>6.63</v>
      </c>
      <c r="AE4">
        <f>9.6</f>
        <v>9.6</v>
      </c>
      <c r="AF4">
        <f>3.68</f>
        <v>3.68</v>
      </c>
      <c r="AG4">
        <f>3.25</f>
        <v>3.25</v>
      </c>
      <c r="AH4">
        <f>2.33</f>
        <v>2.33</v>
      </c>
      <c r="AI4">
        <f>1.66</f>
        <v>1.66</v>
      </c>
      <c r="AJ4">
        <f>1.38</f>
        <v>1.38</v>
      </c>
      <c r="AK4">
        <f>1.08</f>
        <v>1.08</v>
      </c>
      <c r="AL4">
        <f>18.78</f>
        <v>18.78</v>
      </c>
      <c r="AM4">
        <f>23.48</f>
        <v>23.48</v>
      </c>
      <c r="AN4">
        <f>19.46</f>
        <v>19.46</v>
      </c>
      <c r="AO4">
        <f>21.53</f>
        <v>21.53</v>
      </c>
      <c r="AP4">
        <f>21.8</f>
        <v>21.8</v>
      </c>
    </row>
    <row r="5" spans="2:42" x14ac:dyDescent="0.25">
      <c r="B5" t="s">
        <v>1</v>
      </c>
      <c r="C5">
        <f>1.66</f>
        <v>1.66</v>
      </c>
      <c r="D5">
        <v>0</v>
      </c>
      <c r="E5">
        <f>0.71</f>
        <v>0.71</v>
      </c>
      <c r="F5">
        <f>5.45</f>
        <v>5.45</v>
      </c>
      <c r="G5">
        <f>6.53</f>
        <v>6.53</v>
      </c>
      <c r="H5">
        <f>8.43</f>
        <v>8.43</v>
      </c>
      <c r="I5">
        <f>6.51</f>
        <v>6.51</v>
      </c>
      <c r="J5">
        <f>5.28</f>
        <v>5.28</v>
      </c>
      <c r="K5">
        <f>3.55</f>
        <v>3.55</v>
      </c>
      <c r="L5">
        <f>7.28</f>
        <v>7.28</v>
      </c>
      <c r="M5">
        <f>17.93</f>
        <v>17.93</v>
      </c>
      <c r="N5">
        <f>14.86</f>
        <v>14.86</v>
      </c>
      <c r="O5">
        <f>13.68</f>
        <v>13.68</v>
      </c>
      <c r="P5">
        <f>12.15</f>
        <v>12.15</v>
      </c>
      <c r="Q5">
        <f>13.35</f>
        <v>13.35</v>
      </c>
      <c r="R5">
        <f>16.33</f>
        <v>16.329999999999998</v>
      </c>
      <c r="S5">
        <f>19.26</f>
        <v>19.260000000000002</v>
      </c>
      <c r="T5">
        <f>18.58</f>
        <v>18.579999999999998</v>
      </c>
      <c r="U5">
        <f>5.15</f>
        <v>5.15</v>
      </c>
      <c r="V5">
        <f>3.55</f>
        <v>3.55</v>
      </c>
      <c r="W5">
        <f>1.38</f>
        <v>1.38</v>
      </c>
      <c r="X5">
        <f>5.71</f>
        <v>5.71</v>
      </c>
      <c r="Y5">
        <f>5.76</f>
        <v>5.76</v>
      </c>
      <c r="Z5">
        <f>9.16</f>
        <v>9.16</v>
      </c>
      <c r="AA5">
        <f>7.78</f>
        <v>7.78</v>
      </c>
      <c r="AB5">
        <f>10.16</f>
        <v>10.16</v>
      </c>
      <c r="AC5">
        <f>3.25</f>
        <v>3.25</v>
      </c>
      <c r="AD5">
        <f>5.28</f>
        <v>5.28</v>
      </c>
      <c r="AE5">
        <f>8.26</f>
        <v>8.26</v>
      </c>
      <c r="AF5">
        <f>4.05</f>
        <v>4.05</v>
      </c>
      <c r="AG5">
        <f>3.61</f>
        <v>3.61</v>
      </c>
      <c r="AH5">
        <f>2.68</f>
        <v>2.68</v>
      </c>
      <c r="AI5">
        <f>2.1</f>
        <v>2.1</v>
      </c>
      <c r="AJ5">
        <f>1.98</f>
        <v>1.98</v>
      </c>
      <c r="AK5">
        <f>1.65</f>
        <v>1.65</v>
      </c>
      <c r="AL5">
        <f>17.26</f>
        <v>17.260000000000002</v>
      </c>
      <c r="AM5">
        <f>21.13</f>
        <v>21.13</v>
      </c>
      <c r="AN5">
        <f>18.03</f>
        <v>18.03</v>
      </c>
      <c r="AO5">
        <f>20.13</f>
        <v>20.13</v>
      </c>
      <c r="AP5">
        <f>20.16</f>
        <v>20.16</v>
      </c>
    </row>
    <row r="6" spans="2:42" x14ac:dyDescent="0.25">
      <c r="B6" t="s">
        <v>2</v>
      </c>
      <c r="C6">
        <f>2.13</f>
        <v>2.13</v>
      </c>
      <c r="D6">
        <f>0.71</f>
        <v>0.71</v>
      </c>
      <c r="E6">
        <v>0</v>
      </c>
      <c r="F6">
        <f>6.05</f>
        <v>6.05</v>
      </c>
      <c r="G6">
        <f>7.13</f>
        <v>7.13</v>
      </c>
      <c r="H6">
        <f>9.05</f>
        <v>9.0500000000000007</v>
      </c>
      <c r="I6">
        <f>7.13</f>
        <v>7.13</v>
      </c>
      <c r="J6">
        <f>5.88</f>
        <v>5.88</v>
      </c>
      <c r="K6">
        <f>4.13</f>
        <v>4.13</v>
      </c>
      <c r="L6">
        <f>7.86</f>
        <v>7.86</v>
      </c>
      <c r="M6">
        <f>17.86</f>
        <v>17.86</v>
      </c>
      <c r="N6">
        <f>14.75</f>
        <v>14.75</v>
      </c>
      <c r="O6">
        <f>13.56</f>
        <v>13.56</v>
      </c>
      <c r="P6">
        <f>12.03</f>
        <v>12.03</v>
      </c>
      <c r="Q6">
        <f>13.56</f>
        <v>13.56</v>
      </c>
      <c r="R6">
        <f>16.21</f>
        <v>16.21</v>
      </c>
      <c r="S6">
        <f>19.86</f>
        <v>19.86</v>
      </c>
      <c r="T6">
        <f>18.03</f>
        <v>18.03</v>
      </c>
      <c r="U6">
        <f>5.06</f>
        <v>5.0599999999999996</v>
      </c>
      <c r="V6">
        <f>3.46</f>
        <v>3.46</v>
      </c>
      <c r="W6">
        <f>1.3</f>
        <v>1.3</v>
      </c>
      <c r="X6">
        <f>5.6</f>
        <v>5.6</v>
      </c>
      <c r="Y6">
        <f>5.65</f>
        <v>5.65</v>
      </c>
      <c r="Z6">
        <f>9.03</f>
        <v>9.0299999999999994</v>
      </c>
      <c r="AA6">
        <f>7.65</f>
        <v>7.65</v>
      </c>
      <c r="AB6">
        <f>10.05</f>
        <v>10.050000000000001</v>
      </c>
      <c r="AC6">
        <f>3.16</f>
        <v>3.16</v>
      </c>
      <c r="AD6">
        <f>5.15</f>
        <v>5.15</v>
      </c>
      <c r="AE6">
        <f>8.13</f>
        <v>8.1300000000000008</v>
      </c>
      <c r="AF6">
        <f>4.6</f>
        <v>4.5999999999999996</v>
      </c>
      <c r="AG6">
        <f>4.16</f>
        <v>4.16</v>
      </c>
      <c r="AH6">
        <f>3.26</f>
        <v>3.26</v>
      </c>
      <c r="AI6">
        <f>2.61</f>
        <v>2.61</v>
      </c>
      <c r="AJ6">
        <f>2.6</f>
        <v>2.6</v>
      </c>
      <c r="AK6">
        <f>2.3</f>
        <v>2.2999999999999998</v>
      </c>
      <c r="AL6">
        <f>17.11</f>
        <v>17.11</v>
      </c>
      <c r="AM6">
        <f>21.03</f>
        <v>21.03</v>
      </c>
      <c r="AN6">
        <f>17.9</f>
        <v>17.899999999999999</v>
      </c>
      <c r="AO6">
        <f>19.98</f>
        <v>19.98</v>
      </c>
      <c r="AP6">
        <f>20.05</f>
        <v>20.05</v>
      </c>
    </row>
    <row r="7" spans="2:42" x14ac:dyDescent="0.25">
      <c r="B7" t="s">
        <v>3</v>
      </c>
      <c r="C7">
        <f>4.93</f>
        <v>4.93</v>
      </c>
      <c r="D7">
        <f>5.45</f>
        <v>5.45</v>
      </c>
      <c r="E7">
        <f>6.05</f>
        <v>6.05</v>
      </c>
      <c r="F7">
        <v>0</v>
      </c>
      <c r="G7">
        <f>1.45</f>
        <v>1.45</v>
      </c>
      <c r="H7">
        <f>3.4</f>
        <v>3.4</v>
      </c>
      <c r="I7">
        <f>1.41</f>
        <v>1.41</v>
      </c>
      <c r="J7">
        <f>0.28</f>
        <v>0.28000000000000003</v>
      </c>
      <c r="K7">
        <f>2.65</f>
        <v>2.65</v>
      </c>
      <c r="L7">
        <f>2.21</f>
        <v>2.21</v>
      </c>
      <c r="M7">
        <f>22.58</f>
        <v>22.58</v>
      </c>
      <c r="N7">
        <f>20.76</f>
        <v>20.76</v>
      </c>
      <c r="O7">
        <f>19.36</f>
        <v>19.36</v>
      </c>
      <c r="P7">
        <f>17.65</f>
        <v>17.649999999999999</v>
      </c>
      <c r="Q7">
        <f>17.46</f>
        <v>17.46</v>
      </c>
      <c r="R7">
        <f>20.6</f>
        <v>20.6</v>
      </c>
      <c r="S7">
        <f>25</f>
        <v>25</v>
      </c>
      <c r="T7">
        <f>22.25</f>
        <v>22.25</v>
      </c>
      <c r="U7">
        <f>10.65</f>
        <v>10.65</v>
      </c>
      <c r="V7">
        <f>9.01</f>
        <v>9.01</v>
      </c>
      <c r="W7">
        <f>6.92</f>
        <v>6.92</v>
      </c>
      <c r="X7">
        <f>11.11</f>
        <v>11.11</v>
      </c>
      <c r="Y7">
        <f>11.16</f>
        <v>11.16</v>
      </c>
      <c r="Z7">
        <f>14.46</f>
        <v>14.46</v>
      </c>
      <c r="AA7">
        <f>13.18</f>
        <v>13.18</v>
      </c>
      <c r="AB7">
        <f>14.61</f>
        <v>14.61</v>
      </c>
      <c r="AC7">
        <f>8.63</f>
        <v>8.6300000000000008</v>
      </c>
      <c r="AD7">
        <f>10.7</f>
        <v>10.7</v>
      </c>
      <c r="AE7">
        <f>13.63</f>
        <v>13.63</v>
      </c>
      <c r="AF7">
        <f>2.03</f>
        <v>2.0299999999999998</v>
      </c>
      <c r="AG7">
        <f>2.72</f>
        <v>2.72</v>
      </c>
      <c r="AH7">
        <f>4.08</f>
        <v>4.08</v>
      </c>
      <c r="AI7">
        <f>4.2</f>
        <v>4.2</v>
      </c>
      <c r="AJ7">
        <f>3.72</f>
        <v>3.72</v>
      </c>
      <c r="AK7">
        <f>4.23</f>
        <v>4.2300000000000004</v>
      </c>
      <c r="AL7">
        <f>23.22</f>
        <v>23.22</v>
      </c>
      <c r="AM7">
        <f>26</f>
        <v>26</v>
      </c>
      <c r="AN7">
        <f>22.73</f>
        <v>22.73</v>
      </c>
      <c r="AO7">
        <f>25</f>
        <v>25</v>
      </c>
      <c r="AP7">
        <f>25</f>
        <v>25</v>
      </c>
    </row>
    <row r="8" spans="2:42" x14ac:dyDescent="0.25">
      <c r="B8" t="s">
        <v>4</v>
      </c>
      <c r="C8">
        <f>6</f>
        <v>6</v>
      </c>
      <c r="D8">
        <f>6.53</f>
        <v>6.53</v>
      </c>
      <c r="E8">
        <f>7.13</f>
        <v>7.13</v>
      </c>
      <c r="F8">
        <f>1.45</f>
        <v>1.45</v>
      </c>
      <c r="G8">
        <v>0</v>
      </c>
      <c r="H8">
        <f>2.31</f>
        <v>2.31</v>
      </c>
      <c r="I8">
        <f>0.6</f>
        <v>0.6</v>
      </c>
      <c r="J8">
        <f>1.83</f>
        <v>1.83</v>
      </c>
      <c r="K8">
        <f>2.52</f>
        <v>2.52</v>
      </c>
      <c r="L8">
        <f>1.13</f>
        <v>1.1299999999999999</v>
      </c>
      <c r="M8">
        <f>25</f>
        <v>25</v>
      </c>
      <c r="N8">
        <f>22.15</f>
        <v>22.15</v>
      </c>
      <c r="O8">
        <f>20.81</f>
        <v>20.81</v>
      </c>
      <c r="P8">
        <f>19.36</f>
        <v>19.36</v>
      </c>
      <c r="Q8">
        <f>18.82</f>
        <v>18.82</v>
      </c>
      <c r="R8">
        <f>21.06</f>
        <v>21.06</v>
      </c>
      <c r="S8">
        <f>26</f>
        <v>26</v>
      </c>
      <c r="T8">
        <f>23.23</f>
        <v>23.23</v>
      </c>
      <c r="U8">
        <f>11.86</f>
        <v>11.86</v>
      </c>
      <c r="V8">
        <f>10.33</f>
        <v>10.33</v>
      </c>
      <c r="W8">
        <f>8.33</f>
        <v>8.33</v>
      </c>
      <c r="X8">
        <f>12.36</f>
        <v>12.36</v>
      </c>
      <c r="Y8">
        <f>12.5</f>
        <v>12.5</v>
      </c>
      <c r="Z8">
        <f>16</f>
        <v>16</v>
      </c>
      <c r="AA8">
        <f>14.2</f>
        <v>14.2</v>
      </c>
      <c r="AB8">
        <f>15.42</f>
        <v>15.42</v>
      </c>
      <c r="AC8">
        <f>9.92</f>
        <v>9.92</v>
      </c>
      <c r="AD8">
        <f>11.86</f>
        <v>11.86</v>
      </c>
      <c r="AE8">
        <f>15</f>
        <v>15</v>
      </c>
      <c r="AF8">
        <f>3.16</f>
        <v>3.16</v>
      </c>
      <c r="AG8">
        <f>2.26</f>
        <v>2.2599999999999998</v>
      </c>
      <c r="AH8">
        <f>5.16</f>
        <v>5.16</v>
      </c>
      <c r="AI8">
        <f>5.3</f>
        <v>5.3</v>
      </c>
      <c r="AJ8">
        <f>4.83</f>
        <v>4.83</v>
      </c>
      <c r="AK8">
        <f>5.23</f>
        <v>5.23</v>
      </c>
      <c r="AL8">
        <f>25</f>
        <v>25</v>
      </c>
      <c r="AM8">
        <f>27</f>
        <v>27</v>
      </c>
      <c r="AN8">
        <f>23.76</f>
        <v>23.76</v>
      </c>
      <c r="AO8">
        <f>26</f>
        <v>26</v>
      </c>
      <c r="AP8">
        <f>26</f>
        <v>26</v>
      </c>
    </row>
    <row r="9" spans="2:42" x14ac:dyDescent="0.25">
      <c r="B9" t="s">
        <v>5</v>
      </c>
      <c r="C9">
        <f>7.93</f>
        <v>7.93</v>
      </c>
      <c r="D9">
        <f>8.43</f>
        <v>8.43</v>
      </c>
      <c r="E9">
        <f>9.05</f>
        <v>9.0500000000000007</v>
      </c>
      <c r="F9">
        <f>3.4</f>
        <v>3.4</v>
      </c>
      <c r="G9">
        <f>2.31</f>
        <v>2.31</v>
      </c>
      <c r="H9">
        <v>0</v>
      </c>
      <c r="I9">
        <f>2.68</f>
        <v>2.68</v>
      </c>
      <c r="J9">
        <f>4</f>
        <v>4</v>
      </c>
      <c r="K9">
        <f>5.86</f>
        <v>5.86</v>
      </c>
      <c r="L9">
        <f>2.91</f>
        <v>2.91</v>
      </c>
      <c r="M9">
        <f>26</f>
        <v>26</v>
      </c>
      <c r="N9">
        <f>22.75</f>
        <v>22.75</v>
      </c>
      <c r="O9">
        <f>22.36</f>
        <v>22.36</v>
      </c>
      <c r="P9">
        <f>21.05</f>
        <v>21.05</v>
      </c>
      <c r="Q9">
        <f>19.95</f>
        <v>19.95</v>
      </c>
      <c r="R9">
        <f>22.56</f>
        <v>22.56</v>
      </c>
      <c r="S9">
        <f>28</f>
        <v>28</v>
      </c>
      <c r="T9">
        <f>25</f>
        <v>25</v>
      </c>
      <c r="U9">
        <f>13.75</f>
        <v>13.75</v>
      </c>
      <c r="V9">
        <f>12.13</f>
        <v>12.13</v>
      </c>
      <c r="W9">
        <f>10.1</f>
        <v>10.1</v>
      </c>
      <c r="X9">
        <f>14.05</f>
        <v>14.05</v>
      </c>
      <c r="Y9">
        <f>14.05</f>
        <v>14.05</v>
      </c>
      <c r="Z9">
        <f>17.75</f>
        <v>17.75</v>
      </c>
      <c r="AA9">
        <f>16.3</f>
        <v>16.3</v>
      </c>
      <c r="AB9">
        <f>17.46</f>
        <v>17.46</v>
      </c>
      <c r="AC9">
        <f>11.55</f>
        <v>11.55</v>
      </c>
      <c r="AD9">
        <f>13.56</f>
        <v>13.56</v>
      </c>
      <c r="AE9">
        <f>16.81</f>
        <v>16.809999999999999</v>
      </c>
      <c r="AF9">
        <f>5.32</f>
        <v>5.32</v>
      </c>
      <c r="AG9">
        <f>4.4</f>
        <v>4.4000000000000004</v>
      </c>
      <c r="AH9">
        <f>7.42</f>
        <v>7.42</v>
      </c>
      <c r="AI9">
        <f>7.48</f>
        <v>7.48</v>
      </c>
      <c r="AJ9">
        <f>7.08</f>
        <v>7.08</v>
      </c>
      <c r="AK9">
        <f>7.5</f>
        <v>7.5</v>
      </c>
      <c r="AL9">
        <f>25</f>
        <v>25</v>
      </c>
      <c r="AM9">
        <f>29</f>
        <v>29</v>
      </c>
      <c r="AN9">
        <f>26</f>
        <v>26</v>
      </c>
      <c r="AO9">
        <f>28</f>
        <v>28</v>
      </c>
      <c r="AP9">
        <f>28</f>
        <v>28</v>
      </c>
    </row>
    <row r="10" spans="2:42" x14ac:dyDescent="0.25">
      <c r="B10" t="s">
        <v>6</v>
      </c>
      <c r="C10">
        <f>6</f>
        <v>6</v>
      </c>
      <c r="D10">
        <f>6.51</f>
        <v>6.51</v>
      </c>
      <c r="E10">
        <f>7.13</f>
        <v>7.13</v>
      </c>
      <c r="F10">
        <f>1.41</f>
        <v>1.41</v>
      </c>
      <c r="G10">
        <f>0.6</f>
        <v>0.6</v>
      </c>
      <c r="H10">
        <f>2.68</f>
        <v>2.68</v>
      </c>
      <c r="I10">
        <v>0</v>
      </c>
      <c r="J10">
        <f>1.42</f>
        <v>1.42</v>
      </c>
      <c r="K10">
        <f>3.63</f>
        <v>3.63</v>
      </c>
      <c r="L10">
        <f>1.85</f>
        <v>1.85</v>
      </c>
      <c r="M10">
        <f>23.5</f>
        <v>23.5</v>
      </c>
      <c r="N10">
        <f>20.68</f>
        <v>20.68</v>
      </c>
      <c r="O10">
        <f>19.48</f>
        <v>19.48</v>
      </c>
      <c r="P10">
        <f>17.93</f>
        <v>17.93</v>
      </c>
      <c r="Q10">
        <f>19</f>
        <v>19</v>
      </c>
      <c r="R10">
        <f>21</f>
        <v>21</v>
      </c>
      <c r="S10">
        <f>25</f>
        <v>25</v>
      </c>
      <c r="T10">
        <f>23.18</f>
        <v>23.18</v>
      </c>
      <c r="U10">
        <f>11.7</f>
        <v>11.7</v>
      </c>
      <c r="V10">
        <f>10.13</f>
        <v>10.130000000000001</v>
      </c>
      <c r="W10">
        <f>8.01</f>
        <v>8.01</v>
      </c>
      <c r="X10">
        <f>12</f>
        <v>12</v>
      </c>
      <c r="Y10">
        <f>12.06</f>
        <v>12.06</v>
      </c>
      <c r="Z10">
        <f>15.62</f>
        <v>15.62</v>
      </c>
      <c r="AA10">
        <f>14.18</f>
        <v>14.18</v>
      </c>
      <c r="AB10">
        <f>15.63</f>
        <v>15.63</v>
      </c>
      <c r="AC10">
        <f>9.62</f>
        <v>9.6199999999999992</v>
      </c>
      <c r="AD10">
        <f>11.56</f>
        <v>11.56</v>
      </c>
      <c r="AE10">
        <f>14.72</f>
        <v>14.72</v>
      </c>
      <c r="AF10">
        <f>3.26</f>
        <v>3.26</v>
      </c>
      <c r="AG10">
        <f>2.36</f>
        <v>2.36</v>
      </c>
      <c r="AH10">
        <f>5.35</f>
        <v>5.35</v>
      </c>
      <c r="AI10">
        <f>5.48</f>
        <v>5.48</v>
      </c>
      <c r="AJ10">
        <f>4.96</f>
        <v>4.96</v>
      </c>
      <c r="AK10">
        <f>5.45</f>
        <v>5.45</v>
      </c>
      <c r="AL10">
        <f>22.98</f>
        <v>22.98</v>
      </c>
      <c r="AM10">
        <f>27</f>
        <v>27</v>
      </c>
      <c r="AN10">
        <f>23.65</f>
        <v>23.65</v>
      </c>
      <c r="AO10">
        <f>26</f>
        <v>26</v>
      </c>
      <c r="AP10">
        <f>26</f>
        <v>26</v>
      </c>
    </row>
    <row r="11" spans="2:42" x14ac:dyDescent="0.25">
      <c r="B11" t="s">
        <v>7</v>
      </c>
      <c r="C11">
        <f>4.75</f>
        <v>4.75</v>
      </c>
      <c r="D11">
        <f>5.28</f>
        <v>5.28</v>
      </c>
      <c r="E11">
        <f>5.88</f>
        <v>5.88</v>
      </c>
      <c r="F11">
        <f>0.28</f>
        <v>0.28000000000000003</v>
      </c>
      <c r="G11">
        <f>1.83</f>
        <v>1.83</v>
      </c>
      <c r="H11">
        <f>4</f>
        <v>4</v>
      </c>
      <c r="I11">
        <f>1.42</f>
        <v>1.42</v>
      </c>
      <c r="J11">
        <v>0</v>
      </c>
      <c r="K11">
        <f>2.5</f>
        <v>2.5</v>
      </c>
      <c r="L11">
        <f>2.08</f>
        <v>2.08</v>
      </c>
      <c r="M11">
        <f>22.31</f>
        <v>22.31</v>
      </c>
      <c r="N11">
        <f>19.5</f>
        <v>19.5</v>
      </c>
      <c r="O11">
        <f>19.63</f>
        <v>19.63</v>
      </c>
      <c r="P11">
        <f>18.03</f>
        <v>18.03</v>
      </c>
      <c r="Q11">
        <f>18.22</f>
        <v>18.22</v>
      </c>
      <c r="R11">
        <f>18.81</f>
        <v>18.809999999999999</v>
      </c>
      <c r="S11">
        <f>24</f>
        <v>24</v>
      </c>
      <c r="T11">
        <f>22</f>
        <v>22</v>
      </c>
      <c r="U11">
        <f>10.63</f>
        <v>10.63</v>
      </c>
      <c r="V11">
        <f>9.1</f>
        <v>9.1</v>
      </c>
      <c r="W11">
        <f>6.88</f>
        <v>6.88</v>
      </c>
      <c r="X11">
        <f>10.81</f>
        <v>10.81</v>
      </c>
      <c r="Y11">
        <f>10.93</f>
        <v>10.93</v>
      </c>
      <c r="Z11">
        <f>14.43</f>
        <v>14.43</v>
      </c>
      <c r="AA11">
        <f>12.98</f>
        <v>12.98</v>
      </c>
      <c r="AB11">
        <f>14.85</f>
        <v>14.85</v>
      </c>
      <c r="AC11">
        <f>8.66</f>
        <v>8.66</v>
      </c>
      <c r="AD11">
        <f>10.36</f>
        <v>10.36</v>
      </c>
      <c r="AE11">
        <f>13.51</f>
        <v>13.51</v>
      </c>
      <c r="AF11">
        <f>1.93</f>
        <v>1.93</v>
      </c>
      <c r="AG11">
        <f>1</f>
        <v>1</v>
      </c>
      <c r="AH11">
        <f>3.95</f>
        <v>3.95</v>
      </c>
      <c r="AI11">
        <f>4.05</f>
        <v>4.05</v>
      </c>
      <c r="AJ11">
        <f>3.58</f>
        <v>3.58</v>
      </c>
      <c r="AK11">
        <f>4.08</f>
        <v>4.08</v>
      </c>
      <c r="AL11">
        <f>23.31</f>
        <v>23.31</v>
      </c>
      <c r="AM11">
        <f>26</f>
        <v>26</v>
      </c>
      <c r="AN11">
        <f>22.46</f>
        <v>22.46</v>
      </c>
      <c r="AO11">
        <f>24</f>
        <v>24</v>
      </c>
      <c r="AP11">
        <f>26</f>
        <v>26</v>
      </c>
    </row>
    <row r="12" spans="2:42" x14ac:dyDescent="0.25">
      <c r="B12" t="s">
        <v>148</v>
      </c>
      <c r="C12">
        <f>3.05</f>
        <v>3.05</v>
      </c>
      <c r="D12">
        <f>3.55</f>
        <v>3.55</v>
      </c>
      <c r="E12">
        <f>4.13</f>
        <v>4.13</v>
      </c>
      <c r="F12">
        <f>2.65</f>
        <v>2.65</v>
      </c>
      <c r="G12">
        <f>2.52</f>
        <v>2.52</v>
      </c>
      <c r="H12">
        <f>5.86</f>
        <v>5.86</v>
      </c>
      <c r="I12">
        <f>3.63</f>
        <v>3.63</v>
      </c>
      <c r="J12">
        <f>2.5</f>
        <v>2.5</v>
      </c>
      <c r="K12">
        <v>0</v>
      </c>
      <c r="L12">
        <f>4.46</f>
        <v>4.46</v>
      </c>
      <c r="M12">
        <f>22.03</f>
        <v>22.03</v>
      </c>
      <c r="N12">
        <f>17.6</f>
        <v>17.600000000000001</v>
      </c>
      <c r="O12">
        <f>17.53</f>
        <v>17.53</v>
      </c>
      <c r="P12">
        <f>15.88</f>
        <v>15.88</v>
      </c>
      <c r="Q12">
        <f>15.76</f>
        <v>15.76</v>
      </c>
      <c r="R12">
        <f>18.6</f>
        <v>18.600000000000001</v>
      </c>
      <c r="S12">
        <f>22.36</f>
        <v>22.36</v>
      </c>
      <c r="T12">
        <f>20.95</f>
        <v>20.95</v>
      </c>
      <c r="U12">
        <f>8.35</f>
        <v>8.35</v>
      </c>
      <c r="V12">
        <f>6.85</f>
        <v>6.85</v>
      </c>
      <c r="W12">
        <f>4.92</f>
        <v>4.92</v>
      </c>
      <c r="X12">
        <f>9.13</f>
        <v>9.1300000000000008</v>
      </c>
      <c r="Y12">
        <f>9.23</f>
        <v>9.23</v>
      </c>
      <c r="Z12">
        <f>12.55</f>
        <v>12.55</v>
      </c>
      <c r="AA12">
        <f>11.28</f>
        <v>11.28</v>
      </c>
      <c r="AB12">
        <f>12.46</f>
        <v>12.46</v>
      </c>
      <c r="AC12">
        <f>6.58</f>
        <v>6.58</v>
      </c>
      <c r="AD12">
        <f>8.72</f>
        <v>8.7200000000000006</v>
      </c>
      <c r="AE12">
        <f>11.68</f>
        <v>11.68</v>
      </c>
      <c r="AF12">
        <f>3.15</f>
        <v>3.15</v>
      </c>
      <c r="AG12">
        <f>3.36</f>
        <v>3.36</v>
      </c>
      <c r="AH12">
        <f>3.11</f>
        <v>3.11</v>
      </c>
      <c r="AI12">
        <f>3</f>
        <v>3</v>
      </c>
      <c r="AJ12">
        <f>2.11</f>
        <v>2.11</v>
      </c>
      <c r="AK12">
        <f>2.43</f>
        <v>2.4300000000000002</v>
      </c>
      <c r="AL12">
        <f>19.9</f>
        <v>19.899999999999999</v>
      </c>
      <c r="AM12">
        <f>24</f>
        <v>24</v>
      </c>
      <c r="AN12">
        <f>22.1</f>
        <v>22.1</v>
      </c>
      <c r="AO12">
        <f>22.48</f>
        <v>22.48</v>
      </c>
      <c r="AP12">
        <f>22.61</f>
        <v>22.61</v>
      </c>
    </row>
    <row r="13" spans="2:42" x14ac:dyDescent="0.25">
      <c r="B13" t="s">
        <v>9</v>
      </c>
      <c r="C13">
        <f>6.75</f>
        <v>6.75</v>
      </c>
      <c r="D13">
        <f>7.28</f>
        <v>7.28</v>
      </c>
      <c r="E13">
        <f>7.86</f>
        <v>7.86</v>
      </c>
      <c r="F13">
        <f>2.21</f>
        <v>2.21</v>
      </c>
      <c r="G13">
        <f>1.13</f>
        <v>1.1299999999999999</v>
      </c>
      <c r="H13">
        <f>2.91</f>
        <v>2.91</v>
      </c>
      <c r="I13">
        <f>1.85</f>
        <v>1.85</v>
      </c>
      <c r="J13">
        <f>2.08</f>
        <v>2.08</v>
      </c>
      <c r="K13">
        <f>4.46</f>
        <v>4.46</v>
      </c>
      <c r="L13">
        <v>0</v>
      </c>
      <c r="M13">
        <f>24</f>
        <v>24</v>
      </c>
      <c r="N13">
        <f>21.56</f>
        <v>21.56</v>
      </c>
      <c r="O13">
        <f>20.36</f>
        <v>20.36</v>
      </c>
      <c r="P13">
        <f>18.83</f>
        <v>18.829999999999998</v>
      </c>
      <c r="Q13">
        <f>20.15</f>
        <v>20.149999999999999</v>
      </c>
      <c r="R13">
        <f>21.95</f>
        <v>21.95</v>
      </c>
      <c r="S13">
        <f>26</f>
        <v>26</v>
      </c>
      <c r="T13">
        <f>25.97</f>
        <v>25.97</v>
      </c>
      <c r="U13">
        <f>24</f>
        <v>24</v>
      </c>
      <c r="V13">
        <f>12.66</f>
        <v>12.66</v>
      </c>
      <c r="W13">
        <f>8.8</f>
        <v>8.8000000000000007</v>
      </c>
      <c r="X13">
        <f>13.03</f>
        <v>13.03</v>
      </c>
      <c r="Y13">
        <f>13</f>
        <v>13</v>
      </c>
      <c r="Z13">
        <f>16.6</f>
        <v>16.600000000000001</v>
      </c>
      <c r="AA13">
        <f>15.16</f>
        <v>15.16</v>
      </c>
      <c r="AB13">
        <f>16.73</f>
        <v>16.73</v>
      </c>
      <c r="AC13">
        <f>10.53</f>
        <v>10.53</v>
      </c>
      <c r="AD13">
        <f>12.53</f>
        <v>12.53</v>
      </c>
      <c r="AE13">
        <f>15.71</f>
        <v>15.71</v>
      </c>
      <c r="AF13">
        <f>4.05</f>
        <v>4.05</v>
      </c>
      <c r="AG13">
        <f>3.15</f>
        <v>3.15</v>
      </c>
      <c r="AH13">
        <f>6.15</f>
        <v>6.15</v>
      </c>
      <c r="AI13">
        <f>6.25</f>
        <v>6.25</v>
      </c>
      <c r="AJ13">
        <f>5.75</f>
        <v>5.75</v>
      </c>
      <c r="AK13">
        <f>6.25</f>
        <v>6.25</v>
      </c>
      <c r="AL13">
        <f>23.86</f>
        <v>23.86</v>
      </c>
      <c r="AM13">
        <f>28</f>
        <v>28</v>
      </c>
      <c r="AN13">
        <f>25</f>
        <v>25</v>
      </c>
      <c r="AO13">
        <f>26</f>
        <v>26</v>
      </c>
      <c r="AP13">
        <f>27</f>
        <v>27</v>
      </c>
    </row>
    <row r="14" spans="2:42" x14ac:dyDescent="0.25">
      <c r="B14" t="s">
        <v>10</v>
      </c>
      <c r="C14">
        <f>19.36</f>
        <v>19.36</v>
      </c>
      <c r="D14">
        <f>17.93</f>
        <v>17.93</v>
      </c>
      <c r="E14">
        <f>17.86</f>
        <v>17.86</v>
      </c>
      <c r="F14">
        <f>22.58</f>
        <v>22.58</v>
      </c>
      <c r="G14">
        <f>25</f>
        <v>25</v>
      </c>
      <c r="H14">
        <f>26</f>
        <v>26</v>
      </c>
      <c r="I14">
        <f>23.5</f>
        <v>23.5</v>
      </c>
      <c r="J14">
        <f>22.31</f>
        <v>22.31</v>
      </c>
      <c r="K14">
        <f>22.03</f>
        <v>22.03</v>
      </c>
      <c r="L14">
        <f>24</f>
        <v>24</v>
      </c>
      <c r="M14">
        <v>0</v>
      </c>
      <c r="N14">
        <f>3.75</f>
        <v>3.75</v>
      </c>
      <c r="O14">
        <f>5.3</f>
        <v>5.3</v>
      </c>
      <c r="P14">
        <f>6</f>
        <v>6</v>
      </c>
      <c r="Q14">
        <f>10</f>
        <v>10</v>
      </c>
      <c r="R14">
        <f>8.66</f>
        <v>8.66</v>
      </c>
      <c r="S14">
        <f>9.33</f>
        <v>9.33</v>
      </c>
      <c r="T14">
        <f>8.78</f>
        <v>8.7799999999999994</v>
      </c>
      <c r="U14">
        <f>15.26</f>
        <v>15.26</v>
      </c>
      <c r="V14">
        <f>15.85</f>
        <v>15.85</v>
      </c>
      <c r="W14">
        <f>17.23</f>
        <v>17.23</v>
      </c>
      <c r="X14">
        <f>13.33</f>
        <v>13.33</v>
      </c>
      <c r="Y14">
        <f>13.35</f>
        <v>13.35</v>
      </c>
      <c r="Z14">
        <f>14.55</f>
        <v>14.55</v>
      </c>
      <c r="AA14">
        <f>10.93</f>
        <v>10.93</v>
      </c>
      <c r="AB14">
        <f>12.23</f>
        <v>12.23</v>
      </c>
      <c r="AC14">
        <f>15.08</f>
        <v>15.08</v>
      </c>
      <c r="AD14">
        <f>13.66</f>
        <v>13.66</v>
      </c>
      <c r="AE14">
        <f>9.88</f>
        <v>9.8800000000000008</v>
      </c>
      <c r="AF14">
        <f>21.95</f>
        <v>21.95</v>
      </c>
      <c r="AG14">
        <f>21.53</f>
        <v>21.53</v>
      </c>
      <c r="AH14">
        <f>19.9</f>
        <v>19.899999999999999</v>
      </c>
      <c r="AI14">
        <f>19.25</f>
        <v>19.25</v>
      </c>
      <c r="AJ14">
        <f>19.95</f>
        <v>19.95</v>
      </c>
      <c r="AK14">
        <f>18.93</f>
        <v>18.93</v>
      </c>
      <c r="AL14">
        <f>2.43</f>
        <v>2.4300000000000002</v>
      </c>
      <c r="AM14">
        <f>7.72</f>
        <v>7.72</v>
      </c>
      <c r="AN14">
        <f>3.2</f>
        <v>3.2</v>
      </c>
      <c r="AO14">
        <f>5.58</f>
        <v>5.58</v>
      </c>
      <c r="AP14">
        <f>6.71</f>
        <v>6.71</v>
      </c>
    </row>
    <row r="15" spans="2:42" x14ac:dyDescent="0.25">
      <c r="B15" t="s">
        <v>11</v>
      </c>
      <c r="C15">
        <f>16.25</f>
        <v>16.25</v>
      </c>
      <c r="D15">
        <f>14.86</f>
        <v>14.86</v>
      </c>
      <c r="E15">
        <f>14.75</f>
        <v>14.75</v>
      </c>
      <c r="F15">
        <f>20.76</f>
        <v>20.76</v>
      </c>
      <c r="G15">
        <f>22.15</f>
        <v>22.15</v>
      </c>
      <c r="H15">
        <f>22.75</f>
        <v>22.75</v>
      </c>
      <c r="I15">
        <f>20.68</f>
        <v>20.68</v>
      </c>
      <c r="J15">
        <f>19.5</f>
        <v>19.5</v>
      </c>
      <c r="K15">
        <f>17.6</f>
        <v>17.600000000000001</v>
      </c>
      <c r="L15">
        <f>21.56</f>
        <v>21.56</v>
      </c>
      <c r="M15">
        <f>3.75</f>
        <v>3.75</v>
      </c>
      <c r="N15">
        <v>0</v>
      </c>
      <c r="O15">
        <f>2.22</f>
        <v>2.2200000000000002</v>
      </c>
      <c r="P15">
        <f>3.72</f>
        <v>3.72</v>
      </c>
      <c r="Q15">
        <f>8.18</f>
        <v>8.18</v>
      </c>
      <c r="R15">
        <f>7.85</f>
        <v>7.85</v>
      </c>
      <c r="S15">
        <f>8.52</f>
        <v>8.52</v>
      </c>
      <c r="T15">
        <f>7.93</f>
        <v>7.93</v>
      </c>
      <c r="U15">
        <f>12.25</f>
        <v>12.25</v>
      </c>
      <c r="V15">
        <f>12.82</f>
        <v>12.82</v>
      </c>
      <c r="W15">
        <f>14.15</f>
        <v>14.15</v>
      </c>
      <c r="X15">
        <f>10.45</f>
        <v>10.45</v>
      </c>
      <c r="Y15">
        <f>10.36</f>
        <v>10.36</v>
      </c>
      <c r="Z15">
        <f>6.62</f>
        <v>6.62</v>
      </c>
      <c r="AA15">
        <f>8.13</f>
        <v>8.1300000000000008</v>
      </c>
      <c r="AB15">
        <f>9.25</f>
        <v>9.25</v>
      </c>
      <c r="AC15">
        <f>12.06</f>
        <v>12.06</v>
      </c>
      <c r="AD15">
        <f>10.73</f>
        <v>10.73</v>
      </c>
      <c r="AE15">
        <f>7.12</f>
        <v>7.12</v>
      </c>
      <c r="AF15">
        <f>18.35</f>
        <v>18.350000000000001</v>
      </c>
      <c r="AG15">
        <f>18.38</f>
        <v>18.38</v>
      </c>
      <c r="AH15">
        <f>17.46</f>
        <v>17.46</v>
      </c>
      <c r="AI15">
        <f>16.43</f>
        <v>16.43</v>
      </c>
      <c r="AJ15">
        <f>16.82</f>
        <v>16.82</v>
      </c>
      <c r="AK15">
        <f>16.51</f>
        <v>16.510000000000002</v>
      </c>
      <c r="AL15">
        <f>4.26</f>
        <v>4.26</v>
      </c>
      <c r="AM15">
        <f>9.28</f>
        <v>9.2799999999999994</v>
      </c>
      <c r="AN15">
        <f>5.16</f>
        <v>5.16</v>
      </c>
      <c r="AO15">
        <f>7.56</f>
        <v>7.56</v>
      </c>
      <c r="AP15">
        <f>7.63</f>
        <v>7.63</v>
      </c>
    </row>
    <row r="16" spans="2:42" x14ac:dyDescent="0.25">
      <c r="B16" t="s">
        <v>12</v>
      </c>
      <c r="C16">
        <f>15.01</f>
        <v>15.01</v>
      </c>
      <c r="D16">
        <f>13.68</f>
        <v>13.68</v>
      </c>
      <c r="E16">
        <f>13.56</f>
        <v>13.56</v>
      </c>
      <c r="F16">
        <f>19.36</f>
        <v>19.36</v>
      </c>
      <c r="G16">
        <f>20.81</f>
        <v>20.81</v>
      </c>
      <c r="H16">
        <f>22.36</f>
        <v>22.36</v>
      </c>
      <c r="I16">
        <f>19.48</f>
        <v>19.48</v>
      </c>
      <c r="J16">
        <f>19.63</f>
        <v>19.63</v>
      </c>
      <c r="K16">
        <f>17.53</f>
        <v>17.53</v>
      </c>
      <c r="L16">
        <f>20.36</f>
        <v>20.36</v>
      </c>
      <c r="M16">
        <f>5.3</f>
        <v>5.3</v>
      </c>
      <c r="N16">
        <f>2.22</f>
        <v>2.2200000000000002</v>
      </c>
      <c r="O16">
        <v>0</v>
      </c>
      <c r="P16">
        <v>0</v>
      </c>
      <c r="Q16">
        <f>6.93</f>
        <v>6.93</v>
      </c>
      <c r="R16">
        <f>7.38</f>
        <v>7.38</v>
      </c>
      <c r="S16">
        <f>8.4</f>
        <v>8.4</v>
      </c>
      <c r="T16">
        <f>7.6</f>
        <v>7.6</v>
      </c>
      <c r="U16">
        <f>11.03</f>
        <v>11.03</v>
      </c>
      <c r="V16">
        <f>11.65</f>
        <v>11.65</v>
      </c>
      <c r="W16">
        <f>13</f>
        <v>13</v>
      </c>
      <c r="X16">
        <f>9.33</f>
        <v>9.33</v>
      </c>
      <c r="Y16">
        <f>9.32</f>
        <v>9.32</v>
      </c>
      <c r="Z16">
        <f>5.42</f>
        <v>5.42</v>
      </c>
      <c r="AA16">
        <f>7.06</f>
        <v>7.06</v>
      </c>
      <c r="AB16">
        <f>8.08</f>
        <v>8.08</v>
      </c>
      <c r="AC16">
        <f>10.95</f>
        <v>10.95</v>
      </c>
      <c r="AD16">
        <f>9.58</f>
        <v>9.58</v>
      </c>
      <c r="AE16">
        <f>6.03</f>
        <v>6.03</v>
      </c>
      <c r="AF16">
        <f>17.6</f>
        <v>17.600000000000001</v>
      </c>
      <c r="AG16">
        <f>17.23</f>
        <v>17.23</v>
      </c>
      <c r="AH16">
        <f>16.26</f>
        <v>16.260000000000002</v>
      </c>
      <c r="AI16">
        <f>15.62</f>
        <v>15.62</v>
      </c>
      <c r="AJ16">
        <f>15.62</f>
        <v>15.62</v>
      </c>
      <c r="AK16">
        <f>15.28</f>
        <v>15.28</v>
      </c>
      <c r="AL16">
        <f>5.1</f>
        <v>5.0999999999999996</v>
      </c>
      <c r="AM16">
        <f>9.5</f>
        <v>9.5</v>
      </c>
      <c r="AN16">
        <f>5.8</f>
        <v>5.8</v>
      </c>
      <c r="AO16">
        <f>7.75</f>
        <v>7.75</v>
      </c>
      <c r="AP16">
        <f>7.85</f>
        <v>7.85</v>
      </c>
    </row>
    <row r="17" spans="2:42" x14ac:dyDescent="0.25">
      <c r="B17" t="s">
        <v>13</v>
      </c>
      <c r="C17">
        <f>13.51</f>
        <v>13.51</v>
      </c>
      <c r="D17">
        <f>12.15</f>
        <v>12.15</v>
      </c>
      <c r="E17">
        <f>12.03</f>
        <v>12.03</v>
      </c>
      <c r="F17">
        <f>17.65</f>
        <v>17.649999999999999</v>
      </c>
      <c r="G17">
        <f>19.36</f>
        <v>19.36</v>
      </c>
      <c r="H17">
        <f>21.05</f>
        <v>21.05</v>
      </c>
      <c r="I17">
        <f>17.93</f>
        <v>17.93</v>
      </c>
      <c r="J17">
        <f>18.03</f>
        <v>18.03</v>
      </c>
      <c r="K17">
        <f>15.88</f>
        <v>15.88</v>
      </c>
      <c r="L17">
        <f>18.83</f>
        <v>18.829999999999998</v>
      </c>
      <c r="M17">
        <f>6</f>
        <v>6</v>
      </c>
      <c r="N17">
        <f>3.72</f>
        <v>3.72</v>
      </c>
      <c r="O17">
        <v>0</v>
      </c>
      <c r="P17">
        <v>0</v>
      </c>
      <c r="Q17">
        <f>5.2</f>
        <v>5.2</v>
      </c>
      <c r="R17">
        <f>5.9</f>
        <v>5.9</v>
      </c>
      <c r="S17">
        <f>8.03</f>
        <v>8.0299999999999994</v>
      </c>
      <c r="T17">
        <f>7.26</f>
        <v>7.26</v>
      </c>
      <c r="U17">
        <f>9.45</f>
        <v>9.4499999999999993</v>
      </c>
      <c r="V17">
        <f>10</f>
        <v>10</v>
      </c>
      <c r="W17">
        <f>11.28</f>
        <v>11.28</v>
      </c>
      <c r="X17">
        <f>7.73</f>
        <v>7.73</v>
      </c>
      <c r="Y17">
        <f>7.66</f>
        <v>7.66</v>
      </c>
      <c r="Z17">
        <f>3.93</f>
        <v>3.93</v>
      </c>
      <c r="AA17">
        <f>5.46</f>
        <v>5.46</v>
      </c>
      <c r="AB17">
        <f>6.65</f>
        <v>6.65</v>
      </c>
      <c r="AC17">
        <f>9.33</f>
        <v>9.33</v>
      </c>
      <c r="AD17">
        <f>7.98</f>
        <v>7.98</v>
      </c>
      <c r="AE17">
        <f>4.45</f>
        <v>4.45</v>
      </c>
      <c r="AF17">
        <f>15.86</f>
        <v>15.86</v>
      </c>
      <c r="AG17">
        <f>15.46</f>
        <v>15.46</v>
      </c>
      <c r="AH17">
        <f>14.48</f>
        <v>14.48</v>
      </c>
      <c r="AI17">
        <f>13.83</f>
        <v>13.83</v>
      </c>
      <c r="AJ17">
        <f>13.85</f>
        <v>13.85</v>
      </c>
      <c r="AK17">
        <f>13.52</f>
        <v>13.52</v>
      </c>
      <c r="AL17">
        <f>5.58</f>
        <v>5.58</v>
      </c>
      <c r="AM17">
        <f>9.85</f>
        <v>9.85</v>
      </c>
      <c r="AN17">
        <f>6.2</f>
        <v>6.2</v>
      </c>
      <c r="AO17">
        <f>8.13</f>
        <v>8.1300000000000008</v>
      </c>
      <c r="AP17">
        <f>8.3</f>
        <v>8.3000000000000007</v>
      </c>
    </row>
    <row r="18" spans="2:42" x14ac:dyDescent="0.25">
      <c r="B18" t="s">
        <v>14</v>
      </c>
      <c r="C18">
        <f>14.42</f>
        <v>14.42</v>
      </c>
      <c r="D18">
        <f>13.35</f>
        <v>13.35</v>
      </c>
      <c r="E18">
        <f>13.56</f>
        <v>13.56</v>
      </c>
      <c r="F18">
        <f>17.46</f>
        <v>17.46</v>
      </c>
      <c r="G18">
        <f>18.82</f>
        <v>18.82</v>
      </c>
      <c r="H18">
        <f>19.95</f>
        <v>19.95</v>
      </c>
      <c r="I18">
        <f>19</f>
        <v>19</v>
      </c>
      <c r="J18">
        <f>18.22</f>
        <v>18.22</v>
      </c>
      <c r="K18">
        <f>15.76</f>
        <v>15.76</v>
      </c>
      <c r="L18">
        <f>20.15</f>
        <v>20.149999999999999</v>
      </c>
      <c r="M18">
        <f>10</f>
        <v>10</v>
      </c>
      <c r="N18">
        <f>8.18</f>
        <v>8.18</v>
      </c>
      <c r="O18">
        <f>6.93</f>
        <v>6.93</v>
      </c>
      <c r="P18">
        <f>5.2</f>
        <v>5.2</v>
      </c>
      <c r="Q18">
        <v>0</v>
      </c>
      <c r="R18">
        <f>3.85</f>
        <v>3.85</v>
      </c>
      <c r="S18">
        <f>9.15</f>
        <v>9.15</v>
      </c>
      <c r="T18">
        <f>6.01</f>
        <v>6.01</v>
      </c>
      <c r="U18">
        <f>12</f>
        <v>12</v>
      </c>
      <c r="V18">
        <f>11.82</f>
        <v>11.82</v>
      </c>
      <c r="W18">
        <f>12.63</f>
        <v>12.63</v>
      </c>
      <c r="X18">
        <f>10.15</f>
        <v>10.15</v>
      </c>
      <c r="Y18">
        <f>8.12</f>
        <v>8.1199999999999992</v>
      </c>
      <c r="Z18">
        <f>6</f>
        <v>6</v>
      </c>
      <c r="AA18">
        <f>7.83</f>
        <v>7.83</v>
      </c>
      <c r="AB18">
        <f>4.32</f>
        <v>4.32</v>
      </c>
      <c r="AC18">
        <f>10.56</f>
        <v>10.56</v>
      </c>
      <c r="AD18">
        <f>10.43</f>
        <v>10.43</v>
      </c>
      <c r="AE18">
        <f>6.8</f>
        <v>6.8</v>
      </c>
      <c r="AF18">
        <f>17.22</f>
        <v>17.22</v>
      </c>
      <c r="AG18">
        <f>16.5</f>
        <v>16.5</v>
      </c>
      <c r="AH18">
        <f>15.9</f>
        <v>15.9</v>
      </c>
      <c r="AI18">
        <f>15.25</f>
        <v>15.25</v>
      </c>
      <c r="AJ18">
        <f>15.35</f>
        <v>15.35</v>
      </c>
      <c r="AK18">
        <f>14.93</f>
        <v>14.93</v>
      </c>
      <c r="AL18">
        <f>9.53</f>
        <v>9.5299999999999994</v>
      </c>
      <c r="AM18">
        <f>12.08</f>
        <v>12.08</v>
      </c>
      <c r="AN18">
        <f>10.15</f>
        <v>10.15</v>
      </c>
      <c r="AO18">
        <f>11.5</f>
        <v>11.5</v>
      </c>
      <c r="AP18">
        <f>10.96</f>
        <v>10.96</v>
      </c>
    </row>
    <row r="19" spans="2:42" x14ac:dyDescent="0.25">
      <c r="B19" t="s">
        <v>15</v>
      </c>
      <c r="C19">
        <f>17.06</f>
        <v>17.059999999999999</v>
      </c>
      <c r="D19">
        <f>16.33</f>
        <v>16.329999999999998</v>
      </c>
      <c r="E19">
        <f>16.21</f>
        <v>16.21</v>
      </c>
      <c r="F19">
        <f>20.6</f>
        <v>20.6</v>
      </c>
      <c r="G19">
        <f>21.06</f>
        <v>21.06</v>
      </c>
      <c r="H19">
        <f>22.56</f>
        <v>22.56</v>
      </c>
      <c r="I19">
        <f>21</f>
        <v>21</v>
      </c>
      <c r="J19">
        <f>18.81</f>
        <v>18.809999999999999</v>
      </c>
      <c r="K19">
        <f>18.6</f>
        <v>18.600000000000001</v>
      </c>
      <c r="L19">
        <f>21.95</f>
        <v>21.95</v>
      </c>
      <c r="M19">
        <f>8.66</f>
        <v>8.66</v>
      </c>
      <c r="N19">
        <f>7.85</f>
        <v>7.85</v>
      </c>
      <c r="O19">
        <f>7.38</f>
        <v>7.38</v>
      </c>
      <c r="P19">
        <f>5.9</f>
        <v>5.9</v>
      </c>
      <c r="Q19">
        <f>3.85</f>
        <v>3.85</v>
      </c>
      <c r="R19">
        <v>0</v>
      </c>
      <c r="S19">
        <f>5.68</f>
        <v>5.68</v>
      </c>
      <c r="T19">
        <f>2.45</f>
        <v>2.4500000000000002</v>
      </c>
      <c r="U19">
        <f>14.21</f>
        <v>14.21</v>
      </c>
      <c r="V19">
        <f>14.81</f>
        <v>14.81</v>
      </c>
      <c r="W19">
        <f>15.92</f>
        <v>15.92</v>
      </c>
      <c r="X19">
        <f>12.26</f>
        <v>12.26</v>
      </c>
      <c r="Y19">
        <f>11.35</f>
        <v>11.35</v>
      </c>
      <c r="Z19">
        <f>8.08</f>
        <v>8.08</v>
      </c>
      <c r="AA19">
        <f>9.86</f>
        <v>9.86</v>
      </c>
      <c r="AB19">
        <f>6.85</f>
        <v>6.85</v>
      </c>
      <c r="AC19">
        <f>13.75</f>
        <v>13.75</v>
      </c>
      <c r="AD19">
        <f>12.62</f>
        <v>12.62</v>
      </c>
      <c r="AE19">
        <f>8.8</f>
        <v>8.8000000000000007</v>
      </c>
      <c r="AF19">
        <f>19.75</f>
        <v>19.75</v>
      </c>
      <c r="AG19">
        <f>20.13</f>
        <v>20.13</v>
      </c>
      <c r="AH19">
        <f>18.46</f>
        <v>18.46</v>
      </c>
      <c r="AI19">
        <f>18.66</f>
        <v>18.66</v>
      </c>
      <c r="AJ19">
        <f>18.4</f>
        <v>18.399999999999999</v>
      </c>
      <c r="AK19">
        <f>18.2</f>
        <v>18.2</v>
      </c>
      <c r="AL19">
        <f>8.08</f>
        <v>8.08</v>
      </c>
      <c r="AM19">
        <f>8.58</f>
        <v>8.58</v>
      </c>
      <c r="AN19">
        <f>8.18</f>
        <v>8.18</v>
      </c>
      <c r="AO19">
        <f>9.12</f>
        <v>9.1199999999999992</v>
      </c>
      <c r="AP19">
        <f>8.63</f>
        <v>8.6300000000000008</v>
      </c>
    </row>
    <row r="20" spans="2:42" x14ac:dyDescent="0.25">
      <c r="B20" t="s">
        <v>16</v>
      </c>
      <c r="C20">
        <f>21.4</f>
        <v>21.4</v>
      </c>
      <c r="D20">
        <f>19.26</f>
        <v>19.260000000000002</v>
      </c>
      <c r="E20">
        <f>19.86</f>
        <v>19.86</v>
      </c>
      <c r="F20">
        <f>25</f>
        <v>25</v>
      </c>
      <c r="G20">
        <f>26</f>
        <v>26</v>
      </c>
      <c r="H20">
        <f>28</f>
        <v>28</v>
      </c>
      <c r="I20">
        <f>25</f>
        <v>25</v>
      </c>
      <c r="J20">
        <f>24</f>
        <v>24</v>
      </c>
      <c r="K20">
        <f>22.36</f>
        <v>22.36</v>
      </c>
      <c r="L20">
        <f>26</f>
        <v>26</v>
      </c>
      <c r="M20">
        <f>9.33</f>
        <v>9.33</v>
      </c>
      <c r="N20">
        <f>8.52</f>
        <v>8.52</v>
      </c>
      <c r="O20">
        <f>8.4</f>
        <v>8.4</v>
      </c>
      <c r="P20">
        <f>8.03</f>
        <v>8.0299999999999994</v>
      </c>
      <c r="Q20">
        <f>9.15</f>
        <v>9.15</v>
      </c>
      <c r="R20">
        <f>5.68</f>
        <v>5.68</v>
      </c>
      <c r="S20">
        <v>0</v>
      </c>
      <c r="T20">
        <f>4.25</f>
        <v>4.25</v>
      </c>
      <c r="U20">
        <f>17.63</f>
        <v>17.63</v>
      </c>
      <c r="V20">
        <f>18.22</f>
        <v>18.22</v>
      </c>
      <c r="W20">
        <f>19.43</f>
        <v>19.43</v>
      </c>
      <c r="X20">
        <f>15.46</f>
        <v>15.46</v>
      </c>
      <c r="Y20">
        <f>15.51</f>
        <v>15.51</v>
      </c>
      <c r="Z20">
        <f>11.5</f>
        <v>11.5</v>
      </c>
      <c r="AA20">
        <f>13.08</f>
        <v>13.08</v>
      </c>
      <c r="AB20">
        <f>12.23</f>
        <v>12.23</v>
      </c>
      <c r="AC20">
        <f>17.5</f>
        <v>17.5</v>
      </c>
      <c r="AD20">
        <f>15.98</f>
        <v>15.98</v>
      </c>
      <c r="AE20">
        <f>11.86</f>
        <v>11.86</v>
      </c>
      <c r="AF20">
        <f>23.06</f>
        <v>23.06</v>
      </c>
      <c r="AG20">
        <f>22.66</f>
        <v>22.66</v>
      </c>
      <c r="AH20">
        <f>21.78</f>
        <v>21.78</v>
      </c>
      <c r="AI20">
        <f>22.46</f>
        <v>22.46</v>
      </c>
      <c r="AJ20">
        <f>21.15</f>
        <v>21.15</v>
      </c>
      <c r="AK20">
        <f>20.83</f>
        <v>20.83</v>
      </c>
      <c r="AL20">
        <f>8.05</f>
        <v>8.0500000000000007</v>
      </c>
      <c r="AM20">
        <f>3.53</f>
        <v>3.53</v>
      </c>
      <c r="AN20">
        <f>7.46</f>
        <v>7.46</v>
      </c>
      <c r="AO20">
        <f>5.75</f>
        <v>5.75</v>
      </c>
      <c r="AP20">
        <f>4.38</f>
        <v>4.38</v>
      </c>
    </row>
    <row r="21" spans="2:42" x14ac:dyDescent="0.25">
      <c r="B21" t="s">
        <v>17</v>
      </c>
      <c r="C21">
        <f>19.3</f>
        <v>19.3</v>
      </c>
      <c r="D21">
        <f>18.58</f>
        <v>18.579999999999998</v>
      </c>
      <c r="E21">
        <f>18.03</f>
        <v>18.03</v>
      </c>
      <c r="F21">
        <f>22.25</f>
        <v>22.25</v>
      </c>
      <c r="G21">
        <f>23.23</f>
        <v>23.23</v>
      </c>
      <c r="H21">
        <f>25</f>
        <v>25</v>
      </c>
      <c r="I21">
        <f>23.18</f>
        <v>23.18</v>
      </c>
      <c r="J21">
        <f>22</f>
        <v>22</v>
      </c>
      <c r="K21">
        <f>20.95</f>
        <v>20.95</v>
      </c>
      <c r="L21">
        <f>25.97</f>
        <v>25.97</v>
      </c>
      <c r="M21">
        <f>8.78</f>
        <v>8.7799999999999994</v>
      </c>
      <c r="N21">
        <f>7.93</f>
        <v>7.93</v>
      </c>
      <c r="O21">
        <f>7.6</f>
        <v>7.6</v>
      </c>
      <c r="P21">
        <f>7.26</f>
        <v>7.26</v>
      </c>
      <c r="Q21">
        <f>6.01</f>
        <v>6.01</v>
      </c>
      <c r="R21">
        <f>2.45</f>
        <v>2.4500000000000002</v>
      </c>
      <c r="S21">
        <f>4.25</f>
        <v>4.25</v>
      </c>
      <c r="T21">
        <v>0</v>
      </c>
      <c r="U21">
        <f>16.92</f>
        <v>16.920000000000002</v>
      </c>
      <c r="V21">
        <f>17.5</f>
        <v>17.5</v>
      </c>
      <c r="W21">
        <f>18.46</f>
        <v>18.46</v>
      </c>
      <c r="X21">
        <f>14.78</f>
        <v>14.78</v>
      </c>
      <c r="Y21">
        <f>13.6</f>
        <v>13.6</v>
      </c>
      <c r="Z21">
        <f>10.48</f>
        <v>10.48</v>
      </c>
      <c r="AA21">
        <f>12.36</f>
        <v>12.36</v>
      </c>
      <c r="AB21">
        <f>9.23</f>
        <v>9.23</v>
      </c>
      <c r="AC21">
        <f>16.33</f>
        <v>16.329999999999998</v>
      </c>
      <c r="AD21">
        <f>15.25</f>
        <v>15.25</v>
      </c>
      <c r="AE21">
        <f>11.2</f>
        <v>11.2</v>
      </c>
      <c r="AF21">
        <f>21.92</f>
        <v>21.92</v>
      </c>
      <c r="AG21">
        <f>21.52</f>
        <v>21.52</v>
      </c>
      <c r="AH21">
        <f>22.03</f>
        <v>22.03</v>
      </c>
      <c r="AI21">
        <f>21.38</f>
        <v>21.38</v>
      </c>
      <c r="AJ21">
        <f>21.21</f>
        <v>21.21</v>
      </c>
      <c r="AK21">
        <f>19.63</f>
        <v>19.63</v>
      </c>
      <c r="AL21">
        <f>8.15</f>
        <v>8.15</v>
      </c>
      <c r="AM21">
        <f>7.32</f>
        <v>7.32</v>
      </c>
      <c r="AN21">
        <f>8.26</f>
        <v>8.26</v>
      </c>
      <c r="AO21">
        <f>9.05</f>
        <v>9.0500000000000007</v>
      </c>
      <c r="AP21">
        <f>8.16</f>
        <v>8.16</v>
      </c>
    </row>
    <row r="22" spans="2:42" x14ac:dyDescent="0.25">
      <c r="B22" t="s">
        <v>145</v>
      </c>
      <c r="C22">
        <f>6.56</f>
        <v>6.56</v>
      </c>
      <c r="D22">
        <f>5.15</f>
        <v>5.15</v>
      </c>
      <c r="E22">
        <f>5.06</f>
        <v>5.0599999999999996</v>
      </c>
      <c r="F22">
        <f>10.65</f>
        <v>10.65</v>
      </c>
      <c r="G22">
        <f>11.86</f>
        <v>11.86</v>
      </c>
      <c r="H22">
        <f>13.75</f>
        <v>13.75</v>
      </c>
      <c r="I22">
        <f>11.7</f>
        <v>11.7</v>
      </c>
      <c r="J22">
        <f>10.63</f>
        <v>10.63</v>
      </c>
      <c r="K22">
        <f>8.35</f>
        <v>8.35</v>
      </c>
      <c r="L22">
        <f>24</f>
        <v>24</v>
      </c>
      <c r="M22">
        <f>15.26</f>
        <v>15.26</v>
      </c>
      <c r="N22">
        <f>12.25</f>
        <v>12.25</v>
      </c>
      <c r="O22">
        <f>11.03</f>
        <v>11.03</v>
      </c>
      <c r="P22">
        <f>9.45</f>
        <v>9.4499999999999993</v>
      </c>
      <c r="Q22">
        <f>12</f>
        <v>12</v>
      </c>
      <c r="R22">
        <f>14.21</f>
        <v>14.21</v>
      </c>
      <c r="S22">
        <f>17.63</f>
        <v>17.63</v>
      </c>
      <c r="T22">
        <f>16.92</f>
        <v>16.920000000000002</v>
      </c>
      <c r="U22">
        <v>0</v>
      </c>
      <c r="V22">
        <f>1.98</f>
        <v>1.98</v>
      </c>
      <c r="W22">
        <f>4.42</f>
        <v>4.42</v>
      </c>
      <c r="X22">
        <f>2.01</f>
        <v>2.0099999999999998</v>
      </c>
      <c r="Y22">
        <f>3.75</f>
        <v>3.75</v>
      </c>
      <c r="Z22">
        <f>6</f>
        <v>6</v>
      </c>
      <c r="AA22">
        <f>4.65</f>
        <v>4.6500000000000004</v>
      </c>
      <c r="AB22">
        <f>8.45</f>
        <v>8.4499999999999993</v>
      </c>
      <c r="AC22">
        <f>3.56</f>
        <v>3.56</v>
      </c>
      <c r="AD22">
        <f>4.65</f>
        <v>4.6500000000000004</v>
      </c>
      <c r="AE22">
        <f>5.13</f>
        <v>5.13</v>
      </c>
      <c r="AF22">
        <f>8.72</f>
        <v>8.7200000000000006</v>
      </c>
      <c r="AG22">
        <f>8.38</f>
        <v>8.3800000000000008</v>
      </c>
      <c r="AH22">
        <f>7.53</f>
        <v>7.53</v>
      </c>
      <c r="AI22">
        <f>7</f>
        <v>7</v>
      </c>
      <c r="AJ22">
        <f>6.95</f>
        <v>6.95</v>
      </c>
      <c r="AK22">
        <f>6.66</f>
        <v>6.66</v>
      </c>
      <c r="AL22">
        <f>14.21</f>
        <v>14.21</v>
      </c>
      <c r="AM22">
        <f>19.16</f>
        <v>19.16</v>
      </c>
      <c r="AN22">
        <f>15.13</f>
        <v>15.13</v>
      </c>
      <c r="AO22">
        <f>17.28</f>
        <v>17.28</v>
      </c>
      <c r="AP22">
        <f>17.86</f>
        <v>17.86</v>
      </c>
    </row>
    <row r="23" spans="2:42" x14ac:dyDescent="0.25">
      <c r="B23" t="s">
        <v>146</v>
      </c>
      <c r="C23">
        <f>5</f>
        <v>5</v>
      </c>
      <c r="D23">
        <f>3.55</f>
        <v>3.55</v>
      </c>
      <c r="E23">
        <f>3.46</f>
        <v>3.46</v>
      </c>
      <c r="F23">
        <f>9.01</f>
        <v>9.01</v>
      </c>
      <c r="G23">
        <f>10.33</f>
        <v>10.33</v>
      </c>
      <c r="H23">
        <f>12.13</f>
        <v>12.13</v>
      </c>
      <c r="I23">
        <f>10.13</f>
        <v>10.130000000000001</v>
      </c>
      <c r="J23">
        <f>9.1</f>
        <v>9.1</v>
      </c>
      <c r="K23">
        <f>6.85</f>
        <v>6.85</v>
      </c>
      <c r="L23">
        <f>12.66</f>
        <v>12.66</v>
      </c>
      <c r="M23">
        <f>15.85</f>
        <v>15.85</v>
      </c>
      <c r="N23">
        <f>12.82</f>
        <v>12.82</v>
      </c>
      <c r="O23">
        <f>11.65</f>
        <v>11.65</v>
      </c>
      <c r="P23">
        <f>10</f>
        <v>10</v>
      </c>
      <c r="Q23">
        <f>11.82</f>
        <v>11.82</v>
      </c>
      <c r="R23">
        <f>14.81</f>
        <v>14.81</v>
      </c>
      <c r="S23">
        <f>18.22</f>
        <v>18.22</v>
      </c>
      <c r="T23">
        <f>17.5</f>
        <v>17.5</v>
      </c>
      <c r="U23">
        <f>1.98</f>
        <v>1.98</v>
      </c>
      <c r="V23">
        <v>0</v>
      </c>
      <c r="W23">
        <f>2.8</f>
        <v>2.8</v>
      </c>
      <c r="X23">
        <f>2.75</f>
        <v>2.75</v>
      </c>
      <c r="Y23">
        <f>4.05</f>
        <v>4.05</v>
      </c>
      <c r="Z23">
        <f>6.72</f>
        <v>6.72</v>
      </c>
      <c r="AA23">
        <f>5.38</f>
        <v>5.38</v>
      </c>
      <c r="AB23">
        <f>8.5</f>
        <v>8.5</v>
      </c>
      <c r="AC23">
        <f>2.28</f>
        <v>2.2799999999999998</v>
      </c>
      <c r="AD23">
        <f>2.32</f>
        <v>2.3199999999999998</v>
      </c>
      <c r="AE23">
        <f>5.86</f>
        <v>5.86</v>
      </c>
      <c r="AF23">
        <f>7.32</f>
        <v>7.32</v>
      </c>
      <c r="AG23">
        <f>6.96</f>
        <v>6.96</v>
      </c>
      <c r="AH23">
        <f>6.15</f>
        <v>6.15</v>
      </c>
      <c r="AI23">
        <f>5.6</f>
        <v>5.6</v>
      </c>
      <c r="AJ23">
        <f>5.56</f>
        <v>5.56</v>
      </c>
      <c r="AK23">
        <f>5.28</f>
        <v>5.28</v>
      </c>
      <c r="AL23">
        <f>14.98</f>
        <v>14.98</v>
      </c>
      <c r="AM23">
        <f>19.95</f>
        <v>19.95</v>
      </c>
      <c r="AN23">
        <f>15.85</f>
        <v>15.85</v>
      </c>
      <c r="AO23">
        <f>18</f>
        <v>18</v>
      </c>
      <c r="AP23">
        <f>18.11</f>
        <v>18.11</v>
      </c>
    </row>
    <row r="24" spans="2:42" x14ac:dyDescent="0.25">
      <c r="B24" t="s">
        <v>18</v>
      </c>
      <c r="C24">
        <f>2.7</f>
        <v>2.7</v>
      </c>
      <c r="D24">
        <f>1.38</f>
        <v>1.38</v>
      </c>
      <c r="E24">
        <f>1.3</f>
        <v>1.3</v>
      </c>
      <c r="F24">
        <f>6.92</f>
        <v>6.92</v>
      </c>
      <c r="G24">
        <f>8.33</f>
        <v>8.33</v>
      </c>
      <c r="H24">
        <f>10.1</f>
        <v>10.1</v>
      </c>
      <c r="I24">
        <f>8.01</f>
        <v>8.01</v>
      </c>
      <c r="J24">
        <f>6.88</f>
        <v>6.88</v>
      </c>
      <c r="K24">
        <f>4.92</f>
        <v>4.92</v>
      </c>
      <c r="L24">
        <f>8.8</f>
        <v>8.8000000000000007</v>
      </c>
      <c r="M24">
        <f>17.23</f>
        <v>17.23</v>
      </c>
      <c r="N24">
        <f>14.15</f>
        <v>14.15</v>
      </c>
      <c r="O24">
        <f>13</f>
        <v>13</v>
      </c>
      <c r="P24">
        <f>11.28</f>
        <v>11.28</v>
      </c>
      <c r="Q24">
        <f>12.63</f>
        <v>12.63</v>
      </c>
      <c r="R24">
        <f>15.92</f>
        <v>15.92</v>
      </c>
      <c r="S24">
        <f>19.43</f>
        <v>19.43</v>
      </c>
      <c r="T24">
        <f>18.46</f>
        <v>18.46</v>
      </c>
      <c r="U24">
        <f>4.42</f>
        <v>4.42</v>
      </c>
      <c r="V24">
        <f>2.8</f>
        <v>2.8</v>
      </c>
      <c r="W24">
        <v>0</v>
      </c>
      <c r="X24">
        <f>4.95</f>
        <v>4.95</v>
      </c>
      <c r="Y24">
        <f>5</f>
        <v>5</v>
      </c>
      <c r="Z24">
        <f>8.4</f>
        <v>8.4</v>
      </c>
      <c r="AA24">
        <f>7.03</f>
        <v>7.03</v>
      </c>
      <c r="AB24">
        <f>9.55</f>
        <v>9.5500000000000007</v>
      </c>
      <c r="AC24">
        <f>2.43</f>
        <v>2.4300000000000002</v>
      </c>
      <c r="AD24">
        <f>4.52</f>
        <v>4.5199999999999996</v>
      </c>
      <c r="AE24">
        <f>7.55</f>
        <v>7.55</v>
      </c>
      <c r="AF24">
        <f>5.45</f>
        <v>5.45</v>
      </c>
      <c r="AG24">
        <f>5.08</f>
        <v>5.08</v>
      </c>
      <c r="AH24">
        <f>4.28</f>
        <v>4.28</v>
      </c>
      <c r="AI24">
        <f>3.68</f>
        <v>3.68</v>
      </c>
      <c r="AJ24">
        <f>3.55</f>
        <v>3.55</v>
      </c>
      <c r="AK24">
        <f>3.23</f>
        <v>3.23</v>
      </c>
      <c r="AL24">
        <f>16.85</f>
        <v>16.850000000000001</v>
      </c>
      <c r="AM24">
        <f>21.53</f>
        <v>21.53</v>
      </c>
      <c r="AN24">
        <f>17.81</f>
        <v>17.809999999999999</v>
      </c>
      <c r="AO24">
        <f>19.9</f>
        <v>19.899999999999999</v>
      </c>
      <c r="AP24">
        <f>19.88</f>
        <v>19.88</v>
      </c>
    </row>
    <row r="25" spans="2:42" x14ac:dyDescent="0.25">
      <c r="B25" t="s">
        <v>19</v>
      </c>
      <c r="C25">
        <f>7.1</f>
        <v>7.1</v>
      </c>
      <c r="D25">
        <f>5.71</f>
        <v>5.71</v>
      </c>
      <c r="E25">
        <f>5.6</f>
        <v>5.6</v>
      </c>
      <c r="F25">
        <f>11.11</f>
        <v>11.11</v>
      </c>
      <c r="G25">
        <f>12.36</f>
        <v>12.36</v>
      </c>
      <c r="H25">
        <f>14.05</f>
        <v>14.05</v>
      </c>
      <c r="I25">
        <f>12</f>
        <v>12</v>
      </c>
      <c r="J25">
        <f>10.81</f>
        <v>10.81</v>
      </c>
      <c r="K25">
        <f>9.13</f>
        <v>9.1300000000000008</v>
      </c>
      <c r="L25">
        <f>13.03</f>
        <v>13.03</v>
      </c>
      <c r="M25">
        <f>13.33</f>
        <v>13.33</v>
      </c>
      <c r="N25">
        <f>10.45</f>
        <v>10.45</v>
      </c>
      <c r="O25">
        <f>9.33</f>
        <v>9.33</v>
      </c>
      <c r="P25">
        <f>7.73</f>
        <v>7.73</v>
      </c>
      <c r="Q25">
        <f>10.15</f>
        <v>10.15</v>
      </c>
      <c r="R25">
        <f>12.26</f>
        <v>12.26</v>
      </c>
      <c r="S25">
        <f>15.46</f>
        <v>15.46</v>
      </c>
      <c r="T25">
        <f>14.78</f>
        <v>14.78</v>
      </c>
      <c r="U25">
        <f>2.01</f>
        <v>2.0099999999999998</v>
      </c>
      <c r="V25">
        <f>2.75</f>
        <v>2.75</v>
      </c>
      <c r="W25">
        <f>4.95</f>
        <v>4.95</v>
      </c>
      <c r="X25">
        <v>0</v>
      </c>
      <c r="Y25">
        <f>2.55</f>
        <v>2.5499999999999998</v>
      </c>
      <c r="Z25">
        <f>4.56</f>
        <v>4.5599999999999996</v>
      </c>
      <c r="AA25">
        <f>3.16</f>
        <v>3.16</v>
      </c>
      <c r="AB25">
        <f>7.2</f>
        <v>7.2</v>
      </c>
      <c r="AC25">
        <f>2.96</f>
        <v>2.96</v>
      </c>
      <c r="AD25">
        <f>0.66</f>
        <v>0.66</v>
      </c>
      <c r="AE25">
        <f>3.66</f>
        <v>3.66</v>
      </c>
      <c r="AF25">
        <f>9.26</f>
        <v>9.26</v>
      </c>
      <c r="AG25">
        <f>8.93</f>
        <v>8.93</v>
      </c>
      <c r="AH25">
        <f>8.13</f>
        <v>8.1300000000000008</v>
      </c>
      <c r="AI25">
        <f>7.58</f>
        <v>7.58</v>
      </c>
      <c r="AJ25">
        <f>7.55</f>
        <v>7.55</v>
      </c>
      <c r="AK25">
        <f>7.25</f>
        <v>7.25</v>
      </c>
      <c r="AL25">
        <f>12.8</f>
        <v>12.8</v>
      </c>
      <c r="AM25">
        <f>17.76</f>
        <v>17.760000000000002</v>
      </c>
      <c r="AN25">
        <f>13.72</f>
        <v>13.72</v>
      </c>
      <c r="AO25">
        <f>15.81</f>
        <v>15.81</v>
      </c>
      <c r="AP25">
        <f>15.95</f>
        <v>15.95</v>
      </c>
    </row>
    <row r="26" spans="2:42" x14ac:dyDescent="0.25">
      <c r="B26" t="s">
        <v>20</v>
      </c>
      <c r="C26">
        <f>7.13</f>
        <v>7.13</v>
      </c>
      <c r="D26">
        <f>5.76</f>
        <v>5.76</v>
      </c>
      <c r="E26">
        <f>5.65</f>
        <v>5.65</v>
      </c>
      <c r="F26">
        <f>11.16</f>
        <v>11.16</v>
      </c>
      <c r="G26">
        <f>12.5</f>
        <v>12.5</v>
      </c>
      <c r="H26">
        <f>14.05</f>
        <v>14.05</v>
      </c>
      <c r="I26">
        <f>12.06</f>
        <v>12.06</v>
      </c>
      <c r="J26">
        <f>10.93</f>
        <v>10.93</v>
      </c>
      <c r="K26">
        <f>9.23</f>
        <v>9.23</v>
      </c>
      <c r="L26">
        <f>13</f>
        <v>13</v>
      </c>
      <c r="M26">
        <f>13.35</f>
        <v>13.35</v>
      </c>
      <c r="N26">
        <f>10.36</f>
        <v>10.36</v>
      </c>
      <c r="O26">
        <f>9.32</f>
        <v>9.32</v>
      </c>
      <c r="P26">
        <f>7.66</f>
        <v>7.66</v>
      </c>
      <c r="Q26">
        <f>8.12</f>
        <v>8.1199999999999992</v>
      </c>
      <c r="R26">
        <f>11.35</f>
        <v>11.35</v>
      </c>
      <c r="S26">
        <f>15.51</f>
        <v>15.51</v>
      </c>
      <c r="T26">
        <f>13.6</f>
        <v>13.6</v>
      </c>
      <c r="U26">
        <f>3.75</f>
        <v>3.75</v>
      </c>
      <c r="V26">
        <f>4.05</f>
        <v>4.05</v>
      </c>
      <c r="W26">
        <f>5</f>
        <v>5</v>
      </c>
      <c r="X26">
        <f>2.55</f>
        <v>2.5499999999999998</v>
      </c>
      <c r="Y26">
        <v>0</v>
      </c>
      <c r="Z26">
        <f>4.28</f>
        <v>4.28</v>
      </c>
      <c r="AA26">
        <f>3.13</f>
        <v>3.13</v>
      </c>
      <c r="AB26">
        <f>5.41</f>
        <v>5.41</v>
      </c>
      <c r="AC26">
        <f>2.93</f>
        <v>2.93</v>
      </c>
      <c r="AD26">
        <f>2.46</f>
        <v>2.46</v>
      </c>
      <c r="AE26">
        <f>3.6</f>
        <v>3.6</v>
      </c>
      <c r="AF26">
        <f>9.68</f>
        <v>9.68</v>
      </c>
      <c r="AG26">
        <f>9.23</f>
        <v>9.23</v>
      </c>
      <c r="AH26">
        <f>8.45</f>
        <v>8.4499999999999993</v>
      </c>
      <c r="AI26">
        <f>7.68</f>
        <v>7.68</v>
      </c>
      <c r="AJ26">
        <f>7.65</f>
        <v>7.65</v>
      </c>
      <c r="AK26">
        <f>7.4</f>
        <v>7.4</v>
      </c>
      <c r="AL26">
        <f>12.48</f>
        <v>12.48</v>
      </c>
      <c r="AM26">
        <f>16.71</f>
        <v>16.71</v>
      </c>
      <c r="AN26">
        <f>13.1</f>
        <v>13.1</v>
      </c>
      <c r="AO26">
        <f>15.65</f>
        <v>15.65</v>
      </c>
      <c r="AP26">
        <f>15.08</f>
        <v>15.08</v>
      </c>
    </row>
    <row r="27" spans="2:42" x14ac:dyDescent="0.25">
      <c r="B27" t="s">
        <v>21</v>
      </c>
      <c r="C27">
        <f>10.51</f>
        <v>10.51</v>
      </c>
      <c r="D27">
        <f>9.16</f>
        <v>9.16</v>
      </c>
      <c r="E27">
        <f>9.03</f>
        <v>9.0299999999999994</v>
      </c>
      <c r="F27">
        <f>14.46</f>
        <v>14.46</v>
      </c>
      <c r="G27">
        <f>16</f>
        <v>16</v>
      </c>
      <c r="H27">
        <f>17.75</f>
        <v>17.75</v>
      </c>
      <c r="I27">
        <f>15.62</f>
        <v>15.62</v>
      </c>
      <c r="J27">
        <f>14.43</f>
        <v>14.43</v>
      </c>
      <c r="K27">
        <f>12.55</f>
        <v>12.55</v>
      </c>
      <c r="L27">
        <f>16.6</f>
        <v>16.600000000000001</v>
      </c>
      <c r="M27">
        <f>14.55</f>
        <v>14.55</v>
      </c>
      <c r="N27">
        <f>6.62</f>
        <v>6.62</v>
      </c>
      <c r="O27">
        <f>5.42</f>
        <v>5.42</v>
      </c>
      <c r="P27">
        <f>3.93</f>
        <v>3.93</v>
      </c>
      <c r="Q27">
        <f>6</f>
        <v>6</v>
      </c>
      <c r="R27">
        <f>8.08</f>
        <v>8.08</v>
      </c>
      <c r="S27">
        <f>11.5</f>
        <v>11.5</v>
      </c>
      <c r="T27">
        <f>10.48</f>
        <v>10.48</v>
      </c>
      <c r="U27">
        <f>6</f>
        <v>6</v>
      </c>
      <c r="V27">
        <f>6.72</f>
        <v>6.72</v>
      </c>
      <c r="W27">
        <f>8.4</f>
        <v>8.4</v>
      </c>
      <c r="X27">
        <f>4.56</f>
        <v>4.5599999999999996</v>
      </c>
      <c r="Y27">
        <f>4.28</f>
        <v>4.28</v>
      </c>
      <c r="Z27">
        <v>0</v>
      </c>
      <c r="AA27">
        <f>2.36</f>
        <v>2.36</v>
      </c>
      <c r="AB27">
        <f>4.5</f>
        <v>4.5</v>
      </c>
      <c r="AC27">
        <f>6.45</f>
        <v>6.45</v>
      </c>
      <c r="AD27">
        <f>4.88</f>
        <v>4.88</v>
      </c>
      <c r="AE27">
        <f>1.3</f>
        <v>1.3</v>
      </c>
      <c r="AF27">
        <f>13.08</f>
        <v>13.08</v>
      </c>
      <c r="AG27">
        <f>12.7</f>
        <v>12.7</v>
      </c>
      <c r="AH27">
        <f>11.93</f>
        <v>11.93</v>
      </c>
      <c r="AI27">
        <f>11.35</f>
        <v>11.35</v>
      </c>
      <c r="AJ27">
        <f>11.31</f>
        <v>11.31</v>
      </c>
      <c r="AK27">
        <f>11.1</f>
        <v>11.1</v>
      </c>
      <c r="AL27">
        <f>9</f>
        <v>9</v>
      </c>
      <c r="AM27">
        <f>13.25</f>
        <v>13.25</v>
      </c>
      <c r="AN27">
        <f>9.66</f>
        <v>9.66</v>
      </c>
      <c r="AO27">
        <f>11.63</f>
        <v>11.63</v>
      </c>
      <c r="AP27">
        <f>11.68</f>
        <v>11.68</v>
      </c>
    </row>
    <row r="28" spans="2:42" x14ac:dyDescent="0.25">
      <c r="B28" t="s">
        <v>22</v>
      </c>
      <c r="C28">
        <f>9.13</f>
        <v>9.1300000000000008</v>
      </c>
      <c r="D28">
        <f>7.78</f>
        <v>7.78</v>
      </c>
      <c r="E28">
        <f>7.65</f>
        <v>7.65</v>
      </c>
      <c r="F28">
        <f>13.18</f>
        <v>13.18</v>
      </c>
      <c r="G28">
        <f>14.2</f>
        <v>14.2</v>
      </c>
      <c r="H28">
        <f>16.3</f>
        <v>16.3</v>
      </c>
      <c r="I28">
        <f>14.18</f>
        <v>14.18</v>
      </c>
      <c r="J28">
        <f>12.98</f>
        <v>12.98</v>
      </c>
      <c r="K28">
        <f>11.28</f>
        <v>11.28</v>
      </c>
      <c r="L28">
        <f>15.16</f>
        <v>15.16</v>
      </c>
      <c r="M28">
        <f>10.93</f>
        <v>10.93</v>
      </c>
      <c r="N28">
        <f>8.13</f>
        <v>8.1300000000000008</v>
      </c>
      <c r="O28">
        <f>7.06</f>
        <v>7.06</v>
      </c>
      <c r="P28">
        <f>5.46</f>
        <v>5.46</v>
      </c>
      <c r="Q28">
        <f>7.83</f>
        <v>7.83</v>
      </c>
      <c r="R28">
        <f>9.86</f>
        <v>9.86</v>
      </c>
      <c r="S28">
        <f>13.08</f>
        <v>13.08</v>
      </c>
      <c r="T28">
        <f>12.36</f>
        <v>12.36</v>
      </c>
      <c r="U28">
        <f>4.65</f>
        <v>4.6500000000000004</v>
      </c>
      <c r="V28">
        <f>5.38</f>
        <v>5.38</v>
      </c>
      <c r="W28">
        <f>7.03</f>
        <v>7.03</v>
      </c>
      <c r="X28">
        <f>3.16</f>
        <v>3.16</v>
      </c>
      <c r="Y28">
        <f>3.13</f>
        <v>3.13</v>
      </c>
      <c r="Z28">
        <f>2.36</f>
        <v>2.36</v>
      </c>
      <c r="AA28">
        <v>0</v>
      </c>
      <c r="AB28">
        <f>6.2</f>
        <v>6.2</v>
      </c>
      <c r="AC28">
        <f>4.9</f>
        <v>4.9000000000000004</v>
      </c>
      <c r="AD28">
        <f>3.33</f>
        <v>3.33</v>
      </c>
      <c r="AE28">
        <f>1.26</f>
        <v>1.26</v>
      </c>
      <c r="AF28">
        <f>11.66</f>
        <v>11.66</v>
      </c>
      <c r="AG28">
        <f>12.92</f>
        <v>12.92</v>
      </c>
      <c r="AH28">
        <f>10.5</f>
        <v>10.5</v>
      </c>
      <c r="AI28">
        <f>9.9</f>
        <v>9.9</v>
      </c>
      <c r="AJ28">
        <f>9.85</f>
        <v>9.85</v>
      </c>
      <c r="AK28">
        <f>9.55</f>
        <v>9.5500000000000007</v>
      </c>
      <c r="AL28">
        <f>10.38</f>
        <v>10.38</v>
      </c>
      <c r="AM28">
        <f>14.56</f>
        <v>14.56</v>
      </c>
      <c r="AN28">
        <f>11</f>
        <v>11</v>
      </c>
      <c r="AO28">
        <f>12.95</f>
        <v>12.95</v>
      </c>
      <c r="AP28">
        <f>13</f>
        <v>13</v>
      </c>
    </row>
    <row r="29" spans="2:42" x14ac:dyDescent="0.25">
      <c r="B29" t="s">
        <v>23</v>
      </c>
      <c r="C29">
        <f>11.5</f>
        <v>11.5</v>
      </c>
      <c r="D29">
        <f>10.16</f>
        <v>10.16</v>
      </c>
      <c r="E29">
        <f>10.05</f>
        <v>10.050000000000001</v>
      </c>
      <c r="F29">
        <f>14.61</f>
        <v>14.61</v>
      </c>
      <c r="G29">
        <f>15.42</f>
        <v>15.42</v>
      </c>
      <c r="H29">
        <f>17.46</f>
        <v>17.46</v>
      </c>
      <c r="I29">
        <f>15.63</f>
        <v>15.63</v>
      </c>
      <c r="J29">
        <f>14.85</f>
        <v>14.85</v>
      </c>
      <c r="K29">
        <f>12.46</f>
        <v>12.46</v>
      </c>
      <c r="L29">
        <f>16.73</f>
        <v>16.73</v>
      </c>
      <c r="M29">
        <f>12.23</f>
        <v>12.23</v>
      </c>
      <c r="N29">
        <f>9.25</f>
        <v>9.25</v>
      </c>
      <c r="O29">
        <f>8.08</f>
        <v>8.08</v>
      </c>
      <c r="P29">
        <f>6.65</f>
        <v>6.65</v>
      </c>
      <c r="Q29">
        <f>4.32</f>
        <v>4.32</v>
      </c>
      <c r="R29">
        <f>6.85</f>
        <v>6.85</v>
      </c>
      <c r="S29">
        <f>12.23</f>
        <v>12.23</v>
      </c>
      <c r="T29">
        <f>9.23</f>
        <v>9.23</v>
      </c>
      <c r="U29">
        <f>8.45</f>
        <v>8.4499999999999993</v>
      </c>
      <c r="V29">
        <f>8.5</f>
        <v>8.5</v>
      </c>
      <c r="W29">
        <f>9.55</f>
        <v>9.5500000000000007</v>
      </c>
      <c r="X29">
        <f>7.2</f>
        <v>7.2</v>
      </c>
      <c r="Y29">
        <f>5.41</f>
        <v>5.41</v>
      </c>
      <c r="Z29">
        <f>4.5</f>
        <v>4.5</v>
      </c>
      <c r="AA29">
        <f>6.2</f>
        <v>6.2</v>
      </c>
      <c r="AB29">
        <v>0</v>
      </c>
      <c r="AC29">
        <f>7.28</f>
        <v>7.28</v>
      </c>
      <c r="AD29">
        <f>6.96</f>
        <v>6.96</v>
      </c>
      <c r="AE29">
        <f>5.15</f>
        <v>5.15</v>
      </c>
      <c r="AF29">
        <f>13.65</f>
        <v>13.65</v>
      </c>
      <c r="AG29">
        <f>13.3</f>
        <v>13.3</v>
      </c>
      <c r="AH29">
        <f>12.53</f>
        <v>12.53</v>
      </c>
      <c r="AI29">
        <f>12</f>
        <v>12</v>
      </c>
      <c r="AJ29">
        <f>11.95</f>
        <v>11.95</v>
      </c>
      <c r="AK29">
        <f>11.68</f>
        <v>11.68</v>
      </c>
      <c r="AL29">
        <f>11.73</f>
        <v>11.73</v>
      </c>
      <c r="AM29">
        <f>14.96</f>
        <v>14.96</v>
      </c>
      <c r="AN29">
        <f>12.35</f>
        <v>12.35</v>
      </c>
      <c r="AO29">
        <f>14.35</f>
        <v>14.35</v>
      </c>
      <c r="AP29">
        <f>14.31</f>
        <v>14.31</v>
      </c>
    </row>
    <row r="30" spans="2:42" x14ac:dyDescent="0.25">
      <c r="B30" t="s">
        <v>24</v>
      </c>
      <c r="C30">
        <f>4.63</f>
        <v>4.63</v>
      </c>
      <c r="D30">
        <f>3.25</f>
        <v>3.25</v>
      </c>
      <c r="E30">
        <f>3.16</f>
        <v>3.16</v>
      </c>
      <c r="F30">
        <f>8.63</f>
        <v>8.6300000000000008</v>
      </c>
      <c r="G30">
        <f>9.92</f>
        <v>9.92</v>
      </c>
      <c r="H30">
        <f>11.55</f>
        <v>11.55</v>
      </c>
      <c r="I30">
        <f>9.62</f>
        <v>9.6199999999999992</v>
      </c>
      <c r="J30">
        <f>8.66</f>
        <v>8.66</v>
      </c>
      <c r="K30">
        <f>6.58</f>
        <v>6.58</v>
      </c>
      <c r="L30">
        <f>10.53</f>
        <v>10.53</v>
      </c>
      <c r="M30">
        <f>15.08</f>
        <v>15.08</v>
      </c>
      <c r="N30">
        <f>12.06</f>
        <v>12.06</v>
      </c>
      <c r="O30">
        <f>10.95</f>
        <v>10.95</v>
      </c>
      <c r="P30">
        <f>9.33</f>
        <v>9.33</v>
      </c>
      <c r="Q30">
        <f>10.56</f>
        <v>10.56</v>
      </c>
      <c r="R30">
        <f>13.75</f>
        <v>13.75</v>
      </c>
      <c r="S30">
        <f>17.5</f>
        <v>17.5</v>
      </c>
      <c r="T30">
        <f>16.33</f>
        <v>16.329999999999998</v>
      </c>
      <c r="U30">
        <f>3.56</f>
        <v>3.56</v>
      </c>
      <c r="V30">
        <f>2.28</f>
        <v>2.2799999999999998</v>
      </c>
      <c r="W30">
        <f>2.43</f>
        <v>2.4300000000000002</v>
      </c>
      <c r="X30">
        <f>2.96</f>
        <v>2.96</v>
      </c>
      <c r="Y30">
        <f>2.93</f>
        <v>2.93</v>
      </c>
      <c r="Z30">
        <f>6.45</f>
        <v>6.45</v>
      </c>
      <c r="AA30">
        <f>4.9</f>
        <v>4.9000000000000004</v>
      </c>
      <c r="AB30">
        <f>7.28</f>
        <v>7.28</v>
      </c>
      <c r="AC30">
        <v>0</v>
      </c>
      <c r="AD30">
        <f>2.43</f>
        <v>2.4300000000000002</v>
      </c>
      <c r="AE30">
        <f>5.38</f>
        <v>5.38</v>
      </c>
      <c r="AF30">
        <f>7.08</f>
        <v>7.08</v>
      </c>
      <c r="AG30">
        <f>6.63</f>
        <v>6.63</v>
      </c>
      <c r="AH30">
        <f>5.75</f>
        <v>5.75</v>
      </c>
      <c r="AI30">
        <f>5.11</f>
        <v>5.1100000000000003</v>
      </c>
      <c r="AJ30">
        <f>5.13</f>
        <v>5.13</v>
      </c>
      <c r="AK30">
        <f>4.82</f>
        <v>4.82</v>
      </c>
      <c r="AL30">
        <f>14.23</f>
        <v>14.23</v>
      </c>
      <c r="AM30">
        <f>18.93</f>
        <v>18.93</v>
      </c>
      <c r="AN30">
        <f>15</f>
        <v>15</v>
      </c>
      <c r="AO30">
        <f>17.06</f>
        <v>17.059999999999999</v>
      </c>
      <c r="AP30">
        <f>17.2</f>
        <v>17.2</v>
      </c>
    </row>
    <row r="31" spans="2:42" x14ac:dyDescent="0.25">
      <c r="B31" t="s">
        <v>25</v>
      </c>
      <c r="C31">
        <f>6.63</f>
        <v>6.63</v>
      </c>
      <c r="D31">
        <f>5.28</f>
        <v>5.28</v>
      </c>
      <c r="E31">
        <f>5.15</f>
        <v>5.15</v>
      </c>
      <c r="F31">
        <f>10.7</f>
        <v>10.7</v>
      </c>
      <c r="G31">
        <f>11.86</f>
        <v>11.86</v>
      </c>
      <c r="H31">
        <f>13.56</f>
        <v>13.56</v>
      </c>
      <c r="I31">
        <f>11.56</f>
        <v>11.56</v>
      </c>
      <c r="J31">
        <f>10.36</f>
        <v>10.36</v>
      </c>
      <c r="K31">
        <f>8.72</f>
        <v>8.7200000000000006</v>
      </c>
      <c r="L31">
        <f>12.53</f>
        <v>12.53</v>
      </c>
      <c r="M31">
        <f>13.66</f>
        <v>13.66</v>
      </c>
      <c r="N31">
        <f>10.73</f>
        <v>10.73</v>
      </c>
      <c r="O31">
        <f>9.58</f>
        <v>9.58</v>
      </c>
      <c r="P31">
        <f>7.98</f>
        <v>7.98</v>
      </c>
      <c r="Q31">
        <f>10.43</f>
        <v>10.43</v>
      </c>
      <c r="R31">
        <f>12.62</f>
        <v>12.62</v>
      </c>
      <c r="S31">
        <f>15.98</f>
        <v>15.98</v>
      </c>
      <c r="T31">
        <f>15.25</f>
        <v>15.25</v>
      </c>
      <c r="U31">
        <f>4.65</f>
        <v>4.6500000000000004</v>
      </c>
      <c r="V31">
        <f>2.32</f>
        <v>2.3199999999999998</v>
      </c>
      <c r="W31">
        <f>4.52</f>
        <v>4.5199999999999996</v>
      </c>
      <c r="X31">
        <f>0.66</f>
        <v>0.66</v>
      </c>
      <c r="Y31">
        <f>2.46</f>
        <v>2.46</v>
      </c>
      <c r="Z31">
        <f>4.88</f>
        <v>4.88</v>
      </c>
      <c r="AA31">
        <f>3.33</f>
        <v>3.33</v>
      </c>
      <c r="AB31">
        <f>6.96</f>
        <v>6.96</v>
      </c>
      <c r="AC31">
        <f>2.43</f>
        <v>2.4300000000000002</v>
      </c>
      <c r="AD31">
        <v>0</v>
      </c>
      <c r="AE31">
        <f>3.8</f>
        <v>3.8</v>
      </c>
      <c r="AF31">
        <f>9.26</f>
        <v>9.26</v>
      </c>
      <c r="AG31">
        <f>8.88</f>
        <v>8.8800000000000008</v>
      </c>
      <c r="AH31">
        <f>8</f>
        <v>8</v>
      </c>
      <c r="AI31">
        <f>7.31</f>
        <v>7.31</v>
      </c>
      <c r="AJ31">
        <f>7.33</f>
        <v>7.33</v>
      </c>
      <c r="AK31">
        <f>6.92</f>
        <v>6.92</v>
      </c>
      <c r="AL31">
        <f>13.72</f>
        <v>13.72</v>
      </c>
      <c r="AM31">
        <f>17.28</f>
        <v>17.28</v>
      </c>
      <c r="AN31">
        <f>13.41</f>
        <v>13.41</v>
      </c>
      <c r="AO31">
        <f>15.33</f>
        <v>15.33</v>
      </c>
      <c r="AP31">
        <f>15.5</f>
        <v>15.5</v>
      </c>
    </row>
    <row r="32" spans="2:42" x14ac:dyDescent="0.25">
      <c r="B32" t="s">
        <v>147</v>
      </c>
      <c r="C32">
        <f>9.6</f>
        <v>9.6</v>
      </c>
      <c r="D32">
        <f>8.26</f>
        <v>8.26</v>
      </c>
      <c r="E32">
        <f>8.13</f>
        <v>8.1300000000000008</v>
      </c>
      <c r="F32">
        <f>13.63</f>
        <v>13.63</v>
      </c>
      <c r="G32">
        <f>15</f>
        <v>15</v>
      </c>
      <c r="H32">
        <f>16.81</f>
        <v>16.809999999999999</v>
      </c>
      <c r="I32">
        <f>14.72</f>
        <v>14.72</v>
      </c>
      <c r="J32">
        <f>13.51</f>
        <v>13.51</v>
      </c>
      <c r="K32">
        <f>11.68</f>
        <v>11.68</v>
      </c>
      <c r="L32">
        <f>15.71</f>
        <v>15.71</v>
      </c>
      <c r="M32">
        <f>9.88</f>
        <v>9.8800000000000008</v>
      </c>
      <c r="N32">
        <f>7.12</f>
        <v>7.12</v>
      </c>
      <c r="O32">
        <f>6.03</f>
        <v>6.03</v>
      </c>
      <c r="P32">
        <f>4.45</f>
        <v>4.45</v>
      </c>
      <c r="Q32">
        <f>6.8</f>
        <v>6.8</v>
      </c>
      <c r="R32">
        <f>8.8</f>
        <v>8.8000000000000007</v>
      </c>
      <c r="S32">
        <f>11.86</f>
        <v>11.86</v>
      </c>
      <c r="T32">
        <f>11.2</f>
        <v>11.2</v>
      </c>
      <c r="U32">
        <f>5.13</f>
        <v>5.13</v>
      </c>
      <c r="V32">
        <f>5.86</f>
        <v>5.86</v>
      </c>
      <c r="W32">
        <f>7.55</f>
        <v>7.55</v>
      </c>
      <c r="X32">
        <f>3.66</f>
        <v>3.66</v>
      </c>
      <c r="Y32">
        <f>3.6</f>
        <v>3.6</v>
      </c>
      <c r="Z32">
        <f>1.3</f>
        <v>1.3</v>
      </c>
      <c r="AA32">
        <f>1.26</f>
        <v>1.26</v>
      </c>
      <c r="AB32">
        <f>5.15</f>
        <v>5.15</v>
      </c>
      <c r="AC32">
        <f>5.38</f>
        <v>5.38</v>
      </c>
      <c r="AD32">
        <f>3.8</f>
        <v>3.8</v>
      </c>
      <c r="AE32">
        <v>0</v>
      </c>
      <c r="AF32">
        <f>11.8</f>
        <v>11.8</v>
      </c>
      <c r="AG32">
        <f>11.43</f>
        <v>11.43</v>
      </c>
      <c r="AH32">
        <f>10.68</f>
        <v>10.68</v>
      </c>
      <c r="AI32">
        <f>10.12</f>
        <v>10.119999999999999</v>
      </c>
      <c r="AJ32">
        <f>10.1</f>
        <v>10.1</v>
      </c>
      <c r="AK32">
        <f>9.82</f>
        <v>9.82</v>
      </c>
      <c r="AL32">
        <f>9.33</f>
        <v>9.33</v>
      </c>
      <c r="AM32">
        <v>13.58</v>
      </c>
      <c r="AN32">
        <f>10</f>
        <v>10</v>
      </c>
      <c r="AO32">
        <f>11.92</f>
        <v>11.92</v>
      </c>
      <c r="AP32">
        <f>12</f>
        <v>12</v>
      </c>
    </row>
    <row r="33" spans="1:42" x14ac:dyDescent="0.25">
      <c r="B33" t="s">
        <v>30</v>
      </c>
      <c r="C33">
        <f>3.68</f>
        <v>3.68</v>
      </c>
      <c r="D33">
        <f>4.05</f>
        <v>4.05</v>
      </c>
      <c r="E33">
        <f>4.6</f>
        <v>4.5999999999999996</v>
      </c>
      <c r="F33">
        <f>2.03</f>
        <v>2.0299999999999998</v>
      </c>
      <c r="G33">
        <f>3.16</f>
        <v>3.16</v>
      </c>
      <c r="H33">
        <f>5.32</f>
        <v>5.32</v>
      </c>
      <c r="I33">
        <f>3.26</f>
        <v>3.26</v>
      </c>
      <c r="J33">
        <f>1.93</f>
        <v>1.93</v>
      </c>
      <c r="K33">
        <f>3.15</f>
        <v>3.15</v>
      </c>
      <c r="L33">
        <f>4.05</f>
        <v>4.05</v>
      </c>
      <c r="M33">
        <f>21.95</f>
        <v>21.95</v>
      </c>
      <c r="N33">
        <f>18.35</f>
        <v>18.350000000000001</v>
      </c>
      <c r="O33">
        <f>17.6</f>
        <v>17.600000000000001</v>
      </c>
      <c r="P33">
        <f>15.86</f>
        <v>15.86</v>
      </c>
      <c r="Q33">
        <f>17.22</f>
        <v>17.22</v>
      </c>
      <c r="R33">
        <f>19.75</f>
        <v>19.75</v>
      </c>
      <c r="S33">
        <f>23.06</f>
        <v>23.06</v>
      </c>
      <c r="T33">
        <f>21.92</f>
        <v>21.92</v>
      </c>
      <c r="U33">
        <f>8.72</f>
        <v>8.7200000000000006</v>
      </c>
      <c r="V33">
        <f>7.32</f>
        <v>7.32</v>
      </c>
      <c r="W33">
        <f>5.45</f>
        <v>5.45</v>
      </c>
      <c r="X33">
        <f>9.26</f>
        <v>9.26</v>
      </c>
      <c r="Y33">
        <f>9.68</f>
        <v>9.68</v>
      </c>
      <c r="Z33">
        <f>13.08</f>
        <v>13.08</v>
      </c>
      <c r="AA33">
        <f>11.66</f>
        <v>11.66</v>
      </c>
      <c r="AB33">
        <f>13.65</f>
        <v>13.65</v>
      </c>
      <c r="AC33">
        <f>7.08</f>
        <v>7.08</v>
      </c>
      <c r="AD33">
        <f>9.26</f>
        <v>9.26</v>
      </c>
      <c r="AE33">
        <f>11.8</f>
        <v>11.8</v>
      </c>
      <c r="AF33">
        <v>0</v>
      </c>
      <c r="AG33">
        <f>0.8</f>
        <v>0.8</v>
      </c>
      <c r="AH33">
        <f>2.12</f>
        <v>2.12</v>
      </c>
      <c r="AI33">
        <f>2.63</f>
        <v>2.63</v>
      </c>
      <c r="AJ33">
        <f>2.48</f>
        <v>2.48</v>
      </c>
      <c r="AK33">
        <f>3.08</f>
        <v>3.08</v>
      </c>
      <c r="AL33">
        <f>21.93</f>
        <v>21.93</v>
      </c>
      <c r="AM33">
        <f>25</f>
        <v>25</v>
      </c>
      <c r="AN33">
        <f>22.68</f>
        <v>22.68</v>
      </c>
      <c r="AO33">
        <f>23.18</f>
        <v>23.18</v>
      </c>
      <c r="AP33">
        <f>25</f>
        <v>25</v>
      </c>
    </row>
    <row r="34" spans="1:42" x14ac:dyDescent="0.25">
      <c r="B34" t="s">
        <v>31</v>
      </c>
      <c r="C34">
        <f>3.25</f>
        <v>3.25</v>
      </c>
      <c r="D34">
        <f>3.61</f>
        <v>3.61</v>
      </c>
      <c r="E34">
        <f>4.16</f>
        <v>4.16</v>
      </c>
      <c r="F34">
        <f>2.72</f>
        <v>2.72</v>
      </c>
      <c r="G34">
        <f>2.26</f>
        <v>2.2599999999999998</v>
      </c>
      <c r="H34">
        <f>4.4</f>
        <v>4.4000000000000004</v>
      </c>
      <c r="I34">
        <f>2.36</f>
        <v>2.36</v>
      </c>
      <c r="J34">
        <f>1</f>
        <v>1</v>
      </c>
      <c r="K34">
        <f>3.36</f>
        <v>3.36</v>
      </c>
      <c r="L34">
        <f>3.15</f>
        <v>3.15</v>
      </c>
      <c r="M34">
        <f>21.53</f>
        <v>21.53</v>
      </c>
      <c r="N34">
        <f>18.38</f>
        <v>18.38</v>
      </c>
      <c r="O34">
        <f>17.23</f>
        <v>17.23</v>
      </c>
      <c r="P34">
        <f>15.46</f>
        <v>15.46</v>
      </c>
      <c r="Q34">
        <f>16.5</f>
        <v>16.5</v>
      </c>
      <c r="R34">
        <f>20.13</f>
        <v>20.13</v>
      </c>
      <c r="S34">
        <f>22.66</f>
        <v>22.66</v>
      </c>
      <c r="T34">
        <f>21.52</f>
        <v>21.52</v>
      </c>
      <c r="U34">
        <f>8.38</f>
        <v>8.3800000000000008</v>
      </c>
      <c r="V34">
        <f>6.96</f>
        <v>6.96</v>
      </c>
      <c r="W34">
        <f>5.08</f>
        <v>5.08</v>
      </c>
      <c r="X34">
        <f>8.93</f>
        <v>8.93</v>
      </c>
      <c r="Y34">
        <f>9.23</f>
        <v>9.23</v>
      </c>
      <c r="Z34">
        <f>12.7</f>
        <v>12.7</v>
      </c>
      <c r="AA34">
        <f>12.92</f>
        <v>12.92</v>
      </c>
      <c r="AB34">
        <f>13.3</f>
        <v>13.3</v>
      </c>
      <c r="AC34">
        <f>6.63</f>
        <v>6.63</v>
      </c>
      <c r="AD34">
        <f>8.88</f>
        <v>8.8800000000000008</v>
      </c>
      <c r="AE34">
        <f>11.43</f>
        <v>11.43</v>
      </c>
      <c r="AF34">
        <f>0.8</f>
        <v>0.8</v>
      </c>
      <c r="AG34">
        <v>0</v>
      </c>
      <c r="AH34">
        <f>1.62</f>
        <v>1.62</v>
      </c>
      <c r="AI34">
        <f>2.18</f>
        <v>2.1800000000000002</v>
      </c>
      <c r="AJ34">
        <f>2.16</f>
        <v>2.16</v>
      </c>
      <c r="AK34">
        <f>2.63</f>
        <v>2.63</v>
      </c>
      <c r="AL34">
        <f>21.46</f>
        <v>21.46</v>
      </c>
      <c r="AM34">
        <f>25</f>
        <v>25</v>
      </c>
      <c r="AN34">
        <f>22.26</f>
        <v>22.26</v>
      </c>
      <c r="AO34">
        <f>24</f>
        <v>24</v>
      </c>
      <c r="AP34">
        <f>22.88</f>
        <v>22.88</v>
      </c>
    </row>
    <row r="35" spans="1:42" x14ac:dyDescent="0.25">
      <c r="B35" t="s">
        <v>32</v>
      </c>
      <c r="C35">
        <f>2.33</f>
        <v>2.33</v>
      </c>
      <c r="D35">
        <f>2.68</f>
        <v>2.68</v>
      </c>
      <c r="E35">
        <f>3.26</f>
        <v>3.26</v>
      </c>
      <c r="F35">
        <f>4.08</f>
        <v>4.08</v>
      </c>
      <c r="G35">
        <f>5.16</f>
        <v>5.16</v>
      </c>
      <c r="H35">
        <f>7.42</f>
        <v>7.42</v>
      </c>
      <c r="I35">
        <f>5.35</f>
        <v>5.35</v>
      </c>
      <c r="J35">
        <f>3.95</f>
        <v>3.95</v>
      </c>
      <c r="K35">
        <f>3.11</f>
        <v>3.11</v>
      </c>
      <c r="L35">
        <f>6.15</f>
        <v>6.15</v>
      </c>
      <c r="M35">
        <f>19.9</f>
        <v>19.899999999999999</v>
      </c>
      <c r="N35">
        <f>17.46</f>
        <v>17.46</v>
      </c>
      <c r="O35">
        <f>16.26</f>
        <v>16.260000000000002</v>
      </c>
      <c r="P35">
        <f>14.48</f>
        <v>14.48</v>
      </c>
      <c r="Q35">
        <f>15.9</f>
        <v>15.9</v>
      </c>
      <c r="R35">
        <f>18.46</f>
        <v>18.46</v>
      </c>
      <c r="S35">
        <f>21.78</f>
        <v>21.78</v>
      </c>
      <c r="T35">
        <f>22.03</f>
        <v>22.03</v>
      </c>
      <c r="U35">
        <f>7.53</f>
        <v>7.53</v>
      </c>
      <c r="V35">
        <f>6.15</f>
        <v>6.15</v>
      </c>
      <c r="W35">
        <f>4.28</f>
        <v>4.28</v>
      </c>
      <c r="X35">
        <f>8.13</f>
        <v>8.1300000000000008</v>
      </c>
      <c r="Y35">
        <f>8.45</f>
        <v>8.4499999999999993</v>
      </c>
      <c r="Z35">
        <f>11.93</f>
        <v>11.93</v>
      </c>
      <c r="AA35">
        <f>10.5</f>
        <v>10.5</v>
      </c>
      <c r="AB35">
        <f>12.53</f>
        <v>12.53</v>
      </c>
      <c r="AC35">
        <f>5.75</f>
        <v>5.75</v>
      </c>
      <c r="AD35">
        <f>8</f>
        <v>8</v>
      </c>
      <c r="AE35">
        <f>10.68</f>
        <v>10.68</v>
      </c>
      <c r="AF35">
        <f>2.12</f>
        <v>2.12</v>
      </c>
      <c r="AG35">
        <f>1.62</f>
        <v>1.62</v>
      </c>
      <c r="AH35">
        <v>0</v>
      </c>
      <c r="AI35">
        <f>1</f>
        <v>1</v>
      </c>
      <c r="AJ35">
        <f>1.58</f>
        <v>1.58</v>
      </c>
      <c r="AK35">
        <f>1.73</f>
        <v>1.73</v>
      </c>
      <c r="AL35">
        <f>20.23</f>
        <v>20.23</v>
      </c>
      <c r="AM35">
        <f>23.48</f>
        <v>23.48</v>
      </c>
      <c r="AN35">
        <f>21.21</f>
        <v>21.21</v>
      </c>
      <c r="AO35">
        <f>23.28</f>
        <v>23.28</v>
      </c>
      <c r="AP35">
        <f>23.23</f>
        <v>23.23</v>
      </c>
    </row>
    <row r="36" spans="1:42" x14ac:dyDescent="0.25">
      <c r="B36" t="s">
        <v>33</v>
      </c>
      <c r="C36">
        <f>1.66</f>
        <v>1.66</v>
      </c>
      <c r="D36">
        <f>2.1</f>
        <v>2.1</v>
      </c>
      <c r="E36">
        <f>2.61</f>
        <v>2.61</v>
      </c>
      <c r="F36">
        <f>4.2</f>
        <v>4.2</v>
      </c>
      <c r="G36">
        <f>5.3</f>
        <v>5.3</v>
      </c>
      <c r="H36">
        <f>7.48</f>
        <v>7.48</v>
      </c>
      <c r="I36">
        <f>5.48</f>
        <v>5.48</v>
      </c>
      <c r="J36">
        <f>4.05</f>
        <v>4.05</v>
      </c>
      <c r="K36">
        <f>3</f>
        <v>3</v>
      </c>
      <c r="L36">
        <f>6.25</f>
        <v>6.25</v>
      </c>
      <c r="M36">
        <f>19.25</f>
        <v>19.25</v>
      </c>
      <c r="N36">
        <f>16.43</f>
        <v>16.43</v>
      </c>
      <c r="O36">
        <f>15.62</f>
        <v>15.62</v>
      </c>
      <c r="P36">
        <f>13.83</f>
        <v>13.83</v>
      </c>
      <c r="Q36">
        <f>15.25</f>
        <v>15.25</v>
      </c>
      <c r="R36">
        <f>18.66</f>
        <v>18.66</v>
      </c>
      <c r="S36">
        <f>22.46</f>
        <v>22.46</v>
      </c>
      <c r="T36">
        <f>21.38</f>
        <v>21.38</v>
      </c>
      <c r="U36">
        <f>7</f>
        <v>7</v>
      </c>
      <c r="V36">
        <f>5.6</f>
        <v>5.6</v>
      </c>
      <c r="W36">
        <f>3.68</f>
        <v>3.68</v>
      </c>
      <c r="X36">
        <f>7.58</f>
        <v>7.58</v>
      </c>
      <c r="Y36">
        <f>7.68</f>
        <v>7.68</v>
      </c>
      <c r="Z36">
        <f>11.35</f>
        <v>11.35</v>
      </c>
      <c r="AA36">
        <f>9.9</f>
        <v>9.9</v>
      </c>
      <c r="AB36">
        <f>12</f>
        <v>12</v>
      </c>
      <c r="AC36">
        <f>5.11</f>
        <v>5.1100000000000003</v>
      </c>
      <c r="AD36">
        <f>7.31</f>
        <v>7.31</v>
      </c>
      <c r="AE36">
        <f>10.12</f>
        <v>10.119999999999999</v>
      </c>
      <c r="AF36">
        <f>2.63</f>
        <v>2.63</v>
      </c>
      <c r="AG36">
        <f>2.18</f>
        <v>2.1800000000000002</v>
      </c>
      <c r="AH36">
        <f>1</f>
        <v>1</v>
      </c>
      <c r="AI36">
        <v>0</v>
      </c>
      <c r="AJ36">
        <f>1.38</f>
        <v>1.38</v>
      </c>
      <c r="AK36">
        <f>1.4</f>
        <v>1.4</v>
      </c>
      <c r="AL36">
        <f>19.4</f>
        <v>19.399999999999999</v>
      </c>
      <c r="AM36">
        <f>24</f>
        <v>24</v>
      </c>
      <c r="AN36">
        <f>20.05</f>
        <v>20.05</v>
      </c>
      <c r="AO36">
        <f>22.33</f>
        <v>22.33</v>
      </c>
      <c r="AP36">
        <f>22.35</f>
        <v>22.35</v>
      </c>
    </row>
    <row r="37" spans="1:42" x14ac:dyDescent="0.25">
      <c r="B37" t="s">
        <v>34</v>
      </c>
      <c r="C37">
        <f>1.38</f>
        <v>1.38</v>
      </c>
      <c r="D37">
        <f>1.98</f>
        <v>1.98</v>
      </c>
      <c r="E37">
        <f>2.6</f>
        <v>2.6</v>
      </c>
      <c r="F37">
        <f>3.72</f>
        <v>3.72</v>
      </c>
      <c r="G37">
        <f>4.83</f>
        <v>4.83</v>
      </c>
      <c r="H37">
        <f>7.08</f>
        <v>7.08</v>
      </c>
      <c r="I37">
        <f>4.96</f>
        <v>4.96</v>
      </c>
      <c r="J37">
        <f>3.58</f>
        <v>3.58</v>
      </c>
      <c r="K37">
        <f>2.11</f>
        <v>2.11</v>
      </c>
      <c r="L37">
        <f>5.75</f>
        <v>5.75</v>
      </c>
      <c r="M37">
        <f>19.95</f>
        <v>19.95</v>
      </c>
      <c r="N37">
        <f>16.82</f>
        <v>16.82</v>
      </c>
      <c r="O37">
        <f>15.62</f>
        <v>15.62</v>
      </c>
      <c r="P37">
        <f>13.85</f>
        <v>13.85</v>
      </c>
      <c r="Q37">
        <f>15.35</f>
        <v>15.35</v>
      </c>
      <c r="R37">
        <f>18.4</f>
        <v>18.399999999999999</v>
      </c>
      <c r="S37">
        <f>21.15</f>
        <v>21.15</v>
      </c>
      <c r="T37">
        <f>21.21</f>
        <v>21.21</v>
      </c>
      <c r="U37">
        <f>6.95</f>
        <v>6.95</v>
      </c>
      <c r="V37">
        <f>5.56</f>
        <v>5.56</v>
      </c>
      <c r="W37">
        <f>3.55</f>
        <v>3.55</v>
      </c>
      <c r="X37">
        <f>7.55</f>
        <v>7.55</v>
      </c>
      <c r="Y37">
        <f>7.65</f>
        <v>7.65</v>
      </c>
      <c r="Z37">
        <f>11.31</f>
        <v>11.31</v>
      </c>
      <c r="AA37">
        <f>9.85</f>
        <v>9.85</v>
      </c>
      <c r="AB37">
        <f>11.95</f>
        <v>11.95</v>
      </c>
      <c r="AC37">
        <f>5.13</f>
        <v>5.13</v>
      </c>
      <c r="AD37">
        <f>7.33</f>
        <v>7.33</v>
      </c>
      <c r="AE37">
        <f>10.1</f>
        <v>10.1</v>
      </c>
      <c r="AF37">
        <f>2.48</f>
        <v>2.48</v>
      </c>
      <c r="AG37">
        <f>2.16</f>
        <v>2.16</v>
      </c>
      <c r="AH37">
        <f>1.58</f>
        <v>1.58</v>
      </c>
      <c r="AI37">
        <f>1.38</f>
        <v>1.38</v>
      </c>
      <c r="AJ37">
        <v>0</v>
      </c>
      <c r="AK37">
        <f>0.7</f>
        <v>0.7</v>
      </c>
      <c r="AL37">
        <f>19.53</f>
        <v>19.53</v>
      </c>
      <c r="AM37">
        <f>24</f>
        <v>24</v>
      </c>
      <c r="AN37">
        <f>20.18</f>
        <v>20.18</v>
      </c>
      <c r="AO37">
        <f>22.42</f>
        <v>22.42</v>
      </c>
      <c r="AP37">
        <f>22.5</f>
        <v>22.5</v>
      </c>
    </row>
    <row r="38" spans="1:42" x14ac:dyDescent="0.25">
      <c r="B38" t="s">
        <v>35</v>
      </c>
      <c r="C38">
        <f>1.08</f>
        <v>1.08</v>
      </c>
      <c r="D38">
        <f>1.65</f>
        <v>1.65</v>
      </c>
      <c r="E38">
        <f>2.3</f>
        <v>2.2999999999999998</v>
      </c>
      <c r="F38">
        <f>4.23</f>
        <v>4.2300000000000004</v>
      </c>
      <c r="G38">
        <f>5.23</f>
        <v>5.23</v>
      </c>
      <c r="H38">
        <f>7.5</f>
        <v>7.5</v>
      </c>
      <c r="I38">
        <f>5.45</f>
        <v>5.45</v>
      </c>
      <c r="J38">
        <f>4.08</f>
        <v>4.08</v>
      </c>
      <c r="K38">
        <f>2.43</f>
        <v>2.4300000000000002</v>
      </c>
      <c r="L38">
        <f>6.25</f>
        <v>6.25</v>
      </c>
      <c r="M38">
        <f>18.93</f>
        <v>18.93</v>
      </c>
      <c r="N38">
        <f>16.51</f>
        <v>16.510000000000002</v>
      </c>
      <c r="O38">
        <f>15.28</f>
        <v>15.28</v>
      </c>
      <c r="P38">
        <f>13.52</f>
        <v>13.52</v>
      </c>
      <c r="Q38">
        <f>14.93</f>
        <v>14.93</v>
      </c>
      <c r="R38">
        <f>18.2</f>
        <v>18.2</v>
      </c>
      <c r="S38">
        <f>20.83</f>
        <v>20.83</v>
      </c>
      <c r="T38">
        <f>19.63</f>
        <v>19.63</v>
      </c>
      <c r="U38">
        <f>6.66</f>
        <v>6.66</v>
      </c>
      <c r="V38">
        <f>5.28</f>
        <v>5.28</v>
      </c>
      <c r="W38">
        <f>3.23</f>
        <v>3.23</v>
      </c>
      <c r="X38">
        <f>7.25</f>
        <v>7.25</v>
      </c>
      <c r="Y38">
        <f>7.4</f>
        <v>7.4</v>
      </c>
      <c r="Z38">
        <f>11.1</f>
        <v>11.1</v>
      </c>
      <c r="AA38">
        <f>9.55</f>
        <v>9.5500000000000007</v>
      </c>
      <c r="AB38">
        <f>11.68</f>
        <v>11.68</v>
      </c>
      <c r="AC38">
        <f>4.82</f>
        <v>4.82</v>
      </c>
      <c r="AD38">
        <f>6.92</f>
        <v>6.92</v>
      </c>
      <c r="AE38">
        <f>9.82</f>
        <v>9.82</v>
      </c>
      <c r="AF38">
        <f>3.08</f>
        <v>3.08</v>
      </c>
      <c r="AG38">
        <f>2.63</f>
        <v>2.63</v>
      </c>
      <c r="AH38">
        <f>1.73</f>
        <v>1.73</v>
      </c>
      <c r="AI38">
        <f>1.4</f>
        <v>1.4</v>
      </c>
      <c r="AJ38">
        <f>0.7</f>
        <v>0.7</v>
      </c>
      <c r="AK38">
        <v>0</v>
      </c>
      <c r="AL38">
        <f>18.82</f>
        <v>18.82</v>
      </c>
      <c r="AM38">
        <f>23.56</f>
        <v>23.56</v>
      </c>
      <c r="AN38">
        <f>19.53</f>
        <v>19.53</v>
      </c>
      <c r="AO38">
        <f>21.76</f>
        <v>21.76</v>
      </c>
      <c r="AP38">
        <f>21.92</f>
        <v>21.92</v>
      </c>
    </row>
    <row r="39" spans="1:42" x14ac:dyDescent="0.25">
      <c r="B39" t="s">
        <v>36</v>
      </c>
      <c r="C39">
        <f>18.78</f>
        <v>18.78</v>
      </c>
      <c r="D39">
        <f>17.26</f>
        <v>17.260000000000002</v>
      </c>
      <c r="E39">
        <f>17.11</f>
        <v>17.11</v>
      </c>
      <c r="F39">
        <f>23.22</f>
        <v>23.22</v>
      </c>
      <c r="G39">
        <f>25</f>
        <v>25</v>
      </c>
      <c r="H39">
        <f>25</f>
        <v>25</v>
      </c>
      <c r="I39">
        <f>22.98</f>
        <v>22.98</v>
      </c>
      <c r="J39">
        <f>23.31</f>
        <v>23.31</v>
      </c>
      <c r="K39">
        <f>19.9</f>
        <v>19.899999999999999</v>
      </c>
      <c r="L39">
        <f>23.86</f>
        <v>23.86</v>
      </c>
      <c r="M39">
        <f>2.43</f>
        <v>2.4300000000000002</v>
      </c>
      <c r="N39">
        <f>4.26</f>
        <v>4.26</v>
      </c>
      <c r="O39">
        <f>5.1</f>
        <v>5.0999999999999996</v>
      </c>
      <c r="P39">
        <f>5.58</f>
        <v>5.58</v>
      </c>
      <c r="Q39">
        <f>9.53</f>
        <v>9.5299999999999994</v>
      </c>
      <c r="R39">
        <f>8.08</f>
        <v>8.08</v>
      </c>
      <c r="S39">
        <f>8.05</f>
        <v>8.0500000000000007</v>
      </c>
      <c r="T39">
        <f>8.15</f>
        <v>8.15</v>
      </c>
      <c r="U39">
        <f>14.21</f>
        <v>14.21</v>
      </c>
      <c r="V39">
        <f>14.98</f>
        <v>14.98</v>
      </c>
      <c r="W39">
        <f>16.85</f>
        <v>16.850000000000001</v>
      </c>
      <c r="X39">
        <f>12.8</f>
        <v>12.8</v>
      </c>
      <c r="Y39">
        <f>12.48</f>
        <v>12.48</v>
      </c>
      <c r="Z39">
        <f>9</f>
        <v>9</v>
      </c>
      <c r="AA39">
        <f>10.38</f>
        <v>10.38</v>
      </c>
      <c r="AB39">
        <f>11.73</f>
        <v>11.73</v>
      </c>
      <c r="AC39">
        <f>14.23</f>
        <v>14.23</v>
      </c>
      <c r="AD39">
        <f>13.72</f>
        <v>13.72</v>
      </c>
      <c r="AE39">
        <f>9.33</f>
        <v>9.33</v>
      </c>
      <c r="AF39">
        <f>21.93</f>
        <v>21.93</v>
      </c>
      <c r="AG39">
        <f>21.46</f>
        <v>21.46</v>
      </c>
      <c r="AH39">
        <f>20.23</f>
        <v>20.23</v>
      </c>
      <c r="AI39">
        <f>19.4</f>
        <v>19.399999999999999</v>
      </c>
      <c r="AJ39">
        <f>19.53</f>
        <v>19.53</v>
      </c>
      <c r="AK39">
        <f>18.82</f>
        <v>18.82</v>
      </c>
      <c r="AL39">
        <v>0</v>
      </c>
      <c r="AM39">
        <f>6.13</f>
        <v>6.13</v>
      </c>
      <c r="AN39">
        <f>1.5</f>
        <v>1.5</v>
      </c>
      <c r="AO39">
        <f>4.16</f>
        <v>4.16</v>
      </c>
      <c r="AP39">
        <f>5.45</f>
        <v>5.45</v>
      </c>
    </row>
    <row r="40" spans="1:42" x14ac:dyDescent="0.25">
      <c r="B40" t="s">
        <v>37</v>
      </c>
      <c r="C40">
        <f>23.48</f>
        <v>23.48</v>
      </c>
      <c r="D40">
        <f>21.13</f>
        <v>21.13</v>
      </c>
      <c r="E40">
        <f>21.03</f>
        <v>21.03</v>
      </c>
      <c r="F40">
        <f>26</f>
        <v>26</v>
      </c>
      <c r="G40">
        <f>27</f>
        <v>27</v>
      </c>
      <c r="H40">
        <f>29</f>
        <v>29</v>
      </c>
      <c r="I40">
        <f>27</f>
        <v>27</v>
      </c>
      <c r="J40">
        <f>26</f>
        <v>26</v>
      </c>
      <c r="K40">
        <f>24</f>
        <v>24</v>
      </c>
      <c r="L40">
        <f>28</f>
        <v>28</v>
      </c>
      <c r="M40">
        <f>7.72</f>
        <v>7.72</v>
      </c>
      <c r="N40">
        <f>9.28</f>
        <v>9.2799999999999994</v>
      </c>
      <c r="O40">
        <f>9.5</f>
        <v>9.5</v>
      </c>
      <c r="P40">
        <f>9.85</f>
        <v>9.85</v>
      </c>
      <c r="Q40">
        <f>12.08</f>
        <v>12.08</v>
      </c>
      <c r="R40">
        <f>8.58</f>
        <v>8.58</v>
      </c>
      <c r="S40">
        <f>3.53</f>
        <v>3.53</v>
      </c>
      <c r="T40">
        <f>7.32</f>
        <v>7.32</v>
      </c>
      <c r="U40">
        <f>19.16</f>
        <v>19.16</v>
      </c>
      <c r="V40">
        <f>19.95</f>
        <v>19.95</v>
      </c>
      <c r="W40">
        <f>21.53</f>
        <v>21.53</v>
      </c>
      <c r="X40">
        <f>17.76</f>
        <v>17.760000000000002</v>
      </c>
      <c r="Y40">
        <f>16.71</f>
        <v>16.71</v>
      </c>
      <c r="Z40">
        <f>13.25</f>
        <v>13.25</v>
      </c>
      <c r="AA40">
        <f>14.56</f>
        <v>14.56</v>
      </c>
      <c r="AB40">
        <f>14.96</f>
        <v>14.96</v>
      </c>
      <c r="AC40">
        <f>18.93</f>
        <v>18.93</v>
      </c>
      <c r="AD40">
        <f>17.28</f>
        <v>17.28</v>
      </c>
      <c r="AE40">
        <v>13.58</v>
      </c>
      <c r="AF40">
        <f>25</f>
        <v>25</v>
      </c>
      <c r="AG40">
        <f>25</f>
        <v>25</v>
      </c>
      <c r="AH40">
        <f>23.48</f>
        <v>23.48</v>
      </c>
      <c r="AI40">
        <f>24</f>
        <v>24</v>
      </c>
      <c r="AJ40">
        <f>24</f>
        <v>24</v>
      </c>
      <c r="AK40">
        <f>23.56</f>
        <v>23.56</v>
      </c>
      <c r="AL40">
        <f>6.13</f>
        <v>6.13</v>
      </c>
      <c r="AM40">
        <v>0</v>
      </c>
      <c r="AN40">
        <f>4.92</f>
        <v>4.92</v>
      </c>
      <c r="AO40">
        <f>2.68</f>
        <v>2.68</v>
      </c>
      <c r="AP40">
        <f>1.85</f>
        <v>1.85</v>
      </c>
    </row>
    <row r="41" spans="1:42" x14ac:dyDescent="0.25">
      <c r="B41" t="s">
        <v>38</v>
      </c>
      <c r="C41">
        <f>19.46</f>
        <v>19.46</v>
      </c>
      <c r="D41">
        <f>18.03</f>
        <v>18.03</v>
      </c>
      <c r="E41">
        <f>17.9</f>
        <v>17.899999999999999</v>
      </c>
      <c r="F41">
        <f>22.73</f>
        <v>22.73</v>
      </c>
      <c r="G41">
        <f>23.76</f>
        <v>23.76</v>
      </c>
      <c r="H41">
        <f>26</f>
        <v>26</v>
      </c>
      <c r="I41">
        <f>23.65</f>
        <v>23.65</v>
      </c>
      <c r="J41">
        <f>22.46</f>
        <v>22.46</v>
      </c>
      <c r="K41">
        <f>22.1</f>
        <v>22.1</v>
      </c>
      <c r="L41">
        <f>25</f>
        <v>25</v>
      </c>
      <c r="M41">
        <f>3.2</f>
        <v>3.2</v>
      </c>
      <c r="N41">
        <f>5.16</f>
        <v>5.16</v>
      </c>
      <c r="O41">
        <f>5.8</f>
        <v>5.8</v>
      </c>
      <c r="P41">
        <f>6.2</f>
        <v>6.2</v>
      </c>
      <c r="Q41">
        <f>10.15</f>
        <v>10.15</v>
      </c>
      <c r="R41">
        <f>8.18</f>
        <v>8.18</v>
      </c>
      <c r="S41">
        <f>7.46</f>
        <v>7.46</v>
      </c>
      <c r="T41">
        <f>8.26</f>
        <v>8.26</v>
      </c>
      <c r="U41">
        <f>15.13</f>
        <v>15.13</v>
      </c>
      <c r="V41">
        <f>15.85</f>
        <v>15.85</v>
      </c>
      <c r="W41">
        <f>17.81</f>
        <v>17.809999999999999</v>
      </c>
      <c r="X41">
        <f>13.72</f>
        <v>13.72</v>
      </c>
      <c r="Y41">
        <f>13.1</f>
        <v>13.1</v>
      </c>
      <c r="Z41">
        <f>9.66</f>
        <v>9.66</v>
      </c>
      <c r="AA41">
        <f>11</f>
        <v>11</v>
      </c>
      <c r="AB41">
        <f>12.35</f>
        <v>12.35</v>
      </c>
      <c r="AC41">
        <f>15</f>
        <v>15</v>
      </c>
      <c r="AD41">
        <f>13.41</f>
        <v>13.41</v>
      </c>
      <c r="AE41">
        <f>10</f>
        <v>10</v>
      </c>
      <c r="AF41">
        <f>22.68</f>
        <v>22.68</v>
      </c>
      <c r="AG41">
        <f>22.26</f>
        <v>22.26</v>
      </c>
      <c r="AH41">
        <f>21.21</f>
        <v>21.21</v>
      </c>
      <c r="AI41">
        <f>20.05</f>
        <v>20.05</v>
      </c>
      <c r="AJ41">
        <f>20.18</f>
        <v>20.18</v>
      </c>
      <c r="AK41">
        <f>19.53</f>
        <v>19.53</v>
      </c>
      <c r="AL41">
        <f>1.5</f>
        <v>1.5</v>
      </c>
      <c r="AM41">
        <f>4.92</f>
        <v>4.92</v>
      </c>
      <c r="AN41">
        <v>0</v>
      </c>
      <c r="AO41">
        <f>2.96</f>
        <v>2.96</v>
      </c>
      <c r="AP41">
        <f>4.26</f>
        <v>4.26</v>
      </c>
    </row>
    <row r="42" spans="1:42" x14ac:dyDescent="0.25">
      <c r="B42" t="s">
        <v>39</v>
      </c>
      <c r="C42">
        <f>21.53</f>
        <v>21.53</v>
      </c>
      <c r="D42">
        <f>20.13</f>
        <v>20.13</v>
      </c>
      <c r="E42">
        <f>19.98</f>
        <v>19.98</v>
      </c>
      <c r="F42">
        <f>25</f>
        <v>25</v>
      </c>
      <c r="G42">
        <f>26</f>
        <v>26</v>
      </c>
      <c r="H42">
        <f>28</f>
        <v>28</v>
      </c>
      <c r="I42">
        <f>26</f>
        <v>26</v>
      </c>
      <c r="J42">
        <f>24</f>
        <v>24</v>
      </c>
      <c r="K42">
        <f>22.48</f>
        <v>22.48</v>
      </c>
      <c r="L42">
        <f>26</f>
        <v>26</v>
      </c>
      <c r="M42">
        <f>5.58</f>
        <v>5.58</v>
      </c>
      <c r="N42">
        <f>7.56</f>
        <v>7.56</v>
      </c>
      <c r="O42">
        <f>7.75</f>
        <v>7.75</v>
      </c>
      <c r="P42">
        <f>8.13</f>
        <v>8.1300000000000008</v>
      </c>
      <c r="Q42">
        <f>11.5</f>
        <v>11.5</v>
      </c>
      <c r="R42">
        <f>9.12</f>
        <v>9.1199999999999992</v>
      </c>
      <c r="S42">
        <f>5.75</f>
        <v>5.75</v>
      </c>
      <c r="T42">
        <f>9.05</f>
        <v>9.0500000000000007</v>
      </c>
      <c r="U42">
        <f>17.28</f>
        <v>17.28</v>
      </c>
      <c r="V42">
        <f>18</f>
        <v>18</v>
      </c>
      <c r="W42">
        <f>19.9</f>
        <v>19.899999999999999</v>
      </c>
      <c r="X42">
        <f>15.81</f>
        <v>15.81</v>
      </c>
      <c r="Y42">
        <f>15.65</f>
        <v>15.65</v>
      </c>
      <c r="Z42">
        <f>11.63</f>
        <v>11.63</v>
      </c>
      <c r="AA42">
        <f>12.95</f>
        <v>12.95</v>
      </c>
      <c r="AB42">
        <f>14.35</f>
        <v>14.35</v>
      </c>
      <c r="AC42">
        <f>17.06</f>
        <v>17.059999999999999</v>
      </c>
      <c r="AD42">
        <f>15.33</f>
        <v>15.33</v>
      </c>
      <c r="AE42">
        <f>11.92</f>
        <v>11.92</v>
      </c>
      <c r="AF42">
        <f>23.18</f>
        <v>23.18</v>
      </c>
      <c r="AG42">
        <f>24</f>
        <v>24</v>
      </c>
      <c r="AH42">
        <f>23.28</f>
        <v>23.28</v>
      </c>
      <c r="AI42">
        <f>22.33</f>
        <v>22.33</v>
      </c>
      <c r="AJ42">
        <f>22.42</f>
        <v>22.42</v>
      </c>
      <c r="AK42">
        <f>21.76</f>
        <v>21.76</v>
      </c>
      <c r="AL42">
        <f>4.16</f>
        <v>4.16</v>
      </c>
      <c r="AM42">
        <f>2.68</f>
        <v>2.68</v>
      </c>
      <c r="AN42">
        <f>2.96</f>
        <v>2.96</v>
      </c>
      <c r="AO42">
        <v>0</v>
      </c>
      <c r="AP42">
        <f>2.11</f>
        <v>2.11</v>
      </c>
    </row>
    <row r="43" spans="1:42" x14ac:dyDescent="0.25">
      <c r="B43" t="s">
        <v>40</v>
      </c>
      <c r="C43">
        <f>21.8</f>
        <v>21.8</v>
      </c>
      <c r="D43">
        <f>20.16</f>
        <v>20.16</v>
      </c>
      <c r="E43">
        <f>20.05</f>
        <v>20.05</v>
      </c>
      <c r="F43">
        <f>25</f>
        <v>25</v>
      </c>
      <c r="G43">
        <f>26</f>
        <v>26</v>
      </c>
      <c r="H43">
        <f>28</f>
        <v>28</v>
      </c>
      <c r="I43">
        <f>26</f>
        <v>26</v>
      </c>
      <c r="J43">
        <f>26</f>
        <v>26</v>
      </c>
      <c r="K43">
        <f>22.61</f>
        <v>22.61</v>
      </c>
      <c r="L43">
        <f>27</f>
        <v>27</v>
      </c>
      <c r="M43">
        <f>6.71</f>
        <v>6.71</v>
      </c>
      <c r="N43">
        <f>7.63</f>
        <v>7.63</v>
      </c>
      <c r="O43">
        <f>7.85</f>
        <v>7.85</v>
      </c>
      <c r="P43">
        <f>8.3</f>
        <v>8.3000000000000007</v>
      </c>
      <c r="Q43">
        <f>10.96</f>
        <v>10.96</v>
      </c>
      <c r="R43">
        <f>8.63</f>
        <v>8.6300000000000008</v>
      </c>
      <c r="S43">
        <f>4.38</f>
        <v>4.38</v>
      </c>
      <c r="T43">
        <f>8.16</f>
        <v>8.16</v>
      </c>
      <c r="U43">
        <f>17.86</f>
        <v>17.86</v>
      </c>
      <c r="V43">
        <f>18.11</f>
        <v>18.11</v>
      </c>
      <c r="W43">
        <f>19.88</f>
        <v>19.88</v>
      </c>
      <c r="X43">
        <f>15.95</f>
        <v>15.95</v>
      </c>
      <c r="Y43">
        <f>15.08</f>
        <v>15.08</v>
      </c>
      <c r="Z43">
        <f>11.68</f>
        <v>11.68</v>
      </c>
      <c r="AA43">
        <f>13</f>
        <v>13</v>
      </c>
      <c r="AB43">
        <f>14.31</f>
        <v>14.31</v>
      </c>
      <c r="AC43">
        <f>17.2</f>
        <v>17.2</v>
      </c>
      <c r="AD43">
        <f>15.5</f>
        <v>15.5</v>
      </c>
      <c r="AE43">
        <f>12</f>
        <v>12</v>
      </c>
      <c r="AF43">
        <f>25</f>
        <v>25</v>
      </c>
      <c r="AG43">
        <f>22.88</f>
        <v>22.88</v>
      </c>
      <c r="AH43">
        <f>23.23</f>
        <v>23.23</v>
      </c>
      <c r="AI43">
        <f>22.35</f>
        <v>22.35</v>
      </c>
      <c r="AJ43">
        <f>22.5</f>
        <v>22.5</v>
      </c>
      <c r="AK43">
        <f>21.92</f>
        <v>21.92</v>
      </c>
      <c r="AL43">
        <f>5.45</f>
        <v>5.45</v>
      </c>
      <c r="AM43">
        <f>1.85</f>
        <v>1.85</v>
      </c>
      <c r="AN43">
        <f>4.26</f>
        <v>4.26</v>
      </c>
      <c r="AO43">
        <v>2.11</v>
      </c>
      <c r="AP43">
        <v>0</v>
      </c>
    </row>
    <row r="45" spans="1:42" x14ac:dyDescent="0.25">
      <c r="A45" t="s">
        <v>117</v>
      </c>
      <c r="B45" t="s">
        <v>118</v>
      </c>
      <c r="C45" t="s">
        <v>119</v>
      </c>
      <c r="D45" t="s">
        <v>120</v>
      </c>
      <c r="E45" t="s">
        <v>126</v>
      </c>
    </row>
    <row r="46" spans="1:42" x14ac:dyDescent="0.25">
      <c r="A46">
        <v>1</v>
      </c>
      <c r="B46">
        <v>1</v>
      </c>
      <c r="C46" t="s">
        <v>0</v>
      </c>
      <c r="D46" t="s">
        <v>0</v>
      </c>
      <c r="E46">
        <f ca="1">OFFSET($B$3,A46,B46)</f>
        <v>0</v>
      </c>
    </row>
    <row r="47" spans="1:42" x14ac:dyDescent="0.25">
      <c r="A47">
        <v>1</v>
      </c>
      <c r="B47">
        <v>2</v>
      </c>
      <c r="C47" t="s">
        <v>0</v>
      </c>
      <c r="D47" t="s">
        <v>1</v>
      </c>
      <c r="E47">
        <f t="shared" ref="E47:E109" ca="1" si="0">OFFSET($B$3,A47,B47)</f>
        <v>1.66</v>
      </c>
    </row>
    <row r="48" spans="1:42" x14ac:dyDescent="0.25">
      <c r="A48">
        <v>1</v>
      </c>
      <c r="B48">
        <v>3</v>
      </c>
      <c r="C48" t="s">
        <v>0</v>
      </c>
      <c r="D48" t="s">
        <v>2</v>
      </c>
      <c r="E48">
        <f t="shared" ca="1" si="0"/>
        <v>2.13</v>
      </c>
    </row>
    <row r="49" spans="1:5" x14ac:dyDescent="0.25">
      <c r="A49">
        <v>1</v>
      </c>
      <c r="B49">
        <v>4</v>
      </c>
      <c r="C49" t="s">
        <v>0</v>
      </c>
      <c r="D49" t="s">
        <v>3</v>
      </c>
      <c r="E49">
        <f t="shared" ca="1" si="0"/>
        <v>4.93</v>
      </c>
    </row>
    <row r="50" spans="1:5" x14ac:dyDescent="0.25">
      <c r="A50">
        <v>1</v>
      </c>
      <c r="B50">
        <v>5</v>
      </c>
      <c r="C50" t="s">
        <v>0</v>
      </c>
      <c r="D50" t="s">
        <v>4</v>
      </c>
      <c r="E50">
        <f t="shared" ca="1" si="0"/>
        <v>6</v>
      </c>
    </row>
    <row r="51" spans="1:5" x14ac:dyDescent="0.25">
      <c r="A51">
        <v>1</v>
      </c>
      <c r="B51">
        <v>6</v>
      </c>
      <c r="C51" t="s">
        <v>0</v>
      </c>
      <c r="D51" t="s">
        <v>5</v>
      </c>
      <c r="E51">
        <f t="shared" ca="1" si="0"/>
        <v>7.93</v>
      </c>
    </row>
    <row r="52" spans="1:5" x14ac:dyDescent="0.25">
      <c r="A52">
        <v>1</v>
      </c>
      <c r="B52">
        <v>7</v>
      </c>
      <c r="C52" t="s">
        <v>0</v>
      </c>
      <c r="D52" t="s">
        <v>6</v>
      </c>
      <c r="E52">
        <f t="shared" ca="1" si="0"/>
        <v>6</v>
      </c>
    </row>
    <row r="53" spans="1:5" x14ac:dyDescent="0.25">
      <c r="A53">
        <v>1</v>
      </c>
      <c r="B53">
        <v>8</v>
      </c>
      <c r="C53" t="s">
        <v>0</v>
      </c>
      <c r="D53" t="s">
        <v>7</v>
      </c>
      <c r="E53">
        <f t="shared" ca="1" si="0"/>
        <v>4.75</v>
      </c>
    </row>
    <row r="54" spans="1:5" x14ac:dyDescent="0.25">
      <c r="A54">
        <v>1</v>
      </c>
      <c r="B54">
        <v>9</v>
      </c>
      <c r="C54" t="s">
        <v>0</v>
      </c>
      <c r="D54" t="s">
        <v>148</v>
      </c>
      <c r="E54">
        <f t="shared" ca="1" si="0"/>
        <v>3.05</v>
      </c>
    </row>
    <row r="55" spans="1:5" x14ac:dyDescent="0.25">
      <c r="A55">
        <v>1</v>
      </c>
      <c r="B55">
        <v>10</v>
      </c>
      <c r="C55" t="s">
        <v>0</v>
      </c>
      <c r="D55" t="s">
        <v>9</v>
      </c>
      <c r="E55">
        <f t="shared" ca="1" si="0"/>
        <v>6.75</v>
      </c>
    </row>
    <row r="56" spans="1:5" x14ac:dyDescent="0.25">
      <c r="A56">
        <v>1</v>
      </c>
      <c r="B56">
        <v>11</v>
      </c>
      <c r="C56" t="s">
        <v>0</v>
      </c>
      <c r="D56" t="s">
        <v>10</v>
      </c>
      <c r="E56">
        <f t="shared" ca="1" si="0"/>
        <v>19.36</v>
      </c>
    </row>
    <row r="57" spans="1:5" x14ac:dyDescent="0.25">
      <c r="A57">
        <v>1</v>
      </c>
      <c r="B57">
        <v>12</v>
      </c>
      <c r="C57" t="s">
        <v>0</v>
      </c>
      <c r="D57" t="s">
        <v>11</v>
      </c>
      <c r="E57">
        <f t="shared" ca="1" si="0"/>
        <v>16.25</v>
      </c>
    </row>
    <row r="58" spans="1:5" x14ac:dyDescent="0.25">
      <c r="A58">
        <v>1</v>
      </c>
      <c r="B58">
        <v>13</v>
      </c>
      <c r="C58" t="s">
        <v>0</v>
      </c>
      <c r="D58" t="s">
        <v>12</v>
      </c>
      <c r="E58">
        <f t="shared" ca="1" si="0"/>
        <v>15.01</v>
      </c>
    </row>
    <row r="59" spans="1:5" x14ac:dyDescent="0.25">
      <c r="A59">
        <v>1</v>
      </c>
      <c r="B59">
        <v>14</v>
      </c>
      <c r="C59" t="s">
        <v>0</v>
      </c>
      <c r="D59" t="s">
        <v>13</v>
      </c>
      <c r="E59">
        <f t="shared" ca="1" si="0"/>
        <v>13.51</v>
      </c>
    </row>
    <row r="60" spans="1:5" x14ac:dyDescent="0.25">
      <c r="A60">
        <v>1</v>
      </c>
      <c r="B60">
        <v>15</v>
      </c>
      <c r="C60" t="s">
        <v>0</v>
      </c>
      <c r="D60" t="s">
        <v>14</v>
      </c>
      <c r="E60">
        <f t="shared" ca="1" si="0"/>
        <v>14.42</v>
      </c>
    </row>
    <row r="61" spans="1:5" x14ac:dyDescent="0.25">
      <c r="A61">
        <v>1</v>
      </c>
      <c r="B61">
        <v>16</v>
      </c>
      <c r="C61" t="s">
        <v>0</v>
      </c>
      <c r="D61" t="s">
        <v>15</v>
      </c>
      <c r="E61">
        <f t="shared" ca="1" si="0"/>
        <v>17.059999999999999</v>
      </c>
    </row>
    <row r="62" spans="1:5" x14ac:dyDescent="0.25">
      <c r="A62">
        <v>1</v>
      </c>
      <c r="B62">
        <v>17</v>
      </c>
      <c r="C62" t="s">
        <v>0</v>
      </c>
      <c r="D62" t="s">
        <v>16</v>
      </c>
      <c r="E62">
        <f t="shared" ca="1" si="0"/>
        <v>21.4</v>
      </c>
    </row>
    <row r="63" spans="1:5" x14ac:dyDescent="0.25">
      <c r="A63">
        <v>1</v>
      </c>
      <c r="B63">
        <v>18</v>
      </c>
      <c r="C63" t="s">
        <v>0</v>
      </c>
      <c r="D63" t="s">
        <v>17</v>
      </c>
      <c r="E63">
        <f t="shared" ca="1" si="0"/>
        <v>19.3</v>
      </c>
    </row>
    <row r="64" spans="1:5" x14ac:dyDescent="0.25">
      <c r="A64">
        <v>1</v>
      </c>
      <c r="B64">
        <v>19</v>
      </c>
      <c r="C64" t="s">
        <v>0</v>
      </c>
      <c r="D64" t="s">
        <v>18</v>
      </c>
      <c r="E64">
        <f t="shared" ca="1" si="0"/>
        <v>6.56</v>
      </c>
    </row>
    <row r="65" spans="1:5" x14ac:dyDescent="0.25">
      <c r="A65">
        <v>1</v>
      </c>
      <c r="B65">
        <v>20</v>
      </c>
      <c r="C65" t="s">
        <v>0</v>
      </c>
      <c r="D65" t="s">
        <v>19</v>
      </c>
      <c r="E65">
        <f t="shared" ca="1" si="0"/>
        <v>5</v>
      </c>
    </row>
    <row r="66" spans="1:5" x14ac:dyDescent="0.25">
      <c r="A66">
        <v>1</v>
      </c>
      <c r="B66">
        <v>21</v>
      </c>
      <c r="C66" t="s">
        <v>0</v>
      </c>
      <c r="D66" t="s">
        <v>20</v>
      </c>
      <c r="E66">
        <f t="shared" ca="1" si="0"/>
        <v>2.7</v>
      </c>
    </row>
    <row r="67" spans="1:5" x14ac:dyDescent="0.25">
      <c r="A67">
        <v>1</v>
      </c>
      <c r="B67">
        <v>22</v>
      </c>
      <c r="C67" t="s">
        <v>0</v>
      </c>
      <c r="D67" t="s">
        <v>21</v>
      </c>
      <c r="E67">
        <f t="shared" ca="1" si="0"/>
        <v>7.1</v>
      </c>
    </row>
    <row r="68" spans="1:5" x14ac:dyDescent="0.25">
      <c r="A68">
        <v>1</v>
      </c>
      <c r="B68">
        <v>23</v>
      </c>
      <c r="C68" t="s">
        <v>0</v>
      </c>
      <c r="D68" t="s">
        <v>22</v>
      </c>
      <c r="E68">
        <f t="shared" ca="1" si="0"/>
        <v>7.13</v>
      </c>
    </row>
    <row r="69" spans="1:5" x14ac:dyDescent="0.25">
      <c r="A69">
        <v>1</v>
      </c>
      <c r="B69">
        <v>24</v>
      </c>
      <c r="C69" t="s">
        <v>0</v>
      </c>
      <c r="D69" t="s">
        <v>23</v>
      </c>
      <c r="E69">
        <f t="shared" ca="1" si="0"/>
        <v>10.51</v>
      </c>
    </row>
    <row r="70" spans="1:5" x14ac:dyDescent="0.25">
      <c r="A70">
        <v>1</v>
      </c>
      <c r="B70">
        <v>25</v>
      </c>
      <c r="C70" t="s">
        <v>0</v>
      </c>
      <c r="D70" t="s">
        <v>24</v>
      </c>
      <c r="E70">
        <f t="shared" ca="1" si="0"/>
        <v>9.1300000000000008</v>
      </c>
    </row>
    <row r="71" spans="1:5" x14ac:dyDescent="0.25">
      <c r="A71">
        <v>1</v>
      </c>
      <c r="B71">
        <v>26</v>
      </c>
      <c r="C71" t="s">
        <v>0</v>
      </c>
      <c r="D71" t="s">
        <v>25</v>
      </c>
      <c r="E71">
        <f t="shared" ca="1" si="0"/>
        <v>11.5</v>
      </c>
    </row>
    <row r="72" spans="1:5" x14ac:dyDescent="0.25">
      <c r="A72">
        <v>1</v>
      </c>
      <c r="B72">
        <v>27</v>
      </c>
      <c r="C72" t="s">
        <v>0</v>
      </c>
      <c r="D72" t="s">
        <v>145</v>
      </c>
      <c r="E72">
        <f t="shared" ca="1" si="0"/>
        <v>4.63</v>
      </c>
    </row>
    <row r="73" spans="1:5" x14ac:dyDescent="0.25">
      <c r="A73">
        <v>1</v>
      </c>
      <c r="B73">
        <v>28</v>
      </c>
      <c r="C73" t="s">
        <v>0</v>
      </c>
      <c r="D73" t="s">
        <v>147</v>
      </c>
      <c r="E73">
        <f t="shared" ca="1" si="0"/>
        <v>6.63</v>
      </c>
    </row>
    <row r="74" spans="1:5" x14ac:dyDescent="0.25">
      <c r="A74">
        <v>1</v>
      </c>
      <c r="B74">
        <v>29</v>
      </c>
      <c r="C74" t="s">
        <v>0</v>
      </c>
      <c r="D74" t="s">
        <v>146</v>
      </c>
      <c r="E74">
        <f t="shared" ca="1" si="0"/>
        <v>9.6</v>
      </c>
    </row>
    <row r="75" spans="1:5" x14ac:dyDescent="0.25">
      <c r="A75">
        <v>1</v>
      </c>
      <c r="B75">
        <v>30</v>
      </c>
      <c r="C75" t="s">
        <v>0</v>
      </c>
      <c r="D75" t="s">
        <v>30</v>
      </c>
      <c r="E75">
        <f t="shared" ca="1" si="0"/>
        <v>3.68</v>
      </c>
    </row>
    <row r="76" spans="1:5" x14ac:dyDescent="0.25">
      <c r="A76">
        <v>1</v>
      </c>
      <c r="B76">
        <v>31</v>
      </c>
      <c r="C76" t="s">
        <v>0</v>
      </c>
      <c r="D76" t="s">
        <v>31</v>
      </c>
      <c r="E76">
        <f t="shared" ca="1" si="0"/>
        <v>3.25</v>
      </c>
    </row>
    <row r="77" spans="1:5" x14ac:dyDescent="0.25">
      <c r="A77">
        <v>1</v>
      </c>
      <c r="B77">
        <v>32</v>
      </c>
      <c r="C77" t="s">
        <v>0</v>
      </c>
      <c r="D77" t="s">
        <v>32</v>
      </c>
      <c r="E77">
        <f t="shared" ca="1" si="0"/>
        <v>2.33</v>
      </c>
    </row>
    <row r="78" spans="1:5" x14ac:dyDescent="0.25">
      <c r="A78">
        <v>1</v>
      </c>
      <c r="B78">
        <v>33</v>
      </c>
      <c r="C78" t="s">
        <v>0</v>
      </c>
      <c r="D78" t="s">
        <v>33</v>
      </c>
      <c r="E78">
        <f t="shared" ca="1" si="0"/>
        <v>1.66</v>
      </c>
    </row>
    <row r="79" spans="1:5" x14ac:dyDescent="0.25">
      <c r="A79">
        <v>1</v>
      </c>
      <c r="B79">
        <v>34</v>
      </c>
      <c r="C79" t="s">
        <v>0</v>
      </c>
      <c r="D79" t="s">
        <v>34</v>
      </c>
      <c r="E79">
        <f t="shared" ca="1" si="0"/>
        <v>1.38</v>
      </c>
    </row>
    <row r="80" spans="1:5" x14ac:dyDescent="0.25">
      <c r="A80">
        <v>1</v>
      </c>
      <c r="B80">
        <v>35</v>
      </c>
      <c r="C80" t="s">
        <v>0</v>
      </c>
      <c r="D80" t="s">
        <v>35</v>
      </c>
      <c r="E80">
        <f t="shared" ca="1" si="0"/>
        <v>1.08</v>
      </c>
    </row>
    <row r="81" spans="1:5" x14ac:dyDescent="0.25">
      <c r="A81">
        <v>1</v>
      </c>
      <c r="B81">
        <v>36</v>
      </c>
      <c r="C81" t="s">
        <v>0</v>
      </c>
      <c r="D81" t="s">
        <v>36</v>
      </c>
      <c r="E81">
        <f t="shared" ca="1" si="0"/>
        <v>18.78</v>
      </c>
    </row>
    <row r="82" spans="1:5" x14ac:dyDescent="0.25">
      <c r="A82">
        <v>1</v>
      </c>
      <c r="B82">
        <v>37</v>
      </c>
      <c r="C82" t="s">
        <v>0</v>
      </c>
      <c r="D82" t="s">
        <v>37</v>
      </c>
      <c r="E82">
        <f t="shared" ca="1" si="0"/>
        <v>23.48</v>
      </c>
    </row>
    <row r="83" spans="1:5" x14ac:dyDescent="0.25">
      <c r="A83">
        <v>1</v>
      </c>
      <c r="B83">
        <v>38</v>
      </c>
      <c r="C83" t="s">
        <v>0</v>
      </c>
      <c r="D83" t="s">
        <v>38</v>
      </c>
      <c r="E83">
        <f t="shared" ca="1" si="0"/>
        <v>19.46</v>
      </c>
    </row>
    <row r="84" spans="1:5" x14ac:dyDescent="0.25">
      <c r="A84">
        <v>1</v>
      </c>
      <c r="B84">
        <v>39</v>
      </c>
      <c r="C84" t="s">
        <v>0</v>
      </c>
      <c r="D84" t="s">
        <v>39</v>
      </c>
      <c r="E84">
        <f t="shared" ca="1" si="0"/>
        <v>21.53</v>
      </c>
    </row>
    <row r="85" spans="1:5" x14ac:dyDescent="0.25">
      <c r="A85">
        <v>1</v>
      </c>
      <c r="B85">
        <v>40</v>
      </c>
      <c r="C85" t="s">
        <v>0</v>
      </c>
      <c r="D85" t="s">
        <v>40</v>
      </c>
      <c r="E85" s="14">
        <f t="shared" ca="1" si="0"/>
        <v>21.8</v>
      </c>
    </row>
    <row r="86" spans="1:5" x14ac:dyDescent="0.25">
      <c r="A86">
        <v>2</v>
      </c>
      <c r="B86">
        <v>1</v>
      </c>
      <c r="C86" t="s">
        <v>1</v>
      </c>
      <c r="D86" t="s">
        <v>0</v>
      </c>
      <c r="E86">
        <f t="shared" ca="1" si="0"/>
        <v>1.66</v>
      </c>
    </row>
    <row r="87" spans="1:5" x14ac:dyDescent="0.25">
      <c r="A87">
        <v>2</v>
      </c>
      <c r="B87">
        <v>2</v>
      </c>
      <c r="C87" t="s">
        <v>1</v>
      </c>
      <c r="D87" t="s">
        <v>1</v>
      </c>
      <c r="E87">
        <f t="shared" ca="1" si="0"/>
        <v>0</v>
      </c>
    </row>
    <row r="88" spans="1:5" x14ac:dyDescent="0.25">
      <c r="A88">
        <v>2</v>
      </c>
      <c r="B88">
        <v>3</v>
      </c>
      <c r="C88" t="s">
        <v>1</v>
      </c>
      <c r="D88" t="s">
        <v>2</v>
      </c>
      <c r="E88">
        <f t="shared" ca="1" si="0"/>
        <v>0.71</v>
      </c>
    </row>
    <row r="89" spans="1:5" x14ac:dyDescent="0.25">
      <c r="A89">
        <v>2</v>
      </c>
      <c r="B89">
        <v>4</v>
      </c>
      <c r="C89" t="s">
        <v>1</v>
      </c>
      <c r="D89" t="s">
        <v>3</v>
      </c>
      <c r="E89">
        <f t="shared" ca="1" si="0"/>
        <v>5.45</v>
      </c>
    </row>
    <row r="90" spans="1:5" x14ac:dyDescent="0.25">
      <c r="A90">
        <v>2</v>
      </c>
      <c r="B90">
        <v>5</v>
      </c>
      <c r="C90" t="s">
        <v>1</v>
      </c>
      <c r="D90" t="s">
        <v>4</v>
      </c>
      <c r="E90">
        <f t="shared" ca="1" si="0"/>
        <v>6.53</v>
      </c>
    </row>
    <row r="91" spans="1:5" x14ac:dyDescent="0.25">
      <c r="A91">
        <v>2</v>
      </c>
      <c r="B91">
        <v>6</v>
      </c>
      <c r="C91" t="s">
        <v>1</v>
      </c>
      <c r="D91" t="s">
        <v>5</v>
      </c>
      <c r="E91">
        <f t="shared" ca="1" si="0"/>
        <v>8.43</v>
      </c>
    </row>
    <row r="92" spans="1:5" x14ac:dyDescent="0.25">
      <c r="A92">
        <v>2</v>
      </c>
      <c r="B92">
        <v>7</v>
      </c>
      <c r="C92" t="s">
        <v>1</v>
      </c>
      <c r="D92" t="s">
        <v>6</v>
      </c>
      <c r="E92">
        <f t="shared" ca="1" si="0"/>
        <v>6.51</v>
      </c>
    </row>
    <row r="93" spans="1:5" x14ac:dyDescent="0.25">
      <c r="A93">
        <v>2</v>
      </c>
      <c r="B93">
        <v>8</v>
      </c>
      <c r="C93" t="s">
        <v>1</v>
      </c>
      <c r="D93" t="s">
        <v>7</v>
      </c>
      <c r="E93">
        <f t="shared" ca="1" si="0"/>
        <v>5.28</v>
      </c>
    </row>
    <row r="94" spans="1:5" x14ac:dyDescent="0.25">
      <c r="A94">
        <v>2</v>
      </c>
      <c r="B94">
        <v>9</v>
      </c>
      <c r="C94" t="s">
        <v>1</v>
      </c>
      <c r="D94" t="s">
        <v>148</v>
      </c>
      <c r="E94">
        <f t="shared" ca="1" si="0"/>
        <v>3.55</v>
      </c>
    </row>
    <row r="95" spans="1:5" x14ac:dyDescent="0.25">
      <c r="A95">
        <v>2</v>
      </c>
      <c r="B95">
        <v>10</v>
      </c>
      <c r="C95" t="s">
        <v>1</v>
      </c>
      <c r="D95" t="s">
        <v>9</v>
      </c>
      <c r="E95">
        <f t="shared" ca="1" si="0"/>
        <v>7.28</v>
      </c>
    </row>
    <row r="96" spans="1:5" x14ac:dyDescent="0.25">
      <c r="A96">
        <v>2</v>
      </c>
      <c r="B96">
        <v>11</v>
      </c>
      <c r="C96" t="s">
        <v>1</v>
      </c>
      <c r="D96" t="s">
        <v>10</v>
      </c>
      <c r="E96">
        <f t="shared" ca="1" si="0"/>
        <v>17.93</v>
      </c>
    </row>
    <row r="97" spans="1:5" x14ac:dyDescent="0.25">
      <c r="A97">
        <v>2</v>
      </c>
      <c r="B97">
        <v>12</v>
      </c>
      <c r="C97" t="s">
        <v>1</v>
      </c>
      <c r="D97" t="s">
        <v>11</v>
      </c>
      <c r="E97">
        <f t="shared" ca="1" si="0"/>
        <v>14.86</v>
      </c>
    </row>
    <row r="98" spans="1:5" x14ac:dyDescent="0.25">
      <c r="A98">
        <v>2</v>
      </c>
      <c r="B98">
        <v>13</v>
      </c>
      <c r="C98" t="s">
        <v>1</v>
      </c>
      <c r="D98" t="s">
        <v>12</v>
      </c>
      <c r="E98">
        <f t="shared" ca="1" si="0"/>
        <v>13.68</v>
      </c>
    </row>
    <row r="99" spans="1:5" x14ac:dyDescent="0.25">
      <c r="A99">
        <v>2</v>
      </c>
      <c r="B99">
        <v>14</v>
      </c>
      <c r="C99" t="s">
        <v>1</v>
      </c>
      <c r="D99" t="s">
        <v>13</v>
      </c>
      <c r="E99">
        <f t="shared" ca="1" si="0"/>
        <v>12.15</v>
      </c>
    </row>
    <row r="100" spans="1:5" x14ac:dyDescent="0.25">
      <c r="A100">
        <v>2</v>
      </c>
      <c r="B100">
        <v>15</v>
      </c>
      <c r="C100" t="s">
        <v>1</v>
      </c>
      <c r="D100" t="s">
        <v>14</v>
      </c>
      <c r="E100">
        <f t="shared" ca="1" si="0"/>
        <v>13.35</v>
      </c>
    </row>
    <row r="101" spans="1:5" x14ac:dyDescent="0.25">
      <c r="A101">
        <v>2</v>
      </c>
      <c r="B101">
        <v>16</v>
      </c>
      <c r="C101" t="s">
        <v>1</v>
      </c>
      <c r="D101" t="s">
        <v>15</v>
      </c>
      <c r="E101">
        <f t="shared" ca="1" si="0"/>
        <v>16.329999999999998</v>
      </c>
    </row>
    <row r="102" spans="1:5" x14ac:dyDescent="0.25">
      <c r="A102">
        <v>2</v>
      </c>
      <c r="B102">
        <v>17</v>
      </c>
      <c r="C102" t="s">
        <v>1</v>
      </c>
      <c r="D102" t="s">
        <v>16</v>
      </c>
      <c r="E102">
        <f t="shared" ca="1" si="0"/>
        <v>19.260000000000002</v>
      </c>
    </row>
    <row r="103" spans="1:5" x14ac:dyDescent="0.25">
      <c r="A103">
        <v>2</v>
      </c>
      <c r="B103">
        <v>18</v>
      </c>
      <c r="C103" t="s">
        <v>1</v>
      </c>
      <c r="D103" t="s">
        <v>17</v>
      </c>
      <c r="E103">
        <f t="shared" ca="1" si="0"/>
        <v>18.579999999999998</v>
      </c>
    </row>
    <row r="104" spans="1:5" x14ac:dyDescent="0.25">
      <c r="A104">
        <v>2</v>
      </c>
      <c r="B104">
        <v>19</v>
      </c>
      <c r="C104" t="s">
        <v>1</v>
      </c>
      <c r="D104" t="s">
        <v>18</v>
      </c>
      <c r="E104">
        <f t="shared" ca="1" si="0"/>
        <v>5.15</v>
      </c>
    </row>
    <row r="105" spans="1:5" x14ac:dyDescent="0.25">
      <c r="A105">
        <v>2</v>
      </c>
      <c r="B105">
        <v>20</v>
      </c>
      <c r="C105" t="s">
        <v>1</v>
      </c>
      <c r="D105" t="s">
        <v>19</v>
      </c>
      <c r="E105">
        <f t="shared" ca="1" si="0"/>
        <v>3.55</v>
      </c>
    </row>
    <row r="106" spans="1:5" x14ac:dyDescent="0.25">
      <c r="A106">
        <v>2</v>
      </c>
      <c r="B106">
        <v>21</v>
      </c>
      <c r="C106" t="s">
        <v>1</v>
      </c>
      <c r="D106" t="s">
        <v>20</v>
      </c>
      <c r="E106">
        <f t="shared" ca="1" si="0"/>
        <v>1.38</v>
      </c>
    </row>
    <row r="107" spans="1:5" x14ac:dyDescent="0.25">
      <c r="A107">
        <v>2</v>
      </c>
      <c r="B107">
        <v>22</v>
      </c>
      <c r="C107" t="s">
        <v>1</v>
      </c>
      <c r="D107" t="s">
        <v>21</v>
      </c>
      <c r="E107">
        <f t="shared" ca="1" si="0"/>
        <v>5.71</v>
      </c>
    </row>
    <row r="108" spans="1:5" x14ac:dyDescent="0.25">
      <c r="A108">
        <v>2</v>
      </c>
      <c r="B108">
        <v>23</v>
      </c>
      <c r="C108" t="s">
        <v>1</v>
      </c>
      <c r="D108" t="s">
        <v>22</v>
      </c>
      <c r="E108">
        <f t="shared" ca="1" si="0"/>
        <v>5.76</v>
      </c>
    </row>
    <row r="109" spans="1:5" x14ac:dyDescent="0.25">
      <c r="A109">
        <v>2</v>
      </c>
      <c r="B109">
        <v>24</v>
      </c>
      <c r="C109" t="s">
        <v>1</v>
      </c>
      <c r="D109" t="s">
        <v>23</v>
      </c>
      <c r="E109">
        <f t="shared" ca="1" si="0"/>
        <v>9.16</v>
      </c>
    </row>
    <row r="110" spans="1:5" x14ac:dyDescent="0.25">
      <c r="A110">
        <v>2</v>
      </c>
      <c r="B110">
        <v>25</v>
      </c>
      <c r="C110" t="s">
        <v>1</v>
      </c>
      <c r="D110" t="s">
        <v>24</v>
      </c>
      <c r="E110">
        <f t="shared" ref="E110:E171" ca="1" si="1">OFFSET($B$3,A110,B110)</f>
        <v>7.78</v>
      </c>
    </row>
    <row r="111" spans="1:5" x14ac:dyDescent="0.25">
      <c r="A111">
        <v>2</v>
      </c>
      <c r="B111">
        <v>26</v>
      </c>
      <c r="C111" t="s">
        <v>1</v>
      </c>
      <c r="D111" t="s">
        <v>25</v>
      </c>
      <c r="E111">
        <f t="shared" ca="1" si="1"/>
        <v>10.16</v>
      </c>
    </row>
    <row r="112" spans="1:5" x14ac:dyDescent="0.25">
      <c r="A112">
        <v>2</v>
      </c>
      <c r="B112">
        <v>27</v>
      </c>
      <c r="C112" t="s">
        <v>1</v>
      </c>
      <c r="D112" t="s">
        <v>145</v>
      </c>
      <c r="E112">
        <f t="shared" ca="1" si="1"/>
        <v>3.25</v>
      </c>
    </row>
    <row r="113" spans="1:5" x14ac:dyDescent="0.25">
      <c r="A113">
        <v>2</v>
      </c>
      <c r="B113">
        <v>28</v>
      </c>
      <c r="C113" t="s">
        <v>1</v>
      </c>
      <c r="D113" t="s">
        <v>147</v>
      </c>
      <c r="E113">
        <f t="shared" ca="1" si="1"/>
        <v>5.28</v>
      </c>
    </row>
    <row r="114" spans="1:5" x14ac:dyDescent="0.25">
      <c r="A114">
        <v>2</v>
      </c>
      <c r="B114">
        <v>29</v>
      </c>
      <c r="C114" t="s">
        <v>1</v>
      </c>
      <c r="D114" t="s">
        <v>146</v>
      </c>
      <c r="E114">
        <f t="shared" ca="1" si="1"/>
        <v>8.26</v>
      </c>
    </row>
    <row r="115" spans="1:5" x14ac:dyDescent="0.25">
      <c r="A115">
        <v>2</v>
      </c>
      <c r="B115">
        <v>30</v>
      </c>
      <c r="C115" t="s">
        <v>1</v>
      </c>
      <c r="D115" t="s">
        <v>30</v>
      </c>
      <c r="E115">
        <f t="shared" ca="1" si="1"/>
        <v>4.05</v>
      </c>
    </row>
    <row r="116" spans="1:5" x14ac:dyDescent="0.25">
      <c r="A116">
        <v>2</v>
      </c>
      <c r="B116">
        <v>31</v>
      </c>
      <c r="C116" t="s">
        <v>1</v>
      </c>
      <c r="D116" t="s">
        <v>31</v>
      </c>
      <c r="E116">
        <f t="shared" ca="1" si="1"/>
        <v>3.61</v>
      </c>
    </row>
    <row r="117" spans="1:5" x14ac:dyDescent="0.25">
      <c r="A117">
        <v>2</v>
      </c>
      <c r="B117">
        <v>32</v>
      </c>
      <c r="C117" t="s">
        <v>1</v>
      </c>
      <c r="D117" t="s">
        <v>32</v>
      </c>
      <c r="E117">
        <f t="shared" ca="1" si="1"/>
        <v>2.68</v>
      </c>
    </row>
    <row r="118" spans="1:5" x14ac:dyDescent="0.25">
      <c r="A118">
        <v>2</v>
      </c>
      <c r="B118">
        <v>33</v>
      </c>
      <c r="C118" t="s">
        <v>1</v>
      </c>
      <c r="D118" t="s">
        <v>33</v>
      </c>
      <c r="E118">
        <f t="shared" ca="1" si="1"/>
        <v>2.1</v>
      </c>
    </row>
    <row r="119" spans="1:5" x14ac:dyDescent="0.25">
      <c r="A119">
        <v>2</v>
      </c>
      <c r="B119">
        <v>34</v>
      </c>
      <c r="C119" t="s">
        <v>1</v>
      </c>
      <c r="D119" t="s">
        <v>34</v>
      </c>
      <c r="E119">
        <f t="shared" ca="1" si="1"/>
        <v>1.98</v>
      </c>
    </row>
    <row r="120" spans="1:5" x14ac:dyDescent="0.25">
      <c r="A120">
        <v>2</v>
      </c>
      <c r="B120">
        <v>35</v>
      </c>
      <c r="C120" t="s">
        <v>1</v>
      </c>
      <c r="D120" t="s">
        <v>35</v>
      </c>
      <c r="E120">
        <f t="shared" ca="1" si="1"/>
        <v>1.65</v>
      </c>
    </row>
    <row r="121" spans="1:5" x14ac:dyDescent="0.25">
      <c r="A121">
        <v>2</v>
      </c>
      <c r="B121">
        <v>36</v>
      </c>
      <c r="C121" t="s">
        <v>1</v>
      </c>
      <c r="D121" t="s">
        <v>36</v>
      </c>
      <c r="E121">
        <f t="shared" ca="1" si="1"/>
        <v>17.260000000000002</v>
      </c>
    </row>
    <row r="122" spans="1:5" x14ac:dyDescent="0.25">
      <c r="A122">
        <v>2</v>
      </c>
      <c r="B122">
        <v>37</v>
      </c>
      <c r="C122" t="s">
        <v>1</v>
      </c>
      <c r="D122" t="s">
        <v>37</v>
      </c>
      <c r="E122">
        <f t="shared" ca="1" si="1"/>
        <v>21.13</v>
      </c>
    </row>
    <row r="123" spans="1:5" x14ac:dyDescent="0.25">
      <c r="A123">
        <v>2</v>
      </c>
      <c r="B123">
        <v>38</v>
      </c>
      <c r="C123" t="s">
        <v>1</v>
      </c>
      <c r="D123" t="s">
        <v>38</v>
      </c>
      <c r="E123">
        <f t="shared" ca="1" si="1"/>
        <v>18.03</v>
      </c>
    </row>
    <row r="124" spans="1:5" x14ac:dyDescent="0.25">
      <c r="A124">
        <v>2</v>
      </c>
      <c r="B124">
        <v>39</v>
      </c>
      <c r="C124" t="s">
        <v>1</v>
      </c>
      <c r="D124" t="s">
        <v>39</v>
      </c>
      <c r="E124">
        <f t="shared" ca="1" si="1"/>
        <v>20.13</v>
      </c>
    </row>
    <row r="125" spans="1:5" x14ac:dyDescent="0.25">
      <c r="A125">
        <v>2</v>
      </c>
      <c r="B125">
        <v>40</v>
      </c>
      <c r="C125" t="s">
        <v>1</v>
      </c>
      <c r="D125" t="s">
        <v>40</v>
      </c>
      <c r="E125">
        <f t="shared" ca="1" si="1"/>
        <v>20.16</v>
      </c>
    </row>
    <row r="126" spans="1:5" x14ac:dyDescent="0.25">
      <c r="A126">
        <v>3</v>
      </c>
      <c r="B126">
        <v>1</v>
      </c>
      <c r="C126" t="s">
        <v>2</v>
      </c>
      <c r="D126" t="s">
        <v>0</v>
      </c>
      <c r="E126">
        <f t="shared" ca="1" si="1"/>
        <v>2.13</v>
      </c>
    </row>
    <row r="127" spans="1:5" x14ac:dyDescent="0.25">
      <c r="A127">
        <v>3</v>
      </c>
      <c r="B127">
        <v>2</v>
      </c>
      <c r="C127" t="s">
        <v>2</v>
      </c>
      <c r="D127" t="s">
        <v>1</v>
      </c>
      <c r="E127">
        <f t="shared" ca="1" si="1"/>
        <v>0.71</v>
      </c>
    </row>
    <row r="128" spans="1:5" x14ac:dyDescent="0.25">
      <c r="A128">
        <v>3</v>
      </c>
      <c r="B128">
        <v>3</v>
      </c>
      <c r="C128" t="s">
        <v>2</v>
      </c>
      <c r="D128" t="s">
        <v>2</v>
      </c>
      <c r="E128">
        <f t="shared" ca="1" si="1"/>
        <v>0</v>
      </c>
    </row>
    <row r="129" spans="1:5" x14ac:dyDescent="0.25">
      <c r="A129">
        <v>3</v>
      </c>
      <c r="B129">
        <v>4</v>
      </c>
      <c r="C129" t="s">
        <v>2</v>
      </c>
      <c r="D129" t="s">
        <v>3</v>
      </c>
      <c r="E129">
        <f t="shared" ca="1" si="1"/>
        <v>6.05</v>
      </c>
    </row>
    <row r="130" spans="1:5" x14ac:dyDescent="0.25">
      <c r="A130">
        <v>3</v>
      </c>
      <c r="B130">
        <v>5</v>
      </c>
      <c r="C130" t="s">
        <v>2</v>
      </c>
      <c r="D130" t="s">
        <v>4</v>
      </c>
      <c r="E130">
        <f t="shared" ca="1" si="1"/>
        <v>7.13</v>
      </c>
    </row>
    <row r="131" spans="1:5" x14ac:dyDescent="0.25">
      <c r="A131">
        <v>3</v>
      </c>
      <c r="B131">
        <v>6</v>
      </c>
      <c r="C131" t="s">
        <v>2</v>
      </c>
      <c r="D131" t="s">
        <v>5</v>
      </c>
      <c r="E131">
        <f t="shared" ca="1" si="1"/>
        <v>9.0500000000000007</v>
      </c>
    </row>
    <row r="132" spans="1:5" x14ac:dyDescent="0.25">
      <c r="A132">
        <v>3</v>
      </c>
      <c r="B132">
        <v>7</v>
      </c>
      <c r="C132" t="s">
        <v>2</v>
      </c>
      <c r="D132" t="s">
        <v>6</v>
      </c>
      <c r="E132">
        <f t="shared" ca="1" si="1"/>
        <v>7.13</v>
      </c>
    </row>
    <row r="133" spans="1:5" x14ac:dyDescent="0.25">
      <c r="A133">
        <v>3</v>
      </c>
      <c r="B133">
        <v>8</v>
      </c>
      <c r="C133" t="s">
        <v>2</v>
      </c>
      <c r="D133" t="s">
        <v>7</v>
      </c>
      <c r="E133">
        <f t="shared" ca="1" si="1"/>
        <v>5.88</v>
      </c>
    </row>
    <row r="134" spans="1:5" x14ac:dyDescent="0.25">
      <c r="A134">
        <v>3</v>
      </c>
      <c r="B134">
        <v>9</v>
      </c>
      <c r="C134" t="s">
        <v>2</v>
      </c>
      <c r="D134" t="s">
        <v>148</v>
      </c>
      <c r="E134">
        <f t="shared" ca="1" si="1"/>
        <v>4.13</v>
      </c>
    </row>
    <row r="135" spans="1:5" x14ac:dyDescent="0.25">
      <c r="A135">
        <v>3</v>
      </c>
      <c r="B135">
        <v>10</v>
      </c>
      <c r="C135" t="s">
        <v>2</v>
      </c>
      <c r="D135" t="s">
        <v>9</v>
      </c>
      <c r="E135">
        <f t="shared" ca="1" si="1"/>
        <v>7.86</v>
      </c>
    </row>
    <row r="136" spans="1:5" x14ac:dyDescent="0.25">
      <c r="A136">
        <v>3</v>
      </c>
      <c r="B136">
        <v>11</v>
      </c>
      <c r="C136" t="s">
        <v>2</v>
      </c>
      <c r="D136" t="s">
        <v>10</v>
      </c>
      <c r="E136">
        <f t="shared" ca="1" si="1"/>
        <v>17.86</v>
      </c>
    </row>
    <row r="137" spans="1:5" x14ac:dyDescent="0.25">
      <c r="A137">
        <v>3</v>
      </c>
      <c r="B137">
        <v>12</v>
      </c>
      <c r="C137" t="s">
        <v>2</v>
      </c>
      <c r="D137" t="s">
        <v>11</v>
      </c>
      <c r="E137">
        <f t="shared" ca="1" si="1"/>
        <v>14.75</v>
      </c>
    </row>
    <row r="138" spans="1:5" x14ac:dyDescent="0.25">
      <c r="A138">
        <v>3</v>
      </c>
      <c r="B138">
        <v>13</v>
      </c>
      <c r="C138" t="s">
        <v>2</v>
      </c>
      <c r="D138" t="s">
        <v>12</v>
      </c>
      <c r="E138">
        <f t="shared" ca="1" si="1"/>
        <v>13.56</v>
      </c>
    </row>
    <row r="139" spans="1:5" x14ac:dyDescent="0.25">
      <c r="A139">
        <v>3</v>
      </c>
      <c r="B139">
        <v>14</v>
      </c>
      <c r="C139" t="s">
        <v>2</v>
      </c>
      <c r="D139" t="s">
        <v>13</v>
      </c>
      <c r="E139">
        <f t="shared" ca="1" si="1"/>
        <v>12.03</v>
      </c>
    </row>
    <row r="140" spans="1:5" x14ac:dyDescent="0.25">
      <c r="A140">
        <v>3</v>
      </c>
      <c r="B140">
        <v>15</v>
      </c>
      <c r="C140" t="s">
        <v>2</v>
      </c>
      <c r="D140" t="s">
        <v>14</v>
      </c>
      <c r="E140">
        <f t="shared" ca="1" si="1"/>
        <v>13.56</v>
      </c>
    </row>
    <row r="141" spans="1:5" x14ac:dyDescent="0.25">
      <c r="A141">
        <v>3</v>
      </c>
      <c r="B141">
        <v>16</v>
      </c>
      <c r="C141" t="s">
        <v>2</v>
      </c>
      <c r="D141" t="s">
        <v>15</v>
      </c>
      <c r="E141">
        <f t="shared" ca="1" si="1"/>
        <v>16.21</v>
      </c>
    </row>
    <row r="142" spans="1:5" x14ac:dyDescent="0.25">
      <c r="A142">
        <v>3</v>
      </c>
      <c r="B142">
        <v>17</v>
      </c>
      <c r="C142" t="s">
        <v>2</v>
      </c>
      <c r="D142" t="s">
        <v>16</v>
      </c>
      <c r="E142">
        <f t="shared" ca="1" si="1"/>
        <v>19.86</v>
      </c>
    </row>
    <row r="143" spans="1:5" x14ac:dyDescent="0.25">
      <c r="A143">
        <v>3</v>
      </c>
      <c r="B143">
        <v>18</v>
      </c>
      <c r="C143" t="s">
        <v>2</v>
      </c>
      <c r="D143" t="s">
        <v>17</v>
      </c>
      <c r="E143">
        <f t="shared" ca="1" si="1"/>
        <v>18.03</v>
      </c>
    </row>
    <row r="144" spans="1:5" x14ac:dyDescent="0.25">
      <c r="A144">
        <v>3</v>
      </c>
      <c r="B144">
        <v>19</v>
      </c>
      <c r="C144" t="s">
        <v>2</v>
      </c>
      <c r="D144" t="s">
        <v>18</v>
      </c>
      <c r="E144">
        <f t="shared" ca="1" si="1"/>
        <v>5.0599999999999996</v>
      </c>
    </row>
    <row r="145" spans="1:5" x14ac:dyDescent="0.25">
      <c r="A145">
        <v>3</v>
      </c>
      <c r="B145">
        <v>20</v>
      </c>
      <c r="C145" t="s">
        <v>2</v>
      </c>
      <c r="D145" t="s">
        <v>19</v>
      </c>
      <c r="E145">
        <f t="shared" ca="1" si="1"/>
        <v>3.46</v>
      </c>
    </row>
    <row r="146" spans="1:5" x14ac:dyDescent="0.25">
      <c r="A146">
        <v>3</v>
      </c>
      <c r="B146">
        <v>21</v>
      </c>
      <c r="C146" t="s">
        <v>2</v>
      </c>
      <c r="D146" t="s">
        <v>20</v>
      </c>
      <c r="E146">
        <f t="shared" ca="1" si="1"/>
        <v>1.3</v>
      </c>
    </row>
    <row r="147" spans="1:5" x14ac:dyDescent="0.25">
      <c r="A147">
        <v>3</v>
      </c>
      <c r="B147">
        <v>22</v>
      </c>
      <c r="C147" t="s">
        <v>2</v>
      </c>
      <c r="D147" t="s">
        <v>21</v>
      </c>
      <c r="E147">
        <f t="shared" ca="1" si="1"/>
        <v>5.6</v>
      </c>
    </row>
    <row r="148" spans="1:5" x14ac:dyDescent="0.25">
      <c r="A148">
        <v>3</v>
      </c>
      <c r="B148">
        <v>23</v>
      </c>
      <c r="C148" t="s">
        <v>2</v>
      </c>
      <c r="D148" t="s">
        <v>22</v>
      </c>
      <c r="E148">
        <f t="shared" ca="1" si="1"/>
        <v>5.65</v>
      </c>
    </row>
    <row r="149" spans="1:5" x14ac:dyDescent="0.25">
      <c r="A149">
        <v>3</v>
      </c>
      <c r="B149">
        <v>24</v>
      </c>
      <c r="C149" t="s">
        <v>2</v>
      </c>
      <c r="D149" t="s">
        <v>23</v>
      </c>
      <c r="E149">
        <f t="shared" ca="1" si="1"/>
        <v>9.0299999999999994</v>
      </c>
    </row>
    <row r="150" spans="1:5" x14ac:dyDescent="0.25">
      <c r="A150">
        <v>3</v>
      </c>
      <c r="B150">
        <v>25</v>
      </c>
      <c r="C150" t="s">
        <v>2</v>
      </c>
      <c r="D150" t="s">
        <v>24</v>
      </c>
      <c r="E150">
        <f t="shared" ca="1" si="1"/>
        <v>7.65</v>
      </c>
    </row>
    <row r="151" spans="1:5" x14ac:dyDescent="0.25">
      <c r="A151">
        <v>3</v>
      </c>
      <c r="B151">
        <v>26</v>
      </c>
      <c r="C151" t="s">
        <v>2</v>
      </c>
      <c r="D151" t="s">
        <v>25</v>
      </c>
      <c r="E151">
        <f t="shared" ca="1" si="1"/>
        <v>10.050000000000001</v>
      </c>
    </row>
    <row r="152" spans="1:5" x14ac:dyDescent="0.25">
      <c r="A152">
        <v>3</v>
      </c>
      <c r="B152">
        <v>27</v>
      </c>
      <c r="C152" t="s">
        <v>2</v>
      </c>
      <c r="D152" t="s">
        <v>145</v>
      </c>
      <c r="E152">
        <f t="shared" ca="1" si="1"/>
        <v>3.16</v>
      </c>
    </row>
    <row r="153" spans="1:5" x14ac:dyDescent="0.25">
      <c r="A153">
        <v>3</v>
      </c>
      <c r="B153">
        <v>28</v>
      </c>
      <c r="C153" t="s">
        <v>2</v>
      </c>
      <c r="D153" t="s">
        <v>147</v>
      </c>
      <c r="E153">
        <f t="shared" ca="1" si="1"/>
        <v>5.15</v>
      </c>
    </row>
    <row r="154" spans="1:5" x14ac:dyDescent="0.25">
      <c r="A154">
        <v>3</v>
      </c>
      <c r="B154">
        <v>29</v>
      </c>
      <c r="C154" t="s">
        <v>2</v>
      </c>
      <c r="D154" t="s">
        <v>146</v>
      </c>
      <c r="E154">
        <f t="shared" ca="1" si="1"/>
        <v>8.1300000000000008</v>
      </c>
    </row>
    <row r="155" spans="1:5" x14ac:dyDescent="0.25">
      <c r="A155">
        <v>3</v>
      </c>
      <c r="B155">
        <v>30</v>
      </c>
      <c r="C155" t="s">
        <v>2</v>
      </c>
      <c r="D155" t="s">
        <v>30</v>
      </c>
      <c r="E155">
        <f t="shared" ca="1" si="1"/>
        <v>4.5999999999999996</v>
      </c>
    </row>
    <row r="156" spans="1:5" x14ac:dyDescent="0.25">
      <c r="A156">
        <v>3</v>
      </c>
      <c r="B156">
        <v>31</v>
      </c>
      <c r="C156" t="s">
        <v>2</v>
      </c>
      <c r="D156" t="s">
        <v>31</v>
      </c>
      <c r="E156">
        <f t="shared" ca="1" si="1"/>
        <v>4.16</v>
      </c>
    </row>
    <row r="157" spans="1:5" x14ac:dyDescent="0.25">
      <c r="A157">
        <v>3</v>
      </c>
      <c r="B157">
        <v>32</v>
      </c>
      <c r="C157" t="s">
        <v>2</v>
      </c>
      <c r="D157" t="s">
        <v>32</v>
      </c>
      <c r="E157">
        <f t="shared" ca="1" si="1"/>
        <v>3.26</v>
      </c>
    </row>
    <row r="158" spans="1:5" x14ac:dyDescent="0.25">
      <c r="A158">
        <v>3</v>
      </c>
      <c r="B158">
        <v>33</v>
      </c>
      <c r="C158" t="s">
        <v>2</v>
      </c>
      <c r="D158" t="s">
        <v>33</v>
      </c>
      <c r="E158">
        <f t="shared" ca="1" si="1"/>
        <v>2.61</v>
      </c>
    </row>
    <row r="159" spans="1:5" x14ac:dyDescent="0.25">
      <c r="A159">
        <v>3</v>
      </c>
      <c r="B159">
        <v>34</v>
      </c>
      <c r="C159" t="s">
        <v>2</v>
      </c>
      <c r="D159" t="s">
        <v>34</v>
      </c>
      <c r="E159">
        <f t="shared" ca="1" si="1"/>
        <v>2.6</v>
      </c>
    </row>
    <row r="160" spans="1:5" x14ac:dyDescent="0.25">
      <c r="A160">
        <v>3</v>
      </c>
      <c r="B160">
        <v>35</v>
      </c>
      <c r="C160" t="s">
        <v>2</v>
      </c>
      <c r="D160" t="s">
        <v>35</v>
      </c>
      <c r="E160">
        <f t="shared" ca="1" si="1"/>
        <v>2.2999999999999998</v>
      </c>
    </row>
    <row r="161" spans="1:5" x14ac:dyDescent="0.25">
      <c r="A161">
        <v>3</v>
      </c>
      <c r="B161">
        <v>36</v>
      </c>
      <c r="C161" t="s">
        <v>2</v>
      </c>
      <c r="D161" t="s">
        <v>36</v>
      </c>
      <c r="E161">
        <f t="shared" ca="1" si="1"/>
        <v>17.11</v>
      </c>
    </row>
    <row r="162" spans="1:5" x14ac:dyDescent="0.25">
      <c r="A162">
        <v>3</v>
      </c>
      <c r="B162">
        <v>37</v>
      </c>
      <c r="C162" t="s">
        <v>2</v>
      </c>
      <c r="D162" t="s">
        <v>37</v>
      </c>
      <c r="E162">
        <f t="shared" ca="1" si="1"/>
        <v>21.03</v>
      </c>
    </row>
    <row r="163" spans="1:5" x14ac:dyDescent="0.25">
      <c r="A163">
        <v>3</v>
      </c>
      <c r="B163">
        <v>38</v>
      </c>
      <c r="C163" t="s">
        <v>2</v>
      </c>
      <c r="D163" t="s">
        <v>38</v>
      </c>
      <c r="E163">
        <f t="shared" ca="1" si="1"/>
        <v>17.899999999999999</v>
      </c>
    </row>
    <row r="164" spans="1:5" x14ac:dyDescent="0.25">
      <c r="A164">
        <v>3</v>
      </c>
      <c r="B164">
        <v>39</v>
      </c>
      <c r="C164" t="s">
        <v>2</v>
      </c>
      <c r="D164" t="s">
        <v>39</v>
      </c>
      <c r="E164">
        <f t="shared" ca="1" si="1"/>
        <v>19.98</v>
      </c>
    </row>
    <row r="165" spans="1:5" x14ac:dyDescent="0.25">
      <c r="A165">
        <v>3</v>
      </c>
      <c r="B165">
        <v>40</v>
      </c>
      <c r="C165" t="s">
        <v>2</v>
      </c>
      <c r="D165" t="s">
        <v>40</v>
      </c>
      <c r="E165">
        <f t="shared" ca="1" si="1"/>
        <v>20.05</v>
      </c>
    </row>
    <row r="166" spans="1:5" x14ac:dyDescent="0.25">
      <c r="A166">
        <v>4</v>
      </c>
      <c r="B166">
        <v>1</v>
      </c>
      <c r="C166" t="s">
        <v>3</v>
      </c>
      <c r="D166" t="s">
        <v>0</v>
      </c>
      <c r="E166">
        <f t="shared" ca="1" si="1"/>
        <v>4.93</v>
      </c>
    </row>
    <row r="167" spans="1:5" x14ac:dyDescent="0.25">
      <c r="A167">
        <v>4</v>
      </c>
      <c r="B167">
        <v>2</v>
      </c>
      <c r="C167" t="s">
        <v>3</v>
      </c>
      <c r="D167" t="s">
        <v>1</v>
      </c>
      <c r="E167">
        <f t="shared" ca="1" si="1"/>
        <v>5.45</v>
      </c>
    </row>
    <row r="168" spans="1:5" x14ac:dyDescent="0.25">
      <c r="A168">
        <v>4</v>
      </c>
      <c r="B168">
        <v>3</v>
      </c>
      <c r="C168" t="s">
        <v>3</v>
      </c>
      <c r="D168" t="s">
        <v>2</v>
      </c>
      <c r="E168">
        <f t="shared" ca="1" si="1"/>
        <v>6.05</v>
      </c>
    </row>
    <row r="169" spans="1:5" x14ac:dyDescent="0.25">
      <c r="A169">
        <v>4</v>
      </c>
      <c r="B169">
        <v>4</v>
      </c>
      <c r="C169" t="s">
        <v>3</v>
      </c>
      <c r="D169" t="s">
        <v>3</v>
      </c>
      <c r="E169">
        <f t="shared" ca="1" si="1"/>
        <v>0</v>
      </c>
    </row>
    <row r="170" spans="1:5" x14ac:dyDescent="0.25">
      <c r="A170">
        <v>4</v>
      </c>
      <c r="B170">
        <v>5</v>
      </c>
      <c r="C170" t="s">
        <v>3</v>
      </c>
      <c r="D170" t="s">
        <v>4</v>
      </c>
      <c r="E170">
        <f t="shared" ca="1" si="1"/>
        <v>1.45</v>
      </c>
    </row>
    <row r="171" spans="1:5" x14ac:dyDescent="0.25">
      <c r="A171">
        <v>4</v>
      </c>
      <c r="B171">
        <v>6</v>
      </c>
      <c r="C171" t="s">
        <v>3</v>
      </c>
      <c r="D171" t="s">
        <v>5</v>
      </c>
      <c r="E171">
        <f t="shared" ca="1" si="1"/>
        <v>3.4</v>
      </c>
    </row>
    <row r="172" spans="1:5" x14ac:dyDescent="0.25">
      <c r="A172">
        <v>4</v>
      </c>
      <c r="B172">
        <v>7</v>
      </c>
      <c r="C172" t="s">
        <v>3</v>
      </c>
      <c r="D172" t="s">
        <v>6</v>
      </c>
      <c r="E172">
        <f t="shared" ref="E172:E233" ca="1" si="2">OFFSET($B$3,A172,B172)</f>
        <v>1.41</v>
      </c>
    </row>
    <row r="173" spans="1:5" x14ac:dyDescent="0.25">
      <c r="A173">
        <v>4</v>
      </c>
      <c r="B173">
        <v>8</v>
      </c>
      <c r="C173" t="s">
        <v>3</v>
      </c>
      <c r="D173" t="s">
        <v>7</v>
      </c>
      <c r="E173">
        <f t="shared" ca="1" si="2"/>
        <v>0.28000000000000003</v>
      </c>
    </row>
    <row r="174" spans="1:5" x14ac:dyDescent="0.25">
      <c r="A174">
        <v>4</v>
      </c>
      <c r="B174">
        <v>9</v>
      </c>
      <c r="C174" t="s">
        <v>3</v>
      </c>
      <c r="D174" t="s">
        <v>148</v>
      </c>
      <c r="E174">
        <f t="shared" ca="1" si="2"/>
        <v>2.65</v>
      </c>
    </row>
    <row r="175" spans="1:5" x14ac:dyDescent="0.25">
      <c r="A175">
        <v>4</v>
      </c>
      <c r="B175">
        <v>10</v>
      </c>
      <c r="C175" t="s">
        <v>3</v>
      </c>
      <c r="D175" t="s">
        <v>9</v>
      </c>
      <c r="E175">
        <f t="shared" ca="1" si="2"/>
        <v>2.21</v>
      </c>
    </row>
    <row r="176" spans="1:5" x14ac:dyDescent="0.25">
      <c r="A176">
        <v>4</v>
      </c>
      <c r="B176">
        <v>11</v>
      </c>
      <c r="C176" t="s">
        <v>3</v>
      </c>
      <c r="D176" t="s">
        <v>10</v>
      </c>
      <c r="E176">
        <f t="shared" ca="1" si="2"/>
        <v>22.58</v>
      </c>
    </row>
    <row r="177" spans="1:5" x14ac:dyDescent="0.25">
      <c r="A177">
        <v>4</v>
      </c>
      <c r="B177">
        <v>12</v>
      </c>
      <c r="C177" t="s">
        <v>3</v>
      </c>
      <c r="D177" t="s">
        <v>11</v>
      </c>
      <c r="E177">
        <f t="shared" ca="1" si="2"/>
        <v>20.76</v>
      </c>
    </row>
    <row r="178" spans="1:5" x14ac:dyDescent="0.25">
      <c r="A178">
        <v>4</v>
      </c>
      <c r="B178">
        <v>13</v>
      </c>
      <c r="C178" t="s">
        <v>3</v>
      </c>
      <c r="D178" t="s">
        <v>12</v>
      </c>
      <c r="E178">
        <f t="shared" ca="1" si="2"/>
        <v>19.36</v>
      </c>
    </row>
    <row r="179" spans="1:5" x14ac:dyDescent="0.25">
      <c r="A179">
        <v>4</v>
      </c>
      <c r="B179">
        <v>14</v>
      </c>
      <c r="C179" t="s">
        <v>3</v>
      </c>
      <c r="D179" t="s">
        <v>13</v>
      </c>
      <c r="E179">
        <f t="shared" ca="1" si="2"/>
        <v>17.649999999999999</v>
      </c>
    </row>
    <row r="180" spans="1:5" x14ac:dyDescent="0.25">
      <c r="A180">
        <v>4</v>
      </c>
      <c r="B180">
        <v>15</v>
      </c>
      <c r="C180" t="s">
        <v>3</v>
      </c>
      <c r="D180" t="s">
        <v>14</v>
      </c>
      <c r="E180">
        <f t="shared" ca="1" si="2"/>
        <v>17.46</v>
      </c>
    </row>
    <row r="181" spans="1:5" x14ac:dyDescent="0.25">
      <c r="A181">
        <v>4</v>
      </c>
      <c r="B181">
        <v>16</v>
      </c>
      <c r="C181" t="s">
        <v>3</v>
      </c>
      <c r="D181" t="s">
        <v>15</v>
      </c>
      <c r="E181">
        <f t="shared" ca="1" si="2"/>
        <v>20.6</v>
      </c>
    </row>
    <row r="182" spans="1:5" x14ac:dyDescent="0.25">
      <c r="A182">
        <v>4</v>
      </c>
      <c r="B182">
        <v>17</v>
      </c>
      <c r="C182" t="s">
        <v>3</v>
      </c>
      <c r="D182" t="s">
        <v>16</v>
      </c>
      <c r="E182">
        <f t="shared" ca="1" si="2"/>
        <v>25</v>
      </c>
    </row>
    <row r="183" spans="1:5" x14ac:dyDescent="0.25">
      <c r="A183">
        <v>4</v>
      </c>
      <c r="B183">
        <v>18</v>
      </c>
      <c r="C183" t="s">
        <v>3</v>
      </c>
      <c r="D183" t="s">
        <v>17</v>
      </c>
      <c r="E183">
        <f t="shared" ca="1" si="2"/>
        <v>22.25</v>
      </c>
    </row>
    <row r="184" spans="1:5" x14ac:dyDescent="0.25">
      <c r="A184">
        <v>4</v>
      </c>
      <c r="B184">
        <v>19</v>
      </c>
      <c r="C184" t="s">
        <v>3</v>
      </c>
      <c r="D184" t="s">
        <v>18</v>
      </c>
      <c r="E184">
        <f t="shared" ca="1" si="2"/>
        <v>10.65</v>
      </c>
    </row>
    <row r="185" spans="1:5" x14ac:dyDescent="0.25">
      <c r="A185">
        <v>4</v>
      </c>
      <c r="B185">
        <v>20</v>
      </c>
      <c r="C185" t="s">
        <v>3</v>
      </c>
      <c r="D185" t="s">
        <v>19</v>
      </c>
      <c r="E185">
        <f t="shared" ca="1" si="2"/>
        <v>9.01</v>
      </c>
    </row>
    <row r="186" spans="1:5" x14ac:dyDescent="0.25">
      <c r="A186">
        <v>4</v>
      </c>
      <c r="B186">
        <v>21</v>
      </c>
      <c r="C186" t="s">
        <v>3</v>
      </c>
      <c r="D186" t="s">
        <v>20</v>
      </c>
      <c r="E186">
        <f t="shared" ca="1" si="2"/>
        <v>6.92</v>
      </c>
    </row>
    <row r="187" spans="1:5" x14ac:dyDescent="0.25">
      <c r="A187">
        <v>4</v>
      </c>
      <c r="B187">
        <v>22</v>
      </c>
      <c r="C187" t="s">
        <v>3</v>
      </c>
      <c r="D187" t="s">
        <v>21</v>
      </c>
      <c r="E187">
        <f t="shared" ca="1" si="2"/>
        <v>11.11</v>
      </c>
    </row>
    <row r="188" spans="1:5" x14ac:dyDescent="0.25">
      <c r="A188">
        <v>4</v>
      </c>
      <c r="B188">
        <v>23</v>
      </c>
      <c r="C188" t="s">
        <v>3</v>
      </c>
      <c r="D188" t="s">
        <v>22</v>
      </c>
      <c r="E188">
        <f t="shared" ca="1" si="2"/>
        <v>11.16</v>
      </c>
    </row>
    <row r="189" spans="1:5" x14ac:dyDescent="0.25">
      <c r="A189">
        <v>4</v>
      </c>
      <c r="B189">
        <v>24</v>
      </c>
      <c r="C189" t="s">
        <v>3</v>
      </c>
      <c r="D189" t="s">
        <v>23</v>
      </c>
      <c r="E189">
        <f t="shared" ca="1" si="2"/>
        <v>14.46</v>
      </c>
    </row>
    <row r="190" spans="1:5" x14ac:dyDescent="0.25">
      <c r="A190">
        <v>4</v>
      </c>
      <c r="B190">
        <v>25</v>
      </c>
      <c r="C190" t="s">
        <v>3</v>
      </c>
      <c r="D190" t="s">
        <v>24</v>
      </c>
      <c r="E190">
        <f t="shared" ca="1" si="2"/>
        <v>13.18</v>
      </c>
    </row>
    <row r="191" spans="1:5" x14ac:dyDescent="0.25">
      <c r="A191">
        <v>4</v>
      </c>
      <c r="B191">
        <v>26</v>
      </c>
      <c r="C191" t="s">
        <v>3</v>
      </c>
      <c r="D191" t="s">
        <v>25</v>
      </c>
      <c r="E191">
        <f t="shared" ca="1" si="2"/>
        <v>14.61</v>
      </c>
    </row>
    <row r="192" spans="1:5" x14ac:dyDescent="0.25">
      <c r="A192">
        <v>4</v>
      </c>
      <c r="B192">
        <v>27</v>
      </c>
      <c r="C192" t="s">
        <v>3</v>
      </c>
      <c r="D192" t="s">
        <v>145</v>
      </c>
      <c r="E192">
        <f t="shared" ca="1" si="2"/>
        <v>8.6300000000000008</v>
      </c>
    </row>
    <row r="193" spans="1:5" x14ac:dyDescent="0.25">
      <c r="A193">
        <v>4</v>
      </c>
      <c r="B193">
        <v>28</v>
      </c>
      <c r="C193" t="s">
        <v>3</v>
      </c>
      <c r="D193" t="s">
        <v>147</v>
      </c>
      <c r="E193">
        <f t="shared" ca="1" si="2"/>
        <v>10.7</v>
      </c>
    </row>
    <row r="194" spans="1:5" x14ac:dyDescent="0.25">
      <c r="A194">
        <v>4</v>
      </c>
      <c r="B194">
        <v>29</v>
      </c>
      <c r="C194" t="s">
        <v>3</v>
      </c>
      <c r="D194" t="s">
        <v>146</v>
      </c>
      <c r="E194">
        <f t="shared" ca="1" si="2"/>
        <v>13.63</v>
      </c>
    </row>
    <row r="195" spans="1:5" x14ac:dyDescent="0.25">
      <c r="A195">
        <v>4</v>
      </c>
      <c r="B195">
        <v>30</v>
      </c>
      <c r="C195" t="s">
        <v>3</v>
      </c>
      <c r="D195" t="s">
        <v>30</v>
      </c>
      <c r="E195">
        <f t="shared" ca="1" si="2"/>
        <v>2.0299999999999998</v>
      </c>
    </row>
    <row r="196" spans="1:5" x14ac:dyDescent="0.25">
      <c r="A196">
        <v>4</v>
      </c>
      <c r="B196">
        <v>31</v>
      </c>
      <c r="C196" t="s">
        <v>3</v>
      </c>
      <c r="D196" t="s">
        <v>31</v>
      </c>
      <c r="E196">
        <f t="shared" ca="1" si="2"/>
        <v>2.72</v>
      </c>
    </row>
    <row r="197" spans="1:5" x14ac:dyDescent="0.25">
      <c r="A197">
        <v>4</v>
      </c>
      <c r="B197">
        <v>32</v>
      </c>
      <c r="C197" t="s">
        <v>3</v>
      </c>
      <c r="D197" t="s">
        <v>32</v>
      </c>
      <c r="E197">
        <f t="shared" ca="1" si="2"/>
        <v>4.08</v>
      </c>
    </row>
    <row r="198" spans="1:5" x14ac:dyDescent="0.25">
      <c r="A198">
        <v>4</v>
      </c>
      <c r="B198">
        <v>33</v>
      </c>
      <c r="C198" t="s">
        <v>3</v>
      </c>
      <c r="D198" t="s">
        <v>33</v>
      </c>
      <c r="E198">
        <f t="shared" ca="1" si="2"/>
        <v>4.2</v>
      </c>
    </row>
    <row r="199" spans="1:5" x14ac:dyDescent="0.25">
      <c r="A199">
        <v>4</v>
      </c>
      <c r="B199">
        <v>34</v>
      </c>
      <c r="C199" t="s">
        <v>3</v>
      </c>
      <c r="D199" t="s">
        <v>34</v>
      </c>
      <c r="E199">
        <f t="shared" ca="1" si="2"/>
        <v>3.72</v>
      </c>
    </row>
    <row r="200" spans="1:5" x14ac:dyDescent="0.25">
      <c r="A200">
        <v>4</v>
      </c>
      <c r="B200">
        <v>35</v>
      </c>
      <c r="C200" t="s">
        <v>3</v>
      </c>
      <c r="D200" t="s">
        <v>35</v>
      </c>
      <c r="E200">
        <f t="shared" ca="1" si="2"/>
        <v>4.2300000000000004</v>
      </c>
    </row>
    <row r="201" spans="1:5" x14ac:dyDescent="0.25">
      <c r="A201">
        <v>4</v>
      </c>
      <c r="B201">
        <v>36</v>
      </c>
      <c r="C201" t="s">
        <v>3</v>
      </c>
      <c r="D201" t="s">
        <v>36</v>
      </c>
      <c r="E201">
        <f t="shared" ca="1" si="2"/>
        <v>23.22</v>
      </c>
    </row>
    <row r="202" spans="1:5" x14ac:dyDescent="0.25">
      <c r="A202">
        <v>4</v>
      </c>
      <c r="B202">
        <v>37</v>
      </c>
      <c r="C202" t="s">
        <v>3</v>
      </c>
      <c r="D202" t="s">
        <v>37</v>
      </c>
      <c r="E202">
        <f t="shared" ca="1" si="2"/>
        <v>26</v>
      </c>
    </row>
    <row r="203" spans="1:5" x14ac:dyDescent="0.25">
      <c r="A203">
        <v>4</v>
      </c>
      <c r="B203">
        <v>38</v>
      </c>
      <c r="C203" t="s">
        <v>3</v>
      </c>
      <c r="D203" t="s">
        <v>38</v>
      </c>
      <c r="E203">
        <f t="shared" ca="1" si="2"/>
        <v>22.73</v>
      </c>
    </row>
    <row r="204" spans="1:5" x14ac:dyDescent="0.25">
      <c r="A204">
        <v>4</v>
      </c>
      <c r="B204">
        <v>39</v>
      </c>
      <c r="C204" t="s">
        <v>3</v>
      </c>
      <c r="D204" t="s">
        <v>39</v>
      </c>
      <c r="E204">
        <f t="shared" ca="1" si="2"/>
        <v>25</v>
      </c>
    </row>
    <row r="205" spans="1:5" x14ac:dyDescent="0.25">
      <c r="A205">
        <v>4</v>
      </c>
      <c r="B205">
        <v>40</v>
      </c>
      <c r="C205" t="s">
        <v>3</v>
      </c>
      <c r="D205" t="s">
        <v>40</v>
      </c>
      <c r="E205">
        <f t="shared" ca="1" si="2"/>
        <v>25</v>
      </c>
    </row>
    <row r="206" spans="1:5" x14ac:dyDescent="0.25">
      <c r="A206">
        <v>5</v>
      </c>
      <c r="B206">
        <v>1</v>
      </c>
      <c r="C206" t="s">
        <v>4</v>
      </c>
      <c r="D206" t="s">
        <v>0</v>
      </c>
      <c r="E206">
        <f t="shared" ca="1" si="2"/>
        <v>6</v>
      </c>
    </row>
    <row r="207" spans="1:5" x14ac:dyDescent="0.25">
      <c r="A207">
        <v>5</v>
      </c>
      <c r="B207">
        <v>2</v>
      </c>
      <c r="C207" t="s">
        <v>4</v>
      </c>
      <c r="D207" t="s">
        <v>1</v>
      </c>
      <c r="E207">
        <f t="shared" ca="1" si="2"/>
        <v>6.53</v>
      </c>
    </row>
    <row r="208" spans="1:5" x14ac:dyDescent="0.25">
      <c r="A208">
        <v>5</v>
      </c>
      <c r="B208">
        <v>3</v>
      </c>
      <c r="C208" t="s">
        <v>4</v>
      </c>
      <c r="D208" t="s">
        <v>2</v>
      </c>
      <c r="E208">
        <f t="shared" ca="1" si="2"/>
        <v>7.13</v>
      </c>
    </row>
    <row r="209" spans="1:5" x14ac:dyDescent="0.25">
      <c r="A209">
        <v>5</v>
      </c>
      <c r="B209">
        <v>4</v>
      </c>
      <c r="C209" t="s">
        <v>4</v>
      </c>
      <c r="D209" t="s">
        <v>3</v>
      </c>
      <c r="E209">
        <f t="shared" ca="1" si="2"/>
        <v>1.45</v>
      </c>
    </row>
    <row r="210" spans="1:5" x14ac:dyDescent="0.25">
      <c r="A210">
        <v>5</v>
      </c>
      <c r="B210">
        <v>5</v>
      </c>
      <c r="C210" t="s">
        <v>4</v>
      </c>
      <c r="D210" t="s">
        <v>4</v>
      </c>
      <c r="E210">
        <f t="shared" ca="1" si="2"/>
        <v>0</v>
      </c>
    </row>
    <row r="211" spans="1:5" x14ac:dyDescent="0.25">
      <c r="A211">
        <v>5</v>
      </c>
      <c r="B211">
        <v>6</v>
      </c>
      <c r="C211" t="s">
        <v>4</v>
      </c>
      <c r="D211" t="s">
        <v>5</v>
      </c>
      <c r="E211">
        <f t="shared" ca="1" si="2"/>
        <v>2.31</v>
      </c>
    </row>
    <row r="212" spans="1:5" x14ac:dyDescent="0.25">
      <c r="A212">
        <v>5</v>
      </c>
      <c r="B212">
        <v>7</v>
      </c>
      <c r="C212" t="s">
        <v>4</v>
      </c>
      <c r="D212" t="s">
        <v>6</v>
      </c>
      <c r="E212">
        <f t="shared" ca="1" si="2"/>
        <v>0.6</v>
      </c>
    </row>
    <row r="213" spans="1:5" x14ac:dyDescent="0.25">
      <c r="A213">
        <v>5</v>
      </c>
      <c r="B213">
        <v>8</v>
      </c>
      <c r="C213" t="s">
        <v>4</v>
      </c>
      <c r="D213" t="s">
        <v>7</v>
      </c>
      <c r="E213">
        <f t="shared" ca="1" si="2"/>
        <v>1.83</v>
      </c>
    </row>
    <row r="214" spans="1:5" x14ac:dyDescent="0.25">
      <c r="A214">
        <v>5</v>
      </c>
      <c r="B214">
        <v>9</v>
      </c>
      <c r="C214" t="s">
        <v>4</v>
      </c>
      <c r="D214" t="s">
        <v>148</v>
      </c>
      <c r="E214">
        <f t="shared" ca="1" si="2"/>
        <v>2.52</v>
      </c>
    </row>
    <row r="215" spans="1:5" x14ac:dyDescent="0.25">
      <c r="A215">
        <v>5</v>
      </c>
      <c r="B215">
        <v>10</v>
      </c>
      <c r="C215" t="s">
        <v>4</v>
      </c>
      <c r="D215" t="s">
        <v>9</v>
      </c>
      <c r="E215">
        <f t="shared" ca="1" si="2"/>
        <v>1.1299999999999999</v>
      </c>
    </row>
    <row r="216" spans="1:5" x14ac:dyDescent="0.25">
      <c r="A216">
        <v>5</v>
      </c>
      <c r="B216">
        <v>11</v>
      </c>
      <c r="C216" t="s">
        <v>4</v>
      </c>
      <c r="D216" t="s">
        <v>10</v>
      </c>
      <c r="E216">
        <f t="shared" ca="1" si="2"/>
        <v>25</v>
      </c>
    </row>
    <row r="217" spans="1:5" x14ac:dyDescent="0.25">
      <c r="A217">
        <v>5</v>
      </c>
      <c r="B217">
        <v>12</v>
      </c>
      <c r="C217" t="s">
        <v>4</v>
      </c>
      <c r="D217" t="s">
        <v>11</v>
      </c>
      <c r="E217">
        <f t="shared" ca="1" si="2"/>
        <v>22.15</v>
      </c>
    </row>
    <row r="218" spans="1:5" x14ac:dyDescent="0.25">
      <c r="A218">
        <v>5</v>
      </c>
      <c r="B218">
        <v>13</v>
      </c>
      <c r="C218" t="s">
        <v>4</v>
      </c>
      <c r="D218" t="s">
        <v>12</v>
      </c>
      <c r="E218">
        <f t="shared" ca="1" si="2"/>
        <v>20.81</v>
      </c>
    </row>
    <row r="219" spans="1:5" x14ac:dyDescent="0.25">
      <c r="A219">
        <v>5</v>
      </c>
      <c r="B219">
        <v>14</v>
      </c>
      <c r="C219" t="s">
        <v>4</v>
      </c>
      <c r="D219" t="s">
        <v>13</v>
      </c>
      <c r="E219">
        <f t="shared" ca="1" si="2"/>
        <v>19.36</v>
      </c>
    </row>
    <row r="220" spans="1:5" x14ac:dyDescent="0.25">
      <c r="A220">
        <v>5</v>
      </c>
      <c r="B220">
        <v>15</v>
      </c>
      <c r="C220" t="s">
        <v>4</v>
      </c>
      <c r="D220" t="s">
        <v>14</v>
      </c>
      <c r="E220">
        <f t="shared" ca="1" si="2"/>
        <v>18.82</v>
      </c>
    </row>
    <row r="221" spans="1:5" x14ac:dyDescent="0.25">
      <c r="A221">
        <v>5</v>
      </c>
      <c r="B221">
        <v>16</v>
      </c>
      <c r="C221" t="s">
        <v>4</v>
      </c>
      <c r="D221" t="s">
        <v>15</v>
      </c>
      <c r="E221">
        <f t="shared" ca="1" si="2"/>
        <v>21.06</v>
      </c>
    </row>
    <row r="222" spans="1:5" x14ac:dyDescent="0.25">
      <c r="A222">
        <v>5</v>
      </c>
      <c r="B222">
        <v>17</v>
      </c>
      <c r="C222" t="s">
        <v>4</v>
      </c>
      <c r="D222" t="s">
        <v>16</v>
      </c>
      <c r="E222">
        <f t="shared" ca="1" si="2"/>
        <v>26</v>
      </c>
    </row>
    <row r="223" spans="1:5" x14ac:dyDescent="0.25">
      <c r="A223">
        <v>5</v>
      </c>
      <c r="B223">
        <v>18</v>
      </c>
      <c r="C223" t="s">
        <v>4</v>
      </c>
      <c r="D223" t="s">
        <v>17</v>
      </c>
      <c r="E223">
        <f t="shared" ca="1" si="2"/>
        <v>23.23</v>
      </c>
    </row>
    <row r="224" spans="1:5" x14ac:dyDescent="0.25">
      <c r="A224">
        <v>5</v>
      </c>
      <c r="B224">
        <v>19</v>
      </c>
      <c r="C224" t="s">
        <v>4</v>
      </c>
      <c r="D224" t="s">
        <v>18</v>
      </c>
      <c r="E224">
        <f t="shared" ca="1" si="2"/>
        <v>11.86</v>
      </c>
    </row>
    <row r="225" spans="1:5" x14ac:dyDescent="0.25">
      <c r="A225">
        <v>5</v>
      </c>
      <c r="B225">
        <v>20</v>
      </c>
      <c r="C225" t="s">
        <v>4</v>
      </c>
      <c r="D225" t="s">
        <v>19</v>
      </c>
      <c r="E225">
        <f t="shared" ca="1" si="2"/>
        <v>10.33</v>
      </c>
    </row>
    <row r="226" spans="1:5" x14ac:dyDescent="0.25">
      <c r="A226">
        <v>5</v>
      </c>
      <c r="B226">
        <v>21</v>
      </c>
      <c r="C226" t="s">
        <v>4</v>
      </c>
      <c r="D226" t="s">
        <v>20</v>
      </c>
      <c r="E226">
        <f t="shared" ca="1" si="2"/>
        <v>8.33</v>
      </c>
    </row>
    <row r="227" spans="1:5" x14ac:dyDescent="0.25">
      <c r="A227">
        <v>5</v>
      </c>
      <c r="B227">
        <v>22</v>
      </c>
      <c r="C227" t="s">
        <v>4</v>
      </c>
      <c r="D227" t="s">
        <v>21</v>
      </c>
      <c r="E227">
        <f t="shared" ca="1" si="2"/>
        <v>12.36</v>
      </c>
    </row>
    <row r="228" spans="1:5" x14ac:dyDescent="0.25">
      <c r="A228">
        <v>5</v>
      </c>
      <c r="B228">
        <v>23</v>
      </c>
      <c r="C228" t="s">
        <v>4</v>
      </c>
      <c r="D228" t="s">
        <v>22</v>
      </c>
      <c r="E228">
        <f t="shared" ca="1" si="2"/>
        <v>12.5</v>
      </c>
    </row>
    <row r="229" spans="1:5" x14ac:dyDescent="0.25">
      <c r="A229">
        <v>5</v>
      </c>
      <c r="B229">
        <v>24</v>
      </c>
      <c r="C229" t="s">
        <v>4</v>
      </c>
      <c r="D229" t="s">
        <v>23</v>
      </c>
      <c r="E229">
        <f t="shared" ca="1" si="2"/>
        <v>16</v>
      </c>
    </row>
    <row r="230" spans="1:5" x14ac:dyDescent="0.25">
      <c r="A230">
        <v>5</v>
      </c>
      <c r="B230">
        <v>25</v>
      </c>
      <c r="C230" t="s">
        <v>4</v>
      </c>
      <c r="D230" t="s">
        <v>24</v>
      </c>
      <c r="E230">
        <f t="shared" ca="1" si="2"/>
        <v>14.2</v>
      </c>
    </row>
    <row r="231" spans="1:5" x14ac:dyDescent="0.25">
      <c r="A231">
        <v>5</v>
      </c>
      <c r="B231">
        <v>26</v>
      </c>
      <c r="C231" t="s">
        <v>4</v>
      </c>
      <c r="D231" t="s">
        <v>25</v>
      </c>
      <c r="E231">
        <f t="shared" ca="1" si="2"/>
        <v>15.42</v>
      </c>
    </row>
    <row r="232" spans="1:5" x14ac:dyDescent="0.25">
      <c r="A232">
        <v>5</v>
      </c>
      <c r="B232">
        <v>27</v>
      </c>
      <c r="C232" t="s">
        <v>4</v>
      </c>
      <c r="D232" t="s">
        <v>145</v>
      </c>
      <c r="E232">
        <f t="shared" ca="1" si="2"/>
        <v>9.92</v>
      </c>
    </row>
    <row r="233" spans="1:5" x14ac:dyDescent="0.25">
      <c r="A233">
        <v>5</v>
      </c>
      <c r="B233">
        <v>28</v>
      </c>
      <c r="C233" t="s">
        <v>4</v>
      </c>
      <c r="D233" t="s">
        <v>147</v>
      </c>
      <c r="E233">
        <f t="shared" ca="1" si="2"/>
        <v>11.86</v>
      </c>
    </row>
    <row r="234" spans="1:5" x14ac:dyDescent="0.25">
      <c r="A234">
        <v>5</v>
      </c>
      <c r="B234">
        <v>29</v>
      </c>
      <c r="C234" t="s">
        <v>4</v>
      </c>
      <c r="D234" t="s">
        <v>146</v>
      </c>
      <c r="E234">
        <f t="shared" ref="E234:E296" ca="1" si="3">OFFSET($B$3,A234,B234)</f>
        <v>15</v>
      </c>
    </row>
    <row r="235" spans="1:5" x14ac:dyDescent="0.25">
      <c r="A235">
        <v>5</v>
      </c>
      <c r="B235">
        <v>30</v>
      </c>
      <c r="C235" t="s">
        <v>4</v>
      </c>
      <c r="D235" t="s">
        <v>30</v>
      </c>
      <c r="E235">
        <f t="shared" ca="1" si="3"/>
        <v>3.16</v>
      </c>
    </row>
    <row r="236" spans="1:5" x14ac:dyDescent="0.25">
      <c r="A236">
        <v>5</v>
      </c>
      <c r="B236">
        <v>31</v>
      </c>
      <c r="C236" t="s">
        <v>4</v>
      </c>
      <c r="D236" t="s">
        <v>31</v>
      </c>
      <c r="E236">
        <f t="shared" ca="1" si="3"/>
        <v>2.2599999999999998</v>
      </c>
    </row>
    <row r="237" spans="1:5" x14ac:dyDescent="0.25">
      <c r="A237">
        <v>5</v>
      </c>
      <c r="B237">
        <v>32</v>
      </c>
      <c r="C237" t="s">
        <v>4</v>
      </c>
      <c r="D237" t="s">
        <v>32</v>
      </c>
      <c r="E237">
        <f t="shared" ca="1" si="3"/>
        <v>5.16</v>
      </c>
    </row>
    <row r="238" spans="1:5" x14ac:dyDescent="0.25">
      <c r="A238">
        <v>5</v>
      </c>
      <c r="B238">
        <v>33</v>
      </c>
      <c r="C238" t="s">
        <v>4</v>
      </c>
      <c r="D238" t="s">
        <v>33</v>
      </c>
      <c r="E238">
        <f t="shared" ca="1" si="3"/>
        <v>5.3</v>
      </c>
    </row>
    <row r="239" spans="1:5" x14ac:dyDescent="0.25">
      <c r="A239">
        <v>5</v>
      </c>
      <c r="B239">
        <v>34</v>
      </c>
      <c r="C239" t="s">
        <v>4</v>
      </c>
      <c r="D239" t="s">
        <v>34</v>
      </c>
      <c r="E239">
        <f t="shared" ca="1" si="3"/>
        <v>4.83</v>
      </c>
    </row>
    <row r="240" spans="1:5" x14ac:dyDescent="0.25">
      <c r="A240">
        <v>5</v>
      </c>
      <c r="B240">
        <v>35</v>
      </c>
      <c r="C240" t="s">
        <v>4</v>
      </c>
      <c r="D240" t="s">
        <v>35</v>
      </c>
      <c r="E240">
        <f t="shared" ca="1" si="3"/>
        <v>5.23</v>
      </c>
    </row>
    <row r="241" spans="1:5" x14ac:dyDescent="0.25">
      <c r="A241">
        <v>5</v>
      </c>
      <c r="B241">
        <v>36</v>
      </c>
      <c r="C241" t="s">
        <v>4</v>
      </c>
      <c r="D241" t="s">
        <v>36</v>
      </c>
      <c r="E241">
        <f t="shared" ca="1" si="3"/>
        <v>25</v>
      </c>
    </row>
    <row r="242" spans="1:5" x14ac:dyDescent="0.25">
      <c r="A242">
        <v>5</v>
      </c>
      <c r="B242">
        <v>37</v>
      </c>
      <c r="C242" t="s">
        <v>4</v>
      </c>
      <c r="D242" t="s">
        <v>37</v>
      </c>
      <c r="E242">
        <f t="shared" ca="1" si="3"/>
        <v>27</v>
      </c>
    </row>
    <row r="243" spans="1:5" x14ac:dyDescent="0.25">
      <c r="A243">
        <v>5</v>
      </c>
      <c r="B243">
        <v>38</v>
      </c>
      <c r="C243" t="s">
        <v>4</v>
      </c>
      <c r="D243" t="s">
        <v>38</v>
      </c>
      <c r="E243">
        <f t="shared" ca="1" si="3"/>
        <v>23.76</v>
      </c>
    </row>
    <row r="244" spans="1:5" x14ac:dyDescent="0.25">
      <c r="A244">
        <v>5</v>
      </c>
      <c r="B244">
        <v>39</v>
      </c>
      <c r="C244" t="s">
        <v>4</v>
      </c>
      <c r="D244" t="s">
        <v>39</v>
      </c>
      <c r="E244">
        <f t="shared" ca="1" si="3"/>
        <v>26</v>
      </c>
    </row>
    <row r="245" spans="1:5" x14ac:dyDescent="0.25">
      <c r="A245">
        <v>5</v>
      </c>
      <c r="B245">
        <v>40</v>
      </c>
      <c r="C245" t="s">
        <v>4</v>
      </c>
      <c r="D245" t="s">
        <v>40</v>
      </c>
      <c r="E245">
        <f t="shared" ca="1" si="3"/>
        <v>26</v>
      </c>
    </row>
    <row r="246" spans="1:5" x14ac:dyDescent="0.25">
      <c r="A246">
        <v>6</v>
      </c>
      <c r="B246">
        <v>1</v>
      </c>
      <c r="C246" t="s">
        <v>5</v>
      </c>
      <c r="D246" t="s">
        <v>0</v>
      </c>
      <c r="E246">
        <f t="shared" ca="1" si="3"/>
        <v>7.93</v>
      </c>
    </row>
    <row r="247" spans="1:5" x14ac:dyDescent="0.25">
      <c r="A247">
        <v>6</v>
      </c>
      <c r="B247">
        <v>2</v>
      </c>
      <c r="C247" t="s">
        <v>5</v>
      </c>
      <c r="D247" t="s">
        <v>1</v>
      </c>
      <c r="E247">
        <f t="shared" ca="1" si="3"/>
        <v>8.43</v>
      </c>
    </row>
    <row r="248" spans="1:5" x14ac:dyDescent="0.25">
      <c r="A248">
        <v>6</v>
      </c>
      <c r="B248">
        <v>3</v>
      </c>
      <c r="C248" t="s">
        <v>5</v>
      </c>
      <c r="D248" t="s">
        <v>2</v>
      </c>
      <c r="E248">
        <f t="shared" ca="1" si="3"/>
        <v>9.0500000000000007</v>
      </c>
    </row>
    <row r="249" spans="1:5" x14ac:dyDescent="0.25">
      <c r="A249">
        <v>6</v>
      </c>
      <c r="B249">
        <v>4</v>
      </c>
      <c r="C249" t="s">
        <v>5</v>
      </c>
      <c r="D249" t="s">
        <v>3</v>
      </c>
      <c r="E249">
        <f t="shared" ca="1" si="3"/>
        <v>3.4</v>
      </c>
    </row>
    <row r="250" spans="1:5" x14ac:dyDescent="0.25">
      <c r="A250">
        <v>6</v>
      </c>
      <c r="B250">
        <v>5</v>
      </c>
      <c r="C250" t="s">
        <v>5</v>
      </c>
      <c r="D250" t="s">
        <v>4</v>
      </c>
      <c r="E250">
        <f t="shared" ca="1" si="3"/>
        <v>2.31</v>
      </c>
    </row>
    <row r="251" spans="1:5" x14ac:dyDescent="0.25">
      <c r="A251">
        <v>6</v>
      </c>
      <c r="B251">
        <v>6</v>
      </c>
      <c r="C251" t="s">
        <v>5</v>
      </c>
      <c r="D251" t="s">
        <v>5</v>
      </c>
      <c r="E251">
        <f t="shared" ca="1" si="3"/>
        <v>0</v>
      </c>
    </row>
    <row r="252" spans="1:5" x14ac:dyDescent="0.25">
      <c r="A252">
        <v>6</v>
      </c>
      <c r="B252">
        <v>7</v>
      </c>
      <c r="C252" t="s">
        <v>5</v>
      </c>
      <c r="D252" t="s">
        <v>6</v>
      </c>
      <c r="E252">
        <f t="shared" ca="1" si="3"/>
        <v>2.68</v>
      </c>
    </row>
    <row r="253" spans="1:5" x14ac:dyDescent="0.25">
      <c r="A253">
        <v>6</v>
      </c>
      <c r="B253">
        <v>8</v>
      </c>
      <c r="C253" t="s">
        <v>5</v>
      </c>
      <c r="D253" t="s">
        <v>7</v>
      </c>
      <c r="E253">
        <f t="shared" ca="1" si="3"/>
        <v>4</v>
      </c>
    </row>
    <row r="254" spans="1:5" x14ac:dyDescent="0.25">
      <c r="A254">
        <v>6</v>
      </c>
      <c r="B254">
        <v>9</v>
      </c>
      <c r="C254" t="s">
        <v>5</v>
      </c>
      <c r="D254" t="s">
        <v>148</v>
      </c>
      <c r="E254">
        <f t="shared" ca="1" si="3"/>
        <v>5.86</v>
      </c>
    </row>
    <row r="255" spans="1:5" x14ac:dyDescent="0.25">
      <c r="A255">
        <v>6</v>
      </c>
      <c r="B255">
        <v>10</v>
      </c>
      <c r="C255" t="s">
        <v>5</v>
      </c>
      <c r="D255" t="s">
        <v>9</v>
      </c>
      <c r="E255">
        <f t="shared" ca="1" si="3"/>
        <v>2.91</v>
      </c>
    </row>
    <row r="256" spans="1:5" x14ac:dyDescent="0.25">
      <c r="A256">
        <v>6</v>
      </c>
      <c r="B256">
        <v>11</v>
      </c>
      <c r="C256" t="s">
        <v>5</v>
      </c>
      <c r="D256" t="s">
        <v>10</v>
      </c>
      <c r="E256">
        <f t="shared" ca="1" si="3"/>
        <v>26</v>
      </c>
    </row>
    <row r="257" spans="1:5" x14ac:dyDescent="0.25">
      <c r="A257">
        <v>6</v>
      </c>
      <c r="B257">
        <v>12</v>
      </c>
      <c r="C257" t="s">
        <v>5</v>
      </c>
      <c r="D257" t="s">
        <v>11</v>
      </c>
      <c r="E257">
        <f t="shared" ca="1" si="3"/>
        <v>22.75</v>
      </c>
    </row>
    <row r="258" spans="1:5" x14ac:dyDescent="0.25">
      <c r="A258">
        <v>6</v>
      </c>
      <c r="B258">
        <v>13</v>
      </c>
      <c r="C258" t="s">
        <v>5</v>
      </c>
      <c r="D258" t="s">
        <v>12</v>
      </c>
      <c r="E258">
        <f t="shared" ca="1" si="3"/>
        <v>22.36</v>
      </c>
    </row>
    <row r="259" spans="1:5" x14ac:dyDescent="0.25">
      <c r="A259">
        <v>6</v>
      </c>
      <c r="B259">
        <v>14</v>
      </c>
      <c r="C259" t="s">
        <v>5</v>
      </c>
      <c r="D259" t="s">
        <v>13</v>
      </c>
      <c r="E259">
        <f t="shared" ca="1" si="3"/>
        <v>21.05</v>
      </c>
    </row>
    <row r="260" spans="1:5" x14ac:dyDescent="0.25">
      <c r="A260">
        <v>6</v>
      </c>
      <c r="B260">
        <v>15</v>
      </c>
      <c r="C260" t="s">
        <v>5</v>
      </c>
      <c r="D260" t="s">
        <v>14</v>
      </c>
      <c r="E260">
        <f t="shared" ca="1" si="3"/>
        <v>19.95</v>
      </c>
    </row>
    <row r="261" spans="1:5" x14ac:dyDescent="0.25">
      <c r="A261">
        <v>6</v>
      </c>
      <c r="B261">
        <v>16</v>
      </c>
      <c r="C261" t="s">
        <v>5</v>
      </c>
      <c r="D261" t="s">
        <v>15</v>
      </c>
      <c r="E261">
        <f t="shared" ca="1" si="3"/>
        <v>22.56</v>
      </c>
    </row>
    <row r="262" spans="1:5" x14ac:dyDescent="0.25">
      <c r="A262">
        <v>6</v>
      </c>
      <c r="B262">
        <v>17</v>
      </c>
      <c r="C262" t="s">
        <v>5</v>
      </c>
      <c r="D262" t="s">
        <v>16</v>
      </c>
      <c r="E262">
        <f t="shared" ca="1" si="3"/>
        <v>28</v>
      </c>
    </row>
    <row r="263" spans="1:5" x14ac:dyDescent="0.25">
      <c r="A263">
        <v>6</v>
      </c>
      <c r="B263">
        <v>18</v>
      </c>
      <c r="C263" t="s">
        <v>5</v>
      </c>
      <c r="D263" t="s">
        <v>17</v>
      </c>
      <c r="E263">
        <f t="shared" ca="1" si="3"/>
        <v>25</v>
      </c>
    </row>
    <row r="264" spans="1:5" x14ac:dyDescent="0.25">
      <c r="A264">
        <v>6</v>
      </c>
      <c r="B264">
        <v>19</v>
      </c>
      <c r="C264" t="s">
        <v>5</v>
      </c>
      <c r="D264" t="s">
        <v>18</v>
      </c>
      <c r="E264">
        <f t="shared" ca="1" si="3"/>
        <v>13.75</v>
      </c>
    </row>
    <row r="265" spans="1:5" x14ac:dyDescent="0.25">
      <c r="A265">
        <v>6</v>
      </c>
      <c r="B265">
        <v>20</v>
      </c>
      <c r="C265" t="s">
        <v>5</v>
      </c>
      <c r="D265" t="s">
        <v>19</v>
      </c>
      <c r="E265">
        <f t="shared" ca="1" si="3"/>
        <v>12.13</v>
      </c>
    </row>
    <row r="266" spans="1:5" x14ac:dyDescent="0.25">
      <c r="A266">
        <v>6</v>
      </c>
      <c r="B266">
        <v>21</v>
      </c>
      <c r="C266" t="s">
        <v>5</v>
      </c>
      <c r="D266" t="s">
        <v>20</v>
      </c>
      <c r="E266">
        <f t="shared" ca="1" si="3"/>
        <v>10.1</v>
      </c>
    </row>
    <row r="267" spans="1:5" x14ac:dyDescent="0.25">
      <c r="A267">
        <v>6</v>
      </c>
      <c r="B267">
        <v>22</v>
      </c>
      <c r="C267" t="s">
        <v>5</v>
      </c>
      <c r="D267" t="s">
        <v>21</v>
      </c>
      <c r="E267">
        <f t="shared" ca="1" si="3"/>
        <v>14.05</v>
      </c>
    </row>
    <row r="268" spans="1:5" x14ac:dyDescent="0.25">
      <c r="A268">
        <v>6</v>
      </c>
      <c r="B268">
        <v>23</v>
      </c>
      <c r="C268" t="s">
        <v>5</v>
      </c>
      <c r="D268" t="s">
        <v>22</v>
      </c>
      <c r="E268">
        <f t="shared" ca="1" si="3"/>
        <v>14.05</v>
      </c>
    </row>
    <row r="269" spans="1:5" x14ac:dyDescent="0.25">
      <c r="A269">
        <v>6</v>
      </c>
      <c r="B269">
        <v>24</v>
      </c>
      <c r="C269" t="s">
        <v>5</v>
      </c>
      <c r="D269" t="s">
        <v>23</v>
      </c>
      <c r="E269">
        <f t="shared" ca="1" si="3"/>
        <v>17.75</v>
      </c>
    </row>
    <row r="270" spans="1:5" x14ac:dyDescent="0.25">
      <c r="A270">
        <v>6</v>
      </c>
      <c r="B270">
        <v>25</v>
      </c>
      <c r="C270" t="s">
        <v>5</v>
      </c>
      <c r="D270" t="s">
        <v>24</v>
      </c>
      <c r="E270">
        <f t="shared" ca="1" si="3"/>
        <v>16.3</v>
      </c>
    </row>
    <row r="271" spans="1:5" x14ac:dyDescent="0.25">
      <c r="A271">
        <v>6</v>
      </c>
      <c r="B271">
        <v>26</v>
      </c>
      <c r="C271" t="s">
        <v>5</v>
      </c>
      <c r="D271" t="s">
        <v>25</v>
      </c>
      <c r="E271">
        <f t="shared" ca="1" si="3"/>
        <v>17.46</v>
      </c>
    </row>
    <row r="272" spans="1:5" x14ac:dyDescent="0.25">
      <c r="A272">
        <v>6</v>
      </c>
      <c r="B272">
        <v>27</v>
      </c>
      <c r="C272" t="s">
        <v>5</v>
      </c>
      <c r="D272" t="s">
        <v>145</v>
      </c>
      <c r="E272">
        <f t="shared" ca="1" si="3"/>
        <v>11.55</v>
      </c>
    </row>
    <row r="273" spans="1:5" x14ac:dyDescent="0.25">
      <c r="A273">
        <v>6</v>
      </c>
      <c r="B273">
        <v>28</v>
      </c>
      <c r="C273" t="s">
        <v>5</v>
      </c>
      <c r="D273" t="s">
        <v>147</v>
      </c>
      <c r="E273">
        <f t="shared" ca="1" si="3"/>
        <v>13.56</v>
      </c>
    </row>
    <row r="274" spans="1:5" x14ac:dyDescent="0.25">
      <c r="A274">
        <v>6</v>
      </c>
      <c r="B274">
        <v>29</v>
      </c>
      <c r="C274" t="s">
        <v>5</v>
      </c>
      <c r="D274" t="s">
        <v>146</v>
      </c>
      <c r="E274">
        <f t="shared" ca="1" si="3"/>
        <v>16.809999999999999</v>
      </c>
    </row>
    <row r="275" spans="1:5" x14ac:dyDescent="0.25">
      <c r="A275">
        <v>6</v>
      </c>
      <c r="B275">
        <v>30</v>
      </c>
      <c r="C275" t="s">
        <v>5</v>
      </c>
      <c r="D275" t="s">
        <v>30</v>
      </c>
      <c r="E275">
        <f t="shared" ca="1" si="3"/>
        <v>5.32</v>
      </c>
    </row>
    <row r="276" spans="1:5" x14ac:dyDescent="0.25">
      <c r="A276">
        <v>6</v>
      </c>
      <c r="B276">
        <v>31</v>
      </c>
      <c r="C276" t="s">
        <v>5</v>
      </c>
      <c r="D276" t="s">
        <v>31</v>
      </c>
      <c r="E276">
        <f t="shared" ca="1" si="3"/>
        <v>4.4000000000000004</v>
      </c>
    </row>
    <row r="277" spans="1:5" x14ac:dyDescent="0.25">
      <c r="A277">
        <v>6</v>
      </c>
      <c r="B277">
        <v>32</v>
      </c>
      <c r="C277" t="s">
        <v>5</v>
      </c>
      <c r="D277" t="s">
        <v>32</v>
      </c>
      <c r="E277">
        <f t="shared" ca="1" si="3"/>
        <v>7.42</v>
      </c>
    </row>
    <row r="278" spans="1:5" x14ac:dyDescent="0.25">
      <c r="A278">
        <v>6</v>
      </c>
      <c r="B278">
        <v>33</v>
      </c>
      <c r="C278" t="s">
        <v>5</v>
      </c>
      <c r="D278" t="s">
        <v>33</v>
      </c>
      <c r="E278">
        <f t="shared" ca="1" si="3"/>
        <v>7.48</v>
      </c>
    </row>
    <row r="279" spans="1:5" x14ac:dyDescent="0.25">
      <c r="A279">
        <v>6</v>
      </c>
      <c r="B279">
        <v>34</v>
      </c>
      <c r="C279" t="s">
        <v>5</v>
      </c>
      <c r="D279" t="s">
        <v>34</v>
      </c>
      <c r="E279">
        <f t="shared" ca="1" si="3"/>
        <v>7.08</v>
      </c>
    </row>
    <row r="280" spans="1:5" x14ac:dyDescent="0.25">
      <c r="A280">
        <v>6</v>
      </c>
      <c r="B280">
        <v>35</v>
      </c>
      <c r="C280" t="s">
        <v>5</v>
      </c>
      <c r="D280" t="s">
        <v>35</v>
      </c>
      <c r="E280">
        <f t="shared" ca="1" si="3"/>
        <v>7.5</v>
      </c>
    </row>
    <row r="281" spans="1:5" x14ac:dyDescent="0.25">
      <c r="A281">
        <v>6</v>
      </c>
      <c r="B281">
        <v>36</v>
      </c>
      <c r="C281" t="s">
        <v>5</v>
      </c>
      <c r="D281" t="s">
        <v>36</v>
      </c>
      <c r="E281">
        <f t="shared" ca="1" si="3"/>
        <v>25</v>
      </c>
    </row>
    <row r="282" spans="1:5" x14ac:dyDescent="0.25">
      <c r="A282">
        <v>6</v>
      </c>
      <c r="B282">
        <v>37</v>
      </c>
      <c r="C282" t="s">
        <v>5</v>
      </c>
      <c r="D282" t="s">
        <v>37</v>
      </c>
      <c r="E282">
        <f t="shared" ca="1" si="3"/>
        <v>29</v>
      </c>
    </row>
    <row r="283" spans="1:5" x14ac:dyDescent="0.25">
      <c r="A283">
        <v>6</v>
      </c>
      <c r="B283">
        <v>38</v>
      </c>
      <c r="C283" t="s">
        <v>5</v>
      </c>
      <c r="D283" t="s">
        <v>38</v>
      </c>
      <c r="E283">
        <f t="shared" ca="1" si="3"/>
        <v>26</v>
      </c>
    </row>
    <row r="284" spans="1:5" x14ac:dyDescent="0.25">
      <c r="A284">
        <v>6</v>
      </c>
      <c r="B284">
        <v>39</v>
      </c>
      <c r="C284" t="s">
        <v>5</v>
      </c>
      <c r="D284" t="s">
        <v>39</v>
      </c>
      <c r="E284">
        <f t="shared" ca="1" si="3"/>
        <v>28</v>
      </c>
    </row>
    <row r="285" spans="1:5" x14ac:dyDescent="0.25">
      <c r="A285">
        <v>6</v>
      </c>
      <c r="B285">
        <v>40</v>
      </c>
      <c r="C285" t="s">
        <v>5</v>
      </c>
      <c r="D285" t="s">
        <v>40</v>
      </c>
      <c r="E285">
        <f t="shared" ca="1" si="3"/>
        <v>28</v>
      </c>
    </row>
    <row r="286" spans="1:5" x14ac:dyDescent="0.25">
      <c r="A286">
        <v>7</v>
      </c>
      <c r="B286">
        <v>1</v>
      </c>
      <c r="C286" t="s">
        <v>6</v>
      </c>
      <c r="D286" t="s">
        <v>0</v>
      </c>
      <c r="E286">
        <f t="shared" ca="1" si="3"/>
        <v>6</v>
      </c>
    </row>
    <row r="287" spans="1:5" x14ac:dyDescent="0.25">
      <c r="A287">
        <v>7</v>
      </c>
      <c r="B287">
        <v>2</v>
      </c>
      <c r="C287" t="s">
        <v>6</v>
      </c>
      <c r="D287" t="s">
        <v>1</v>
      </c>
      <c r="E287">
        <f t="shared" ca="1" si="3"/>
        <v>6.51</v>
      </c>
    </row>
    <row r="288" spans="1:5" x14ac:dyDescent="0.25">
      <c r="A288">
        <v>7</v>
      </c>
      <c r="B288">
        <v>3</v>
      </c>
      <c r="C288" t="s">
        <v>6</v>
      </c>
      <c r="D288" t="s">
        <v>2</v>
      </c>
      <c r="E288">
        <f t="shared" ca="1" si="3"/>
        <v>7.13</v>
      </c>
    </row>
    <row r="289" spans="1:5" x14ac:dyDescent="0.25">
      <c r="A289">
        <v>7</v>
      </c>
      <c r="B289">
        <v>4</v>
      </c>
      <c r="C289" t="s">
        <v>6</v>
      </c>
      <c r="D289" t="s">
        <v>3</v>
      </c>
      <c r="E289">
        <f t="shared" ca="1" si="3"/>
        <v>1.41</v>
      </c>
    </row>
    <row r="290" spans="1:5" x14ac:dyDescent="0.25">
      <c r="A290">
        <v>7</v>
      </c>
      <c r="B290">
        <v>5</v>
      </c>
      <c r="C290" t="s">
        <v>6</v>
      </c>
      <c r="D290" t="s">
        <v>4</v>
      </c>
      <c r="E290">
        <f t="shared" ca="1" si="3"/>
        <v>0.6</v>
      </c>
    </row>
    <row r="291" spans="1:5" x14ac:dyDescent="0.25">
      <c r="A291">
        <v>7</v>
      </c>
      <c r="B291">
        <v>6</v>
      </c>
      <c r="C291" t="s">
        <v>6</v>
      </c>
      <c r="D291" t="s">
        <v>5</v>
      </c>
      <c r="E291">
        <f t="shared" ca="1" si="3"/>
        <v>2.68</v>
      </c>
    </row>
    <row r="292" spans="1:5" x14ac:dyDescent="0.25">
      <c r="A292">
        <v>7</v>
      </c>
      <c r="B292">
        <v>7</v>
      </c>
      <c r="C292" t="s">
        <v>6</v>
      </c>
      <c r="D292" t="s">
        <v>6</v>
      </c>
      <c r="E292">
        <f t="shared" ca="1" si="3"/>
        <v>0</v>
      </c>
    </row>
    <row r="293" spans="1:5" x14ac:dyDescent="0.25">
      <c r="A293">
        <v>7</v>
      </c>
      <c r="B293">
        <v>8</v>
      </c>
      <c r="C293" t="s">
        <v>6</v>
      </c>
      <c r="D293" t="s">
        <v>7</v>
      </c>
      <c r="E293">
        <f t="shared" ca="1" si="3"/>
        <v>1.42</v>
      </c>
    </row>
    <row r="294" spans="1:5" x14ac:dyDescent="0.25">
      <c r="A294">
        <v>7</v>
      </c>
      <c r="B294">
        <v>9</v>
      </c>
      <c r="C294" t="s">
        <v>6</v>
      </c>
      <c r="D294" t="s">
        <v>148</v>
      </c>
      <c r="E294">
        <f t="shared" ca="1" si="3"/>
        <v>3.63</v>
      </c>
    </row>
    <row r="295" spans="1:5" x14ac:dyDescent="0.25">
      <c r="A295">
        <v>7</v>
      </c>
      <c r="B295">
        <v>10</v>
      </c>
      <c r="C295" t="s">
        <v>6</v>
      </c>
      <c r="D295" t="s">
        <v>9</v>
      </c>
      <c r="E295">
        <f t="shared" ca="1" si="3"/>
        <v>1.85</v>
      </c>
    </row>
    <row r="296" spans="1:5" x14ac:dyDescent="0.25">
      <c r="A296">
        <v>7</v>
      </c>
      <c r="B296">
        <v>11</v>
      </c>
      <c r="C296" t="s">
        <v>6</v>
      </c>
      <c r="D296" t="s">
        <v>10</v>
      </c>
      <c r="E296">
        <f t="shared" ca="1" si="3"/>
        <v>23.5</v>
      </c>
    </row>
    <row r="297" spans="1:5" x14ac:dyDescent="0.25">
      <c r="A297">
        <v>7</v>
      </c>
      <c r="B297">
        <v>12</v>
      </c>
      <c r="C297" t="s">
        <v>6</v>
      </c>
      <c r="D297" t="s">
        <v>11</v>
      </c>
      <c r="E297">
        <f t="shared" ref="E297:E358" ca="1" si="4">OFFSET($B$3,A297,B297)</f>
        <v>20.68</v>
      </c>
    </row>
    <row r="298" spans="1:5" x14ac:dyDescent="0.25">
      <c r="A298">
        <v>7</v>
      </c>
      <c r="B298">
        <v>13</v>
      </c>
      <c r="C298" t="s">
        <v>6</v>
      </c>
      <c r="D298" t="s">
        <v>12</v>
      </c>
      <c r="E298">
        <f t="shared" ca="1" si="4"/>
        <v>19.48</v>
      </c>
    </row>
    <row r="299" spans="1:5" x14ac:dyDescent="0.25">
      <c r="A299">
        <v>7</v>
      </c>
      <c r="B299">
        <v>14</v>
      </c>
      <c r="C299" t="s">
        <v>6</v>
      </c>
      <c r="D299" t="s">
        <v>13</v>
      </c>
      <c r="E299">
        <f t="shared" ca="1" si="4"/>
        <v>17.93</v>
      </c>
    </row>
    <row r="300" spans="1:5" x14ac:dyDescent="0.25">
      <c r="A300">
        <v>7</v>
      </c>
      <c r="B300">
        <v>15</v>
      </c>
      <c r="C300" t="s">
        <v>6</v>
      </c>
      <c r="D300" t="s">
        <v>14</v>
      </c>
      <c r="E300">
        <f t="shared" ca="1" si="4"/>
        <v>19</v>
      </c>
    </row>
    <row r="301" spans="1:5" x14ac:dyDescent="0.25">
      <c r="A301">
        <v>7</v>
      </c>
      <c r="B301">
        <v>16</v>
      </c>
      <c r="C301" t="s">
        <v>6</v>
      </c>
      <c r="D301" t="s">
        <v>15</v>
      </c>
      <c r="E301">
        <f t="shared" ca="1" si="4"/>
        <v>21</v>
      </c>
    </row>
    <row r="302" spans="1:5" x14ac:dyDescent="0.25">
      <c r="A302">
        <v>7</v>
      </c>
      <c r="B302">
        <v>17</v>
      </c>
      <c r="C302" t="s">
        <v>6</v>
      </c>
      <c r="D302" t="s">
        <v>16</v>
      </c>
      <c r="E302">
        <f t="shared" ca="1" si="4"/>
        <v>25</v>
      </c>
    </row>
    <row r="303" spans="1:5" x14ac:dyDescent="0.25">
      <c r="A303">
        <v>7</v>
      </c>
      <c r="B303">
        <v>18</v>
      </c>
      <c r="C303" t="s">
        <v>6</v>
      </c>
      <c r="D303" t="s">
        <v>17</v>
      </c>
      <c r="E303">
        <f t="shared" ca="1" si="4"/>
        <v>23.18</v>
      </c>
    </row>
    <row r="304" spans="1:5" x14ac:dyDescent="0.25">
      <c r="A304">
        <v>7</v>
      </c>
      <c r="B304">
        <v>19</v>
      </c>
      <c r="C304" t="s">
        <v>6</v>
      </c>
      <c r="D304" t="s">
        <v>18</v>
      </c>
      <c r="E304">
        <f t="shared" ca="1" si="4"/>
        <v>11.7</v>
      </c>
    </row>
    <row r="305" spans="1:5" x14ac:dyDescent="0.25">
      <c r="A305">
        <v>7</v>
      </c>
      <c r="B305">
        <v>20</v>
      </c>
      <c r="C305" t="s">
        <v>6</v>
      </c>
      <c r="D305" t="s">
        <v>19</v>
      </c>
      <c r="E305">
        <f t="shared" ca="1" si="4"/>
        <v>10.130000000000001</v>
      </c>
    </row>
    <row r="306" spans="1:5" x14ac:dyDescent="0.25">
      <c r="A306">
        <v>7</v>
      </c>
      <c r="B306">
        <v>21</v>
      </c>
      <c r="C306" t="s">
        <v>6</v>
      </c>
      <c r="D306" t="s">
        <v>20</v>
      </c>
      <c r="E306">
        <f t="shared" ca="1" si="4"/>
        <v>8.01</v>
      </c>
    </row>
    <row r="307" spans="1:5" x14ac:dyDescent="0.25">
      <c r="A307">
        <v>7</v>
      </c>
      <c r="B307">
        <v>22</v>
      </c>
      <c r="C307" t="s">
        <v>6</v>
      </c>
      <c r="D307" t="s">
        <v>21</v>
      </c>
      <c r="E307">
        <f t="shared" ca="1" si="4"/>
        <v>12</v>
      </c>
    </row>
    <row r="308" spans="1:5" x14ac:dyDescent="0.25">
      <c r="A308">
        <v>7</v>
      </c>
      <c r="B308">
        <v>23</v>
      </c>
      <c r="C308" t="s">
        <v>6</v>
      </c>
      <c r="D308" t="s">
        <v>22</v>
      </c>
      <c r="E308">
        <f t="shared" ca="1" si="4"/>
        <v>12.06</v>
      </c>
    </row>
    <row r="309" spans="1:5" x14ac:dyDescent="0.25">
      <c r="A309">
        <v>7</v>
      </c>
      <c r="B309">
        <v>24</v>
      </c>
      <c r="C309" t="s">
        <v>6</v>
      </c>
      <c r="D309" t="s">
        <v>23</v>
      </c>
      <c r="E309">
        <f t="shared" ca="1" si="4"/>
        <v>15.62</v>
      </c>
    </row>
    <row r="310" spans="1:5" x14ac:dyDescent="0.25">
      <c r="A310">
        <v>7</v>
      </c>
      <c r="B310">
        <v>25</v>
      </c>
      <c r="C310" t="s">
        <v>6</v>
      </c>
      <c r="D310" t="s">
        <v>24</v>
      </c>
      <c r="E310">
        <f t="shared" ca="1" si="4"/>
        <v>14.18</v>
      </c>
    </row>
    <row r="311" spans="1:5" x14ac:dyDescent="0.25">
      <c r="A311">
        <v>7</v>
      </c>
      <c r="B311">
        <v>26</v>
      </c>
      <c r="C311" t="s">
        <v>6</v>
      </c>
      <c r="D311" t="s">
        <v>25</v>
      </c>
      <c r="E311">
        <f t="shared" ca="1" si="4"/>
        <v>15.63</v>
      </c>
    </row>
    <row r="312" spans="1:5" x14ac:dyDescent="0.25">
      <c r="A312">
        <v>7</v>
      </c>
      <c r="B312">
        <v>27</v>
      </c>
      <c r="C312" t="s">
        <v>6</v>
      </c>
      <c r="D312" t="s">
        <v>145</v>
      </c>
      <c r="E312">
        <f t="shared" ca="1" si="4"/>
        <v>9.6199999999999992</v>
      </c>
    </row>
    <row r="313" spans="1:5" x14ac:dyDescent="0.25">
      <c r="A313">
        <v>7</v>
      </c>
      <c r="B313">
        <v>28</v>
      </c>
      <c r="C313" t="s">
        <v>6</v>
      </c>
      <c r="D313" t="s">
        <v>147</v>
      </c>
      <c r="E313">
        <f t="shared" ca="1" si="4"/>
        <v>11.56</v>
      </c>
    </row>
    <row r="314" spans="1:5" x14ac:dyDescent="0.25">
      <c r="A314">
        <v>7</v>
      </c>
      <c r="B314">
        <v>29</v>
      </c>
      <c r="C314" t="s">
        <v>6</v>
      </c>
      <c r="D314" t="s">
        <v>146</v>
      </c>
      <c r="E314">
        <f t="shared" ca="1" si="4"/>
        <v>14.72</v>
      </c>
    </row>
    <row r="315" spans="1:5" x14ac:dyDescent="0.25">
      <c r="A315">
        <v>7</v>
      </c>
      <c r="B315">
        <v>30</v>
      </c>
      <c r="C315" t="s">
        <v>6</v>
      </c>
      <c r="D315" t="s">
        <v>30</v>
      </c>
      <c r="E315">
        <f t="shared" ca="1" si="4"/>
        <v>3.26</v>
      </c>
    </row>
    <row r="316" spans="1:5" x14ac:dyDescent="0.25">
      <c r="A316">
        <v>7</v>
      </c>
      <c r="B316">
        <v>31</v>
      </c>
      <c r="C316" t="s">
        <v>6</v>
      </c>
      <c r="D316" t="s">
        <v>31</v>
      </c>
      <c r="E316">
        <f t="shared" ca="1" si="4"/>
        <v>2.36</v>
      </c>
    </row>
    <row r="317" spans="1:5" x14ac:dyDescent="0.25">
      <c r="A317">
        <v>7</v>
      </c>
      <c r="B317">
        <v>32</v>
      </c>
      <c r="C317" t="s">
        <v>6</v>
      </c>
      <c r="D317" t="s">
        <v>32</v>
      </c>
      <c r="E317">
        <f t="shared" ca="1" si="4"/>
        <v>5.35</v>
      </c>
    </row>
    <row r="318" spans="1:5" x14ac:dyDescent="0.25">
      <c r="A318">
        <v>7</v>
      </c>
      <c r="B318">
        <v>33</v>
      </c>
      <c r="C318" t="s">
        <v>6</v>
      </c>
      <c r="D318" t="s">
        <v>33</v>
      </c>
      <c r="E318">
        <f t="shared" ca="1" si="4"/>
        <v>5.48</v>
      </c>
    </row>
    <row r="319" spans="1:5" x14ac:dyDescent="0.25">
      <c r="A319">
        <v>7</v>
      </c>
      <c r="B319">
        <v>34</v>
      </c>
      <c r="C319" t="s">
        <v>6</v>
      </c>
      <c r="D319" t="s">
        <v>34</v>
      </c>
      <c r="E319">
        <f t="shared" ca="1" si="4"/>
        <v>4.96</v>
      </c>
    </row>
    <row r="320" spans="1:5" x14ac:dyDescent="0.25">
      <c r="A320">
        <v>7</v>
      </c>
      <c r="B320">
        <v>35</v>
      </c>
      <c r="C320" t="s">
        <v>6</v>
      </c>
      <c r="D320" t="s">
        <v>35</v>
      </c>
      <c r="E320">
        <f t="shared" ca="1" si="4"/>
        <v>5.45</v>
      </c>
    </row>
    <row r="321" spans="1:5" x14ac:dyDescent="0.25">
      <c r="A321">
        <v>7</v>
      </c>
      <c r="B321">
        <v>36</v>
      </c>
      <c r="C321" t="s">
        <v>6</v>
      </c>
      <c r="D321" t="s">
        <v>36</v>
      </c>
      <c r="E321">
        <f t="shared" ca="1" si="4"/>
        <v>22.98</v>
      </c>
    </row>
    <row r="322" spans="1:5" x14ac:dyDescent="0.25">
      <c r="A322">
        <v>7</v>
      </c>
      <c r="B322">
        <v>37</v>
      </c>
      <c r="C322" t="s">
        <v>6</v>
      </c>
      <c r="D322" t="s">
        <v>37</v>
      </c>
      <c r="E322">
        <f t="shared" ca="1" si="4"/>
        <v>27</v>
      </c>
    </row>
    <row r="323" spans="1:5" x14ac:dyDescent="0.25">
      <c r="A323">
        <v>7</v>
      </c>
      <c r="B323">
        <v>38</v>
      </c>
      <c r="C323" t="s">
        <v>6</v>
      </c>
      <c r="D323" t="s">
        <v>38</v>
      </c>
      <c r="E323">
        <f t="shared" ca="1" si="4"/>
        <v>23.65</v>
      </c>
    </row>
    <row r="324" spans="1:5" x14ac:dyDescent="0.25">
      <c r="A324">
        <v>7</v>
      </c>
      <c r="B324">
        <v>39</v>
      </c>
      <c r="C324" t="s">
        <v>6</v>
      </c>
      <c r="D324" t="s">
        <v>39</v>
      </c>
      <c r="E324">
        <f t="shared" ca="1" si="4"/>
        <v>26</v>
      </c>
    </row>
    <row r="325" spans="1:5" x14ac:dyDescent="0.25">
      <c r="A325">
        <v>7</v>
      </c>
      <c r="B325">
        <v>40</v>
      </c>
      <c r="C325" t="s">
        <v>6</v>
      </c>
      <c r="D325" t="s">
        <v>40</v>
      </c>
      <c r="E325">
        <f t="shared" ca="1" si="4"/>
        <v>26</v>
      </c>
    </row>
    <row r="326" spans="1:5" x14ac:dyDescent="0.25">
      <c r="A326">
        <v>8</v>
      </c>
      <c r="B326">
        <v>1</v>
      </c>
      <c r="C326" t="s">
        <v>7</v>
      </c>
      <c r="D326" t="s">
        <v>0</v>
      </c>
      <c r="E326">
        <f t="shared" ca="1" si="4"/>
        <v>4.75</v>
      </c>
    </row>
    <row r="327" spans="1:5" x14ac:dyDescent="0.25">
      <c r="A327">
        <v>8</v>
      </c>
      <c r="B327">
        <v>2</v>
      </c>
      <c r="C327" t="s">
        <v>7</v>
      </c>
      <c r="D327" t="s">
        <v>1</v>
      </c>
      <c r="E327">
        <f t="shared" ca="1" si="4"/>
        <v>5.28</v>
      </c>
    </row>
    <row r="328" spans="1:5" x14ac:dyDescent="0.25">
      <c r="A328">
        <v>8</v>
      </c>
      <c r="B328">
        <v>3</v>
      </c>
      <c r="C328" t="s">
        <v>7</v>
      </c>
      <c r="D328" t="s">
        <v>2</v>
      </c>
      <c r="E328">
        <f t="shared" ca="1" si="4"/>
        <v>5.88</v>
      </c>
    </row>
    <row r="329" spans="1:5" x14ac:dyDescent="0.25">
      <c r="A329">
        <v>8</v>
      </c>
      <c r="B329">
        <v>4</v>
      </c>
      <c r="C329" t="s">
        <v>7</v>
      </c>
      <c r="D329" t="s">
        <v>3</v>
      </c>
      <c r="E329">
        <f t="shared" ca="1" si="4"/>
        <v>0.28000000000000003</v>
      </c>
    </row>
    <row r="330" spans="1:5" x14ac:dyDescent="0.25">
      <c r="A330">
        <v>8</v>
      </c>
      <c r="B330">
        <v>5</v>
      </c>
      <c r="C330" t="s">
        <v>7</v>
      </c>
      <c r="D330" t="s">
        <v>4</v>
      </c>
      <c r="E330">
        <f t="shared" ca="1" si="4"/>
        <v>1.83</v>
      </c>
    </row>
    <row r="331" spans="1:5" x14ac:dyDescent="0.25">
      <c r="A331">
        <v>8</v>
      </c>
      <c r="B331">
        <v>6</v>
      </c>
      <c r="C331" t="s">
        <v>7</v>
      </c>
      <c r="D331" t="s">
        <v>5</v>
      </c>
      <c r="E331">
        <f t="shared" ca="1" si="4"/>
        <v>4</v>
      </c>
    </row>
    <row r="332" spans="1:5" x14ac:dyDescent="0.25">
      <c r="A332">
        <v>8</v>
      </c>
      <c r="B332">
        <v>7</v>
      </c>
      <c r="C332" t="s">
        <v>7</v>
      </c>
      <c r="D332" t="s">
        <v>6</v>
      </c>
      <c r="E332">
        <f t="shared" ca="1" si="4"/>
        <v>1.42</v>
      </c>
    </row>
    <row r="333" spans="1:5" x14ac:dyDescent="0.25">
      <c r="A333">
        <v>8</v>
      </c>
      <c r="B333">
        <v>8</v>
      </c>
      <c r="C333" t="s">
        <v>7</v>
      </c>
      <c r="D333" t="s">
        <v>7</v>
      </c>
      <c r="E333">
        <f t="shared" ca="1" si="4"/>
        <v>0</v>
      </c>
    </row>
    <row r="334" spans="1:5" x14ac:dyDescent="0.25">
      <c r="A334">
        <v>8</v>
      </c>
      <c r="B334">
        <v>9</v>
      </c>
      <c r="C334" t="s">
        <v>7</v>
      </c>
      <c r="D334" t="s">
        <v>148</v>
      </c>
      <c r="E334">
        <f t="shared" ca="1" si="4"/>
        <v>2.5</v>
      </c>
    </row>
    <row r="335" spans="1:5" x14ac:dyDescent="0.25">
      <c r="A335">
        <v>8</v>
      </c>
      <c r="B335">
        <v>10</v>
      </c>
      <c r="C335" t="s">
        <v>7</v>
      </c>
      <c r="D335" t="s">
        <v>9</v>
      </c>
      <c r="E335">
        <f t="shared" ca="1" si="4"/>
        <v>2.08</v>
      </c>
    </row>
    <row r="336" spans="1:5" x14ac:dyDescent="0.25">
      <c r="A336">
        <v>8</v>
      </c>
      <c r="B336">
        <v>11</v>
      </c>
      <c r="C336" t="s">
        <v>7</v>
      </c>
      <c r="D336" t="s">
        <v>10</v>
      </c>
      <c r="E336">
        <f t="shared" ca="1" si="4"/>
        <v>22.31</v>
      </c>
    </row>
    <row r="337" spans="1:5" x14ac:dyDescent="0.25">
      <c r="A337">
        <v>8</v>
      </c>
      <c r="B337">
        <v>12</v>
      </c>
      <c r="C337" t="s">
        <v>7</v>
      </c>
      <c r="D337" t="s">
        <v>11</v>
      </c>
      <c r="E337">
        <f t="shared" ca="1" si="4"/>
        <v>19.5</v>
      </c>
    </row>
    <row r="338" spans="1:5" x14ac:dyDescent="0.25">
      <c r="A338">
        <v>8</v>
      </c>
      <c r="B338">
        <v>13</v>
      </c>
      <c r="C338" t="s">
        <v>7</v>
      </c>
      <c r="D338" t="s">
        <v>12</v>
      </c>
      <c r="E338">
        <f t="shared" ca="1" si="4"/>
        <v>19.63</v>
      </c>
    </row>
    <row r="339" spans="1:5" x14ac:dyDescent="0.25">
      <c r="A339">
        <v>8</v>
      </c>
      <c r="B339">
        <v>14</v>
      </c>
      <c r="C339" t="s">
        <v>7</v>
      </c>
      <c r="D339" t="s">
        <v>13</v>
      </c>
      <c r="E339">
        <f t="shared" ca="1" si="4"/>
        <v>18.03</v>
      </c>
    </row>
    <row r="340" spans="1:5" x14ac:dyDescent="0.25">
      <c r="A340">
        <v>8</v>
      </c>
      <c r="B340">
        <v>15</v>
      </c>
      <c r="C340" t="s">
        <v>7</v>
      </c>
      <c r="D340" t="s">
        <v>14</v>
      </c>
      <c r="E340">
        <f t="shared" ca="1" si="4"/>
        <v>18.22</v>
      </c>
    </row>
    <row r="341" spans="1:5" x14ac:dyDescent="0.25">
      <c r="A341">
        <v>8</v>
      </c>
      <c r="B341">
        <v>16</v>
      </c>
      <c r="C341" t="s">
        <v>7</v>
      </c>
      <c r="D341" t="s">
        <v>15</v>
      </c>
      <c r="E341">
        <f t="shared" ca="1" si="4"/>
        <v>18.809999999999999</v>
      </c>
    </row>
    <row r="342" spans="1:5" x14ac:dyDescent="0.25">
      <c r="A342">
        <v>8</v>
      </c>
      <c r="B342">
        <v>17</v>
      </c>
      <c r="C342" t="s">
        <v>7</v>
      </c>
      <c r="D342" t="s">
        <v>16</v>
      </c>
      <c r="E342">
        <f t="shared" ca="1" si="4"/>
        <v>24</v>
      </c>
    </row>
    <row r="343" spans="1:5" x14ac:dyDescent="0.25">
      <c r="A343">
        <v>8</v>
      </c>
      <c r="B343">
        <v>18</v>
      </c>
      <c r="C343" t="s">
        <v>7</v>
      </c>
      <c r="D343" t="s">
        <v>17</v>
      </c>
      <c r="E343">
        <f t="shared" ca="1" si="4"/>
        <v>22</v>
      </c>
    </row>
    <row r="344" spans="1:5" x14ac:dyDescent="0.25">
      <c r="A344">
        <v>8</v>
      </c>
      <c r="B344">
        <v>19</v>
      </c>
      <c r="C344" t="s">
        <v>7</v>
      </c>
      <c r="D344" t="s">
        <v>18</v>
      </c>
      <c r="E344">
        <f t="shared" ca="1" si="4"/>
        <v>10.63</v>
      </c>
    </row>
    <row r="345" spans="1:5" x14ac:dyDescent="0.25">
      <c r="A345">
        <v>8</v>
      </c>
      <c r="B345">
        <v>20</v>
      </c>
      <c r="C345" t="s">
        <v>7</v>
      </c>
      <c r="D345" t="s">
        <v>19</v>
      </c>
      <c r="E345">
        <f t="shared" ca="1" si="4"/>
        <v>9.1</v>
      </c>
    </row>
    <row r="346" spans="1:5" x14ac:dyDescent="0.25">
      <c r="A346">
        <v>8</v>
      </c>
      <c r="B346">
        <v>21</v>
      </c>
      <c r="C346" t="s">
        <v>7</v>
      </c>
      <c r="D346" t="s">
        <v>20</v>
      </c>
      <c r="E346">
        <f t="shared" ca="1" si="4"/>
        <v>6.88</v>
      </c>
    </row>
    <row r="347" spans="1:5" x14ac:dyDescent="0.25">
      <c r="A347">
        <v>8</v>
      </c>
      <c r="B347">
        <v>22</v>
      </c>
      <c r="C347" t="s">
        <v>7</v>
      </c>
      <c r="D347" t="s">
        <v>21</v>
      </c>
      <c r="E347">
        <f t="shared" ca="1" si="4"/>
        <v>10.81</v>
      </c>
    </row>
    <row r="348" spans="1:5" x14ac:dyDescent="0.25">
      <c r="A348">
        <v>8</v>
      </c>
      <c r="B348">
        <v>23</v>
      </c>
      <c r="C348" t="s">
        <v>7</v>
      </c>
      <c r="D348" t="s">
        <v>22</v>
      </c>
      <c r="E348">
        <f t="shared" ca="1" si="4"/>
        <v>10.93</v>
      </c>
    </row>
    <row r="349" spans="1:5" x14ac:dyDescent="0.25">
      <c r="A349">
        <v>8</v>
      </c>
      <c r="B349">
        <v>24</v>
      </c>
      <c r="C349" t="s">
        <v>7</v>
      </c>
      <c r="D349" t="s">
        <v>23</v>
      </c>
      <c r="E349">
        <f t="shared" ca="1" si="4"/>
        <v>14.43</v>
      </c>
    </row>
    <row r="350" spans="1:5" x14ac:dyDescent="0.25">
      <c r="A350">
        <v>8</v>
      </c>
      <c r="B350">
        <v>25</v>
      </c>
      <c r="C350" t="s">
        <v>7</v>
      </c>
      <c r="D350" t="s">
        <v>24</v>
      </c>
      <c r="E350">
        <f t="shared" ca="1" si="4"/>
        <v>12.98</v>
      </c>
    </row>
    <row r="351" spans="1:5" x14ac:dyDescent="0.25">
      <c r="A351">
        <v>8</v>
      </c>
      <c r="B351">
        <v>26</v>
      </c>
      <c r="C351" t="s">
        <v>7</v>
      </c>
      <c r="D351" t="s">
        <v>25</v>
      </c>
      <c r="E351">
        <f t="shared" ca="1" si="4"/>
        <v>14.85</v>
      </c>
    </row>
    <row r="352" spans="1:5" x14ac:dyDescent="0.25">
      <c r="A352">
        <v>8</v>
      </c>
      <c r="B352">
        <v>27</v>
      </c>
      <c r="C352" t="s">
        <v>7</v>
      </c>
      <c r="D352" t="s">
        <v>145</v>
      </c>
      <c r="E352">
        <f t="shared" ca="1" si="4"/>
        <v>8.66</v>
      </c>
    </row>
    <row r="353" spans="1:5" x14ac:dyDescent="0.25">
      <c r="A353">
        <v>8</v>
      </c>
      <c r="B353">
        <v>28</v>
      </c>
      <c r="C353" t="s">
        <v>7</v>
      </c>
      <c r="D353" t="s">
        <v>147</v>
      </c>
      <c r="E353">
        <f t="shared" ca="1" si="4"/>
        <v>10.36</v>
      </c>
    </row>
    <row r="354" spans="1:5" x14ac:dyDescent="0.25">
      <c r="A354">
        <v>8</v>
      </c>
      <c r="B354">
        <v>29</v>
      </c>
      <c r="C354" t="s">
        <v>7</v>
      </c>
      <c r="D354" t="s">
        <v>146</v>
      </c>
      <c r="E354">
        <f t="shared" ca="1" si="4"/>
        <v>13.51</v>
      </c>
    </row>
    <row r="355" spans="1:5" x14ac:dyDescent="0.25">
      <c r="A355">
        <v>8</v>
      </c>
      <c r="B355">
        <v>30</v>
      </c>
      <c r="C355" t="s">
        <v>7</v>
      </c>
      <c r="D355" t="s">
        <v>30</v>
      </c>
      <c r="E355">
        <f t="shared" ca="1" si="4"/>
        <v>1.93</v>
      </c>
    </row>
    <row r="356" spans="1:5" x14ac:dyDescent="0.25">
      <c r="A356">
        <v>8</v>
      </c>
      <c r="B356">
        <v>31</v>
      </c>
      <c r="C356" t="s">
        <v>7</v>
      </c>
      <c r="D356" t="s">
        <v>31</v>
      </c>
      <c r="E356">
        <f t="shared" ca="1" si="4"/>
        <v>1</v>
      </c>
    </row>
    <row r="357" spans="1:5" x14ac:dyDescent="0.25">
      <c r="A357">
        <v>8</v>
      </c>
      <c r="B357">
        <v>32</v>
      </c>
      <c r="C357" t="s">
        <v>7</v>
      </c>
      <c r="D357" t="s">
        <v>32</v>
      </c>
      <c r="E357">
        <f t="shared" ca="1" si="4"/>
        <v>3.95</v>
      </c>
    </row>
    <row r="358" spans="1:5" x14ac:dyDescent="0.25">
      <c r="A358">
        <v>8</v>
      </c>
      <c r="B358">
        <v>33</v>
      </c>
      <c r="C358" t="s">
        <v>7</v>
      </c>
      <c r="D358" t="s">
        <v>33</v>
      </c>
      <c r="E358">
        <f t="shared" ca="1" si="4"/>
        <v>4.05</v>
      </c>
    </row>
    <row r="359" spans="1:5" x14ac:dyDescent="0.25">
      <c r="A359">
        <v>8</v>
      </c>
      <c r="B359">
        <v>34</v>
      </c>
      <c r="C359" t="s">
        <v>7</v>
      </c>
      <c r="D359" t="s">
        <v>34</v>
      </c>
      <c r="E359">
        <f t="shared" ref="E359:E421" ca="1" si="5">OFFSET($B$3,A359,B359)</f>
        <v>3.58</v>
      </c>
    </row>
    <row r="360" spans="1:5" x14ac:dyDescent="0.25">
      <c r="A360">
        <v>8</v>
      </c>
      <c r="B360">
        <v>35</v>
      </c>
      <c r="C360" t="s">
        <v>7</v>
      </c>
      <c r="D360" t="s">
        <v>35</v>
      </c>
      <c r="E360">
        <f t="shared" ca="1" si="5"/>
        <v>4.08</v>
      </c>
    </row>
    <row r="361" spans="1:5" x14ac:dyDescent="0.25">
      <c r="A361">
        <v>8</v>
      </c>
      <c r="B361">
        <v>36</v>
      </c>
      <c r="C361" t="s">
        <v>7</v>
      </c>
      <c r="D361" t="s">
        <v>36</v>
      </c>
      <c r="E361">
        <f t="shared" ca="1" si="5"/>
        <v>23.31</v>
      </c>
    </row>
    <row r="362" spans="1:5" x14ac:dyDescent="0.25">
      <c r="A362">
        <v>8</v>
      </c>
      <c r="B362">
        <v>37</v>
      </c>
      <c r="C362" t="s">
        <v>7</v>
      </c>
      <c r="D362" t="s">
        <v>37</v>
      </c>
      <c r="E362">
        <f t="shared" ca="1" si="5"/>
        <v>26</v>
      </c>
    </row>
    <row r="363" spans="1:5" x14ac:dyDescent="0.25">
      <c r="A363">
        <v>8</v>
      </c>
      <c r="B363">
        <v>38</v>
      </c>
      <c r="C363" t="s">
        <v>7</v>
      </c>
      <c r="D363" t="s">
        <v>38</v>
      </c>
      <c r="E363">
        <f t="shared" ca="1" si="5"/>
        <v>22.46</v>
      </c>
    </row>
    <row r="364" spans="1:5" x14ac:dyDescent="0.25">
      <c r="A364">
        <v>8</v>
      </c>
      <c r="B364">
        <v>39</v>
      </c>
      <c r="C364" t="s">
        <v>7</v>
      </c>
      <c r="D364" t="s">
        <v>39</v>
      </c>
      <c r="E364">
        <f t="shared" ca="1" si="5"/>
        <v>24</v>
      </c>
    </row>
    <row r="365" spans="1:5" x14ac:dyDescent="0.25">
      <c r="A365">
        <v>8</v>
      </c>
      <c r="B365">
        <v>40</v>
      </c>
      <c r="C365" t="s">
        <v>7</v>
      </c>
      <c r="D365" t="s">
        <v>40</v>
      </c>
      <c r="E365">
        <f t="shared" ca="1" si="5"/>
        <v>26</v>
      </c>
    </row>
    <row r="366" spans="1:5" x14ac:dyDescent="0.25">
      <c r="A366">
        <v>9</v>
      </c>
      <c r="B366">
        <v>1</v>
      </c>
      <c r="C366" t="s">
        <v>148</v>
      </c>
      <c r="D366" t="s">
        <v>0</v>
      </c>
      <c r="E366">
        <f t="shared" ca="1" si="5"/>
        <v>3.05</v>
      </c>
    </row>
    <row r="367" spans="1:5" x14ac:dyDescent="0.25">
      <c r="A367">
        <v>9</v>
      </c>
      <c r="B367">
        <v>2</v>
      </c>
      <c r="C367" t="s">
        <v>148</v>
      </c>
      <c r="D367" t="s">
        <v>1</v>
      </c>
      <c r="E367">
        <f t="shared" ca="1" si="5"/>
        <v>3.55</v>
      </c>
    </row>
    <row r="368" spans="1:5" x14ac:dyDescent="0.25">
      <c r="A368">
        <v>9</v>
      </c>
      <c r="B368">
        <v>3</v>
      </c>
      <c r="C368" t="s">
        <v>148</v>
      </c>
      <c r="D368" t="s">
        <v>2</v>
      </c>
      <c r="E368">
        <f t="shared" ca="1" si="5"/>
        <v>4.13</v>
      </c>
    </row>
    <row r="369" spans="1:5" x14ac:dyDescent="0.25">
      <c r="A369">
        <v>9</v>
      </c>
      <c r="B369">
        <v>4</v>
      </c>
      <c r="C369" t="s">
        <v>148</v>
      </c>
      <c r="D369" t="s">
        <v>3</v>
      </c>
      <c r="E369">
        <f t="shared" ca="1" si="5"/>
        <v>2.65</v>
      </c>
    </row>
    <row r="370" spans="1:5" x14ac:dyDescent="0.25">
      <c r="A370">
        <v>9</v>
      </c>
      <c r="B370">
        <v>5</v>
      </c>
      <c r="C370" t="s">
        <v>148</v>
      </c>
      <c r="D370" t="s">
        <v>4</v>
      </c>
      <c r="E370">
        <f t="shared" ca="1" si="5"/>
        <v>2.52</v>
      </c>
    </row>
    <row r="371" spans="1:5" x14ac:dyDescent="0.25">
      <c r="A371">
        <v>9</v>
      </c>
      <c r="B371">
        <v>6</v>
      </c>
      <c r="C371" t="s">
        <v>148</v>
      </c>
      <c r="D371" t="s">
        <v>5</v>
      </c>
      <c r="E371">
        <f t="shared" ca="1" si="5"/>
        <v>5.86</v>
      </c>
    </row>
    <row r="372" spans="1:5" x14ac:dyDescent="0.25">
      <c r="A372">
        <v>9</v>
      </c>
      <c r="B372">
        <v>7</v>
      </c>
      <c r="C372" t="s">
        <v>148</v>
      </c>
      <c r="D372" t="s">
        <v>6</v>
      </c>
      <c r="E372">
        <f t="shared" ca="1" si="5"/>
        <v>3.63</v>
      </c>
    </row>
    <row r="373" spans="1:5" x14ac:dyDescent="0.25">
      <c r="A373">
        <v>9</v>
      </c>
      <c r="B373">
        <v>8</v>
      </c>
      <c r="C373" t="s">
        <v>148</v>
      </c>
      <c r="D373" t="s">
        <v>7</v>
      </c>
      <c r="E373">
        <f t="shared" ca="1" si="5"/>
        <v>2.5</v>
      </c>
    </row>
    <row r="374" spans="1:5" x14ac:dyDescent="0.25">
      <c r="A374">
        <v>9</v>
      </c>
      <c r="B374">
        <v>9</v>
      </c>
      <c r="C374" t="s">
        <v>148</v>
      </c>
      <c r="D374" t="s">
        <v>148</v>
      </c>
      <c r="E374">
        <f t="shared" ca="1" si="5"/>
        <v>0</v>
      </c>
    </row>
    <row r="375" spans="1:5" x14ac:dyDescent="0.25">
      <c r="A375">
        <v>9</v>
      </c>
      <c r="B375">
        <v>10</v>
      </c>
      <c r="C375" t="s">
        <v>148</v>
      </c>
      <c r="D375" t="s">
        <v>9</v>
      </c>
      <c r="E375">
        <f t="shared" ca="1" si="5"/>
        <v>4.46</v>
      </c>
    </row>
    <row r="376" spans="1:5" x14ac:dyDescent="0.25">
      <c r="A376">
        <v>9</v>
      </c>
      <c r="B376">
        <v>11</v>
      </c>
      <c r="C376" t="s">
        <v>148</v>
      </c>
      <c r="D376" t="s">
        <v>10</v>
      </c>
      <c r="E376">
        <f t="shared" ca="1" si="5"/>
        <v>22.03</v>
      </c>
    </row>
    <row r="377" spans="1:5" x14ac:dyDescent="0.25">
      <c r="A377">
        <v>9</v>
      </c>
      <c r="B377">
        <v>12</v>
      </c>
      <c r="C377" t="s">
        <v>148</v>
      </c>
      <c r="D377" t="s">
        <v>11</v>
      </c>
      <c r="E377">
        <f t="shared" ca="1" si="5"/>
        <v>17.600000000000001</v>
      </c>
    </row>
    <row r="378" spans="1:5" x14ac:dyDescent="0.25">
      <c r="A378">
        <v>9</v>
      </c>
      <c r="B378">
        <v>13</v>
      </c>
      <c r="C378" t="s">
        <v>148</v>
      </c>
      <c r="D378" t="s">
        <v>12</v>
      </c>
      <c r="E378">
        <f t="shared" ca="1" si="5"/>
        <v>17.53</v>
      </c>
    </row>
    <row r="379" spans="1:5" x14ac:dyDescent="0.25">
      <c r="A379">
        <v>9</v>
      </c>
      <c r="B379">
        <v>14</v>
      </c>
      <c r="C379" t="s">
        <v>148</v>
      </c>
      <c r="D379" t="s">
        <v>13</v>
      </c>
      <c r="E379">
        <f t="shared" ca="1" si="5"/>
        <v>15.88</v>
      </c>
    </row>
    <row r="380" spans="1:5" x14ac:dyDescent="0.25">
      <c r="A380">
        <v>9</v>
      </c>
      <c r="B380">
        <v>15</v>
      </c>
      <c r="C380" t="s">
        <v>148</v>
      </c>
      <c r="D380" t="s">
        <v>14</v>
      </c>
      <c r="E380">
        <f t="shared" ca="1" si="5"/>
        <v>15.76</v>
      </c>
    </row>
    <row r="381" spans="1:5" x14ac:dyDescent="0.25">
      <c r="A381">
        <v>9</v>
      </c>
      <c r="B381">
        <v>16</v>
      </c>
      <c r="C381" t="s">
        <v>148</v>
      </c>
      <c r="D381" t="s">
        <v>15</v>
      </c>
      <c r="E381">
        <f t="shared" ca="1" si="5"/>
        <v>18.600000000000001</v>
      </c>
    </row>
    <row r="382" spans="1:5" x14ac:dyDescent="0.25">
      <c r="A382">
        <v>9</v>
      </c>
      <c r="B382">
        <v>17</v>
      </c>
      <c r="C382" t="s">
        <v>148</v>
      </c>
      <c r="D382" t="s">
        <v>16</v>
      </c>
      <c r="E382">
        <f t="shared" ca="1" si="5"/>
        <v>22.36</v>
      </c>
    </row>
    <row r="383" spans="1:5" x14ac:dyDescent="0.25">
      <c r="A383">
        <v>9</v>
      </c>
      <c r="B383">
        <v>18</v>
      </c>
      <c r="C383" t="s">
        <v>148</v>
      </c>
      <c r="D383" t="s">
        <v>17</v>
      </c>
      <c r="E383">
        <f t="shared" ca="1" si="5"/>
        <v>20.95</v>
      </c>
    </row>
    <row r="384" spans="1:5" x14ac:dyDescent="0.25">
      <c r="A384">
        <v>9</v>
      </c>
      <c r="B384">
        <v>19</v>
      </c>
      <c r="C384" t="s">
        <v>148</v>
      </c>
      <c r="D384" t="s">
        <v>18</v>
      </c>
      <c r="E384">
        <f t="shared" ca="1" si="5"/>
        <v>8.35</v>
      </c>
    </row>
    <row r="385" spans="1:5" x14ac:dyDescent="0.25">
      <c r="A385">
        <v>9</v>
      </c>
      <c r="B385">
        <v>20</v>
      </c>
      <c r="C385" t="s">
        <v>148</v>
      </c>
      <c r="D385" t="s">
        <v>19</v>
      </c>
      <c r="E385">
        <f t="shared" ca="1" si="5"/>
        <v>6.85</v>
      </c>
    </row>
    <row r="386" spans="1:5" x14ac:dyDescent="0.25">
      <c r="A386">
        <v>9</v>
      </c>
      <c r="B386">
        <v>21</v>
      </c>
      <c r="C386" t="s">
        <v>148</v>
      </c>
      <c r="D386" t="s">
        <v>20</v>
      </c>
      <c r="E386">
        <f t="shared" ca="1" si="5"/>
        <v>4.92</v>
      </c>
    </row>
    <row r="387" spans="1:5" x14ac:dyDescent="0.25">
      <c r="A387">
        <v>9</v>
      </c>
      <c r="B387">
        <v>22</v>
      </c>
      <c r="C387" t="s">
        <v>148</v>
      </c>
      <c r="D387" t="s">
        <v>21</v>
      </c>
      <c r="E387">
        <f t="shared" ca="1" si="5"/>
        <v>9.1300000000000008</v>
      </c>
    </row>
    <row r="388" spans="1:5" x14ac:dyDescent="0.25">
      <c r="A388">
        <v>9</v>
      </c>
      <c r="B388">
        <v>23</v>
      </c>
      <c r="C388" t="s">
        <v>148</v>
      </c>
      <c r="D388" t="s">
        <v>22</v>
      </c>
      <c r="E388">
        <f t="shared" ca="1" si="5"/>
        <v>9.23</v>
      </c>
    </row>
    <row r="389" spans="1:5" x14ac:dyDescent="0.25">
      <c r="A389">
        <v>9</v>
      </c>
      <c r="B389">
        <v>24</v>
      </c>
      <c r="C389" t="s">
        <v>148</v>
      </c>
      <c r="D389" t="s">
        <v>23</v>
      </c>
      <c r="E389">
        <f t="shared" ca="1" si="5"/>
        <v>12.55</v>
      </c>
    </row>
    <row r="390" spans="1:5" x14ac:dyDescent="0.25">
      <c r="A390">
        <v>9</v>
      </c>
      <c r="B390">
        <v>25</v>
      </c>
      <c r="C390" t="s">
        <v>148</v>
      </c>
      <c r="D390" t="s">
        <v>24</v>
      </c>
      <c r="E390">
        <f t="shared" ca="1" si="5"/>
        <v>11.28</v>
      </c>
    </row>
    <row r="391" spans="1:5" x14ac:dyDescent="0.25">
      <c r="A391">
        <v>9</v>
      </c>
      <c r="B391">
        <v>26</v>
      </c>
      <c r="C391" t="s">
        <v>148</v>
      </c>
      <c r="D391" t="s">
        <v>25</v>
      </c>
      <c r="E391">
        <f t="shared" ca="1" si="5"/>
        <v>12.46</v>
      </c>
    </row>
    <row r="392" spans="1:5" x14ac:dyDescent="0.25">
      <c r="A392">
        <v>9</v>
      </c>
      <c r="B392">
        <v>27</v>
      </c>
      <c r="C392" t="s">
        <v>148</v>
      </c>
      <c r="D392" t="s">
        <v>145</v>
      </c>
      <c r="E392">
        <f t="shared" ca="1" si="5"/>
        <v>6.58</v>
      </c>
    </row>
    <row r="393" spans="1:5" x14ac:dyDescent="0.25">
      <c r="A393">
        <v>9</v>
      </c>
      <c r="B393">
        <v>28</v>
      </c>
      <c r="C393" t="s">
        <v>148</v>
      </c>
      <c r="D393" t="s">
        <v>147</v>
      </c>
      <c r="E393">
        <f t="shared" ca="1" si="5"/>
        <v>8.7200000000000006</v>
      </c>
    </row>
    <row r="394" spans="1:5" x14ac:dyDescent="0.25">
      <c r="A394">
        <v>9</v>
      </c>
      <c r="B394">
        <v>29</v>
      </c>
      <c r="C394" t="s">
        <v>148</v>
      </c>
      <c r="D394" t="s">
        <v>146</v>
      </c>
      <c r="E394">
        <f t="shared" ca="1" si="5"/>
        <v>11.68</v>
      </c>
    </row>
    <row r="395" spans="1:5" x14ac:dyDescent="0.25">
      <c r="A395">
        <v>9</v>
      </c>
      <c r="B395">
        <v>30</v>
      </c>
      <c r="C395" t="s">
        <v>148</v>
      </c>
      <c r="D395" t="s">
        <v>30</v>
      </c>
      <c r="E395">
        <f t="shared" ca="1" si="5"/>
        <v>3.15</v>
      </c>
    </row>
    <row r="396" spans="1:5" x14ac:dyDescent="0.25">
      <c r="A396">
        <v>9</v>
      </c>
      <c r="B396">
        <v>31</v>
      </c>
      <c r="C396" t="s">
        <v>148</v>
      </c>
      <c r="D396" t="s">
        <v>31</v>
      </c>
      <c r="E396">
        <f t="shared" ca="1" si="5"/>
        <v>3.36</v>
      </c>
    </row>
    <row r="397" spans="1:5" x14ac:dyDescent="0.25">
      <c r="A397">
        <v>9</v>
      </c>
      <c r="B397">
        <v>32</v>
      </c>
      <c r="C397" t="s">
        <v>148</v>
      </c>
      <c r="D397" t="s">
        <v>32</v>
      </c>
      <c r="E397">
        <f t="shared" ca="1" si="5"/>
        <v>3.11</v>
      </c>
    </row>
    <row r="398" spans="1:5" x14ac:dyDescent="0.25">
      <c r="A398">
        <v>9</v>
      </c>
      <c r="B398">
        <v>33</v>
      </c>
      <c r="C398" t="s">
        <v>148</v>
      </c>
      <c r="D398" t="s">
        <v>33</v>
      </c>
      <c r="E398">
        <f t="shared" ca="1" si="5"/>
        <v>3</v>
      </c>
    </row>
    <row r="399" spans="1:5" x14ac:dyDescent="0.25">
      <c r="A399">
        <v>9</v>
      </c>
      <c r="B399">
        <v>34</v>
      </c>
      <c r="C399" t="s">
        <v>148</v>
      </c>
      <c r="D399" t="s">
        <v>34</v>
      </c>
      <c r="E399">
        <f t="shared" ca="1" si="5"/>
        <v>2.11</v>
      </c>
    </row>
    <row r="400" spans="1:5" x14ac:dyDescent="0.25">
      <c r="A400">
        <v>9</v>
      </c>
      <c r="B400">
        <v>35</v>
      </c>
      <c r="C400" t="s">
        <v>148</v>
      </c>
      <c r="D400" t="s">
        <v>35</v>
      </c>
      <c r="E400">
        <f t="shared" ca="1" si="5"/>
        <v>2.4300000000000002</v>
      </c>
    </row>
    <row r="401" spans="1:5" x14ac:dyDescent="0.25">
      <c r="A401">
        <v>9</v>
      </c>
      <c r="B401">
        <v>36</v>
      </c>
      <c r="C401" t="s">
        <v>148</v>
      </c>
      <c r="D401" t="s">
        <v>36</v>
      </c>
      <c r="E401">
        <f t="shared" ca="1" si="5"/>
        <v>19.899999999999999</v>
      </c>
    </row>
    <row r="402" spans="1:5" x14ac:dyDescent="0.25">
      <c r="A402">
        <v>9</v>
      </c>
      <c r="B402">
        <v>37</v>
      </c>
      <c r="C402" t="s">
        <v>148</v>
      </c>
      <c r="D402" t="s">
        <v>37</v>
      </c>
      <c r="E402">
        <f t="shared" ca="1" si="5"/>
        <v>24</v>
      </c>
    </row>
    <row r="403" spans="1:5" x14ac:dyDescent="0.25">
      <c r="A403">
        <v>9</v>
      </c>
      <c r="B403">
        <v>38</v>
      </c>
      <c r="C403" t="s">
        <v>148</v>
      </c>
      <c r="D403" t="s">
        <v>38</v>
      </c>
      <c r="E403">
        <f t="shared" ca="1" si="5"/>
        <v>22.1</v>
      </c>
    </row>
    <row r="404" spans="1:5" x14ac:dyDescent="0.25">
      <c r="A404">
        <v>9</v>
      </c>
      <c r="B404">
        <v>39</v>
      </c>
      <c r="C404" t="s">
        <v>148</v>
      </c>
      <c r="D404" t="s">
        <v>39</v>
      </c>
      <c r="E404">
        <f t="shared" ca="1" si="5"/>
        <v>22.48</v>
      </c>
    </row>
    <row r="405" spans="1:5" x14ac:dyDescent="0.25">
      <c r="A405">
        <v>9</v>
      </c>
      <c r="B405">
        <v>40</v>
      </c>
      <c r="C405" t="s">
        <v>148</v>
      </c>
      <c r="D405" t="s">
        <v>40</v>
      </c>
      <c r="E405">
        <f t="shared" ca="1" si="5"/>
        <v>22.61</v>
      </c>
    </row>
    <row r="406" spans="1:5" x14ac:dyDescent="0.25">
      <c r="A406">
        <v>10</v>
      </c>
      <c r="B406">
        <v>1</v>
      </c>
      <c r="C406" t="s">
        <v>9</v>
      </c>
      <c r="D406" t="s">
        <v>0</v>
      </c>
      <c r="E406">
        <f t="shared" ca="1" si="5"/>
        <v>6.75</v>
      </c>
    </row>
    <row r="407" spans="1:5" x14ac:dyDescent="0.25">
      <c r="A407">
        <v>10</v>
      </c>
      <c r="B407">
        <v>2</v>
      </c>
      <c r="C407" t="s">
        <v>9</v>
      </c>
      <c r="D407" t="s">
        <v>1</v>
      </c>
      <c r="E407">
        <f t="shared" ca="1" si="5"/>
        <v>7.28</v>
      </c>
    </row>
    <row r="408" spans="1:5" x14ac:dyDescent="0.25">
      <c r="A408">
        <v>10</v>
      </c>
      <c r="B408">
        <v>3</v>
      </c>
      <c r="C408" t="s">
        <v>9</v>
      </c>
      <c r="D408" t="s">
        <v>2</v>
      </c>
      <c r="E408">
        <f t="shared" ca="1" si="5"/>
        <v>7.86</v>
      </c>
    </row>
    <row r="409" spans="1:5" x14ac:dyDescent="0.25">
      <c r="A409">
        <v>10</v>
      </c>
      <c r="B409">
        <v>4</v>
      </c>
      <c r="C409" t="s">
        <v>9</v>
      </c>
      <c r="D409" t="s">
        <v>3</v>
      </c>
      <c r="E409">
        <f t="shared" ca="1" si="5"/>
        <v>2.21</v>
      </c>
    </row>
    <row r="410" spans="1:5" x14ac:dyDescent="0.25">
      <c r="A410">
        <v>10</v>
      </c>
      <c r="B410">
        <v>5</v>
      </c>
      <c r="C410" t="s">
        <v>9</v>
      </c>
      <c r="D410" t="s">
        <v>4</v>
      </c>
      <c r="E410">
        <f t="shared" ca="1" si="5"/>
        <v>1.1299999999999999</v>
      </c>
    </row>
    <row r="411" spans="1:5" x14ac:dyDescent="0.25">
      <c r="A411">
        <v>10</v>
      </c>
      <c r="B411">
        <v>6</v>
      </c>
      <c r="C411" t="s">
        <v>9</v>
      </c>
      <c r="D411" t="s">
        <v>5</v>
      </c>
      <c r="E411">
        <f t="shared" ca="1" si="5"/>
        <v>2.91</v>
      </c>
    </row>
    <row r="412" spans="1:5" x14ac:dyDescent="0.25">
      <c r="A412">
        <v>10</v>
      </c>
      <c r="B412">
        <v>7</v>
      </c>
      <c r="C412" t="s">
        <v>9</v>
      </c>
      <c r="D412" t="s">
        <v>6</v>
      </c>
      <c r="E412">
        <f t="shared" ca="1" si="5"/>
        <v>1.85</v>
      </c>
    </row>
    <row r="413" spans="1:5" x14ac:dyDescent="0.25">
      <c r="A413">
        <v>10</v>
      </c>
      <c r="B413">
        <v>8</v>
      </c>
      <c r="C413" t="s">
        <v>9</v>
      </c>
      <c r="D413" t="s">
        <v>7</v>
      </c>
      <c r="E413">
        <f t="shared" ca="1" si="5"/>
        <v>2.08</v>
      </c>
    </row>
    <row r="414" spans="1:5" x14ac:dyDescent="0.25">
      <c r="A414">
        <v>10</v>
      </c>
      <c r="B414">
        <v>9</v>
      </c>
      <c r="C414" t="s">
        <v>9</v>
      </c>
      <c r="D414" t="s">
        <v>148</v>
      </c>
      <c r="E414">
        <f t="shared" ca="1" si="5"/>
        <v>4.46</v>
      </c>
    </row>
    <row r="415" spans="1:5" x14ac:dyDescent="0.25">
      <c r="A415">
        <v>10</v>
      </c>
      <c r="B415">
        <v>10</v>
      </c>
      <c r="C415" t="s">
        <v>9</v>
      </c>
      <c r="D415" t="s">
        <v>9</v>
      </c>
      <c r="E415">
        <f t="shared" ca="1" si="5"/>
        <v>0</v>
      </c>
    </row>
    <row r="416" spans="1:5" x14ac:dyDescent="0.25">
      <c r="A416">
        <v>10</v>
      </c>
      <c r="B416">
        <v>11</v>
      </c>
      <c r="C416" t="s">
        <v>9</v>
      </c>
      <c r="D416" t="s">
        <v>10</v>
      </c>
      <c r="E416">
        <f t="shared" ca="1" si="5"/>
        <v>24</v>
      </c>
    </row>
    <row r="417" spans="1:5" x14ac:dyDescent="0.25">
      <c r="A417">
        <v>10</v>
      </c>
      <c r="B417">
        <v>12</v>
      </c>
      <c r="C417" t="s">
        <v>9</v>
      </c>
      <c r="D417" t="s">
        <v>11</v>
      </c>
      <c r="E417">
        <f t="shared" ca="1" si="5"/>
        <v>21.56</v>
      </c>
    </row>
    <row r="418" spans="1:5" x14ac:dyDescent="0.25">
      <c r="A418">
        <v>10</v>
      </c>
      <c r="B418">
        <v>13</v>
      </c>
      <c r="C418" t="s">
        <v>9</v>
      </c>
      <c r="D418" t="s">
        <v>12</v>
      </c>
      <c r="E418">
        <f t="shared" ca="1" si="5"/>
        <v>20.36</v>
      </c>
    </row>
    <row r="419" spans="1:5" x14ac:dyDescent="0.25">
      <c r="A419">
        <v>10</v>
      </c>
      <c r="B419">
        <v>14</v>
      </c>
      <c r="C419" t="s">
        <v>9</v>
      </c>
      <c r="D419" t="s">
        <v>13</v>
      </c>
      <c r="E419">
        <f t="shared" ca="1" si="5"/>
        <v>18.829999999999998</v>
      </c>
    </row>
    <row r="420" spans="1:5" x14ac:dyDescent="0.25">
      <c r="A420">
        <v>10</v>
      </c>
      <c r="B420">
        <v>15</v>
      </c>
      <c r="C420" t="s">
        <v>9</v>
      </c>
      <c r="D420" t="s">
        <v>14</v>
      </c>
      <c r="E420">
        <f t="shared" ca="1" si="5"/>
        <v>20.149999999999999</v>
      </c>
    </row>
    <row r="421" spans="1:5" x14ac:dyDescent="0.25">
      <c r="A421">
        <v>10</v>
      </c>
      <c r="B421">
        <v>16</v>
      </c>
      <c r="C421" t="s">
        <v>9</v>
      </c>
      <c r="D421" t="s">
        <v>15</v>
      </c>
      <c r="E421">
        <f t="shared" ca="1" si="5"/>
        <v>21.95</v>
      </c>
    </row>
    <row r="422" spans="1:5" x14ac:dyDescent="0.25">
      <c r="A422">
        <v>10</v>
      </c>
      <c r="B422">
        <v>17</v>
      </c>
      <c r="C422" t="s">
        <v>9</v>
      </c>
      <c r="D422" t="s">
        <v>16</v>
      </c>
      <c r="E422">
        <f t="shared" ref="E422:E483" ca="1" si="6">OFFSET($B$3,A422,B422)</f>
        <v>26</v>
      </c>
    </row>
    <row r="423" spans="1:5" x14ac:dyDescent="0.25">
      <c r="A423">
        <v>10</v>
      </c>
      <c r="B423">
        <v>18</v>
      </c>
      <c r="C423" t="s">
        <v>9</v>
      </c>
      <c r="D423" t="s">
        <v>17</v>
      </c>
      <c r="E423">
        <f t="shared" ca="1" si="6"/>
        <v>25.97</v>
      </c>
    </row>
    <row r="424" spans="1:5" x14ac:dyDescent="0.25">
      <c r="A424">
        <v>10</v>
      </c>
      <c r="B424">
        <v>19</v>
      </c>
      <c r="C424" t="s">
        <v>9</v>
      </c>
      <c r="D424" t="s">
        <v>18</v>
      </c>
      <c r="E424">
        <f t="shared" ca="1" si="6"/>
        <v>24</v>
      </c>
    </row>
    <row r="425" spans="1:5" x14ac:dyDescent="0.25">
      <c r="A425">
        <v>10</v>
      </c>
      <c r="B425">
        <v>20</v>
      </c>
      <c r="C425" t="s">
        <v>9</v>
      </c>
      <c r="D425" t="s">
        <v>19</v>
      </c>
      <c r="E425">
        <f t="shared" ca="1" si="6"/>
        <v>12.66</v>
      </c>
    </row>
    <row r="426" spans="1:5" x14ac:dyDescent="0.25">
      <c r="A426">
        <v>10</v>
      </c>
      <c r="B426">
        <v>21</v>
      </c>
      <c r="C426" t="s">
        <v>9</v>
      </c>
      <c r="D426" t="s">
        <v>20</v>
      </c>
      <c r="E426">
        <f t="shared" ca="1" si="6"/>
        <v>8.8000000000000007</v>
      </c>
    </row>
    <row r="427" spans="1:5" x14ac:dyDescent="0.25">
      <c r="A427">
        <v>10</v>
      </c>
      <c r="B427">
        <v>22</v>
      </c>
      <c r="C427" t="s">
        <v>9</v>
      </c>
      <c r="D427" t="s">
        <v>21</v>
      </c>
      <c r="E427">
        <f t="shared" ca="1" si="6"/>
        <v>13.03</v>
      </c>
    </row>
    <row r="428" spans="1:5" x14ac:dyDescent="0.25">
      <c r="A428">
        <v>10</v>
      </c>
      <c r="B428">
        <v>23</v>
      </c>
      <c r="C428" t="s">
        <v>9</v>
      </c>
      <c r="D428" t="s">
        <v>22</v>
      </c>
      <c r="E428">
        <f t="shared" ca="1" si="6"/>
        <v>13</v>
      </c>
    </row>
    <row r="429" spans="1:5" x14ac:dyDescent="0.25">
      <c r="A429">
        <v>10</v>
      </c>
      <c r="B429">
        <v>24</v>
      </c>
      <c r="C429" t="s">
        <v>9</v>
      </c>
      <c r="D429" t="s">
        <v>23</v>
      </c>
      <c r="E429">
        <f t="shared" ca="1" si="6"/>
        <v>16.600000000000001</v>
      </c>
    </row>
    <row r="430" spans="1:5" x14ac:dyDescent="0.25">
      <c r="A430">
        <v>10</v>
      </c>
      <c r="B430">
        <v>25</v>
      </c>
      <c r="C430" t="s">
        <v>9</v>
      </c>
      <c r="D430" t="s">
        <v>24</v>
      </c>
      <c r="E430">
        <f t="shared" ca="1" si="6"/>
        <v>15.16</v>
      </c>
    </row>
    <row r="431" spans="1:5" x14ac:dyDescent="0.25">
      <c r="A431">
        <v>10</v>
      </c>
      <c r="B431">
        <v>26</v>
      </c>
      <c r="C431" t="s">
        <v>9</v>
      </c>
      <c r="D431" t="s">
        <v>25</v>
      </c>
      <c r="E431">
        <f t="shared" ca="1" si="6"/>
        <v>16.73</v>
      </c>
    </row>
    <row r="432" spans="1:5" x14ac:dyDescent="0.25">
      <c r="A432">
        <v>10</v>
      </c>
      <c r="B432">
        <v>27</v>
      </c>
      <c r="C432" t="s">
        <v>9</v>
      </c>
      <c r="D432" t="s">
        <v>145</v>
      </c>
      <c r="E432">
        <f t="shared" ca="1" si="6"/>
        <v>10.53</v>
      </c>
    </row>
    <row r="433" spans="1:5" x14ac:dyDescent="0.25">
      <c r="A433">
        <v>10</v>
      </c>
      <c r="B433">
        <v>28</v>
      </c>
      <c r="C433" t="s">
        <v>9</v>
      </c>
      <c r="D433" t="s">
        <v>147</v>
      </c>
      <c r="E433">
        <f t="shared" ca="1" si="6"/>
        <v>12.53</v>
      </c>
    </row>
    <row r="434" spans="1:5" x14ac:dyDescent="0.25">
      <c r="A434">
        <v>10</v>
      </c>
      <c r="B434">
        <v>29</v>
      </c>
      <c r="C434" t="s">
        <v>9</v>
      </c>
      <c r="D434" t="s">
        <v>146</v>
      </c>
      <c r="E434">
        <f t="shared" ca="1" si="6"/>
        <v>15.71</v>
      </c>
    </row>
    <row r="435" spans="1:5" x14ac:dyDescent="0.25">
      <c r="A435">
        <v>10</v>
      </c>
      <c r="B435">
        <v>30</v>
      </c>
      <c r="C435" t="s">
        <v>9</v>
      </c>
      <c r="D435" t="s">
        <v>30</v>
      </c>
      <c r="E435">
        <f t="shared" ca="1" si="6"/>
        <v>4.05</v>
      </c>
    </row>
    <row r="436" spans="1:5" x14ac:dyDescent="0.25">
      <c r="A436">
        <v>10</v>
      </c>
      <c r="B436">
        <v>31</v>
      </c>
      <c r="C436" t="s">
        <v>9</v>
      </c>
      <c r="D436" t="s">
        <v>31</v>
      </c>
      <c r="E436">
        <f t="shared" ca="1" si="6"/>
        <v>3.15</v>
      </c>
    </row>
    <row r="437" spans="1:5" x14ac:dyDescent="0.25">
      <c r="A437">
        <v>10</v>
      </c>
      <c r="B437">
        <v>32</v>
      </c>
      <c r="C437" t="s">
        <v>9</v>
      </c>
      <c r="D437" t="s">
        <v>32</v>
      </c>
      <c r="E437">
        <f t="shared" ca="1" si="6"/>
        <v>6.15</v>
      </c>
    </row>
    <row r="438" spans="1:5" x14ac:dyDescent="0.25">
      <c r="A438">
        <v>10</v>
      </c>
      <c r="B438">
        <v>33</v>
      </c>
      <c r="C438" t="s">
        <v>9</v>
      </c>
      <c r="D438" t="s">
        <v>33</v>
      </c>
      <c r="E438">
        <f t="shared" ca="1" si="6"/>
        <v>6.25</v>
      </c>
    </row>
    <row r="439" spans="1:5" x14ac:dyDescent="0.25">
      <c r="A439">
        <v>10</v>
      </c>
      <c r="B439">
        <v>34</v>
      </c>
      <c r="C439" t="s">
        <v>9</v>
      </c>
      <c r="D439" t="s">
        <v>34</v>
      </c>
      <c r="E439">
        <f t="shared" ca="1" si="6"/>
        <v>5.75</v>
      </c>
    </row>
    <row r="440" spans="1:5" x14ac:dyDescent="0.25">
      <c r="A440">
        <v>10</v>
      </c>
      <c r="B440">
        <v>35</v>
      </c>
      <c r="C440" t="s">
        <v>9</v>
      </c>
      <c r="D440" t="s">
        <v>35</v>
      </c>
      <c r="E440">
        <f t="shared" ca="1" si="6"/>
        <v>6.25</v>
      </c>
    </row>
    <row r="441" spans="1:5" x14ac:dyDescent="0.25">
      <c r="A441">
        <v>10</v>
      </c>
      <c r="B441">
        <v>36</v>
      </c>
      <c r="C441" t="s">
        <v>9</v>
      </c>
      <c r="D441" t="s">
        <v>36</v>
      </c>
      <c r="E441">
        <f t="shared" ca="1" si="6"/>
        <v>23.86</v>
      </c>
    </row>
    <row r="442" spans="1:5" x14ac:dyDescent="0.25">
      <c r="A442">
        <v>10</v>
      </c>
      <c r="B442">
        <v>37</v>
      </c>
      <c r="C442" t="s">
        <v>9</v>
      </c>
      <c r="D442" t="s">
        <v>37</v>
      </c>
      <c r="E442">
        <f t="shared" ca="1" si="6"/>
        <v>28</v>
      </c>
    </row>
    <row r="443" spans="1:5" x14ac:dyDescent="0.25">
      <c r="A443">
        <v>10</v>
      </c>
      <c r="B443">
        <v>38</v>
      </c>
      <c r="C443" t="s">
        <v>9</v>
      </c>
      <c r="D443" t="s">
        <v>38</v>
      </c>
      <c r="E443">
        <f t="shared" ca="1" si="6"/>
        <v>25</v>
      </c>
    </row>
    <row r="444" spans="1:5" x14ac:dyDescent="0.25">
      <c r="A444">
        <v>10</v>
      </c>
      <c r="B444">
        <v>39</v>
      </c>
      <c r="C444" t="s">
        <v>9</v>
      </c>
      <c r="D444" t="s">
        <v>39</v>
      </c>
      <c r="E444">
        <f t="shared" ca="1" si="6"/>
        <v>26</v>
      </c>
    </row>
    <row r="445" spans="1:5" x14ac:dyDescent="0.25">
      <c r="A445">
        <v>10</v>
      </c>
      <c r="B445">
        <v>40</v>
      </c>
      <c r="C445" t="s">
        <v>9</v>
      </c>
      <c r="D445" t="s">
        <v>40</v>
      </c>
      <c r="E445">
        <f t="shared" ca="1" si="6"/>
        <v>27</v>
      </c>
    </row>
    <row r="446" spans="1:5" x14ac:dyDescent="0.25">
      <c r="A446">
        <v>11</v>
      </c>
      <c r="B446">
        <v>1</v>
      </c>
      <c r="C446" t="s">
        <v>10</v>
      </c>
      <c r="D446" t="s">
        <v>0</v>
      </c>
      <c r="E446">
        <f t="shared" ca="1" si="6"/>
        <v>19.36</v>
      </c>
    </row>
    <row r="447" spans="1:5" x14ac:dyDescent="0.25">
      <c r="A447">
        <v>11</v>
      </c>
      <c r="B447">
        <v>2</v>
      </c>
      <c r="C447" t="s">
        <v>10</v>
      </c>
      <c r="D447" t="s">
        <v>1</v>
      </c>
      <c r="E447">
        <f t="shared" ca="1" si="6"/>
        <v>17.93</v>
      </c>
    </row>
    <row r="448" spans="1:5" x14ac:dyDescent="0.25">
      <c r="A448">
        <v>11</v>
      </c>
      <c r="B448">
        <v>3</v>
      </c>
      <c r="C448" t="s">
        <v>10</v>
      </c>
      <c r="D448" t="s">
        <v>2</v>
      </c>
      <c r="E448">
        <f t="shared" ca="1" si="6"/>
        <v>17.86</v>
      </c>
    </row>
    <row r="449" spans="1:5" x14ac:dyDescent="0.25">
      <c r="A449">
        <v>11</v>
      </c>
      <c r="B449">
        <v>4</v>
      </c>
      <c r="C449" t="s">
        <v>10</v>
      </c>
      <c r="D449" t="s">
        <v>3</v>
      </c>
      <c r="E449">
        <f t="shared" ca="1" si="6"/>
        <v>22.58</v>
      </c>
    </row>
    <row r="450" spans="1:5" x14ac:dyDescent="0.25">
      <c r="A450">
        <v>11</v>
      </c>
      <c r="B450">
        <v>5</v>
      </c>
      <c r="C450" t="s">
        <v>10</v>
      </c>
      <c r="D450" t="s">
        <v>4</v>
      </c>
      <c r="E450">
        <f t="shared" ca="1" si="6"/>
        <v>25</v>
      </c>
    </row>
    <row r="451" spans="1:5" x14ac:dyDescent="0.25">
      <c r="A451">
        <v>11</v>
      </c>
      <c r="B451">
        <v>6</v>
      </c>
      <c r="C451" t="s">
        <v>10</v>
      </c>
      <c r="D451" t="s">
        <v>5</v>
      </c>
      <c r="E451">
        <f t="shared" ca="1" si="6"/>
        <v>26</v>
      </c>
    </row>
    <row r="452" spans="1:5" x14ac:dyDescent="0.25">
      <c r="A452">
        <v>11</v>
      </c>
      <c r="B452">
        <v>7</v>
      </c>
      <c r="C452" t="s">
        <v>10</v>
      </c>
      <c r="D452" t="s">
        <v>6</v>
      </c>
      <c r="E452">
        <f t="shared" ca="1" si="6"/>
        <v>23.5</v>
      </c>
    </row>
    <row r="453" spans="1:5" x14ac:dyDescent="0.25">
      <c r="A453">
        <v>11</v>
      </c>
      <c r="B453">
        <v>8</v>
      </c>
      <c r="C453" t="s">
        <v>10</v>
      </c>
      <c r="D453" t="s">
        <v>7</v>
      </c>
      <c r="E453">
        <f t="shared" ca="1" si="6"/>
        <v>22.31</v>
      </c>
    </row>
    <row r="454" spans="1:5" x14ac:dyDescent="0.25">
      <c r="A454">
        <v>11</v>
      </c>
      <c r="B454">
        <v>9</v>
      </c>
      <c r="C454" t="s">
        <v>10</v>
      </c>
      <c r="D454" t="s">
        <v>148</v>
      </c>
      <c r="E454">
        <f t="shared" ca="1" si="6"/>
        <v>22.03</v>
      </c>
    </row>
    <row r="455" spans="1:5" x14ac:dyDescent="0.25">
      <c r="A455">
        <v>11</v>
      </c>
      <c r="B455">
        <v>10</v>
      </c>
      <c r="C455" t="s">
        <v>10</v>
      </c>
      <c r="D455" t="s">
        <v>9</v>
      </c>
      <c r="E455">
        <f t="shared" ca="1" si="6"/>
        <v>24</v>
      </c>
    </row>
    <row r="456" spans="1:5" x14ac:dyDescent="0.25">
      <c r="A456">
        <v>11</v>
      </c>
      <c r="B456">
        <v>11</v>
      </c>
      <c r="C456" t="s">
        <v>10</v>
      </c>
      <c r="D456" t="s">
        <v>10</v>
      </c>
      <c r="E456">
        <f t="shared" ca="1" si="6"/>
        <v>0</v>
      </c>
    </row>
    <row r="457" spans="1:5" x14ac:dyDescent="0.25">
      <c r="A457">
        <v>11</v>
      </c>
      <c r="B457">
        <v>12</v>
      </c>
      <c r="C457" t="s">
        <v>10</v>
      </c>
      <c r="D457" t="s">
        <v>11</v>
      </c>
      <c r="E457">
        <f t="shared" ca="1" si="6"/>
        <v>3.75</v>
      </c>
    </row>
    <row r="458" spans="1:5" x14ac:dyDescent="0.25">
      <c r="A458">
        <v>11</v>
      </c>
      <c r="B458">
        <v>13</v>
      </c>
      <c r="C458" t="s">
        <v>10</v>
      </c>
      <c r="D458" t="s">
        <v>12</v>
      </c>
      <c r="E458">
        <f t="shared" ca="1" si="6"/>
        <v>5.3</v>
      </c>
    </row>
    <row r="459" spans="1:5" x14ac:dyDescent="0.25">
      <c r="A459">
        <v>11</v>
      </c>
      <c r="B459">
        <v>14</v>
      </c>
      <c r="C459" t="s">
        <v>10</v>
      </c>
      <c r="D459" t="s">
        <v>13</v>
      </c>
      <c r="E459">
        <f t="shared" ca="1" si="6"/>
        <v>6</v>
      </c>
    </row>
    <row r="460" spans="1:5" x14ac:dyDescent="0.25">
      <c r="A460">
        <v>11</v>
      </c>
      <c r="B460">
        <v>15</v>
      </c>
      <c r="C460" t="s">
        <v>10</v>
      </c>
      <c r="D460" t="s">
        <v>14</v>
      </c>
      <c r="E460">
        <f t="shared" ca="1" si="6"/>
        <v>10</v>
      </c>
    </row>
    <row r="461" spans="1:5" x14ac:dyDescent="0.25">
      <c r="A461">
        <v>11</v>
      </c>
      <c r="B461">
        <v>16</v>
      </c>
      <c r="C461" t="s">
        <v>10</v>
      </c>
      <c r="D461" t="s">
        <v>15</v>
      </c>
      <c r="E461">
        <f t="shared" ca="1" si="6"/>
        <v>8.66</v>
      </c>
    </row>
    <row r="462" spans="1:5" x14ac:dyDescent="0.25">
      <c r="A462">
        <v>11</v>
      </c>
      <c r="B462">
        <v>17</v>
      </c>
      <c r="C462" t="s">
        <v>10</v>
      </c>
      <c r="D462" t="s">
        <v>16</v>
      </c>
      <c r="E462">
        <f t="shared" ca="1" si="6"/>
        <v>9.33</v>
      </c>
    </row>
    <row r="463" spans="1:5" x14ac:dyDescent="0.25">
      <c r="A463">
        <v>11</v>
      </c>
      <c r="B463">
        <v>18</v>
      </c>
      <c r="C463" t="s">
        <v>10</v>
      </c>
      <c r="D463" t="s">
        <v>17</v>
      </c>
      <c r="E463">
        <f t="shared" ca="1" si="6"/>
        <v>8.7799999999999994</v>
      </c>
    </row>
    <row r="464" spans="1:5" x14ac:dyDescent="0.25">
      <c r="A464">
        <v>11</v>
      </c>
      <c r="B464">
        <v>19</v>
      </c>
      <c r="C464" t="s">
        <v>10</v>
      </c>
      <c r="D464" t="s">
        <v>18</v>
      </c>
      <c r="E464">
        <f t="shared" ca="1" si="6"/>
        <v>15.26</v>
      </c>
    </row>
    <row r="465" spans="1:5" x14ac:dyDescent="0.25">
      <c r="A465">
        <v>11</v>
      </c>
      <c r="B465">
        <v>20</v>
      </c>
      <c r="C465" t="s">
        <v>10</v>
      </c>
      <c r="D465" t="s">
        <v>19</v>
      </c>
      <c r="E465">
        <f t="shared" ca="1" si="6"/>
        <v>15.85</v>
      </c>
    </row>
    <row r="466" spans="1:5" x14ac:dyDescent="0.25">
      <c r="A466">
        <v>11</v>
      </c>
      <c r="B466">
        <v>21</v>
      </c>
      <c r="C466" t="s">
        <v>10</v>
      </c>
      <c r="D466" t="s">
        <v>20</v>
      </c>
      <c r="E466">
        <f t="shared" ca="1" si="6"/>
        <v>17.23</v>
      </c>
    </row>
    <row r="467" spans="1:5" x14ac:dyDescent="0.25">
      <c r="A467">
        <v>11</v>
      </c>
      <c r="B467">
        <v>22</v>
      </c>
      <c r="C467" t="s">
        <v>10</v>
      </c>
      <c r="D467" t="s">
        <v>21</v>
      </c>
      <c r="E467">
        <f t="shared" ca="1" si="6"/>
        <v>13.33</v>
      </c>
    </row>
    <row r="468" spans="1:5" x14ac:dyDescent="0.25">
      <c r="A468">
        <v>11</v>
      </c>
      <c r="B468">
        <v>23</v>
      </c>
      <c r="C468" t="s">
        <v>10</v>
      </c>
      <c r="D468" t="s">
        <v>22</v>
      </c>
      <c r="E468">
        <f t="shared" ca="1" si="6"/>
        <v>13.35</v>
      </c>
    </row>
    <row r="469" spans="1:5" x14ac:dyDescent="0.25">
      <c r="A469">
        <v>11</v>
      </c>
      <c r="B469">
        <v>24</v>
      </c>
      <c r="C469" t="s">
        <v>10</v>
      </c>
      <c r="D469" t="s">
        <v>23</v>
      </c>
      <c r="E469">
        <f t="shared" ca="1" si="6"/>
        <v>14.55</v>
      </c>
    </row>
    <row r="470" spans="1:5" x14ac:dyDescent="0.25">
      <c r="A470">
        <v>11</v>
      </c>
      <c r="B470">
        <v>25</v>
      </c>
      <c r="C470" t="s">
        <v>10</v>
      </c>
      <c r="D470" t="s">
        <v>24</v>
      </c>
      <c r="E470">
        <f t="shared" ca="1" si="6"/>
        <v>10.93</v>
      </c>
    </row>
    <row r="471" spans="1:5" x14ac:dyDescent="0.25">
      <c r="A471">
        <v>11</v>
      </c>
      <c r="B471">
        <v>26</v>
      </c>
      <c r="C471" t="s">
        <v>10</v>
      </c>
      <c r="D471" t="s">
        <v>25</v>
      </c>
      <c r="E471">
        <f t="shared" ca="1" si="6"/>
        <v>12.23</v>
      </c>
    </row>
    <row r="472" spans="1:5" x14ac:dyDescent="0.25">
      <c r="A472">
        <v>11</v>
      </c>
      <c r="B472">
        <v>27</v>
      </c>
      <c r="C472" t="s">
        <v>10</v>
      </c>
      <c r="D472" t="s">
        <v>145</v>
      </c>
      <c r="E472">
        <f t="shared" ca="1" si="6"/>
        <v>15.08</v>
      </c>
    </row>
    <row r="473" spans="1:5" x14ac:dyDescent="0.25">
      <c r="A473">
        <v>11</v>
      </c>
      <c r="B473">
        <v>28</v>
      </c>
      <c r="C473" t="s">
        <v>10</v>
      </c>
      <c r="D473" t="s">
        <v>147</v>
      </c>
      <c r="E473">
        <f t="shared" ca="1" si="6"/>
        <v>13.66</v>
      </c>
    </row>
    <row r="474" spans="1:5" x14ac:dyDescent="0.25">
      <c r="A474">
        <v>11</v>
      </c>
      <c r="B474">
        <v>29</v>
      </c>
      <c r="C474" t="s">
        <v>10</v>
      </c>
      <c r="D474" t="s">
        <v>146</v>
      </c>
      <c r="E474">
        <f t="shared" ca="1" si="6"/>
        <v>9.8800000000000008</v>
      </c>
    </row>
    <row r="475" spans="1:5" x14ac:dyDescent="0.25">
      <c r="A475">
        <v>11</v>
      </c>
      <c r="B475">
        <v>30</v>
      </c>
      <c r="C475" t="s">
        <v>10</v>
      </c>
      <c r="D475" t="s">
        <v>30</v>
      </c>
      <c r="E475">
        <f t="shared" ca="1" si="6"/>
        <v>21.95</v>
      </c>
    </row>
    <row r="476" spans="1:5" x14ac:dyDescent="0.25">
      <c r="A476">
        <v>11</v>
      </c>
      <c r="B476">
        <v>31</v>
      </c>
      <c r="C476" t="s">
        <v>10</v>
      </c>
      <c r="D476" t="s">
        <v>31</v>
      </c>
      <c r="E476">
        <f t="shared" ca="1" si="6"/>
        <v>21.53</v>
      </c>
    </row>
    <row r="477" spans="1:5" x14ac:dyDescent="0.25">
      <c r="A477">
        <v>11</v>
      </c>
      <c r="B477">
        <v>32</v>
      </c>
      <c r="C477" t="s">
        <v>10</v>
      </c>
      <c r="D477" t="s">
        <v>32</v>
      </c>
      <c r="E477">
        <f t="shared" ca="1" si="6"/>
        <v>19.899999999999999</v>
      </c>
    </row>
    <row r="478" spans="1:5" x14ac:dyDescent="0.25">
      <c r="A478">
        <v>11</v>
      </c>
      <c r="B478">
        <v>33</v>
      </c>
      <c r="C478" t="s">
        <v>10</v>
      </c>
      <c r="D478" t="s">
        <v>33</v>
      </c>
      <c r="E478">
        <f t="shared" ca="1" si="6"/>
        <v>19.25</v>
      </c>
    </row>
    <row r="479" spans="1:5" x14ac:dyDescent="0.25">
      <c r="A479">
        <v>11</v>
      </c>
      <c r="B479">
        <v>34</v>
      </c>
      <c r="C479" t="s">
        <v>10</v>
      </c>
      <c r="D479" t="s">
        <v>34</v>
      </c>
      <c r="E479">
        <f t="shared" ca="1" si="6"/>
        <v>19.95</v>
      </c>
    </row>
    <row r="480" spans="1:5" x14ac:dyDescent="0.25">
      <c r="A480">
        <v>11</v>
      </c>
      <c r="B480">
        <v>35</v>
      </c>
      <c r="C480" t="s">
        <v>10</v>
      </c>
      <c r="D480" t="s">
        <v>35</v>
      </c>
      <c r="E480">
        <f t="shared" ca="1" si="6"/>
        <v>18.93</v>
      </c>
    </row>
    <row r="481" spans="1:5" x14ac:dyDescent="0.25">
      <c r="A481">
        <v>11</v>
      </c>
      <c r="B481">
        <v>36</v>
      </c>
      <c r="C481" t="s">
        <v>10</v>
      </c>
      <c r="D481" t="s">
        <v>36</v>
      </c>
      <c r="E481">
        <f t="shared" ca="1" si="6"/>
        <v>2.4300000000000002</v>
      </c>
    </row>
    <row r="482" spans="1:5" x14ac:dyDescent="0.25">
      <c r="A482">
        <v>11</v>
      </c>
      <c r="B482">
        <v>37</v>
      </c>
      <c r="C482" t="s">
        <v>10</v>
      </c>
      <c r="D482" t="s">
        <v>37</v>
      </c>
      <c r="E482">
        <f t="shared" ca="1" si="6"/>
        <v>7.72</v>
      </c>
    </row>
    <row r="483" spans="1:5" x14ac:dyDescent="0.25">
      <c r="A483">
        <v>11</v>
      </c>
      <c r="B483">
        <v>38</v>
      </c>
      <c r="C483" t="s">
        <v>10</v>
      </c>
      <c r="D483" t="s">
        <v>38</v>
      </c>
      <c r="E483">
        <f t="shared" ca="1" si="6"/>
        <v>3.2</v>
      </c>
    </row>
    <row r="484" spans="1:5" x14ac:dyDescent="0.25">
      <c r="A484">
        <v>11</v>
      </c>
      <c r="B484">
        <v>39</v>
      </c>
      <c r="C484" t="s">
        <v>10</v>
      </c>
      <c r="D484" t="s">
        <v>39</v>
      </c>
      <c r="E484">
        <f t="shared" ref="E484:E546" ca="1" si="7">OFFSET($B$3,A484,B484)</f>
        <v>5.58</v>
      </c>
    </row>
    <row r="485" spans="1:5" x14ac:dyDescent="0.25">
      <c r="A485">
        <v>11</v>
      </c>
      <c r="B485">
        <v>40</v>
      </c>
      <c r="C485" t="s">
        <v>10</v>
      </c>
      <c r="D485" t="s">
        <v>40</v>
      </c>
      <c r="E485">
        <f t="shared" ca="1" si="7"/>
        <v>6.71</v>
      </c>
    </row>
    <row r="486" spans="1:5" x14ac:dyDescent="0.25">
      <c r="A486">
        <v>12</v>
      </c>
      <c r="B486">
        <v>1</v>
      </c>
      <c r="C486" t="s">
        <v>11</v>
      </c>
      <c r="D486" t="s">
        <v>0</v>
      </c>
      <c r="E486">
        <f t="shared" ca="1" si="7"/>
        <v>16.25</v>
      </c>
    </row>
    <row r="487" spans="1:5" x14ac:dyDescent="0.25">
      <c r="A487">
        <v>12</v>
      </c>
      <c r="B487">
        <v>2</v>
      </c>
      <c r="C487" t="s">
        <v>11</v>
      </c>
      <c r="D487" t="s">
        <v>1</v>
      </c>
      <c r="E487">
        <f t="shared" ca="1" si="7"/>
        <v>14.86</v>
      </c>
    </row>
    <row r="488" spans="1:5" x14ac:dyDescent="0.25">
      <c r="A488">
        <v>12</v>
      </c>
      <c r="B488">
        <v>3</v>
      </c>
      <c r="C488" t="s">
        <v>11</v>
      </c>
      <c r="D488" t="s">
        <v>2</v>
      </c>
      <c r="E488">
        <f t="shared" ca="1" si="7"/>
        <v>14.75</v>
      </c>
    </row>
    <row r="489" spans="1:5" x14ac:dyDescent="0.25">
      <c r="A489">
        <v>12</v>
      </c>
      <c r="B489">
        <v>4</v>
      </c>
      <c r="C489" t="s">
        <v>11</v>
      </c>
      <c r="D489" t="s">
        <v>3</v>
      </c>
      <c r="E489">
        <f t="shared" ca="1" si="7"/>
        <v>20.76</v>
      </c>
    </row>
    <row r="490" spans="1:5" x14ac:dyDescent="0.25">
      <c r="A490">
        <v>12</v>
      </c>
      <c r="B490">
        <v>5</v>
      </c>
      <c r="C490" t="s">
        <v>11</v>
      </c>
      <c r="D490" t="s">
        <v>4</v>
      </c>
      <c r="E490">
        <f t="shared" ca="1" si="7"/>
        <v>22.15</v>
      </c>
    </row>
    <row r="491" spans="1:5" x14ac:dyDescent="0.25">
      <c r="A491">
        <v>12</v>
      </c>
      <c r="B491">
        <v>6</v>
      </c>
      <c r="C491" t="s">
        <v>11</v>
      </c>
      <c r="D491" t="s">
        <v>5</v>
      </c>
      <c r="E491">
        <f t="shared" ca="1" si="7"/>
        <v>22.75</v>
      </c>
    </row>
    <row r="492" spans="1:5" x14ac:dyDescent="0.25">
      <c r="A492">
        <v>12</v>
      </c>
      <c r="B492">
        <v>7</v>
      </c>
      <c r="C492" t="s">
        <v>11</v>
      </c>
      <c r="D492" t="s">
        <v>6</v>
      </c>
      <c r="E492">
        <f t="shared" ca="1" si="7"/>
        <v>20.68</v>
      </c>
    </row>
    <row r="493" spans="1:5" x14ac:dyDescent="0.25">
      <c r="A493">
        <v>12</v>
      </c>
      <c r="B493">
        <v>8</v>
      </c>
      <c r="C493" t="s">
        <v>11</v>
      </c>
      <c r="D493" t="s">
        <v>7</v>
      </c>
      <c r="E493">
        <f t="shared" ca="1" si="7"/>
        <v>19.5</v>
      </c>
    </row>
    <row r="494" spans="1:5" x14ac:dyDescent="0.25">
      <c r="A494">
        <v>12</v>
      </c>
      <c r="B494">
        <v>9</v>
      </c>
      <c r="C494" t="s">
        <v>11</v>
      </c>
      <c r="D494" t="s">
        <v>148</v>
      </c>
      <c r="E494">
        <f t="shared" ca="1" si="7"/>
        <v>17.600000000000001</v>
      </c>
    </row>
    <row r="495" spans="1:5" x14ac:dyDescent="0.25">
      <c r="A495">
        <v>12</v>
      </c>
      <c r="B495">
        <v>10</v>
      </c>
      <c r="C495" t="s">
        <v>11</v>
      </c>
      <c r="D495" t="s">
        <v>9</v>
      </c>
      <c r="E495">
        <f t="shared" ca="1" si="7"/>
        <v>21.56</v>
      </c>
    </row>
    <row r="496" spans="1:5" x14ac:dyDescent="0.25">
      <c r="A496">
        <v>12</v>
      </c>
      <c r="B496">
        <v>11</v>
      </c>
      <c r="C496" t="s">
        <v>11</v>
      </c>
      <c r="D496" t="s">
        <v>10</v>
      </c>
      <c r="E496">
        <f t="shared" ca="1" si="7"/>
        <v>3.75</v>
      </c>
    </row>
    <row r="497" spans="1:5" x14ac:dyDescent="0.25">
      <c r="A497">
        <v>12</v>
      </c>
      <c r="B497">
        <v>12</v>
      </c>
      <c r="C497" t="s">
        <v>11</v>
      </c>
      <c r="D497" t="s">
        <v>11</v>
      </c>
      <c r="E497">
        <f t="shared" ca="1" si="7"/>
        <v>0</v>
      </c>
    </row>
    <row r="498" spans="1:5" x14ac:dyDescent="0.25">
      <c r="A498">
        <v>12</v>
      </c>
      <c r="B498">
        <v>13</v>
      </c>
      <c r="C498" t="s">
        <v>11</v>
      </c>
      <c r="D498" t="s">
        <v>12</v>
      </c>
      <c r="E498">
        <f t="shared" ca="1" si="7"/>
        <v>2.2200000000000002</v>
      </c>
    </row>
    <row r="499" spans="1:5" x14ac:dyDescent="0.25">
      <c r="A499">
        <v>12</v>
      </c>
      <c r="B499">
        <v>14</v>
      </c>
      <c r="C499" t="s">
        <v>11</v>
      </c>
      <c r="D499" t="s">
        <v>13</v>
      </c>
      <c r="E499">
        <f t="shared" ca="1" si="7"/>
        <v>3.72</v>
      </c>
    </row>
    <row r="500" spans="1:5" x14ac:dyDescent="0.25">
      <c r="A500">
        <v>12</v>
      </c>
      <c r="B500">
        <v>15</v>
      </c>
      <c r="C500" t="s">
        <v>11</v>
      </c>
      <c r="D500" t="s">
        <v>14</v>
      </c>
      <c r="E500">
        <f t="shared" ca="1" si="7"/>
        <v>8.18</v>
      </c>
    </row>
    <row r="501" spans="1:5" x14ac:dyDescent="0.25">
      <c r="A501">
        <v>12</v>
      </c>
      <c r="B501">
        <v>16</v>
      </c>
      <c r="C501" t="s">
        <v>11</v>
      </c>
      <c r="D501" t="s">
        <v>15</v>
      </c>
      <c r="E501">
        <f t="shared" ca="1" si="7"/>
        <v>7.85</v>
      </c>
    </row>
    <row r="502" spans="1:5" x14ac:dyDescent="0.25">
      <c r="A502">
        <v>12</v>
      </c>
      <c r="B502">
        <v>17</v>
      </c>
      <c r="C502" t="s">
        <v>11</v>
      </c>
      <c r="D502" t="s">
        <v>16</v>
      </c>
      <c r="E502">
        <f t="shared" ca="1" si="7"/>
        <v>8.52</v>
      </c>
    </row>
    <row r="503" spans="1:5" x14ac:dyDescent="0.25">
      <c r="A503">
        <v>12</v>
      </c>
      <c r="B503">
        <v>18</v>
      </c>
      <c r="C503" t="s">
        <v>11</v>
      </c>
      <c r="D503" t="s">
        <v>17</v>
      </c>
      <c r="E503">
        <f t="shared" ca="1" si="7"/>
        <v>7.93</v>
      </c>
    </row>
    <row r="504" spans="1:5" x14ac:dyDescent="0.25">
      <c r="A504">
        <v>12</v>
      </c>
      <c r="B504">
        <v>19</v>
      </c>
      <c r="C504" t="s">
        <v>11</v>
      </c>
      <c r="D504" t="s">
        <v>18</v>
      </c>
      <c r="E504">
        <f t="shared" ca="1" si="7"/>
        <v>12.25</v>
      </c>
    </row>
    <row r="505" spans="1:5" x14ac:dyDescent="0.25">
      <c r="A505">
        <v>12</v>
      </c>
      <c r="B505">
        <v>20</v>
      </c>
      <c r="C505" t="s">
        <v>11</v>
      </c>
      <c r="D505" t="s">
        <v>19</v>
      </c>
      <c r="E505">
        <f t="shared" ca="1" si="7"/>
        <v>12.82</v>
      </c>
    </row>
    <row r="506" spans="1:5" x14ac:dyDescent="0.25">
      <c r="A506">
        <v>12</v>
      </c>
      <c r="B506">
        <v>21</v>
      </c>
      <c r="C506" t="s">
        <v>11</v>
      </c>
      <c r="D506" t="s">
        <v>20</v>
      </c>
      <c r="E506">
        <f t="shared" ca="1" si="7"/>
        <v>14.15</v>
      </c>
    </row>
    <row r="507" spans="1:5" x14ac:dyDescent="0.25">
      <c r="A507">
        <v>12</v>
      </c>
      <c r="B507">
        <v>22</v>
      </c>
      <c r="C507" t="s">
        <v>11</v>
      </c>
      <c r="D507" t="s">
        <v>21</v>
      </c>
      <c r="E507">
        <f t="shared" ca="1" si="7"/>
        <v>10.45</v>
      </c>
    </row>
    <row r="508" spans="1:5" x14ac:dyDescent="0.25">
      <c r="A508">
        <v>12</v>
      </c>
      <c r="B508">
        <v>23</v>
      </c>
      <c r="C508" t="s">
        <v>11</v>
      </c>
      <c r="D508" t="s">
        <v>22</v>
      </c>
      <c r="E508">
        <f t="shared" ca="1" si="7"/>
        <v>10.36</v>
      </c>
    </row>
    <row r="509" spans="1:5" x14ac:dyDescent="0.25">
      <c r="A509">
        <v>12</v>
      </c>
      <c r="B509">
        <v>24</v>
      </c>
      <c r="C509" t="s">
        <v>11</v>
      </c>
      <c r="D509" t="s">
        <v>23</v>
      </c>
      <c r="E509">
        <f t="shared" ca="1" si="7"/>
        <v>6.62</v>
      </c>
    </row>
    <row r="510" spans="1:5" x14ac:dyDescent="0.25">
      <c r="A510">
        <v>12</v>
      </c>
      <c r="B510">
        <v>25</v>
      </c>
      <c r="C510" t="s">
        <v>11</v>
      </c>
      <c r="D510" t="s">
        <v>24</v>
      </c>
      <c r="E510">
        <f t="shared" ca="1" si="7"/>
        <v>8.1300000000000008</v>
      </c>
    </row>
    <row r="511" spans="1:5" x14ac:dyDescent="0.25">
      <c r="A511">
        <v>12</v>
      </c>
      <c r="B511">
        <v>26</v>
      </c>
      <c r="C511" t="s">
        <v>11</v>
      </c>
      <c r="D511" t="s">
        <v>25</v>
      </c>
      <c r="E511">
        <f t="shared" ca="1" si="7"/>
        <v>9.25</v>
      </c>
    </row>
    <row r="512" spans="1:5" x14ac:dyDescent="0.25">
      <c r="A512">
        <v>12</v>
      </c>
      <c r="B512">
        <v>27</v>
      </c>
      <c r="C512" t="s">
        <v>11</v>
      </c>
      <c r="D512" t="s">
        <v>145</v>
      </c>
      <c r="E512">
        <f t="shared" ca="1" si="7"/>
        <v>12.06</v>
      </c>
    </row>
    <row r="513" spans="1:5" x14ac:dyDescent="0.25">
      <c r="A513">
        <v>12</v>
      </c>
      <c r="B513">
        <v>28</v>
      </c>
      <c r="C513" t="s">
        <v>11</v>
      </c>
      <c r="D513" t="s">
        <v>147</v>
      </c>
      <c r="E513">
        <f t="shared" ca="1" si="7"/>
        <v>10.73</v>
      </c>
    </row>
    <row r="514" spans="1:5" x14ac:dyDescent="0.25">
      <c r="A514">
        <v>12</v>
      </c>
      <c r="B514">
        <v>29</v>
      </c>
      <c r="C514" t="s">
        <v>11</v>
      </c>
      <c r="D514" t="s">
        <v>146</v>
      </c>
      <c r="E514">
        <f t="shared" ca="1" si="7"/>
        <v>7.12</v>
      </c>
    </row>
    <row r="515" spans="1:5" x14ac:dyDescent="0.25">
      <c r="A515">
        <v>12</v>
      </c>
      <c r="B515">
        <v>30</v>
      </c>
      <c r="C515" t="s">
        <v>11</v>
      </c>
      <c r="D515" t="s">
        <v>30</v>
      </c>
      <c r="E515">
        <f t="shared" ca="1" si="7"/>
        <v>18.350000000000001</v>
      </c>
    </row>
    <row r="516" spans="1:5" x14ac:dyDescent="0.25">
      <c r="A516">
        <v>12</v>
      </c>
      <c r="B516">
        <v>31</v>
      </c>
      <c r="C516" t="s">
        <v>11</v>
      </c>
      <c r="D516" t="s">
        <v>31</v>
      </c>
      <c r="E516">
        <f t="shared" ca="1" si="7"/>
        <v>18.38</v>
      </c>
    </row>
    <row r="517" spans="1:5" x14ac:dyDescent="0.25">
      <c r="A517">
        <v>12</v>
      </c>
      <c r="B517">
        <v>32</v>
      </c>
      <c r="C517" t="s">
        <v>11</v>
      </c>
      <c r="D517" t="s">
        <v>32</v>
      </c>
      <c r="E517">
        <f t="shared" ca="1" si="7"/>
        <v>17.46</v>
      </c>
    </row>
    <row r="518" spans="1:5" x14ac:dyDescent="0.25">
      <c r="A518">
        <v>12</v>
      </c>
      <c r="B518">
        <v>33</v>
      </c>
      <c r="C518" t="s">
        <v>11</v>
      </c>
      <c r="D518" t="s">
        <v>33</v>
      </c>
      <c r="E518">
        <f t="shared" ca="1" si="7"/>
        <v>16.43</v>
      </c>
    </row>
    <row r="519" spans="1:5" x14ac:dyDescent="0.25">
      <c r="A519">
        <v>12</v>
      </c>
      <c r="B519">
        <v>34</v>
      </c>
      <c r="C519" t="s">
        <v>11</v>
      </c>
      <c r="D519" t="s">
        <v>34</v>
      </c>
      <c r="E519">
        <f t="shared" ca="1" si="7"/>
        <v>16.82</v>
      </c>
    </row>
    <row r="520" spans="1:5" x14ac:dyDescent="0.25">
      <c r="A520">
        <v>12</v>
      </c>
      <c r="B520">
        <v>35</v>
      </c>
      <c r="C520" t="s">
        <v>11</v>
      </c>
      <c r="D520" t="s">
        <v>35</v>
      </c>
      <c r="E520">
        <f t="shared" ca="1" si="7"/>
        <v>16.510000000000002</v>
      </c>
    </row>
    <row r="521" spans="1:5" x14ac:dyDescent="0.25">
      <c r="A521">
        <v>12</v>
      </c>
      <c r="B521">
        <v>36</v>
      </c>
      <c r="C521" t="s">
        <v>11</v>
      </c>
      <c r="D521" t="s">
        <v>36</v>
      </c>
      <c r="E521">
        <f t="shared" ca="1" si="7"/>
        <v>4.26</v>
      </c>
    </row>
    <row r="522" spans="1:5" x14ac:dyDescent="0.25">
      <c r="A522">
        <v>12</v>
      </c>
      <c r="B522">
        <v>37</v>
      </c>
      <c r="C522" t="s">
        <v>11</v>
      </c>
      <c r="D522" t="s">
        <v>37</v>
      </c>
      <c r="E522">
        <f t="shared" ca="1" si="7"/>
        <v>9.2799999999999994</v>
      </c>
    </row>
    <row r="523" spans="1:5" x14ac:dyDescent="0.25">
      <c r="A523">
        <v>12</v>
      </c>
      <c r="B523">
        <v>38</v>
      </c>
      <c r="C523" t="s">
        <v>11</v>
      </c>
      <c r="D523" t="s">
        <v>38</v>
      </c>
      <c r="E523">
        <f t="shared" ca="1" si="7"/>
        <v>5.16</v>
      </c>
    </row>
    <row r="524" spans="1:5" x14ac:dyDescent="0.25">
      <c r="A524">
        <v>12</v>
      </c>
      <c r="B524">
        <v>39</v>
      </c>
      <c r="C524" t="s">
        <v>11</v>
      </c>
      <c r="D524" t="s">
        <v>39</v>
      </c>
      <c r="E524">
        <f t="shared" ca="1" si="7"/>
        <v>7.56</v>
      </c>
    </row>
    <row r="525" spans="1:5" x14ac:dyDescent="0.25">
      <c r="A525">
        <v>12</v>
      </c>
      <c r="B525">
        <v>40</v>
      </c>
      <c r="C525" t="s">
        <v>11</v>
      </c>
      <c r="D525" t="s">
        <v>40</v>
      </c>
      <c r="E525">
        <f t="shared" ca="1" si="7"/>
        <v>7.63</v>
      </c>
    </row>
    <row r="526" spans="1:5" x14ac:dyDescent="0.25">
      <c r="A526">
        <v>13</v>
      </c>
      <c r="B526">
        <v>1</v>
      </c>
      <c r="C526" t="s">
        <v>12</v>
      </c>
      <c r="D526" t="s">
        <v>0</v>
      </c>
      <c r="E526">
        <f t="shared" ca="1" si="7"/>
        <v>15.01</v>
      </c>
    </row>
    <row r="527" spans="1:5" x14ac:dyDescent="0.25">
      <c r="A527">
        <v>13</v>
      </c>
      <c r="B527">
        <v>2</v>
      </c>
      <c r="C527" t="s">
        <v>12</v>
      </c>
      <c r="D527" t="s">
        <v>1</v>
      </c>
      <c r="E527">
        <f t="shared" ca="1" si="7"/>
        <v>13.68</v>
      </c>
    </row>
    <row r="528" spans="1:5" x14ac:dyDescent="0.25">
      <c r="A528">
        <v>13</v>
      </c>
      <c r="B528">
        <v>3</v>
      </c>
      <c r="C528" t="s">
        <v>12</v>
      </c>
      <c r="D528" t="s">
        <v>2</v>
      </c>
      <c r="E528">
        <f t="shared" ca="1" si="7"/>
        <v>13.56</v>
      </c>
    </row>
    <row r="529" spans="1:5" x14ac:dyDescent="0.25">
      <c r="A529">
        <v>13</v>
      </c>
      <c r="B529">
        <v>4</v>
      </c>
      <c r="C529" t="s">
        <v>12</v>
      </c>
      <c r="D529" t="s">
        <v>3</v>
      </c>
      <c r="E529">
        <f t="shared" ca="1" si="7"/>
        <v>19.36</v>
      </c>
    </row>
    <row r="530" spans="1:5" x14ac:dyDescent="0.25">
      <c r="A530">
        <v>13</v>
      </c>
      <c r="B530">
        <v>5</v>
      </c>
      <c r="C530" t="s">
        <v>12</v>
      </c>
      <c r="D530" t="s">
        <v>4</v>
      </c>
      <c r="E530">
        <f t="shared" ca="1" si="7"/>
        <v>20.81</v>
      </c>
    </row>
    <row r="531" spans="1:5" x14ac:dyDescent="0.25">
      <c r="A531">
        <v>13</v>
      </c>
      <c r="B531">
        <v>6</v>
      </c>
      <c r="C531" t="s">
        <v>12</v>
      </c>
      <c r="D531" t="s">
        <v>5</v>
      </c>
      <c r="E531">
        <f t="shared" ca="1" si="7"/>
        <v>22.36</v>
      </c>
    </row>
    <row r="532" spans="1:5" x14ac:dyDescent="0.25">
      <c r="A532">
        <v>13</v>
      </c>
      <c r="B532">
        <v>7</v>
      </c>
      <c r="C532" t="s">
        <v>12</v>
      </c>
      <c r="D532" t="s">
        <v>6</v>
      </c>
      <c r="E532">
        <f t="shared" ca="1" si="7"/>
        <v>19.48</v>
      </c>
    </row>
    <row r="533" spans="1:5" x14ac:dyDescent="0.25">
      <c r="A533">
        <v>13</v>
      </c>
      <c r="B533">
        <v>8</v>
      </c>
      <c r="C533" t="s">
        <v>12</v>
      </c>
      <c r="D533" t="s">
        <v>7</v>
      </c>
      <c r="E533">
        <f t="shared" ca="1" si="7"/>
        <v>19.63</v>
      </c>
    </row>
    <row r="534" spans="1:5" x14ac:dyDescent="0.25">
      <c r="A534">
        <v>13</v>
      </c>
      <c r="B534">
        <v>9</v>
      </c>
      <c r="C534" t="s">
        <v>12</v>
      </c>
      <c r="D534" t="s">
        <v>148</v>
      </c>
      <c r="E534">
        <f t="shared" ca="1" si="7"/>
        <v>17.53</v>
      </c>
    </row>
    <row r="535" spans="1:5" x14ac:dyDescent="0.25">
      <c r="A535">
        <v>13</v>
      </c>
      <c r="B535">
        <v>10</v>
      </c>
      <c r="C535" t="s">
        <v>12</v>
      </c>
      <c r="D535" t="s">
        <v>9</v>
      </c>
      <c r="E535">
        <f t="shared" ca="1" si="7"/>
        <v>20.36</v>
      </c>
    </row>
    <row r="536" spans="1:5" x14ac:dyDescent="0.25">
      <c r="A536">
        <v>13</v>
      </c>
      <c r="B536">
        <v>11</v>
      </c>
      <c r="C536" t="s">
        <v>12</v>
      </c>
      <c r="D536" t="s">
        <v>10</v>
      </c>
      <c r="E536">
        <f t="shared" ca="1" si="7"/>
        <v>5.3</v>
      </c>
    </row>
    <row r="537" spans="1:5" x14ac:dyDescent="0.25">
      <c r="A537">
        <v>13</v>
      </c>
      <c r="B537">
        <v>12</v>
      </c>
      <c r="C537" t="s">
        <v>12</v>
      </c>
      <c r="D537" t="s">
        <v>11</v>
      </c>
      <c r="E537">
        <f t="shared" ca="1" si="7"/>
        <v>2.2200000000000002</v>
      </c>
    </row>
    <row r="538" spans="1:5" x14ac:dyDescent="0.25">
      <c r="A538">
        <v>13</v>
      </c>
      <c r="B538">
        <v>13</v>
      </c>
      <c r="C538" t="s">
        <v>12</v>
      </c>
      <c r="D538" t="s">
        <v>12</v>
      </c>
      <c r="E538">
        <f t="shared" ca="1" si="7"/>
        <v>0</v>
      </c>
    </row>
    <row r="539" spans="1:5" x14ac:dyDescent="0.25">
      <c r="A539">
        <v>13</v>
      </c>
      <c r="B539">
        <v>14</v>
      </c>
      <c r="C539" t="s">
        <v>12</v>
      </c>
      <c r="D539" t="s">
        <v>13</v>
      </c>
      <c r="E539">
        <f t="shared" ca="1" si="7"/>
        <v>0</v>
      </c>
    </row>
    <row r="540" spans="1:5" x14ac:dyDescent="0.25">
      <c r="A540">
        <v>13</v>
      </c>
      <c r="B540">
        <v>15</v>
      </c>
      <c r="C540" t="s">
        <v>12</v>
      </c>
      <c r="D540" t="s">
        <v>14</v>
      </c>
      <c r="E540">
        <f t="shared" ca="1" si="7"/>
        <v>6.93</v>
      </c>
    </row>
    <row r="541" spans="1:5" x14ac:dyDescent="0.25">
      <c r="A541">
        <v>13</v>
      </c>
      <c r="B541">
        <v>16</v>
      </c>
      <c r="C541" t="s">
        <v>12</v>
      </c>
      <c r="D541" t="s">
        <v>15</v>
      </c>
      <c r="E541">
        <f t="shared" ca="1" si="7"/>
        <v>7.38</v>
      </c>
    </row>
    <row r="542" spans="1:5" x14ac:dyDescent="0.25">
      <c r="A542">
        <v>13</v>
      </c>
      <c r="B542">
        <v>17</v>
      </c>
      <c r="C542" t="s">
        <v>12</v>
      </c>
      <c r="D542" t="s">
        <v>16</v>
      </c>
      <c r="E542">
        <f t="shared" ca="1" si="7"/>
        <v>8.4</v>
      </c>
    </row>
    <row r="543" spans="1:5" x14ac:dyDescent="0.25">
      <c r="A543">
        <v>13</v>
      </c>
      <c r="B543">
        <v>18</v>
      </c>
      <c r="C543" t="s">
        <v>12</v>
      </c>
      <c r="D543" t="s">
        <v>17</v>
      </c>
      <c r="E543">
        <f t="shared" ca="1" si="7"/>
        <v>7.6</v>
      </c>
    </row>
    <row r="544" spans="1:5" x14ac:dyDescent="0.25">
      <c r="A544">
        <v>13</v>
      </c>
      <c r="B544">
        <v>19</v>
      </c>
      <c r="C544" t="s">
        <v>12</v>
      </c>
      <c r="D544" t="s">
        <v>18</v>
      </c>
      <c r="E544">
        <f t="shared" ca="1" si="7"/>
        <v>11.03</v>
      </c>
    </row>
    <row r="545" spans="1:5" x14ac:dyDescent="0.25">
      <c r="A545">
        <v>13</v>
      </c>
      <c r="B545">
        <v>20</v>
      </c>
      <c r="C545" t="s">
        <v>12</v>
      </c>
      <c r="D545" t="s">
        <v>19</v>
      </c>
      <c r="E545">
        <f t="shared" ca="1" si="7"/>
        <v>11.65</v>
      </c>
    </row>
    <row r="546" spans="1:5" x14ac:dyDescent="0.25">
      <c r="A546">
        <v>13</v>
      </c>
      <c r="B546">
        <v>21</v>
      </c>
      <c r="C546" t="s">
        <v>12</v>
      </c>
      <c r="D546" t="s">
        <v>20</v>
      </c>
      <c r="E546">
        <f t="shared" ca="1" si="7"/>
        <v>13</v>
      </c>
    </row>
    <row r="547" spans="1:5" x14ac:dyDescent="0.25">
      <c r="A547">
        <v>13</v>
      </c>
      <c r="B547">
        <v>22</v>
      </c>
      <c r="C547" t="s">
        <v>12</v>
      </c>
      <c r="D547" t="s">
        <v>21</v>
      </c>
      <c r="E547">
        <f t="shared" ref="E547:E608" ca="1" si="8">OFFSET($B$3,A547,B547)</f>
        <v>9.33</v>
      </c>
    </row>
    <row r="548" spans="1:5" x14ac:dyDescent="0.25">
      <c r="A548">
        <v>13</v>
      </c>
      <c r="B548">
        <v>23</v>
      </c>
      <c r="C548" t="s">
        <v>12</v>
      </c>
      <c r="D548" t="s">
        <v>22</v>
      </c>
      <c r="E548">
        <f t="shared" ca="1" si="8"/>
        <v>9.32</v>
      </c>
    </row>
    <row r="549" spans="1:5" x14ac:dyDescent="0.25">
      <c r="A549">
        <v>13</v>
      </c>
      <c r="B549">
        <v>24</v>
      </c>
      <c r="C549" t="s">
        <v>12</v>
      </c>
      <c r="D549" t="s">
        <v>23</v>
      </c>
      <c r="E549">
        <f t="shared" ca="1" si="8"/>
        <v>5.42</v>
      </c>
    </row>
    <row r="550" spans="1:5" x14ac:dyDescent="0.25">
      <c r="A550">
        <v>13</v>
      </c>
      <c r="B550">
        <v>25</v>
      </c>
      <c r="C550" t="s">
        <v>12</v>
      </c>
      <c r="D550" t="s">
        <v>24</v>
      </c>
      <c r="E550">
        <f t="shared" ca="1" si="8"/>
        <v>7.06</v>
      </c>
    </row>
    <row r="551" spans="1:5" x14ac:dyDescent="0.25">
      <c r="A551">
        <v>13</v>
      </c>
      <c r="B551">
        <v>26</v>
      </c>
      <c r="C551" t="s">
        <v>12</v>
      </c>
      <c r="D551" t="s">
        <v>25</v>
      </c>
      <c r="E551">
        <f t="shared" ca="1" si="8"/>
        <v>8.08</v>
      </c>
    </row>
    <row r="552" spans="1:5" x14ac:dyDescent="0.25">
      <c r="A552">
        <v>13</v>
      </c>
      <c r="B552">
        <v>27</v>
      </c>
      <c r="C552" t="s">
        <v>12</v>
      </c>
      <c r="D552" t="s">
        <v>145</v>
      </c>
      <c r="E552">
        <f t="shared" ca="1" si="8"/>
        <v>10.95</v>
      </c>
    </row>
    <row r="553" spans="1:5" x14ac:dyDescent="0.25">
      <c r="A553">
        <v>13</v>
      </c>
      <c r="B553">
        <v>28</v>
      </c>
      <c r="C553" t="s">
        <v>12</v>
      </c>
      <c r="D553" t="s">
        <v>147</v>
      </c>
      <c r="E553">
        <f t="shared" ca="1" si="8"/>
        <v>9.58</v>
      </c>
    </row>
    <row r="554" spans="1:5" x14ac:dyDescent="0.25">
      <c r="A554">
        <v>13</v>
      </c>
      <c r="B554">
        <v>29</v>
      </c>
      <c r="C554" t="s">
        <v>12</v>
      </c>
      <c r="D554" t="s">
        <v>146</v>
      </c>
      <c r="E554">
        <f t="shared" ca="1" si="8"/>
        <v>6.03</v>
      </c>
    </row>
    <row r="555" spans="1:5" x14ac:dyDescent="0.25">
      <c r="A555">
        <v>13</v>
      </c>
      <c r="B555">
        <v>30</v>
      </c>
      <c r="C555" t="s">
        <v>12</v>
      </c>
      <c r="D555" t="s">
        <v>30</v>
      </c>
      <c r="E555">
        <f t="shared" ca="1" si="8"/>
        <v>17.600000000000001</v>
      </c>
    </row>
    <row r="556" spans="1:5" x14ac:dyDescent="0.25">
      <c r="A556">
        <v>13</v>
      </c>
      <c r="B556">
        <v>31</v>
      </c>
      <c r="C556" t="s">
        <v>12</v>
      </c>
      <c r="D556" t="s">
        <v>31</v>
      </c>
      <c r="E556">
        <f t="shared" ca="1" si="8"/>
        <v>17.23</v>
      </c>
    </row>
    <row r="557" spans="1:5" x14ac:dyDescent="0.25">
      <c r="A557">
        <v>13</v>
      </c>
      <c r="B557">
        <v>32</v>
      </c>
      <c r="C557" t="s">
        <v>12</v>
      </c>
      <c r="D557" t="s">
        <v>32</v>
      </c>
      <c r="E557">
        <f t="shared" ca="1" si="8"/>
        <v>16.260000000000002</v>
      </c>
    </row>
    <row r="558" spans="1:5" x14ac:dyDescent="0.25">
      <c r="A558">
        <v>13</v>
      </c>
      <c r="B558">
        <v>33</v>
      </c>
      <c r="C558" t="s">
        <v>12</v>
      </c>
      <c r="D558" t="s">
        <v>33</v>
      </c>
      <c r="E558">
        <f t="shared" ca="1" si="8"/>
        <v>15.62</v>
      </c>
    </row>
    <row r="559" spans="1:5" x14ac:dyDescent="0.25">
      <c r="A559">
        <v>13</v>
      </c>
      <c r="B559">
        <v>34</v>
      </c>
      <c r="C559" t="s">
        <v>12</v>
      </c>
      <c r="D559" t="s">
        <v>34</v>
      </c>
      <c r="E559">
        <f t="shared" ca="1" si="8"/>
        <v>15.62</v>
      </c>
    </row>
    <row r="560" spans="1:5" x14ac:dyDescent="0.25">
      <c r="A560">
        <v>13</v>
      </c>
      <c r="B560">
        <v>35</v>
      </c>
      <c r="C560" t="s">
        <v>12</v>
      </c>
      <c r="D560" t="s">
        <v>35</v>
      </c>
      <c r="E560">
        <f t="shared" ca="1" si="8"/>
        <v>15.28</v>
      </c>
    </row>
    <row r="561" spans="1:5" x14ac:dyDescent="0.25">
      <c r="A561">
        <v>13</v>
      </c>
      <c r="B561">
        <v>36</v>
      </c>
      <c r="C561" t="s">
        <v>12</v>
      </c>
      <c r="D561" t="s">
        <v>36</v>
      </c>
      <c r="E561">
        <f t="shared" ca="1" si="8"/>
        <v>5.0999999999999996</v>
      </c>
    </row>
    <row r="562" spans="1:5" x14ac:dyDescent="0.25">
      <c r="A562">
        <v>13</v>
      </c>
      <c r="B562">
        <v>37</v>
      </c>
      <c r="C562" t="s">
        <v>12</v>
      </c>
      <c r="D562" t="s">
        <v>37</v>
      </c>
      <c r="E562">
        <f t="shared" ca="1" si="8"/>
        <v>9.5</v>
      </c>
    </row>
    <row r="563" spans="1:5" x14ac:dyDescent="0.25">
      <c r="A563">
        <v>13</v>
      </c>
      <c r="B563">
        <v>38</v>
      </c>
      <c r="C563" t="s">
        <v>12</v>
      </c>
      <c r="D563" t="s">
        <v>38</v>
      </c>
      <c r="E563">
        <f t="shared" ca="1" si="8"/>
        <v>5.8</v>
      </c>
    </row>
    <row r="564" spans="1:5" x14ac:dyDescent="0.25">
      <c r="A564">
        <v>13</v>
      </c>
      <c r="B564">
        <v>39</v>
      </c>
      <c r="C564" t="s">
        <v>12</v>
      </c>
      <c r="D564" t="s">
        <v>39</v>
      </c>
      <c r="E564">
        <f t="shared" ca="1" si="8"/>
        <v>7.75</v>
      </c>
    </row>
    <row r="565" spans="1:5" x14ac:dyDescent="0.25">
      <c r="A565">
        <v>13</v>
      </c>
      <c r="B565">
        <v>40</v>
      </c>
      <c r="C565" t="s">
        <v>12</v>
      </c>
      <c r="D565" t="s">
        <v>40</v>
      </c>
      <c r="E565">
        <f t="shared" ca="1" si="8"/>
        <v>7.85</v>
      </c>
    </row>
    <row r="566" spans="1:5" x14ac:dyDescent="0.25">
      <c r="A566">
        <v>14</v>
      </c>
      <c r="B566">
        <v>1</v>
      </c>
      <c r="C566" t="s">
        <v>13</v>
      </c>
      <c r="D566" t="s">
        <v>0</v>
      </c>
      <c r="E566">
        <f t="shared" ca="1" si="8"/>
        <v>13.51</v>
      </c>
    </row>
    <row r="567" spans="1:5" x14ac:dyDescent="0.25">
      <c r="A567">
        <v>14</v>
      </c>
      <c r="B567">
        <v>2</v>
      </c>
      <c r="C567" t="s">
        <v>13</v>
      </c>
      <c r="D567" t="s">
        <v>1</v>
      </c>
      <c r="E567">
        <f t="shared" ca="1" si="8"/>
        <v>12.15</v>
      </c>
    </row>
    <row r="568" spans="1:5" x14ac:dyDescent="0.25">
      <c r="A568">
        <v>14</v>
      </c>
      <c r="B568">
        <v>3</v>
      </c>
      <c r="C568" t="s">
        <v>13</v>
      </c>
      <c r="D568" t="s">
        <v>2</v>
      </c>
      <c r="E568">
        <f t="shared" ca="1" si="8"/>
        <v>12.03</v>
      </c>
    </row>
    <row r="569" spans="1:5" x14ac:dyDescent="0.25">
      <c r="A569">
        <v>14</v>
      </c>
      <c r="B569">
        <v>4</v>
      </c>
      <c r="C569" t="s">
        <v>13</v>
      </c>
      <c r="D569" t="s">
        <v>3</v>
      </c>
      <c r="E569">
        <f t="shared" ca="1" si="8"/>
        <v>17.649999999999999</v>
      </c>
    </row>
    <row r="570" spans="1:5" x14ac:dyDescent="0.25">
      <c r="A570">
        <v>14</v>
      </c>
      <c r="B570">
        <v>5</v>
      </c>
      <c r="C570" t="s">
        <v>13</v>
      </c>
      <c r="D570" t="s">
        <v>4</v>
      </c>
      <c r="E570">
        <f t="shared" ca="1" si="8"/>
        <v>19.36</v>
      </c>
    </row>
    <row r="571" spans="1:5" x14ac:dyDescent="0.25">
      <c r="A571">
        <v>14</v>
      </c>
      <c r="B571">
        <v>6</v>
      </c>
      <c r="C571" t="s">
        <v>13</v>
      </c>
      <c r="D571" t="s">
        <v>5</v>
      </c>
      <c r="E571">
        <f t="shared" ca="1" si="8"/>
        <v>21.05</v>
      </c>
    </row>
    <row r="572" spans="1:5" x14ac:dyDescent="0.25">
      <c r="A572">
        <v>14</v>
      </c>
      <c r="B572">
        <v>7</v>
      </c>
      <c r="C572" t="s">
        <v>13</v>
      </c>
      <c r="D572" t="s">
        <v>6</v>
      </c>
      <c r="E572">
        <f t="shared" ca="1" si="8"/>
        <v>17.93</v>
      </c>
    </row>
    <row r="573" spans="1:5" x14ac:dyDescent="0.25">
      <c r="A573">
        <v>14</v>
      </c>
      <c r="B573">
        <v>8</v>
      </c>
      <c r="C573" t="s">
        <v>13</v>
      </c>
      <c r="D573" t="s">
        <v>7</v>
      </c>
      <c r="E573">
        <f t="shared" ca="1" si="8"/>
        <v>18.03</v>
      </c>
    </row>
    <row r="574" spans="1:5" x14ac:dyDescent="0.25">
      <c r="A574">
        <v>14</v>
      </c>
      <c r="B574">
        <v>9</v>
      </c>
      <c r="C574" t="s">
        <v>13</v>
      </c>
      <c r="D574" t="s">
        <v>148</v>
      </c>
      <c r="E574">
        <f t="shared" ca="1" si="8"/>
        <v>15.88</v>
      </c>
    </row>
    <row r="575" spans="1:5" x14ac:dyDescent="0.25">
      <c r="A575">
        <v>14</v>
      </c>
      <c r="B575">
        <v>10</v>
      </c>
      <c r="C575" t="s">
        <v>13</v>
      </c>
      <c r="D575" t="s">
        <v>9</v>
      </c>
      <c r="E575">
        <f t="shared" ca="1" si="8"/>
        <v>18.829999999999998</v>
      </c>
    </row>
    <row r="576" spans="1:5" x14ac:dyDescent="0.25">
      <c r="A576">
        <v>14</v>
      </c>
      <c r="B576">
        <v>11</v>
      </c>
      <c r="C576" t="s">
        <v>13</v>
      </c>
      <c r="D576" t="s">
        <v>10</v>
      </c>
      <c r="E576">
        <f t="shared" ca="1" si="8"/>
        <v>6</v>
      </c>
    </row>
    <row r="577" spans="1:5" x14ac:dyDescent="0.25">
      <c r="A577">
        <v>14</v>
      </c>
      <c r="B577">
        <v>12</v>
      </c>
      <c r="C577" t="s">
        <v>13</v>
      </c>
      <c r="D577" t="s">
        <v>11</v>
      </c>
      <c r="E577">
        <f t="shared" ca="1" si="8"/>
        <v>3.72</v>
      </c>
    </row>
    <row r="578" spans="1:5" x14ac:dyDescent="0.25">
      <c r="A578">
        <v>14</v>
      </c>
      <c r="B578">
        <v>13</v>
      </c>
      <c r="C578" t="s">
        <v>13</v>
      </c>
      <c r="D578" t="s">
        <v>12</v>
      </c>
      <c r="E578">
        <f t="shared" ca="1" si="8"/>
        <v>0</v>
      </c>
    </row>
    <row r="579" spans="1:5" x14ac:dyDescent="0.25">
      <c r="A579">
        <v>14</v>
      </c>
      <c r="B579">
        <v>14</v>
      </c>
      <c r="C579" t="s">
        <v>13</v>
      </c>
      <c r="D579" t="s">
        <v>13</v>
      </c>
      <c r="E579">
        <f t="shared" ca="1" si="8"/>
        <v>0</v>
      </c>
    </row>
    <row r="580" spans="1:5" x14ac:dyDescent="0.25">
      <c r="A580">
        <v>14</v>
      </c>
      <c r="B580">
        <v>15</v>
      </c>
      <c r="C580" t="s">
        <v>13</v>
      </c>
      <c r="D580" t="s">
        <v>14</v>
      </c>
      <c r="E580">
        <f t="shared" ca="1" si="8"/>
        <v>5.2</v>
      </c>
    </row>
    <row r="581" spans="1:5" x14ac:dyDescent="0.25">
      <c r="A581">
        <v>14</v>
      </c>
      <c r="B581">
        <v>16</v>
      </c>
      <c r="C581" t="s">
        <v>13</v>
      </c>
      <c r="D581" t="s">
        <v>15</v>
      </c>
      <c r="E581">
        <f t="shared" ca="1" si="8"/>
        <v>5.9</v>
      </c>
    </row>
    <row r="582" spans="1:5" x14ac:dyDescent="0.25">
      <c r="A582">
        <v>14</v>
      </c>
      <c r="B582">
        <v>17</v>
      </c>
      <c r="C582" t="s">
        <v>13</v>
      </c>
      <c r="D582" t="s">
        <v>16</v>
      </c>
      <c r="E582">
        <f t="shared" ca="1" si="8"/>
        <v>8.0299999999999994</v>
      </c>
    </row>
    <row r="583" spans="1:5" x14ac:dyDescent="0.25">
      <c r="A583">
        <v>14</v>
      </c>
      <c r="B583">
        <v>18</v>
      </c>
      <c r="C583" t="s">
        <v>13</v>
      </c>
      <c r="D583" t="s">
        <v>17</v>
      </c>
      <c r="E583">
        <f t="shared" ca="1" si="8"/>
        <v>7.26</v>
      </c>
    </row>
    <row r="584" spans="1:5" x14ac:dyDescent="0.25">
      <c r="A584">
        <v>14</v>
      </c>
      <c r="B584">
        <v>19</v>
      </c>
      <c r="C584" t="s">
        <v>13</v>
      </c>
      <c r="D584" t="s">
        <v>18</v>
      </c>
      <c r="E584">
        <f t="shared" ca="1" si="8"/>
        <v>9.4499999999999993</v>
      </c>
    </row>
    <row r="585" spans="1:5" x14ac:dyDescent="0.25">
      <c r="A585">
        <v>14</v>
      </c>
      <c r="B585">
        <v>20</v>
      </c>
      <c r="C585" t="s">
        <v>13</v>
      </c>
      <c r="D585" t="s">
        <v>19</v>
      </c>
      <c r="E585">
        <f t="shared" ca="1" si="8"/>
        <v>10</v>
      </c>
    </row>
    <row r="586" spans="1:5" x14ac:dyDescent="0.25">
      <c r="A586">
        <v>14</v>
      </c>
      <c r="B586">
        <v>21</v>
      </c>
      <c r="C586" t="s">
        <v>13</v>
      </c>
      <c r="D586" t="s">
        <v>20</v>
      </c>
      <c r="E586">
        <f t="shared" ca="1" si="8"/>
        <v>11.28</v>
      </c>
    </row>
    <row r="587" spans="1:5" x14ac:dyDescent="0.25">
      <c r="A587">
        <v>14</v>
      </c>
      <c r="B587">
        <v>22</v>
      </c>
      <c r="C587" t="s">
        <v>13</v>
      </c>
      <c r="D587" t="s">
        <v>21</v>
      </c>
      <c r="E587">
        <f t="shared" ca="1" si="8"/>
        <v>7.73</v>
      </c>
    </row>
    <row r="588" spans="1:5" x14ac:dyDescent="0.25">
      <c r="A588">
        <v>14</v>
      </c>
      <c r="B588">
        <v>23</v>
      </c>
      <c r="C588" t="s">
        <v>13</v>
      </c>
      <c r="D588" t="s">
        <v>22</v>
      </c>
      <c r="E588">
        <f t="shared" ca="1" si="8"/>
        <v>7.66</v>
      </c>
    </row>
    <row r="589" spans="1:5" x14ac:dyDescent="0.25">
      <c r="A589">
        <v>14</v>
      </c>
      <c r="B589">
        <v>24</v>
      </c>
      <c r="C589" t="s">
        <v>13</v>
      </c>
      <c r="D589" t="s">
        <v>23</v>
      </c>
      <c r="E589">
        <f t="shared" ca="1" si="8"/>
        <v>3.93</v>
      </c>
    </row>
    <row r="590" spans="1:5" x14ac:dyDescent="0.25">
      <c r="A590">
        <v>14</v>
      </c>
      <c r="B590">
        <v>25</v>
      </c>
      <c r="C590" t="s">
        <v>13</v>
      </c>
      <c r="D590" t="s">
        <v>24</v>
      </c>
      <c r="E590">
        <f t="shared" ca="1" si="8"/>
        <v>5.46</v>
      </c>
    </row>
    <row r="591" spans="1:5" x14ac:dyDescent="0.25">
      <c r="A591">
        <v>14</v>
      </c>
      <c r="B591">
        <v>26</v>
      </c>
      <c r="C591" t="s">
        <v>13</v>
      </c>
      <c r="D591" t="s">
        <v>25</v>
      </c>
      <c r="E591">
        <f t="shared" ca="1" si="8"/>
        <v>6.65</v>
      </c>
    </row>
    <row r="592" spans="1:5" x14ac:dyDescent="0.25">
      <c r="A592">
        <v>14</v>
      </c>
      <c r="B592">
        <v>27</v>
      </c>
      <c r="C592" t="s">
        <v>13</v>
      </c>
      <c r="D592" t="s">
        <v>145</v>
      </c>
      <c r="E592">
        <f t="shared" ca="1" si="8"/>
        <v>9.33</v>
      </c>
    </row>
    <row r="593" spans="1:5" x14ac:dyDescent="0.25">
      <c r="A593">
        <v>14</v>
      </c>
      <c r="B593">
        <v>28</v>
      </c>
      <c r="C593" t="s">
        <v>13</v>
      </c>
      <c r="D593" t="s">
        <v>147</v>
      </c>
      <c r="E593">
        <f t="shared" ca="1" si="8"/>
        <v>7.98</v>
      </c>
    </row>
    <row r="594" spans="1:5" x14ac:dyDescent="0.25">
      <c r="A594">
        <v>14</v>
      </c>
      <c r="B594">
        <v>29</v>
      </c>
      <c r="C594" t="s">
        <v>13</v>
      </c>
      <c r="D594" t="s">
        <v>146</v>
      </c>
      <c r="E594">
        <f t="shared" ca="1" si="8"/>
        <v>4.45</v>
      </c>
    </row>
    <row r="595" spans="1:5" x14ac:dyDescent="0.25">
      <c r="A595">
        <v>14</v>
      </c>
      <c r="B595">
        <v>30</v>
      </c>
      <c r="C595" t="s">
        <v>13</v>
      </c>
      <c r="D595" t="s">
        <v>30</v>
      </c>
      <c r="E595">
        <f t="shared" ca="1" si="8"/>
        <v>15.86</v>
      </c>
    </row>
    <row r="596" spans="1:5" x14ac:dyDescent="0.25">
      <c r="A596">
        <v>14</v>
      </c>
      <c r="B596">
        <v>31</v>
      </c>
      <c r="C596" t="s">
        <v>13</v>
      </c>
      <c r="D596" t="s">
        <v>31</v>
      </c>
      <c r="E596">
        <f t="shared" ca="1" si="8"/>
        <v>15.46</v>
      </c>
    </row>
    <row r="597" spans="1:5" x14ac:dyDescent="0.25">
      <c r="A597">
        <v>14</v>
      </c>
      <c r="B597">
        <v>32</v>
      </c>
      <c r="C597" t="s">
        <v>13</v>
      </c>
      <c r="D597" t="s">
        <v>32</v>
      </c>
      <c r="E597">
        <f t="shared" ca="1" si="8"/>
        <v>14.48</v>
      </c>
    </row>
    <row r="598" spans="1:5" x14ac:dyDescent="0.25">
      <c r="A598">
        <v>14</v>
      </c>
      <c r="B598">
        <v>33</v>
      </c>
      <c r="C598" t="s">
        <v>13</v>
      </c>
      <c r="D598" t="s">
        <v>33</v>
      </c>
      <c r="E598">
        <f t="shared" ca="1" si="8"/>
        <v>13.83</v>
      </c>
    </row>
    <row r="599" spans="1:5" x14ac:dyDescent="0.25">
      <c r="A599">
        <v>14</v>
      </c>
      <c r="B599">
        <v>34</v>
      </c>
      <c r="C599" t="s">
        <v>13</v>
      </c>
      <c r="D599" t="s">
        <v>34</v>
      </c>
      <c r="E599">
        <f t="shared" ca="1" si="8"/>
        <v>13.85</v>
      </c>
    </row>
    <row r="600" spans="1:5" x14ac:dyDescent="0.25">
      <c r="A600">
        <v>14</v>
      </c>
      <c r="B600">
        <v>35</v>
      </c>
      <c r="C600" t="s">
        <v>13</v>
      </c>
      <c r="D600" t="s">
        <v>35</v>
      </c>
      <c r="E600">
        <f t="shared" ca="1" si="8"/>
        <v>13.52</v>
      </c>
    </row>
    <row r="601" spans="1:5" x14ac:dyDescent="0.25">
      <c r="A601">
        <v>14</v>
      </c>
      <c r="B601">
        <v>36</v>
      </c>
      <c r="C601" t="s">
        <v>13</v>
      </c>
      <c r="D601" t="s">
        <v>36</v>
      </c>
      <c r="E601">
        <f t="shared" ca="1" si="8"/>
        <v>5.58</v>
      </c>
    </row>
    <row r="602" spans="1:5" x14ac:dyDescent="0.25">
      <c r="A602">
        <v>14</v>
      </c>
      <c r="B602">
        <v>37</v>
      </c>
      <c r="C602" t="s">
        <v>13</v>
      </c>
      <c r="D602" t="s">
        <v>37</v>
      </c>
      <c r="E602">
        <f t="shared" ca="1" si="8"/>
        <v>9.85</v>
      </c>
    </row>
    <row r="603" spans="1:5" x14ac:dyDescent="0.25">
      <c r="A603">
        <v>14</v>
      </c>
      <c r="B603">
        <v>38</v>
      </c>
      <c r="C603" t="s">
        <v>13</v>
      </c>
      <c r="D603" t="s">
        <v>38</v>
      </c>
      <c r="E603">
        <f t="shared" ca="1" si="8"/>
        <v>6.2</v>
      </c>
    </row>
    <row r="604" spans="1:5" x14ac:dyDescent="0.25">
      <c r="A604">
        <v>14</v>
      </c>
      <c r="B604">
        <v>39</v>
      </c>
      <c r="C604" t="s">
        <v>13</v>
      </c>
      <c r="D604" t="s">
        <v>39</v>
      </c>
      <c r="E604">
        <f t="shared" ca="1" si="8"/>
        <v>8.1300000000000008</v>
      </c>
    </row>
    <row r="605" spans="1:5" x14ac:dyDescent="0.25">
      <c r="A605">
        <v>14</v>
      </c>
      <c r="B605">
        <v>40</v>
      </c>
      <c r="C605" t="s">
        <v>13</v>
      </c>
      <c r="D605" t="s">
        <v>40</v>
      </c>
      <c r="E605">
        <f t="shared" ca="1" si="8"/>
        <v>8.3000000000000007</v>
      </c>
    </row>
    <row r="606" spans="1:5" x14ac:dyDescent="0.25">
      <c r="A606">
        <v>15</v>
      </c>
      <c r="B606">
        <v>1</v>
      </c>
      <c r="C606" t="s">
        <v>14</v>
      </c>
      <c r="D606" t="s">
        <v>0</v>
      </c>
      <c r="E606">
        <f t="shared" ca="1" si="8"/>
        <v>14.42</v>
      </c>
    </row>
    <row r="607" spans="1:5" x14ac:dyDescent="0.25">
      <c r="A607">
        <v>15</v>
      </c>
      <c r="B607">
        <v>2</v>
      </c>
      <c r="C607" t="s">
        <v>14</v>
      </c>
      <c r="D607" t="s">
        <v>1</v>
      </c>
      <c r="E607">
        <f t="shared" ca="1" si="8"/>
        <v>13.35</v>
      </c>
    </row>
    <row r="608" spans="1:5" x14ac:dyDescent="0.25">
      <c r="A608">
        <v>15</v>
      </c>
      <c r="B608">
        <v>3</v>
      </c>
      <c r="C608" t="s">
        <v>14</v>
      </c>
      <c r="D608" t="s">
        <v>2</v>
      </c>
      <c r="E608">
        <f t="shared" ca="1" si="8"/>
        <v>13.56</v>
      </c>
    </row>
    <row r="609" spans="1:5" x14ac:dyDescent="0.25">
      <c r="A609">
        <v>15</v>
      </c>
      <c r="B609">
        <v>4</v>
      </c>
      <c r="C609" t="s">
        <v>14</v>
      </c>
      <c r="D609" t="s">
        <v>3</v>
      </c>
      <c r="E609">
        <f t="shared" ref="E609:E671" ca="1" si="9">OFFSET($B$3,A609,B609)</f>
        <v>17.46</v>
      </c>
    </row>
    <row r="610" spans="1:5" x14ac:dyDescent="0.25">
      <c r="A610">
        <v>15</v>
      </c>
      <c r="B610">
        <v>5</v>
      </c>
      <c r="C610" t="s">
        <v>14</v>
      </c>
      <c r="D610" t="s">
        <v>4</v>
      </c>
      <c r="E610">
        <f t="shared" ca="1" si="9"/>
        <v>18.82</v>
      </c>
    </row>
    <row r="611" spans="1:5" x14ac:dyDescent="0.25">
      <c r="A611">
        <v>15</v>
      </c>
      <c r="B611">
        <v>6</v>
      </c>
      <c r="C611" t="s">
        <v>14</v>
      </c>
      <c r="D611" t="s">
        <v>5</v>
      </c>
      <c r="E611">
        <f t="shared" ca="1" si="9"/>
        <v>19.95</v>
      </c>
    </row>
    <row r="612" spans="1:5" x14ac:dyDescent="0.25">
      <c r="A612">
        <v>15</v>
      </c>
      <c r="B612">
        <v>7</v>
      </c>
      <c r="C612" t="s">
        <v>14</v>
      </c>
      <c r="D612" t="s">
        <v>6</v>
      </c>
      <c r="E612">
        <f t="shared" ca="1" si="9"/>
        <v>19</v>
      </c>
    </row>
    <row r="613" spans="1:5" x14ac:dyDescent="0.25">
      <c r="A613">
        <v>15</v>
      </c>
      <c r="B613">
        <v>8</v>
      </c>
      <c r="C613" t="s">
        <v>14</v>
      </c>
      <c r="D613" t="s">
        <v>7</v>
      </c>
      <c r="E613">
        <f t="shared" ca="1" si="9"/>
        <v>18.22</v>
      </c>
    </row>
    <row r="614" spans="1:5" x14ac:dyDescent="0.25">
      <c r="A614">
        <v>15</v>
      </c>
      <c r="B614">
        <v>9</v>
      </c>
      <c r="C614" t="s">
        <v>14</v>
      </c>
      <c r="D614" t="s">
        <v>148</v>
      </c>
      <c r="E614">
        <f t="shared" ca="1" si="9"/>
        <v>15.76</v>
      </c>
    </row>
    <row r="615" spans="1:5" x14ac:dyDescent="0.25">
      <c r="A615">
        <v>15</v>
      </c>
      <c r="B615">
        <v>10</v>
      </c>
      <c r="C615" t="s">
        <v>14</v>
      </c>
      <c r="D615" t="s">
        <v>9</v>
      </c>
      <c r="E615">
        <f t="shared" ca="1" si="9"/>
        <v>20.149999999999999</v>
      </c>
    </row>
    <row r="616" spans="1:5" x14ac:dyDescent="0.25">
      <c r="A616">
        <v>15</v>
      </c>
      <c r="B616">
        <v>11</v>
      </c>
      <c r="C616" t="s">
        <v>14</v>
      </c>
      <c r="D616" t="s">
        <v>10</v>
      </c>
      <c r="E616">
        <f t="shared" ca="1" si="9"/>
        <v>10</v>
      </c>
    </row>
    <row r="617" spans="1:5" x14ac:dyDescent="0.25">
      <c r="A617">
        <v>15</v>
      </c>
      <c r="B617">
        <v>12</v>
      </c>
      <c r="C617" t="s">
        <v>14</v>
      </c>
      <c r="D617" t="s">
        <v>11</v>
      </c>
      <c r="E617">
        <f t="shared" ca="1" si="9"/>
        <v>8.18</v>
      </c>
    </row>
    <row r="618" spans="1:5" x14ac:dyDescent="0.25">
      <c r="A618">
        <v>15</v>
      </c>
      <c r="B618">
        <v>13</v>
      </c>
      <c r="C618" t="s">
        <v>14</v>
      </c>
      <c r="D618" t="s">
        <v>12</v>
      </c>
      <c r="E618">
        <f t="shared" ca="1" si="9"/>
        <v>6.93</v>
      </c>
    </row>
    <row r="619" spans="1:5" x14ac:dyDescent="0.25">
      <c r="A619">
        <v>15</v>
      </c>
      <c r="B619">
        <v>14</v>
      </c>
      <c r="C619" t="s">
        <v>14</v>
      </c>
      <c r="D619" t="s">
        <v>13</v>
      </c>
      <c r="E619">
        <f t="shared" ca="1" si="9"/>
        <v>5.2</v>
      </c>
    </row>
    <row r="620" spans="1:5" x14ac:dyDescent="0.25">
      <c r="A620">
        <v>15</v>
      </c>
      <c r="B620">
        <v>15</v>
      </c>
      <c r="C620" t="s">
        <v>14</v>
      </c>
      <c r="D620" t="s">
        <v>14</v>
      </c>
      <c r="E620">
        <f t="shared" ca="1" si="9"/>
        <v>0</v>
      </c>
    </row>
    <row r="621" spans="1:5" x14ac:dyDescent="0.25">
      <c r="A621">
        <v>15</v>
      </c>
      <c r="B621">
        <v>16</v>
      </c>
      <c r="C621" t="s">
        <v>14</v>
      </c>
      <c r="D621" t="s">
        <v>15</v>
      </c>
      <c r="E621">
        <f t="shared" ca="1" si="9"/>
        <v>3.85</v>
      </c>
    </row>
    <row r="622" spans="1:5" x14ac:dyDescent="0.25">
      <c r="A622">
        <v>15</v>
      </c>
      <c r="B622">
        <v>17</v>
      </c>
      <c r="C622" t="s">
        <v>14</v>
      </c>
      <c r="D622" t="s">
        <v>16</v>
      </c>
      <c r="E622">
        <f t="shared" ca="1" si="9"/>
        <v>9.15</v>
      </c>
    </row>
    <row r="623" spans="1:5" x14ac:dyDescent="0.25">
      <c r="A623">
        <v>15</v>
      </c>
      <c r="B623">
        <v>18</v>
      </c>
      <c r="C623" t="s">
        <v>14</v>
      </c>
      <c r="D623" t="s">
        <v>17</v>
      </c>
      <c r="E623">
        <f t="shared" ca="1" si="9"/>
        <v>6.01</v>
      </c>
    </row>
    <row r="624" spans="1:5" x14ac:dyDescent="0.25">
      <c r="A624">
        <v>15</v>
      </c>
      <c r="B624">
        <v>19</v>
      </c>
      <c r="C624" t="s">
        <v>14</v>
      </c>
      <c r="D624" t="s">
        <v>18</v>
      </c>
      <c r="E624">
        <f t="shared" ca="1" si="9"/>
        <v>12</v>
      </c>
    </row>
    <row r="625" spans="1:5" x14ac:dyDescent="0.25">
      <c r="A625">
        <v>15</v>
      </c>
      <c r="B625">
        <v>20</v>
      </c>
      <c r="C625" t="s">
        <v>14</v>
      </c>
      <c r="D625" t="s">
        <v>19</v>
      </c>
      <c r="E625">
        <f t="shared" ca="1" si="9"/>
        <v>11.82</v>
      </c>
    </row>
    <row r="626" spans="1:5" x14ac:dyDescent="0.25">
      <c r="A626">
        <v>15</v>
      </c>
      <c r="B626">
        <v>21</v>
      </c>
      <c r="C626" t="s">
        <v>14</v>
      </c>
      <c r="D626" t="s">
        <v>20</v>
      </c>
      <c r="E626">
        <f t="shared" ca="1" si="9"/>
        <v>12.63</v>
      </c>
    </row>
    <row r="627" spans="1:5" x14ac:dyDescent="0.25">
      <c r="A627">
        <v>15</v>
      </c>
      <c r="B627">
        <v>22</v>
      </c>
      <c r="C627" t="s">
        <v>14</v>
      </c>
      <c r="D627" t="s">
        <v>21</v>
      </c>
      <c r="E627">
        <f t="shared" ca="1" si="9"/>
        <v>10.15</v>
      </c>
    </row>
    <row r="628" spans="1:5" x14ac:dyDescent="0.25">
      <c r="A628">
        <v>15</v>
      </c>
      <c r="B628">
        <v>23</v>
      </c>
      <c r="C628" t="s">
        <v>14</v>
      </c>
      <c r="D628" t="s">
        <v>22</v>
      </c>
      <c r="E628">
        <f t="shared" ca="1" si="9"/>
        <v>8.1199999999999992</v>
      </c>
    </row>
    <row r="629" spans="1:5" x14ac:dyDescent="0.25">
      <c r="A629">
        <v>15</v>
      </c>
      <c r="B629">
        <v>24</v>
      </c>
      <c r="C629" t="s">
        <v>14</v>
      </c>
      <c r="D629" t="s">
        <v>23</v>
      </c>
      <c r="E629">
        <f t="shared" ca="1" si="9"/>
        <v>6</v>
      </c>
    </row>
    <row r="630" spans="1:5" x14ac:dyDescent="0.25">
      <c r="A630">
        <v>15</v>
      </c>
      <c r="B630">
        <v>25</v>
      </c>
      <c r="C630" t="s">
        <v>14</v>
      </c>
      <c r="D630" t="s">
        <v>24</v>
      </c>
      <c r="E630">
        <f t="shared" ca="1" si="9"/>
        <v>7.83</v>
      </c>
    </row>
    <row r="631" spans="1:5" x14ac:dyDescent="0.25">
      <c r="A631">
        <v>15</v>
      </c>
      <c r="B631">
        <v>26</v>
      </c>
      <c r="C631" t="s">
        <v>14</v>
      </c>
      <c r="D631" t="s">
        <v>25</v>
      </c>
      <c r="E631">
        <f t="shared" ca="1" si="9"/>
        <v>4.32</v>
      </c>
    </row>
    <row r="632" spans="1:5" x14ac:dyDescent="0.25">
      <c r="A632">
        <v>15</v>
      </c>
      <c r="B632">
        <v>27</v>
      </c>
      <c r="C632" t="s">
        <v>14</v>
      </c>
      <c r="D632" t="s">
        <v>145</v>
      </c>
      <c r="E632">
        <f t="shared" ca="1" si="9"/>
        <v>10.56</v>
      </c>
    </row>
    <row r="633" spans="1:5" x14ac:dyDescent="0.25">
      <c r="A633">
        <v>15</v>
      </c>
      <c r="B633">
        <v>28</v>
      </c>
      <c r="C633" t="s">
        <v>14</v>
      </c>
      <c r="D633" t="s">
        <v>147</v>
      </c>
      <c r="E633">
        <f t="shared" ca="1" si="9"/>
        <v>10.43</v>
      </c>
    </row>
    <row r="634" spans="1:5" x14ac:dyDescent="0.25">
      <c r="A634">
        <v>15</v>
      </c>
      <c r="B634">
        <v>29</v>
      </c>
      <c r="C634" t="s">
        <v>14</v>
      </c>
      <c r="D634" t="s">
        <v>146</v>
      </c>
      <c r="E634">
        <f t="shared" ca="1" si="9"/>
        <v>6.8</v>
      </c>
    </row>
    <row r="635" spans="1:5" x14ac:dyDescent="0.25">
      <c r="A635">
        <v>15</v>
      </c>
      <c r="B635">
        <v>30</v>
      </c>
      <c r="C635" t="s">
        <v>14</v>
      </c>
      <c r="D635" t="s">
        <v>30</v>
      </c>
      <c r="E635">
        <f t="shared" ca="1" si="9"/>
        <v>17.22</v>
      </c>
    </row>
    <row r="636" spans="1:5" x14ac:dyDescent="0.25">
      <c r="A636">
        <v>15</v>
      </c>
      <c r="B636">
        <v>31</v>
      </c>
      <c r="C636" t="s">
        <v>14</v>
      </c>
      <c r="D636" t="s">
        <v>31</v>
      </c>
      <c r="E636">
        <f t="shared" ca="1" si="9"/>
        <v>16.5</v>
      </c>
    </row>
    <row r="637" spans="1:5" x14ac:dyDescent="0.25">
      <c r="A637">
        <v>15</v>
      </c>
      <c r="B637">
        <v>32</v>
      </c>
      <c r="C637" t="s">
        <v>14</v>
      </c>
      <c r="D637" t="s">
        <v>32</v>
      </c>
      <c r="E637">
        <f t="shared" ca="1" si="9"/>
        <v>15.9</v>
      </c>
    </row>
    <row r="638" spans="1:5" x14ac:dyDescent="0.25">
      <c r="A638">
        <v>15</v>
      </c>
      <c r="B638">
        <v>33</v>
      </c>
      <c r="C638" t="s">
        <v>14</v>
      </c>
      <c r="D638" t="s">
        <v>33</v>
      </c>
      <c r="E638">
        <f t="shared" ca="1" si="9"/>
        <v>15.25</v>
      </c>
    </row>
    <row r="639" spans="1:5" x14ac:dyDescent="0.25">
      <c r="A639">
        <v>15</v>
      </c>
      <c r="B639">
        <v>34</v>
      </c>
      <c r="C639" t="s">
        <v>14</v>
      </c>
      <c r="D639" t="s">
        <v>34</v>
      </c>
      <c r="E639">
        <f t="shared" ca="1" si="9"/>
        <v>15.35</v>
      </c>
    </row>
    <row r="640" spans="1:5" x14ac:dyDescent="0.25">
      <c r="A640">
        <v>15</v>
      </c>
      <c r="B640">
        <v>35</v>
      </c>
      <c r="C640" t="s">
        <v>14</v>
      </c>
      <c r="D640" t="s">
        <v>35</v>
      </c>
      <c r="E640">
        <f t="shared" ca="1" si="9"/>
        <v>14.93</v>
      </c>
    </row>
    <row r="641" spans="1:5" x14ac:dyDescent="0.25">
      <c r="A641">
        <v>15</v>
      </c>
      <c r="B641">
        <v>36</v>
      </c>
      <c r="C641" t="s">
        <v>14</v>
      </c>
      <c r="D641" t="s">
        <v>36</v>
      </c>
      <c r="E641">
        <f t="shared" ca="1" si="9"/>
        <v>9.5299999999999994</v>
      </c>
    </row>
    <row r="642" spans="1:5" x14ac:dyDescent="0.25">
      <c r="A642">
        <v>15</v>
      </c>
      <c r="B642">
        <v>37</v>
      </c>
      <c r="C642" t="s">
        <v>14</v>
      </c>
      <c r="D642" t="s">
        <v>37</v>
      </c>
      <c r="E642">
        <f t="shared" ca="1" si="9"/>
        <v>12.08</v>
      </c>
    </row>
    <row r="643" spans="1:5" x14ac:dyDescent="0.25">
      <c r="A643">
        <v>15</v>
      </c>
      <c r="B643">
        <v>38</v>
      </c>
      <c r="C643" t="s">
        <v>14</v>
      </c>
      <c r="D643" t="s">
        <v>38</v>
      </c>
      <c r="E643">
        <f t="shared" ca="1" si="9"/>
        <v>10.15</v>
      </c>
    </row>
    <row r="644" spans="1:5" x14ac:dyDescent="0.25">
      <c r="A644">
        <v>15</v>
      </c>
      <c r="B644">
        <v>39</v>
      </c>
      <c r="C644" t="s">
        <v>14</v>
      </c>
      <c r="D644" t="s">
        <v>39</v>
      </c>
      <c r="E644">
        <f t="shared" ca="1" si="9"/>
        <v>11.5</v>
      </c>
    </row>
    <row r="645" spans="1:5" x14ac:dyDescent="0.25">
      <c r="A645">
        <v>15</v>
      </c>
      <c r="B645">
        <v>40</v>
      </c>
      <c r="C645" t="s">
        <v>14</v>
      </c>
      <c r="D645" t="s">
        <v>40</v>
      </c>
      <c r="E645">
        <f t="shared" ca="1" si="9"/>
        <v>10.96</v>
      </c>
    </row>
    <row r="646" spans="1:5" x14ac:dyDescent="0.25">
      <c r="A646">
        <v>16</v>
      </c>
      <c r="B646">
        <v>1</v>
      </c>
      <c r="C646" t="s">
        <v>15</v>
      </c>
      <c r="D646" t="s">
        <v>0</v>
      </c>
      <c r="E646">
        <f t="shared" ca="1" si="9"/>
        <v>17.059999999999999</v>
      </c>
    </row>
    <row r="647" spans="1:5" x14ac:dyDescent="0.25">
      <c r="A647">
        <v>16</v>
      </c>
      <c r="B647">
        <v>2</v>
      </c>
      <c r="C647" t="s">
        <v>15</v>
      </c>
      <c r="D647" t="s">
        <v>1</v>
      </c>
      <c r="E647">
        <f t="shared" ca="1" si="9"/>
        <v>16.329999999999998</v>
      </c>
    </row>
    <row r="648" spans="1:5" x14ac:dyDescent="0.25">
      <c r="A648">
        <v>16</v>
      </c>
      <c r="B648">
        <v>3</v>
      </c>
      <c r="C648" t="s">
        <v>15</v>
      </c>
      <c r="D648" t="s">
        <v>2</v>
      </c>
      <c r="E648">
        <f t="shared" ca="1" si="9"/>
        <v>16.21</v>
      </c>
    </row>
    <row r="649" spans="1:5" x14ac:dyDescent="0.25">
      <c r="A649">
        <v>16</v>
      </c>
      <c r="B649">
        <v>4</v>
      </c>
      <c r="C649" t="s">
        <v>15</v>
      </c>
      <c r="D649" t="s">
        <v>3</v>
      </c>
      <c r="E649">
        <f t="shared" ca="1" si="9"/>
        <v>20.6</v>
      </c>
    </row>
    <row r="650" spans="1:5" x14ac:dyDescent="0.25">
      <c r="A650">
        <v>16</v>
      </c>
      <c r="B650">
        <v>5</v>
      </c>
      <c r="C650" t="s">
        <v>15</v>
      </c>
      <c r="D650" t="s">
        <v>4</v>
      </c>
      <c r="E650">
        <f t="shared" ca="1" si="9"/>
        <v>21.06</v>
      </c>
    </row>
    <row r="651" spans="1:5" x14ac:dyDescent="0.25">
      <c r="A651">
        <v>16</v>
      </c>
      <c r="B651">
        <v>6</v>
      </c>
      <c r="C651" t="s">
        <v>15</v>
      </c>
      <c r="D651" t="s">
        <v>5</v>
      </c>
      <c r="E651">
        <f t="shared" ca="1" si="9"/>
        <v>22.56</v>
      </c>
    </row>
    <row r="652" spans="1:5" x14ac:dyDescent="0.25">
      <c r="A652">
        <v>16</v>
      </c>
      <c r="B652">
        <v>7</v>
      </c>
      <c r="C652" t="s">
        <v>15</v>
      </c>
      <c r="D652" t="s">
        <v>6</v>
      </c>
      <c r="E652">
        <f t="shared" ca="1" si="9"/>
        <v>21</v>
      </c>
    </row>
    <row r="653" spans="1:5" x14ac:dyDescent="0.25">
      <c r="A653">
        <v>16</v>
      </c>
      <c r="B653">
        <v>8</v>
      </c>
      <c r="C653" t="s">
        <v>15</v>
      </c>
      <c r="D653" t="s">
        <v>7</v>
      </c>
      <c r="E653">
        <f t="shared" ca="1" si="9"/>
        <v>18.809999999999999</v>
      </c>
    </row>
    <row r="654" spans="1:5" x14ac:dyDescent="0.25">
      <c r="A654">
        <v>16</v>
      </c>
      <c r="B654">
        <v>9</v>
      </c>
      <c r="C654" t="s">
        <v>15</v>
      </c>
      <c r="D654" t="s">
        <v>148</v>
      </c>
      <c r="E654">
        <f t="shared" ca="1" si="9"/>
        <v>18.600000000000001</v>
      </c>
    </row>
    <row r="655" spans="1:5" x14ac:dyDescent="0.25">
      <c r="A655">
        <v>16</v>
      </c>
      <c r="B655">
        <v>10</v>
      </c>
      <c r="C655" t="s">
        <v>15</v>
      </c>
      <c r="D655" t="s">
        <v>9</v>
      </c>
      <c r="E655">
        <f t="shared" ca="1" si="9"/>
        <v>21.95</v>
      </c>
    </row>
    <row r="656" spans="1:5" x14ac:dyDescent="0.25">
      <c r="A656">
        <v>16</v>
      </c>
      <c r="B656">
        <v>11</v>
      </c>
      <c r="C656" t="s">
        <v>15</v>
      </c>
      <c r="D656" t="s">
        <v>10</v>
      </c>
      <c r="E656">
        <f t="shared" ca="1" si="9"/>
        <v>8.66</v>
      </c>
    </row>
    <row r="657" spans="1:5" x14ac:dyDescent="0.25">
      <c r="A657">
        <v>16</v>
      </c>
      <c r="B657">
        <v>12</v>
      </c>
      <c r="C657" t="s">
        <v>15</v>
      </c>
      <c r="D657" t="s">
        <v>11</v>
      </c>
      <c r="E657">
        <f t="shared" ca="1" si="9"/>
        <v>7.85</v>
      </c>
    </row>
    <row r="658" spans="1:5" x14ac:dyDescent="0.25">
      <c r="A658">
        <v>16</v>
      </c>
      <c r="B658">
        <v>13</v>
      </c>
      <c r="C658" t="s">
        <v>15</v>
      </c>
      <c r="D658" t="s">
        <v>12</v>
      </c>
      <c r="E658">
        <f t="shared" ca="1" si="9"/>
        <v>7.38</v>
      </c>
    </row>
    <row r="659" spans="1:5" x14ac:dyDescent="0.25">
      <c r="A659">
        <v>16</v>
      </c>
      <c r="B659">
        <v>14</v>
      </c>
      <c r="C659" t="s">
        <v>15</v>
      </c>
      <c r="D659" t="s">
        <v>13</v>
      </c>
      <c r="E659">
        <f t="shared" ca="1" si="9"/>
        <v>5.9</v>
      </c>
    </row>
    <row r="660" spans="1:5" x14ac:dyDescent="0.25">
      <c r="A660">
        <v>16</v>
      </c>
      <c r="B660">
        <v>15</v>
      </c>
      <c r="C660" t="s">
        <v>15</v>
      </c>
      <c r="D660" t="s">
        <v>14</v>
      </c>
      <c r="E660">
        <f t="shared" ca="1" si="9"/>
        <v>3.85</v>
      </c>
    </row>
    <row r="661" spans="1:5" x14ac:dyDescent="0.25">
      <c r="A661">
        <v>16</v>
      </c>
      <c r="B661">
        <v>16</v>
      </c>
      <c r="C661" t="s">
        <v>15</v>
      </c>
      <c r="D661" t="s">
        <v>15</v>
      </c>
      <c r="E661">
        <f t="shared" ca="1" si="9"/>
        <v>0</v>
      </c>
    </row>
    <row r="662" spans="1:5" x14ac:dyDescent="0.25">
      <c r="A662">
        <v>16</v>
      </c>
      <c r="B662">
        <v>17</v>
      </c>
      <c r="C662" t="s">
        <v>15</v>
      </c>
      <c r="D662" t="s">
        <v>16</v>
      </c>
      <c r="E662">
        <f t="shared" ca="1" si="9"/>
        <v>5.68</v>
      </c>
    </row>
    <row r="663" spans="1:5" x14ac:dyDescent="0.25">
      <c r="A663">
        <v>16</v>
      </c>
      <c r="B663">
        <v>18</v>
      </c>
      <c r="C663" t="s">
        <v>15</v>
      </c>
      <c r="D663" t="s">
        <v>17</v>
      </c>
      <c r="E663">
        <f t="shared" ca="1" si="9"/>
        <v>2.4500000000000002</v>
      </c>
    </row>
    <row r="664" spans="1:5" x14ac:dyDescent="0.25">
      <c r="A664">
        <v>16</v>
      </c>
      <c r="B664">
        <v>19</v>
      </c>
      <c r="C664" t="s">
        <v>15</v>
      </c>
      <c r="D664" t="s">
        <v>18</v>
      </c>
      <c r="E664">
        <f t="shared" ca="1" si="9"/>
        <v>14.21</v>
      </c>
    </row>
    <row r="665" spans="1:5" x14ac:dyDescent="0.25">
      <c r="A665">
        <v>16</v>
      </c>
      <c r="B665">
        <v>20</v>
      </c>
      <c r="C665" t="s">
        <v>15</v>
      </c>
      <c r="D665" t="s">
        <v>19</v>
      </c>
      <c r="E665">
        <f t="shared" ca="1" si="9"/>
        <v>14.81</v>
      </c>
    </row>
    <row r="666" spans="1:5" x14ac:dyDescent="0.25">
      <c r="A666">
        <v>16</v>
      </c>
      <c r="B666">
        <v>21</v>
      </c>
      <c r="C666" t="s">
        <v>15</v>
      </c>
      <c r="D666" t="s">
        <v>20</v>
      </c>
      <c r="E666">
        <f t="shared" ca="1" si="9"/>
        <v>15.92</v>
      </c>
    </row>
    <row r="667" spans="1:5" x14ac:dyDescent="0.25">
      <c r="A667">
        <v>16</v>
      </c>
      <c r="B667">
        <v>22</v>
      </c>
      <c r="C667" t="s">
        <v>15</v>
      </c>
      <c r="D667" t="s">
        <v>21</v>
      </c>
      <c r="E667">
        <f t="shared" ca="1" si="9"/>
        <v>12.26</v>
      </c>
    </row>
    <row r="668" spans="1:5" x14ac:dyDescent="0.25">
      <c r="A668">
        <v>16</v>
      </c>
      <c r="B668">
        <v>23</v>
      </c>
      <c r="C668" t="s">
        <v>15</v>
      </c>
      <c r="D668" t="s">
        <v>22</v>
      </c>
      <c r="E668">
        <f t="shared" ca="1" si="9"/>
        <v>11.35</v>
      </c>
    </row>
    <row r="669" spans="1:5" x14ac:dyDescent="0.25">
      <c r="A669">
        <v>16</v>
      </c>
      <c r="B669">
        <v>24</v>
      </c>
      <c r="C669" t="s">
        <v>15</v>
      </c>
      <c r="D669" t="s">
        <v>23</v>
      </c>
      <c r="E669">
        <f t="shared" ca="1" si="9"/>
        <v>8.08</v>
      </c>
    </row>
    <row r="670" spans="1:5" x14ac:dyDescent="0.25">
      <c r="A670">
        <v>16</v>
      </c>
      <c r="B670">
        <v>25</v>
      </c>
      <c r="C670" t="s">
        <v>15</v>
      </c>
      <c r="D670" t="s">
        <v>24</v>
      </c>
      <c r="E670">
        <f t="shared" ca="1" si="9"/>
        <v>9.86</v>
      </c>
    </row>
    <row r="671" spans="1:5" x14ac:dyDescent="0.25">
      <c r="A671">
        <v>16</v>
      </c>
      <c r="B671">
        <v>26</v>
      </c>
      <c r="C671" t="s">
        <v>15</v>
      </c>
      <c r="D671" t="s">
        <v>25</v>
      </c>
      <c r="E671">
        <f t="shared" ca="1" si="9"/>
        <v>6.85</v>
      </c>
    </row>
    <row r="672" spans="1:5" x14ac:dyDescent="0.25">
      <c r="A672">
        <v>16</v>
      </c>
      <c r="B672">
        <v>27</v>
      </c>
      <c r="C672" t="s">
        <v>15</v>
      </c>
      <c r="D672" t="s">
        <v>145</v>
      </c>
      <c r="E672">
        <f t="shared" ref="E672:E733" ca="1" si="10">OFFSET($B$3,A672,B672)</f>
        <v>13.75</v>
      </c>
    </row>
    <row r="673" spans="1:5" x14ac:dyDescent="0.25">
      <c r="A673">
        <v>16</v>
      </c>
      <c r="B673">
        <v>28</v>
      </c>
      <c r="C673" t="s">
        <v>15</v>
      </c>
      <c r="D673" t="s">
        <v>147</v>
      </c>
      <c r="E673">
        <f t="shared" ca="1" si="10"/>
        <v>12.62</v>
      </c>
    </row>
    <row r="674" spans="1:5" x14ac:dyDescent="0.25">
      <c r="A674">
        <v>16</v>
      </c>
      <c r="B674">
        <v>29</v>
      </c>
      <c r="C674" t="s">
        <v>15</v>
      </c>
      <c r="D674" t="s">
        <v>146</v>
      </c>
      <c r="E674">
        <f t="shared" ca="1" si="10"/>
        <v>8.8000000000000007</v>
      </c>
    </row>
    <row r="675" spans="1:5" x14ac:dyDescent="0.25">
      <c r="A675">
        <v>16</v>
      </c>
      <c r="B675">
        <v>30</v>
      </c>
      <c r="C675" t="s">
        <v>15</v>
      </c>
      <c r="D675" t="s">
        <v>30</v>
      </c>
      <c r="E675">
        <f t="shared" ca="1" si="10"/>
        <v>19.75</v>
      </c>
    </row>
    <row r="676" spans="1:5" x14ac:dyDescent="0.25">
      <c r="A676">
        <v>16</v>
      </c>
      <c r="B676">
        <v>31</v>
      </c>
      <c r="C676" t="s">
        <v>15</v>
      </c>
      <c r="D676" t="s">
        <v>31</v>
      </c>
      <c r="E676">
        <f t="shared" ca="1" si="10"/>
        <v>20.13</v>
      </c>
    </row>
    <row r="677" spans="1:5" x14ac:dyDescent="0.25">
      <c r="A677">
        <v>16</v>
      </c>
      <c r="B677">
        <v>32</v>
      </c>
      <c r="C677" t="s">
        <v>15</v>
      </c>
      <c r="D677" t="s">
        <v>32</v>
      </c>
      <c r="E677">
        <f t="shared" ca="1" si="10"/>
        <v>18.46</v>
      </c>
    </row>
    <row r="678" spans="1:5" x14ac:dyDescent="0.25">
      <c r="A678">
        <v>16</v>
      </c>
      <c r="B678">
        <v>33</v>
      </c>
      <c r="C678" t="s">
        <v>15</v>
      </c>
      <c r="D678" t="s">
        <v>33</v>
      </c>
      <c r="E678">
        <f t="shared" ca="1" si="10"/>
        <v>18.66</v>
      </c>
    </row>
    <row r="679" spans="1:5" x14ac:dyDescent="0.25">
      <c r="A679">
        <v>16</v>
      </c>
      <c r="B679">
        <v>34</v>
      </c>
      <c r="C679" t="s">
        <v>15</v>
      </c>
      <c r="D679" t="s">
        <v>34</v>
      </c>
      <c r="E679">
        <f t="shared" ca="1" si="10"/>
        <v>18.399999999999999</v>
      </c>
    </row>
    <row r="680" spans="1:5" x14ac:dyDescent="0.25">
      <c r="A680">
        <v>16</v>
      </c>
      <c r="B680">
        <v>35</v>
      </c>
      <c r="C680" t="s">
        <v>15</v>
      </c>
      <c r="D680" t="s">
        <v>35</v>
      </c>
      <c r="E680">
        <f t="shared" ca="1" si="10"/>
        <v>18.2</v>
      </c>
    </row>
    <row r="681" spans="1:5" x14ac:dyDescent="0.25">
      <c r="A681">
        <v>16</v>
      </c>
      <c r="B681">
        <v>36</v>
      </c>
      <c r="C681" t="s">
        <v>15</v>
      </c>
      <c r="D681" t="s">
        <v>36</v>
      </c>
      <c r="E681">
        <f t="shared" ca="1" si="10"/>
        <v>8.08</v>
      </c>
    </row>
    <row r="682" spans="1:5" x14ac:dyDescent="0.25">
      <c r="A682">
        <v>16</v>
      </c>
      <c r="B682">
        <v>37</v>
      </c>
      <c r="C682" t="s">
        <v>15</v>
      </c>
      <c r="D682" t="s">
        <v>37</v>
      </c>
      <c r="E682">
        <f t="shared" ca="1" si="10"/>
        <v>8.58</v>
      </c>
    </row>
    <row r="683" spans="1:5" x14ac:dyDescent="0.25">
      <c r="A683">
        <v>16</v>
      </c>
      <c r="B683">
        <v>38</v>
      </c>
      <c r="C683" t="s">
        <v>15</v>
      </c>
      <c r="D683" t="s">
        <v>38</v>
      </c>
      <c r="E683">
        <f t="shared" ca="1" si="10"/>
        <v>8.18</v>
      </c>
    </row>
    <row r="684" spans="1:5" x14ac:dyDescent="0.25">
      <c r="A684">
        <v>16</v>
      </c>
      <c r="B684">
        <v>39</v>
      </c>
      <c r="C684" t="s">
        <v>15</v>
      </c>
      <c r="D684" t="s">
        <v>39</v>
      </c>
      <c r="E684">
        <f t="shared" ca="1" si="10"/>
        <v>9.1199999999999992</v>
      </c>
    </row>
    <row r="685" spans="1:5" x14ac:dyDescent="0.25">
      <c r="A685">
        <v>16</v>
      </c>
      <c r="B685">
        <v>40</v>
      </c>
      <c r="C685" t="s">
        <v>15</v>
      </c>
      <c r="D685" t="s">
        <v>40</v>
      </c>
      <c r="E685">
        <f t="shared" ca="1" si="10"/>
        <v>8.6300000000000008</v>
      </c>
    </row>
    <row r="686" spans="1:5" x14ac:dyDescent="0.25">
      <c r="A686">
        <v>17</v>
      </c>
      <c r="B686">
        <v>1</v>
      </c>
      <c r="C686" t="s">
        <v>16</v>
      </c>
      <c r="D686" t="s">
        <v>0</v>
      </c>
      <c r="E686">
        <f t="shared" ca="1" si="10"/>
        <v>21.4</v>
      </c>
    </row>
    <row r="687" spans="1:5" x14ac:dyDescent="0.25">
      <c r="A687">
        <v>17</v>
      </c>
      <c r="B687">
        <v>2</v>
      </c>
      <c r="C687" t="s">
        <v>16</v>
      </c>
      <c r="D687" t="s">
        <v>1</v>
      </c>
      <c r="E687">
        <f t="shared" ca="1" si="10"/>
        <v>19.260000000000002</v>
      </c>
    </row>
    <row r="688" spans="1:5" x14ac:dyDescent="0.25">
      <c r="A688">
        <v>17</v>
      </c>
      <c r="B688">
        <v>3</v>
      </c>
      <c r="C688" t="s">
        <v>16</v>
      </c>
      <c r="D688" t="s">
        <v>2</v>
      </c>
      <c r="E688">
        <f t="shared" ca="1" si="10"/>
        <v>19.86</v>
      </c>
    </row>
    <row r="689" spans="1:5" x14ac:dyDescent="0.25">
      <c r="A689">
        <v>17</v>
      </c>
      <c r="B689">
        <v>4</v>
      </c>
      <c r="C689" t="s">
        <v>16</v>
      </c>
      <c r="D689" t="s">
        <v>3</v>
      </c>
      <c r="E689">
        <f t="shared" ca="1" si="10"/>
        <v>25</v>
      </c>
    </row>
    <row r="690" spans="1:5" x14ac:dyDescent="0.25">
      <c r="A690">
        <v>17</v>
      </c>
      <c r="B690">
        <v>5</v>
      </c>
      <c r="C690" t="s">
        <v>16</v>
      </c>
      <c r="D690" t="s">
        <v>4</v>
      </c>
      <c r="E690">
        <f t="shared" ca="1" si="10"/>
        <v>26</v>
      </c>
    </row>
    <row r="691" spans="1:5" x14ac:dyDescent="0.25">
      <c r="A691">
        <v>17</v>
      </c>
      <c r="B691">
        <v>6</v>
      </c>
      <c r="C691" t="s">
        <v>16</v>
      </c>
      <c r="D691" t="s">
        <v>5</v>
      </c>
      <c r="E691">
        <f t="shared" ca="1" si="10"/>
        <v>28</v>
      </c>
    </row>
    <row r="692" spans="1:5" x14ac:dyDescent="0.25">
      <c r="A692">
        <v>17</v>
      </c>
      <c r="B692">
        <v>7</v>
      </c>
      <c r="C692" t="s">
        <v>16</v>
      </c>
      <c r="D692" t="s">
        <v>6</v>
      </c>
      <c r="E692">
        <f t="shared" ca="1" si="10"/>
        <v>25</v>
      </c>
    </row>
    <row r="693" spans="1:5" x14ac:dyDescent="0.25">
      <c r="A693">
        <v>17</v>
      </c>
      <c r="B693">
        <v>8</v>
      </c>
      <c r="C693" t="s">
        <v>16</v>
      </c>
      <c r="D693" t="s">
        <v>7</v>
      </c>
      <c r="E693">
        <f t="shared" ca="1" si="10"/>
        <v>24</v>
      </c>
    </row>
    <row r="694" spans="1:5" x14ac:dyDescent="0.25">
      <c r="A694">
        <v>17</v>
      </c>
      <c r="B694">
        <v>9</v>
      </c>
      <c r="C694" t="s">
        <v>16</v>
      </c>
      <c r="D694" t="s">
        <v>148</v>
      </c>
      <c r="E694">
        <f t="shared" ca="1" si="10"/>
        <v>22.36</v>
      </c>
    </row>
    <row r="695" spans="1:5" x14ac:dyDescent="0.25">
      <c r="A695">
        <v>17</v>
      </c>
      <c r="B695">
        <v>10</v>
      </c>
      <c r="C695" t="s">
        <v>16</v>
      </c>
      <c r="D695" t="s">
        <v>9</v>
      </c>
      <c r="E695">
        <f t="shared" ca="1" si="10"/>
        <v>26</v>
      </c>
    </row>
    <row r="696" spans="1:5" x14ac:dyDescent="0.25">
      <c r="A696">
        <v>17</v>
      </c>
      <c r="B696">
        <v>11</v>
      </c>
      <c r="C696" t="s">
        <v>16</v>
      </c>
      <c r="D696" t="s">
        <v>10</v>
      </c>
      <c r="E696">
        <f t="shared" ca="1" si="10"/>
        <v>9.33</v>
      </c>
    </row>
    <row r="697" spans="1:5" x14ac:dyDescent="0.25">
      <c r="A697">
        <v>17</v>
      </c>
      <c r="B697">
        <v>12</v>
      </c>
      <c r="C697" t="s">
        <v>16</v>
      </c>
      <c r="D697" t="s">
        <v>11</v>
      </c>
      <c r="E697">
        <f t="shared" ca="1" si="10"/>
        <v>8.52</v>
      </c>
    </row>
    <row r="698" spans="1:5" x14ac:dyDescent="0.25">
      <c r="A698">
        <v>17</v>
      </c>
      <c r="B698">
        <v>13</v>
      </c>
      <c r="C698" t="s">
        <v>16</v>
      </c>
      <c r="D698" t="s">
        <v>12</v>
      </c>
      <c r="E698">
        <f t="shared" ca="1" si="10"/>
        <v>8.4</v>
      </c>
    </row>
    <row r="699" spans="1:5" x14ac:dyDescent="0.25">
      <c r="A699">
        <v>17</v>
      </c>
      <c r="B699">
        <v>14</v>
      </c>
      <c r="C699" t="s">
        <v>16</v>
      </c>
      <c r="D699" t="s">
        <v>13</v>
      </c>
      <c r="E699">
        <f t="shared" ca="1" si="10"/>
        <v>8.0299999999999994</v>
      </c>
    </row>
    <row r="700" spans="1:5" x14ac:dyDescent="0.25">
      <c r="A700">
        <v>17</v>
      </c>
      <c r="B700">
        <v>15</v>
      </c>
      <c r="C700" t="s">
        <v>16</v>
      </c>
      <c r="D700" t="s">
        <v>14</v>
      </c>
      <c r="E700">
        <f t="shared" ca="1" si="10"/>
        <v>9.15</v>
      </c>
    </row>
    <row r="701" spans="1:5" x14ac:dyDescent="0.25">
      <c r="A701">
        <v>17</v>
      </c>
      <c r="B701">
        <v>16</v>
      </c>
      <c r="C701" t="s">
        <v>16</v>
      </c>
      <c r="D701" t="s">
        <v>15</v>
      </c>
      <c r="E701">
        <f t="shared" ca="1" si="10"/>
        <v>5.68</v>
      </c>
    </row>
    <row r="702" spans="1:5" x14ac:dyDescent="0.25">
      <c r="A702">
        <v>17</v>
      </c>
      <c r="B702">
        <v>17</v>
      </c>
      <c r="C702" t="s">
        <v>16</v>
      </c>
      <c r="D702" t="s">
        <v>16</v>
      </c>
      <c r="E702">
        <f t="shared" ca="1" si="10"/>
        <v>0</v>
      </c>
    </row>
    <row r="703" spans="1:5" x14ac:dyDescent="0.25">
      <c r="A703">
        <v>17</v>
      </c>
      <c r="B703">
        <v>18</v>
      </c>
      <c r="C703" t="s">
        <v>16</v>
      </c>
      <c r="D703" t="s">
        <v>17</v>
      </c>
      <c r="E703">
        <f t="shared" ca="1" si="10"/>
        <v>4.25</v>
      </c>
    </row>
    <row r="704" spans="1:5" x14ac:dyDescent="0.25">
      <c r="A704">
        <v>17</v>
      </c>
      <c r="B704">
        <v>19</v>
      </c>
      <c r="C704" t="s">
        <v>16</v>
      </c>
      <c r="D704" t="s">
        <v>18</v>
      </c>
      <c r="E704">
        <f t="shared" ca="1" si="10"/>
        <v>17.63</v>
      </c>
    </row>
    <row r="705" spans="1:5" x14ac:dyDescent="0.25">
      <c r="A705">
        <v>17</v>
      </c>
      <c r="B705">
        <v>20</v>
      </c>
      <c r="C705" t="s">
        <v>16</v>
      </c>
      <c r="D705" t="s">
        <v>19</v>
      </c>
      <c r="E705">
        <f t="shared" ca="1" si="10"/>
        <v>18.22</v>
      </c>
    </row>
    <row r="706" spans="1:5" x14ac:dyDescent="0.25">
      <c r="A706">
        <v>17</v>
      </c>
      <c r="B706">
        <v>21</v>
      </c>
      <c r="C706" t="s">
        <v>16</v>
      </c>
      <c r="D706" t="s">
        <v>20</v>
      </c>
      <c r="E706">
        <f t="shared" ca="1" si="10"/>
        <v>19.43</v>
      </c>
    </row>
    <row r="707" spans="1:5" x14ac:dyDescent="0.25">
      <c r="A707">
        <v>17</v>
      </c>
      <c r="B707">
        <v>22</v>
      </c>
      <c r="C707" t="s">
        <v>16</v>
      </c>
      <c r="D707" t="s">
        <v>21</v>
      </c>
      <c r="E707">
        <f t="shared" ca="1" si="10"/>
        <v>15.46</v>
      </c>
    </row>
    <row r="708" spans="1:5" x14ac:dyDescent="0.25">
      <c r="A708">
        <v>17</v>
      </c>
      <c r="B708">
        <v>23</v>
      </c>
      <c r="C708" t="s">
        <v>16</v>
      </c>
      <c r="D708" t="s">
        <v>22</v>
      </c>
      <c r="E708">
        <f t="shared" ca="1" si="10"/>
        <v>15.51</v>
      </c>
    </row>
    <row r="709" spans="1:5" x14ac:dyDescent="0.25">
      <c r="A709">
        <v>17</v>
      </c>
      <c r="B709">
        <v>24</v>
      </c>
      <c r="C709" t="s">
        <v>16</v>
      </c>
      <c r="D709" t="s">
        <v>23</v>
      </c>
      <c r="E709">
        <f t="shared" ca="1" si="10"/>
        <v>11.5</v>
      </c>
    </row>
    <row r="710" spans="1:5" x14ac:dyDescent="0.25">
      <c r="A710">
        <v>17</v>
      </c>
      <c r="B710">
        <v>25</v>
      </c>
      <c r="C710" t="s">
        <v>16</v>
      </c>
      <c r="D710" t="s">
        <v>24</v>
      </c>
      <c r="E710">
        <f t="shared" ca="1" si="10"/>
        <v>13.08</v>
      </c>
    </row>
    <row r="711" spans="1:5" x14ac:dyDescent="0.25">
      <c r="A711">
        <v>17</v>
      </c>
      <c r="B711">
        <v>26</v>
      </c>
      <c r="C711" t="s">
        <v>16</v>
      </c>
      <c r="D711" t="s">
        <v>25</v>
      </c>
      <c r="E711">
        <f t="shared" ca="1" si="10"/>
        <v>12.23</v>
      </c>
    </row>
    <row r="712" spans="1:5" x14ac:dyDescent="0.25">
      <c r="A712">
        <v>17</v>
      </c>
      <c r="B712">
        <v>27</v>
      </c>
      <c r="C712" t="s">
        <v>16</v>
      </c>
      <c r="D712" t="s">
        <v>145</v>
      </c>
      <c r="E712">
        <f t="shared" ca="1" si="10"/>
        <v>17.5</v>
      </c>
    </row>
    <row r="713" spans="1:5" x14ac:dyDescent="0.25">
      <c r="A713">
        <v>17</v>
      </c>
      <c r="B713">
        <v>28</v>
      </c>
      <c r="C713" t="s">
        <v>16</v>
      </c>
      <c r="D713" t="s">
        <v>147</v>
      </c>
      <c r="E713">
        <f t="shared" ca="1" si="10"/>
        <v>15.98</v>
      </c>
    </row>
    <row r="714" spans="1:5" x14ac:dyDescent="0.25">
      <c r="A714">
        <v>17</v>
      </c>
      <c r="B714">
        <v>29</v>
      </c>
      <c r="C714" t="s">
        <v>16</v>
      </c>
      <c r="D714" t="s">
        <v>146</v>
      </c>
      <c r="E714">
        <f t="shared" ca="1" si="10"/>
        <v>11.86</v>
      </c>
    </row>
    <row r="715" spans="1:5" x14ac:dyDescent="0.25">
      <c r="A715">
        <v>17</v>
      </c>
      <c r="B715">
        <v>30</v>
      </c>
      <c r="C715" t="s">
        <v>16</v>
      </c>
      <c r="D715" t="s">
        <v>30</v>
      </c>
      <c r="E715">
        <f t="shared" ca="1" si="10"/>
        <v>23.06</v>
      </c>
    </row>
    <row r="716" spans="1:5" x14ac:dyDescent="0.25">
      <c r="A716">
        <v>17</v>
      </c>
      <c r="B716">
        <v>31</v>
      </c>
      <c r="C716" t="s">
        <v>16</v>
      </c>
      <c r="D716" t="s">
        <v>31</v>
      </c>
      <c r="E716">
        <f t="shared" ca="1" si="10"/>
        <v>22.66</v>
      </c>
    </row>
    <row r="717" spans="1:5" x14ac:dyDescent="0.25">
      <c r="A717">
        <v>17</v>
      </c>
      <c r="B717">
        <v>32</v>
      </c>
      <c r="C717" t="s">
        <v>16</v>
      </c>
      <c r="D717" t="s">
        <v>32</v>
      </c>
      <c r="E717">
        <f t="shared" ca="1" si="10"/>
        <v>21.78</v>
      </c>
    </row>
    <row r="718" spans="1:5" x14ac:dyDescent="0.25">
      <c r="A718">
        <v>17</v>
      </c>
      <c r="B718">
        <v>33</v>
      </c>
      <c r="C718" t="s">
        <v>16</v>
      </c>
      <c r="D718" t="s">
        <v>33</v>
      </c>
      <c r="E718">
        <f t="shared" ca="1" si="10"/>
        <v>22.46</v>
      </c>
    </row>
    <row r="719" spans="1:5" x14ac:dyDescent="0.25">
      <c r="A719">
        <v>17</v>
      </c>
      <c r="B719">
        <v>34</v>
      </c>
      <c r="C719" t="s">
        <v>16</v>
      </c>
      <c r="D719" t="s">
        <v>34</v>
      </c>
      <c r="E719">
        <f t="shared" ca="1" si="10"/>
        <v>21.15</v>
      </c>
    </row>
    <row r="720" spans="1:5" x14ac:dyDescent="0.25">
      <c r="A720">
        <v>17</v>
      </c>
      <c r="B720">
        <v>35</v>
      </c>
      <c r="C720" t="s">
        <v>16</v>
      </c>
      <c r="D720" t="s">
        <v>35</v>
      </c>
      <c r="E720">
        <f t="shared" ca="1" si="10"/>
        <v>20.83</v>
      </c>
    </row>
    <row r="721" spans="1:5" x14ac:dyDescent="0.25">
      <c r="A721">
        <v>17</v>
      </c>
      <c r="B721">
        <v>36</v>
      </c>
      <c r="C721" t="s">
        <v>16</v>
      </c>
      <c r="D721" t="s">
        <v>36</v>
      </c>
      <c r="E721">
        <f t="shared" ca="1" si="10"/>
        <v>8.0500000000000007</v>
      </c>
    </row>
    <row r="722" spans="1:5" x14ac:dyDescent="0.25">
      <c r="A722">
        <v>17</v>
      </c>
      <c r="B722">
        <v>37</v>
      </c>
      <c r="C722" t="s">
        <v>16</v>
      </c>
      <c r="D722" t="s">
        <v>37</v>
      </c>
      <c r="E722">
        <f t="shared" ca="1" si="10"/>
        <v>3.53</v>
      </c>
    </row>
    <row r="723" spans="1:5" x14ac:dyDescent="0.25">
      <c r="A723">
        <v>17</v>
      </c>
      <c r="B723">
        <v>38</v>
      </c>
      <c r="C723" t="s">
        <v>16</v>
      </c>
      <c r="D723" t="s">
        <v>38</v>
      </c>
      <c r="E723">
        <f t="shared" ca="1" si="10"/>
        <v>7.46</v>
      </c>
    </row>
    <row r="724" spans="1:5" x14ac:dyDescent="0.25">
      <c r="A724">
        <v>17</v>
      </c>
      <c r="B724">
        <v>39</v>
      </c>
      <c r="C724" t="s">
        <v>16</v>
      </c>
      <c r="D724" t="s">
        <v>39</v>
      </c>
      <c r="E724">
        <f t="shared" ca="1" si="10"/>
        <v>5.75</v>
      </c>
    </row>
    <row r="725" spans="1:5" x14ac:dyDescent="0.25">
      <c r="A725">
        <v>17</v>
      </c>
      <c r="B725">
        <v>40</v>
      </c>
      <c r="C725" t="s">
        <v>16</v>
      </c>
      <c r="D725" t="s">
        <v>40</v>
      </c>
      <c r="E725">
        <f t="shared" ca="1" si="10"/>
        <v>4.38</v>
      </c>
    </row>
    <row r="726" spans="1:5" x14ac:dyDescent="0.25">
      <c r="A726">
        <v>18</v>
      </c>
      <c r="B726">
        <v>1</v>
      </c>
      <c r="C726" t="s">
        <v>17</v>
      </c>
      <c r="D726" t="s">
        <v>0</v>
      </c>
      <c r="E726">
        <f t="shared" ca="1" si="10"/>
        <v>19.3</v>
      </c>
    </row>
    <row r="727" spans="1:5" x14ac:dyDescent="0.25">
      <c r="A727">
        <v>18</v>
      </c>
      <c r="B727">
        <v>2</v>
      </c>
      <c r="C727" t="s">
        <v>17</v>
      </c>
      <c r="D727" t="s">
        <v>1</v>
      </c>
      <c r="E727">
        <f t="shared" ca="1" si="10"/>
        <v>18.579999999999998</v>
      </c>
    </row>
    <row r="728" spans="1:5" x14ac:dyDescent="0.25">
      <c r="A728">
        <v>18</v>
      </c>
      <c r="B728">
        <v>3</v>
      </c>
      <c r="C728" t="s">
        <v>17</v>
      </c>
      <c r="D728" t="s">
        <v>2</v>
      </c>
      <c r="E728">
        <f t="shared" ca="1" si="10"/>
        <v>18.03</v>
      </c>
    </row>
    <row r="729" spans="1:5" x14ac:dyDescent="0.25">
      <c r="A729">
        <v>18</v>
      </c>
      <c r="B729">
        <v>4</v>
      </c>
      <c r="C729" t="s">
        <v>17</v>
      </c>
      <c r="D729" t="s">
        <v>3</v>
      </c>
      <c r="E729">
        <f t="shared" ca="1" si="10"/>
        <v>22.25</v>
      </c>
    </row>
    <row r="730" spans="1:5" x14ac:dyDescent="0.25">
      <c r="A730">
        <v>18</v>
      </c>
      <c r="B730">
        <v>5</v>
      </c>
      <c r="C730" t="s">
        <v>17</v>
      </c>
      <c r="D730" t="s">
        <v>4</v>
      </c>
      <c r="E730">
        <f t="shared" ca="1" si="10"/>
        <v>23.23</v>
      </c>
    </row>
    <row r="731" spans="1:5" x14ac:dyDescent="0.25">
      <c r="A731">
        <v>18</v>
      </c>
      <c r="B731">
        <v>6</v>
      </c>
      <c r="C731" t="s">
        <v>17</v>
      </c>
      <c r="D731" t="s">
        <v>5</v>
      </c>
      <c r="E731">
        <f t="shared" ca="1" si="10"/>
        <v>25</v>
      </c>
    </row>
    <row r="732" spans="1:5" x14ac:dyDescent="0.25">
      <c r="A732">
        <v>18</v>
      </c>
      <c r="B732">
        <v>7</v>
      </c>
      <c r="C732" t="s">
        <v>17</v>
      </c>
      <c r="D732" t="s">
        <v>6</v>
      </c>
      <c r="E732">
        <f t="shared" ca="1" si="10"/>
        <v>23.18</v>
      </c>
    </row>
    <row r="733" spans="1:5" x14ac:dyDescent="0.25">
      <c r="A733">
        <v>18</v>
      </c>
      <c r="B733">
        <v>8</v>
      </c>
      <c r="C733" t="s">
        <v>17</v>
      </c>
      <c r="D733" t="s">
        <v>7</v>
      </c>
      <c r="E733">
        <f t="shared" ca="1" si="10"/>
        <v>22</v>
      </c>
    </row>
    <row r="734" spans="1:5" x14ac:dyDescent="0.25">
      <c r="A734">
        <v>18</v>
      </c>
      <c r="B734">
        <v>9</v>
      </c>
      <c r="C734" t="s">
        <v>17</v>
      </c>
      <c r="D734" t="s">
        <v>148</v>
      </c>
      <c r="E734">
        <f t="shared" ref="E734:E795" ca="1" si="11">OFFSET($B$3,A734,B734)</f>
        <v>20.95</v>
      </c>
    </row>
    <row r="735" spans="1:5" x14ac:dyDescent="0.25">
      <c r="A735">
        <v>18</v>
      </c>
      <c r="B735">
        <v>10</v>
      </c>
      <c r="C735" t="s">
        <v>17</v>
      </c>
      <c r="D735" t="s">
        <v>9</v>
      </c>
      <c r="E735">
        <f t="shared" ca="1" si="11"/>
        <v>25.97</v>
      </c>
    </row>
    <row r="736" spans="1:5" x14ac:dyDescent="0.25">
      <c r="A736">
        <v>18</v>
      </c>
      <c r="B736">
        <v>11</v>
      </c>
      <c r="C736" t="s">
        <v>17</v>
      </c>
      <c r="D736" t="s">
        <v>10</v>
      </c>
      <c r="E736">
        <f t="shared" ca="1" si="11"/>
        <v>8.7799999999999994</v>
      </c>
    </row>
    <row r="737" spans="1:5" x14ac:dyDescent="0.25">
      <c r="A737">
        <v>18</v>
      </c>
      <c r="B737">
        <v>12</v>
      </c>
      <c r="C737" t="s">
        <v>17</v>
      </c>
      <c r="D737" t="s">
        <v>11</v>
      </c>
      <c r="E737">
        <f t="shared" ca="1" si="11"/>
        <v>7.93</v>
      </c>
    </row>
    <row r="738" spans="1:5" x14ac:dyDescent="0.25">
      <c r="A738">
        <v>18</v>
      </c>
      <c r="B738">
        <v>13</v>
      </c>
      <c r="C738" t="s">
        <v>17</v>
      </c>
      <c r="D738" t="s">
        <v>12</v>
      </c>
      <c r="E738">
        <f t="shared" ca="1" si="11"/>
        <v>7.6</v>
      </c>
    </row>
    <row r="739" spans="1:5" x14ac:dyDescent="0.25">
      <c r="A739">
        <v>18</v>
      </c>
      <c r="B739">
        <v>14</v>
      </c>
      <c r="C739" t="s">
        <v>17</v>
      </c>
      <c r="D739" t="s">
        <v>13</v>
      </c>
      <c r="E739">
        <f t="shared" ca="1" si="11"/>
        <v>7.26</v>
      </c>
    </row>
    <row r="740" spans="1:5" x14ac:dyDescent="0.25">
      <c r="A740">
        <v>18</v>
      </c>
      <c r="B740">
        <v>15</v>
      </c>
      <c r="C740" t="s">
        <v>17</v>
      </c>
      <c r="D740" t="s">
        <v>14</v>
      </c>
      <c r="E740">
        <f t="shared" ca="1" si="11"/>
        <v>6.01</v>
      </c>
    </row>
    <row r="741" spans="1:5" x14ac:dyDescent="0.25">
      <c r="A741">
        <v>18</v>
      </c>
      <c r="B741">
        <v>16</v>
      </c>
      <c r="C741" t="s">
        <v>17</v>
      </c>
      <c r="D741" t="s">
        <v>15</v>
      </c>
      <c r="E741">
        <f t="shared" ca="1" si="11"/>
        <v>2.4500000000000002</v>
      </c>
    </row>
    <row r="742" spans="1:5" x14ac:dyDescent="0.25">
      <c r="A742">
        <v>18</v>
      </c>
      <c r="B742">
        <v>17</v>
      </c>
      <c r="C742" t="s">
        <v>17</v>
      </c>
      <c r="D742" t="s">
        <v>16</v>
      </c>
      <c r="E742">
        <f t="shared" ca="1" si="11"/>
        <v>4.25</v>
      </c>
    </row>
    <row r="743" spans="1:5" x14ac:dyDescent="0.25">
      <c r="A743">
        <v>18</v>
      </c>
      <c r="B743">
        <v>18</v>
      </c>
      <c r="C743" t="s">
        <v>17</v>
      </c>
      <c r="D743" t="s">
        <v>17</v>
      </c>
      <c r="E743">
        <f t="shared" ca="1" si="11"/>
        <v>0</v>
      </c>
    </row>
    <row r="744" spans="1:5" x14ac:dyDescent="0.25">
      <c r="A744">
        <v>18</v>
      </c>
      <c r="B744">
        <v>19</v>
      </c>
      <c r="C744" t="s">
        <v>17</v>
      </c>
      <c r="D744" t="s">
        <v>18</v>
      </c>
      <c r="E744">
        <f t="shared" ca="1" si="11"/>
        <v>16.920000000000002</v>
      </c>
    </row>
    <row r="745" spans="1:5" x14ac:dyDescent="0.25">
      <c r="A745">
        <v>18</v>
      </c>
      <c r="B745">
        <v>20</v>
      </c>
      <c r="C745" t="s">
        <v>17</v>
      </c>
      <c r="D745" t="s">
        <v>19</v>
      </c>
      <c r="E745">
        <f t="shared" ca="1" si="11"/>
        <v>17.5</v>
      </c>
    </row>
    <row r="746" spans="1:5" x14ac:dyDescent="0.25">
      <c r="A746">
        <v>18</v>
      </c>
      <c r="B746">
        <v>21</v>
      </c>
      <c r="C746" t="s">
        <v>17</v>
      </c>
      <c r="D746" t="s">
        <v>20</v>
      </c>
      <c r="E746">
        <f t="shared" ca="1" si="11"/>
        <v>18.46</v>
      </c>
    </row>
    <row r="747" spans="1:5" x14ac:dyDescent="0.25">
      <c r="A747">
        <v>18</v>
      </c>
      <c r="B747">
        <v>22</v>
      </c>
      <c r="C747" t="s">
        <v>17</v>
      </c>
      <c r="D747" t="s">
        <v>21</v>
      </c>
      <c r="E747">
        <f t="shared" ca="1" si="11"/>
        <v>14.78</v>
      </c>
    </row>
    <row r="748" spans="1:5" x14ac:dyDescent="0.25">
      <c r="A748">
        <v>18</v>
      </c>
      <c r="B748">
        <v>23</v>
      </c>
      <c r="C748" t="s">
        <v>17</v>
      </c>
      <c r="D748" t="s">
        <v>22</v>
      </c>
      <c r="E748">
        <f t="shared" ca="1" si="11"/>
        <v>13.6</v>
      </c>
    </row>
    <row r="749" spans="1:5" x14ac:dyDescent="0.25">
      <c r="A749">
        <v>18</v>
      </c>
      <c r="B749">
        <v>24</v>
      </c>
      <c r="C749" t="s">
        <v>17</v>
      </c>
      <c r="D749" t="s">
        <v>23</v>
      </c>
      <c r="E749">
        <f t="shared" ca="1" si="11"/>
        <v>10.48</v>
      </c>
    </row>
    <row r="750" spans="1:5" x14ac:dyDescent="0.25">
      <c r="A750">
        <v>18</v>
      </c>
      <c r="B750">
        <v>25</v>
      </c>
      <c r="C750" t="s">
        <v>17</v>
      </c>
      <c r="D750" t="s">
        <v>24</v>
      </c>
      <c r="E750">
        <f t="shared" ca="1" si="11"/>
        <v>12.36</v>
      </c>
    </row>
    <row r="751" spans="1:5" x14ac:dyDescent="0.25">
      <c r="A751">
        <v>18</v>
      </c>
      <c r="B751">
        <v>26</v>
      </c>
      <c r="C751" t="s">
        <v>17</v>
      </c>
      <c r="D751" t="s">
        <v>25</v>
      </c>
      <c r="E751">
        <f t="shared" ca="1" si="11"/>
        <v>9.23</v>
      </c>
    </row>
    <row r="752" spans="1:5" x14ac:dyDescent="0.25">
      <c r="A752">
        <v>18</v>
      </c>
      <c r="B752">
        <v>27</v>
      </c>
      <c r="C752" t="s">
        <v>17</v>
      </c>
      <c r="D752" t="s">
        <v>145</v>
      </c>
      <c r="E752">
        <f t="shared" ca="1" si="11"/>
        <v>16.329999999999998</v>
      </c>
    </row>
    <row r="753" spans="1:5" x14ac:dyDescent="0.25">
      <c r="A753">
        <v>18</v>
      </c>
      <c r="B753">
        <v>28</v>
      </c>
      <c r="C753" t="s">
        <v>17</v>
      </c>
      <c r="D753" t="s">
        <v>147</v>
      </c>
      <c r="E753">
        <f t="shared" ca="1" si="11"/>
        <v>15.25</v>
      </c>
    </row>
    <row r="754" spans="1:5" x14ac:dyDescent="0.25">
      <c r="A754">
        <v>18</v>
      </c>
      <c r="B754">
        <v>29</v>
      </c>
      <c r="C754" t="s">
        <v>17</v>
      </c>
      <c r="D754" t="s">
        <v>146</v>
      </c>
      <c r="E754">
        <f t="shared" ca="1" si="11"/>
        <v>11.2</v>
      </c>
    </row>
    <row r="755" spans="1:5" x14ac:dyDescent="0.25">
      <c r="A755">
        <v>18</v>
      </c>
      <c r="B755">
        <v>30</v>
      </c>
      <c r="C755" t="s">
        <v>17</v>
      </c>
      <c r="D755" t="s">
        <v>30</v>
      </c>
      <c r="E755">
        <f t="shared" ca="1" si="11"/>
        <v>21.92</v>
      </c>
    </row>
    <row r="756" spans="1:5" x14ac:dyDescent="0.25">
      <c r="A756">
        <v>18</v>
      </c>
      <c r="B756">
        <v>31</v>
      </c>
      <c r="C756" t="s">
        <v>17</v>
      </c>
      <c r="D756" t="s">
        <v>31</v>
      </c>
      <c r="E756">
        <f t="shared" ca="1" si="11"/>
        <v>21.52</v>
      </c>
    </row>
    <row r="757" spans="1:5" x14ac:dyDescent="0.25">
      <c r="A757">
        <v>18</v>
      </c>
      <c r="B757">
        <v>32</v>
      </c>
      <c r="C757" t="s">
        <v>17</v>
      </c>
      <c r="D757" t="s">
        <v>32</v>
      </c>
      <c r="E757">
        <f t="shared" ca="1" si="11"/>
        <v>22.03</v>
      </c>
    </row>
    <row r="758" spans="1:5" x14ac:dyDescent="0.25">
      <c r="A758">
        <v>18</v>
      </c>
      <c r="B758">
        <v>33</v>
      </c>
      <c r="C758" t="s">
        <v>17</v>
      </c>
      <c r="D758" t="s">
        <v>33</v>
      </c>
      <c r="E758">
        <f t="shared" ca="1" si="11"/>
        <v>21.38</v>
      </c>
    </row>
    <row r="759" spans="1:5" x14ac:dyDescent="0.25">
      <c r="A759">
        <v>18</v>
      </c>
      <c r="B759">
        <v>34</v>
      </c>
      <c r="C759" t="s">
        <v>17</v>
      </c>
      <c r="D759" t="s">
        <v>34</v>
      </c>
      <c r="E759">
        <f t="shared" ca="1" si="11"/>
        <v>21.21</v>
      </c>
    </row>
    <row r="760" spans="1:5" x14ac:dyDescent="0.25">
      <c r="A760">
        <v>18</v>
      </c>
      <c r="B760">
        <v>35</v>
      </c>
      <c r="C760" t="s">
        <v>17</v>
      </c>
      <c r="D760" t="s">
        <v>35</v>
      </c>
      <c r="E760">
        <f t="shared" ca="1" si="11"/>
        <v>19.63</v>
      </c>
    </row>
    <row r="761" spans="1:5" x14ac:dyDescent="0.25">
      <c r="A761">
        <v>18</v>
      </c>
      <c r="B761">
        <v>36</v>
      </c>
      <c r="C761" t="s">
        <v>17</v>
      </c>
      <c r="D761" t="s">
        <v>36</v>
      </c>
      <c r="E761">
        <f t="shared" ca="1" si="11"/>
        <v>8.15</v>
      </c>
    </row>
    <row r="762" spans="1:5" x14ac:dyDescent="0.25">
      <c r="A762">
        <v>18</v>
      </c>
      <c r="B762">
        <v>37</v>
      </c>
      <c r="C762" t="s">
        <v>17</v>
      </c>
      <c r="D762" t="s">
        <v>37</v>
      </c>
      <c r="E762">
        <f t="shared" ca="1" si="11"/>
        <v>7.32</v>
      </c>
    </row>
    <row r="763" spans="1:5" x14ac:dyDescent="0.25">
      <c r="A763">
        <v>18</v>
      </c>
      <c r="B763">
        <v>38</v>
      </c>
      <c r="C763" t="s">
        <v>17</v>
      </c>
      <c r="D763" t="s">
        <v>38</v>
      </c>
      <c r="E763">
        <f t="shared" ca="1" si="11"/>
        <v>8.26</v>
      </c>
    </row>
    <row r="764" spans="1:5" x14ac:dyDescent="0.25">
      <c r="A764">
        <v>18</v>
      </c>
      <c r="B764">
        <v>39</v>
      </c>
      <c r="C764" t="s">
        <v>17</v>
      </c>
      <c r="D764" t="s">
        <v>39</v>
      </c>
      <c r="E764">
        <f t="shared" ca="1" si="11"/>
        <v>9.0500000000000007</v>
      </c>
    </row>
    <row r="765" spans="1:5" x14ac:dyDescent="0.25">
      <c r="A765">
        <v>18</v>
      </c>
      <c r="B765">
        <v>40</v>
      </c>
      <c r="C765" t="s">
        <v>17</v>
      </c>
      <c r="D765" t="s">
        <v>40</v>
      </c>
      <c r="E765">
        <f t="shared" ca="1" si="11"/>
        <v>8.16</v>
      </c>
    </row>
    <row r="766" spans="1:5" x14ac:dyDescent="0.25">
      <c r="A766">
        <v>19</v>
      </c>
      <c r="B766">
        <v>1</v>
      </c>
      <c r="C766" t="s">
        <v>18</v>
      </c>
      <c r="D766" t="s">
        <v>0</v>
      </c>
      <c r="E766">
        <f t="shared" ca="1" si="11"/>
        <v>6.56</v>
      </c>
    </row>
    <row r="767" spans="1:5" x14ac:dyDescent="0.25">
      <c r="A767">
        <v>19</v>
      </c>
      <c r="B767">
        <v>2</v>
      </c>
      <c r="C767" t="s">
        <v>18</v>
      </c>
      <c r="D767" t="s">
        <v>1</v>
      </c>
      <c r="E767">
        <f t="shared" ca="1" si="11"/>
        <v>5.15</v>
      </c>
    </row>
    <row r="768" spans="1:5" x14ac:dyDescent="0.25">
      <c r="A768">
        <v>19</v>
      </c>
      <c r="B768">
        <v>3</v>
      </c>
      <c r="C768" t="s">
        <v>18</v>
      </c>
      <c r="D768" t="s">
        <v>2</v>
      </c>
      <c r="E768">
        <f t="shared" ca="1" si="11"/>
        <v>5.0599999999999996</v>
      </c>
    </row>
    <row r="769" spans="1:5" x14ac:dyDescent="0.25">
      <c r="A769">
        <v>19</v>
      </c>
      <c r="B769">
        <v>4</v>
      </c>
      <c r="C769" t="s">
        <v>18</v>
      </c>
      <c r="D769" t="s">
        <v>3</v>
      </c>
      <c r="E769">
        <f t="shared" ca="1" si="11"/>
        <v>10.65</v>
      </c>
    </row>
    <row r="770" spans="1:5" x14ac:dyDescent="0.25">
      <c r="A770">
        <v>19</v>
      </c>
      <c r="B770">
        <v>5</v>
      </c>
      <c r="C770" t="s">
        <v>18</v>
      </c>
      <c r="D770" t="s">
        <v>4</v>
      </c>
      <c r="E770">
        <f t="shared" ca="1" si="11"/>
        <v>11.86</v>
      </c>
    </row>
    <row r="771" spans="1:5" x14ac:dyDescent="0.25">
      <c r="A771">
        <v>19</v>
      </c>
      <c r="B771">
        <v>6</v>
      </c>
      <c r="C771" t="s">
        <v>18</v>
      </c>
      <c r="D771" t="s">
        <v>5</v>
      </c>
      <c r="E771">
        <f t="shared" ca="1" si="11"/>
        <v>13.75</v>
      </c>
    </row>
    <row r="772" spans="1:5" x14ac:dyDescent="0.25">
      <c r="A772">
        <v>19</v>
      </c>
      <c r="B772">
        <v>7</v>
      </c>
      <c r="C772" t="s">
        <v>18</v>
      </c>
      <c r="D772" t="s">
        <v>6</v>
      </c>
      <c r="E772">
        <f t="shared" ca="1" si="11"/>
        <v>11.7</v>
      </c>
    </row>
    <row r="773" spans="1:5" x14ac:dyDescent="0.25">
      <c r="A773">
        <v>19</v>
      </c>
      <c r="B773">
        <v>8</v>
      </c>
      <c r="C773" t="s">
        <v>18</v>
      </c>
      <c r="D773" t="s">
        <v>7</v>
      </c>
      <c r="E773">
        <f t="shared" ca="1" si="11"/>
        <v>10.63</v>
      </c>
    </row>
    <row r="774" spans="1:5" x14ac:dyDescent="0.25">
      <c r="A774">
        <v>19</v>
      </c>
      <c r="B774">
        <v>9</v>
      </c>
      <c r="C774" t="s">
        <v>18</v>
      </c>
      <c r="D774" t="s">
        <v>148</v>
      </c>
      <c r="E774">
        <f t="shared" ca="1" si="11"/>
        <v>8.35</v>
      </c>
    </row>
    <row r="775" spans="1:5" x14ac:dyDescent="0.25">
      <c r="A775">
        <v>19</v>
      </c>
      <c r="B775">
        <v>10</v>
      </c>
      <c r="C775" t="s">
        <v>18</v>
      </c>
      <c r="D775" t="s">
        <v>9</v>
      </c>
      <c r="E775">
        <f t="shared" ca="1" si="11"/>
        <v>24</v>
      </c>
    </row>
    <row r="776" spans="1:5" x14ac:dyDescent="0.25">
      <c r="A776">
        <v>19</v>
      </c>
      <c r="B776">
        <v>11</v>
      </c>
      <c r="C776" t="s">
        <v>18</v>
      </c>
      <c r="D776" t="s">
        <v>10</v>
      </c>
      <c r="E776">
        <f t="shared" ca="1" si="11"/>
        <v>15.26</v>
      </c>
    </row>
    <row r="777" spans="1:5" x14ac:dyDescent="0.25">
      <c r="A777">
        <v>19</v>
      </c>
      <c r="B777">
        <v>12</v>
      </c>
      <c r="C777" t="s">
        <v>18</v>
      </c>
      <c r="D777" t="s">
        <v>11</v>
      </c>
      <c r="E777">
        <f t="shared" ca="1" si="11"/>
        <v>12.25</v>
      </c>
    </row>
    <row r="778" spans="1:5" x14ac:dyDescent="0.25">
      <c r="A778">
        <v>19</v>
      </c>
      <c r="B778">
        <v>13</v>
      </c>
      <c r="C778" t="s">
        <v>18</v>
      </c>
      <c r="D778" t="s">
        <v>12</v>
      </c>
      <c r="E778">
        <f t="shared" ca="1" si="11"/>
        <v>11.03</v>
      </c>
    </row>
    <row r="779" spans="1:5" x14ac:dyDescent="0.25">
      <c r="A779">
        <v>19</v>
      </c>
      <c r="B779">
        <v>14</v>
      </c>
      <c r="C779" t="s">
        <v>18</v>
      </c>
      <c r="D779" t="s">
        <v>13</v>
      </c>
      <c r="E779">
        <f t="shared" ca="1" si="11"/>
        <v>9.4499999999999993</v>
      </c>
    </row>
    <row r="780" spans="1:5" x14ac:dyDescent="0.25">
      <c r="A780">
        <v>19</v>
      </c>
      <c r="B780">
        <v>15</v>
      </c>
      <c r="C780" t="s">
        <v>18</v>
      </c>
      <c r="D780" t="s">
        <v>14</v>
      </c>
      <c r="E780">
        <f t="shared" ca="1" si="11"/>
        <v>12</v>
      </c>
    </row>
    <row r="781" spans="1:5" x14ac:dyDescent="0.25">
      <c r="A781">
        <v>19</v>
      </c>
      <c r="B781">
        <v>16</v>
      </c>
      <c r="C781" t="s">
        <v>18</v>
      </c>
      <c r="D781" t="s">
        <v>15</v>
      </c>
      <c r="E781">
        <f t="shared" ca="1" si="11"/>
        <v>14.21</v>
      </c>
    </row>
    <row r="782" spans="1:5" x14ac:dyDescent="0.25">
      <c r="A782">
        <v>19</v>
      </c>
      <c r="B782">
        <v>17</v>
      </c>
      <c r="C782" t="s">
        <v>18</v>
      </c>
      <c r="D782" t="s">
        <v>16</v>
      </c>
      <c r="E782">
        <f t="shared" ca="1" si="11"/>
        <v>17.63</v>
      </c>
    </row>
    <row r="783" spans="1:5" x14ac:dyDescent="0.25">
      <c r="A783">
        <v>19</v>
      </c>
      <c r="B783">
        <v>18</v>
      </c>
      <c r="C783" t="s">
        <v>18</v>
      </c>
      <c r="D783" t="s">
        <v>17</v>
      </c>
      <c r="E783">
        <f t="shared" ca="1" si="11"/>
        <v>16.920000000000002</v>
      </c>
    </row>
    <row r="784" spans="1:5" x14ac:dyDescent="0.25">
      <c r="A784">
        <v>19</v>
      </c>
      <c r="B784">
        <v>19</v>
      </c>
      <c r="C784" t="s">
        <v>18</v>
      </c>
      <c r="D784" t="s">
        <v>18</v>
      </c>
      <c r="E784">
        <f t="shared" ca="1" si="11"/>
        <v>0</v>
      </c>
    </row>
    <row r="785" spans="1:5" x14ac:dyDescent="0.25">
      <c r="A785">
        <v>19</v>
      </c>
      <c r="B785">
        <v>20</v>
      </c>
      <c r="C785" t="s">
        <v>18</v>
      </c>
      <c r="D785" t="s">
        <v>19</v>
      </c>
      <c r="E785">
        <f t="shared" ca="1" si="11"/>
        <v>1.98</v>
      </c>
    </row>
    <row r="786" spans="1:5" x14ac:dyDescent="0.25">
      <c r="A786">
        <v>19</v>
      </c>
      <c r="B786">
        <v>21</v>
      </c>
      <c r="C786" t="s">
        <v>18</v>
      </c>
      <c r="D786" t="s">
        <v>20</v>
      </c>
      <c r="E786">
        <f t="shared" ca="1" si="11"/>
        <v>4.42</v>
      </c>
    </row>
    <row r="787" spans="1:5" x14ac:dyDescent="0.25">
      <c r="A787">
        <v>19</v>
      </c>
      <c r="B787">
        <v>22</v>
      </c>
      <c r="C787" t="s">
        <v>18</v>
      </c>
      <c r="D787" t="s">
        <v>21</v>
      </c>
      <c r="E787">
        <f t="shared" ca="1" si="11"/>
        <v>2.0099999999999998</v>
      </c>
    </row>
    <row r="788" spans="1:5" x14ac:dyDescent="0.25">
      <c r="A788">
        <v>19</v>
      </c>
      <c r="B788">
        <v>23</v>
      </c>
      <c r="C788" t="s">
        <v>18</v>
      </c>
      <c r="D788" t="s">
        <v>22</v>
      </c>
      <c r="E788">
        <f t="shared" ca="1" si="11"/>
        <v>3.75</v>
      </c>
    </row>
    <row r="789" spans="1:5" x14ac:dyDescent="0.25">
      <c r="A789">
        <v>19</v>
      </c>
      <c r="B789">
        <v>24</v>
      </c>
      <c r="C789" t="s">
        <v>18</v>
      </c>
      <c r="D789" t="s">
        <v>23</v>
      </c>
      <c r="E789">
        <f t="shared" ca="1" si="11"/>
        <v>6</v>
      </c>
    </row>
    <row r="790" spans="1:5" x14ac:dyDescent="0.25">
      <c r="A790">
        <v>19</v>
      </c>
      <c r="B790">
        <v>25</v>
      </c>
      <c r="C790" t="s">
        <v>18</v>
      </c>
      <c r="D790" t="s">
        <v>24</v>
      </c>
      <c r="E790">
        <f t="shared" ca="1" si="11"/>
        <v>4.6500000000000004</v>
      </c>
    </row>
    <row r="791" spans="1:5" x14ac:dyDescent="0.25">
      <c r="A791">
        <v>19</v>
      </c>
      <c r="B791">
        <v>26</v>
      </c>
      <c r="C791" t="s">
        <v>18</v>
      </c>
      <c r="D791" t="s">
        <v>25</v>
      </c>
      <c r="E791">
        <f t="shared" ca="1" si="11"/>
        <v>8.4499999999999993</v>
      </c>
    </row>
    <row r="792" spans="1:5" x14ac:dyDescent="0.25">
      <c r="A792">
        <v>19</v>
      </c>
      <c r="B792">
        <v>27</v>
      </c>
      <c r="C792" t="s">
        <v>18</v>
      </c>
      <c r="D792" t="s">
        <v>145</v>
      </c>
      <c r="E792">
        <f t="shared" ca="1" si="11"/>
        <v>3.56</v>
      </c>
    </row>
    <row r="793" spans="1:5" x14ac:dyDescent="0.25">
      <c r="A793">
        <v>19</v>
      </c>
      <c r="B793">
        <v>28</v>
      </c>
      <c r="C793" t="s">
        <v>18</v>
      </c>
      <c r="D793" t="s">
        <v>147</v>
      </c>
      <c r="E793">
        <f t="shared" ca="1" si="11"/>
        <v>4.6500000000000004</v>
      </c>
    </row>
    <row r="794" spans="1:5" x14ac:dyDescent="0.25">
      <c r="A794">
        <v>19</v>
      </c>
      <c r="B794">
        <v>29</v>
      </c>
      <c r="C794" t="s">
        <v>18</v>
      </c>
      <c r="D794" t="s">
        <v>146</v>
      </c>
      <c r="E794">
        <f t="shared" ca="1" si="11"/>
        <v>5.13</v>
      </c>
    </row>
    <row r="795" spans="1:5" x14ac:dyDescent="0.25">
      <c r="A795">
        <v>19</v>
      </c>
      <c r="B795">
        <v>30</v>
      </c>
      <c r="C795" t="s">
        <v>18</v>
      </c>
      <c r="D795" t="s">
        <v>30</v>
      </c>
      <c r="E795">
        <f t="shared" ca="1" si="11"/>
        <v>8.7200000000000006</v>
      </c>
    </row>
    <row r="796" spans="1:5" x14ac:dyDescent="0.25">
      <c r="A796">
        <v>19</v>
      </c>
      <c r="B796">
        <v>31</v>
      </c>
      <c r="C796" t="s">
        <v>18</v>
      </c>
      <c r="D796" t="s">
        <v>31</v>
      </c>
      <c r="E796">
        <f t="shared" ref="E796:E858" ca="1" si="12">OFFSET($B$3,A796,B796)</f>
        <v>8.3800000000000008</v>
      </c>
    </row>
    <row r="797" spans="1:5" x14ac:dyDescent="0.25">
      <c r="A797">
        <v>19</v>
      </c>
      <c r="B797">
        <v>32</v>
      </c>
      <c r="C797" t="s">
        <v>18</v>
      </c>
      <c r="D797" t="s">
        <v>32</v>
      </c>
      <c r="E797">
        <f t="shared" ca="1" si="12"/>
        <v>7.53</v>
      </c>
    </row>
    <row r="798" spans="1:5" x14ac:dyDescent="0.25">
      <c r="A798">
        <v>19</v>
      </c>
      <c r="B798">
        <v>33</v>
      </c>
      <c r="C798" t="s">
        <v>18</v>
      </c>
      <c r="D798" t="s">
        <v>33</v>
      </c>
      <c r="E798">
        <f t="shared" ca="1" si="12"/>
        <v>7</v>
      </c>
    </row>
    <row r="799" spans="1:5" x14ac:dyDescent="0.25">
      <c r="A799">
        <v>19</v>
      </c>
      <c r="B799">
        <v>34</v>
      </c>
      <c r="C799" t="s">
        <v>18</v>
      </c>
      <c r="D799" t="s">
        <v>34</v>
      </c>
      <c r="E799">
        <f t="shared" ca="1" si="12"/>
        <v>6.95</v>
      </c>
    </row>
    <row r="800" spans="1:5" x14ac:dyDescent="0.25">
      <c r="A800">
        <v>19</v>
      </c>
      <c r="B800">
        <v>35</v>
      </c>
      <c r="C800" t="s">
        <v>18</v>
      </c>
      <c r="D800" t="s">
        <v>35</v>
      </c>
      <c r="E800">
        <f t="shared" ca="1" si="12"/>
        <v>6.66</v>
      </c>
    </row>
    <row r="801" spans="1:5" x14ac:dyDescent="0.25">
      <c r="A801">
        <v>19</v>
      </c>
      <c r="B801">
        <v>36</v>
      </c>
      <c r="C801" t="s">
        <v>18</v>
      </c>
      <c r="D801" t="s">
        <v>36</v>
      </c>
      <c r="E801">
        <f t="shared" ca="1" si="12"/>
        <v>14.21</v>
      </c>
    </row>
    <row r="802" spans="1:5" x14ac:dyDescent="0.25">
      <c r="A802">
        <v>19</v>
      </c>
      <c r="B802">
        <v>37</v>
      </c>
      <c r="C802" t="s">
        <v>18</v>
      </c>
      <c r="D802" t="s">
        <v>37</v>
      </c>
      <c r="E802">
        <f t="shared" ca="1" si="12"/>
        <v>19.16</v>
      </c>
    </row>
    <row r="803" spans="1:5" x14ac:dyDescent="0.25">
      <c r="A803">
        <v>19</v>
      </c>
      <c r="B803">
        <v>38</v>
      </c>
      <c r="C803" t="s">
        <v>18</v>
      </c>
      <c r="D803" t="s">
        <v>38</v>
      </c>
      <c r="E803">
        <f t="shared" ca="1" si="12"/>
        <v>15.13</v>
      </c>
    </row>
    <row r="804" spans="1:5" x14ac:dyDescent="0.25">
      <c r="A804">
        <v>19</v>
      </c>
      <c r="B804">
        <v>39</v>
      </c>
      <c r="C804" t="s">
        <v>18</v>
      </c>
      <c r="D804" t="s">
        <v>39</v>
      </c>
      <c r="E804">
        <f t="shared" ca="1" si="12"/>
        <v>17.28</v>
      </c>
    </row>
    <row r="805" spans="1:5" x14ac:dyDescent="0.25">
      <c r="A805">
        <v>19</v>
      </c>
      <c r="B805">
        <v>40</v>
      </c>
      <c r="C805" t="s">
        <v>18</v>
      </c>
      <c r="D805" t="s">
        <v>40</v>
      </c>
      <c r="E805">
        <f t="shared" ca="1" si="12"/>
        <v>17.86</v>
      </c>
    </row>
    <row r="806" spans="1:5" x14ac:dyDescent="0.25">
      <c r="A806">
        <v>20</v>
      </c>
      <c r="B806">
        <v>1</v>
      </c>
      <c r="C806" t="s">
        <v>19</v>
      </c>
      <c r="D806" t="s">
        <v>0</v>
      </c>
      <c r="E806">
        <f t="shared" ca="1" si="12"/>
        <v>5</v>
      </c>
    </row>
    <row r="807" spans="1:5" x14ac:dyDescent="0.25">
      <c r="A807">
        <v>20</v>
      </c>
      <c r="B807">
        <v>2</v>
      </c>
      <c r="C807" t="s">
        <v>19</v>
      </c>
      <c r="D807" t="s">
        <v>1</v>
      </c>
      <c r="E807">
        <f t="shared" ca="1" si="12"/>
        <v>3.55</v>
      </c>
    </row>
    <row r="808" spans="1:5" x14ac:dyDescent="0.25">
      <c r="A808">
        <v>20</v>
      </c>
      <c r="B808">
        <v>3</v>
      </c>
      <c r="C808" t="s">
        <v>19</v>
      </c>
      <c r="D808" t="s">
        <v>2</v>
      </c>
      <c r="E808">
        <f t="shared" ca="1" si="12"/>
        <v>3.46</v>
      </c>
    </row>
    <row r="809" spans="1:5" x14ac:dyDescent="0.25">
      <c r="A809">
        <v>20</v>
      </c>
      <c r="B809">
        <v>4</v>
      </c>
      <c r="C809" t="s">
        <v>19</v>
      </c>
      <c r="D809" t="s">
        <v>3</v>
      </c>
      <c r="E809">
        <f t="shared" ca="1" si="12"/>
        <v>9.01</v>
      </c>
    </row>
    <row r="810" spans="1:5" x14ac:dyDescent="0.25">
      <c r="A810">
        <v>20</v>
      </c>
      <c r="B810">
        <v>5</v>
      </c>
      <c r="C810" t="s">
        <v>19</v>
      </c>
      <c r="D810" t="s">
        <v>4</v>
      </c>
      <c r="E810">
        <f t="shared" ca="1" si="12"/>
        <v>10.33</v>
      </c>
    </row>
    <row r="811" spans="1:5" x14ac:dyDescent="0.25">
      <c r="A811">
        <v>20</v>
      </c>
      <c r="B811">
        <v>6</v>
      </c>
      <c r="C811" t="s">
        <v>19</v>
      </c>
      <c r="D811" t="s">
        <v>5</v>
      </c>
      <c r="E811">
        <f t="shared" ca="1" si="12"/>
        <v>12.13</v>
      </c>
    </row>
    <row r="812" spans="1:5" x14ac:dyDescent="0.25">
      <c r="A812">
        <v>20</v>
      </c>
      <c r="B812">
        <v>7</v>
      </c>
      <c r="C812" t="s">
        <v>19</v>
      </c>
      <c r="D812" t="s">
        <v>6</v>
      </c>
      <c r="E812">
        <f t="shared" ca="1" si="12"/>
        <v>10.130000000000001</v>
      </c>
    </row>
    <row r="813" spans="1:5" x14ac:dyDescent="0.25">
      <c r="A813">
        <v>20</v>
      </c>
      <c r="B813">
        <v>8</v>
      </c>
      <c r="C813" t="s">
        <v>19</v>
      </c>
      <c r="D813" t="s">
        <v>7</v>
      </c>
      <c r="E813">
        <f t="shared" ca="1" si="12"/>
        <v>9.1</v>
      </c>
    </row>
    <row r="814" spans="1:5" x14ac:dyDescent="0.25">
      <c r="A814">
        <v>20</v>
      </c>
      <c r="B814">
        <v>9</v>
      </c>
      <c r="C814" t="s">
        <v>19</v>
      </c>
      <c r="D814" t="s">
        <v>148</v>
      </c>
      <c r="E814">
        <f t="shared" ca="1" si="12"/>
        <v>6.85</v>
      </c>
    </row>
    <row r="815" spans="1:5" x14ac:dyDescent="0.25">
      <c r="A815">
        <v>20</v>
      </c>
      <c r="B815">
        <v>10</v>
      </c>
      <c r="C815" t="s">
        <v>19</v>
      </c>
      <c r="D815" t="s">
        <v>9</v>
      </c>
      <c r="E815">
        <f t="shared" ca="1" si="12"/>
        <v>12.66</v>
      </c>
    </row>
    <row r="816" spans="1:5" x14ac:dyDescent="0.25">
      <c r="A816">
        <v>20</v>
      </c>
      <c r="B816">
        <v>11</v>
      </c>
      <c r="C816" t="s">
        <v>19</v>
      </c>
      <c r="D816" t="s">
        <v>10</v>
      </c>
      <c r="E816">
        <f t="shared" ca="1" si="12"/>
        <v>15.85</v>
      </c>
    </row>
    <row r="817" spans="1:5" x14ac:dyDescent="0.25">
      <c r="A817">
        <v>20</v>
      </c>
      <c r="B817">
        <v>12</v>
      </c>
      <c r="C817" t="s">
        <v>19</v>
      </c>
      <c r="D817" t="s">
        <v>11</v>
      </c>
      <c r="E817">
        <f t="shared" ca="1" si="12"/>
        <v>12.82</v>
      </c>
    </row>
    <row r="818" spans="1:5" x14ac:dyDescent="0.25">
      <c r="A818">
        <v>20</v>
      </c>
      <c r="B818">
        <v>13</v>
      </c>
      <c r="C818" t="s">
        <v>19</v>
      </c>
      <c r="D818" t="s">
        <v>12</v>
      </c>
      <c r="E818">
        <f t="shared" ca="1" si="12"/>
        <v>11.65</v>
      </c>
    </row>
    <row r="819" spans="1:5" x14ac:dyDescent="0.25">
      <c r="A819">
        <v>20</v>
      </c>
      <c r="B819">
        <v>14</v>
      </c>
      <c r="C819" t="s">
        <v>19</v>
      </c>
      <c r="D819" t="s">
        <v>13</v>
      </c>
      <c r="E819">
        <f t="shared" ca="1" si="12"/>
        <v>10</v>
      </c>
    </row>
    <row r="820" spans="1:5" x14ac:dyDescent="0.25">
      <c r="A820">
        <v>20</v>
      </c>
      <c r="B820">
        <v>15</v>
      </c>
      <c r="C820" t="s">
        <v>19</v>
      </c>
      <c r="D820" t="s">
        <v>14</v>
      </c>
      <c r="E820">
        <f t="shared" ca="1" si="12"/>
        <v>11.82</v>
      </c>
    </row>
    <row r="821" spans="1:5" x14ac:dyDescent="0.25">
      <c r="A821">
        <v>20</v>
      </c>
      <c r="B821">
        <v>16</v>
      </c>
      <c r="C821" t="s">
        <v>19</v>
      </c>
      <c r="D821" t="s">
        <v>15</v>
      </c>
      <c r="E821">
        <f t="shared" ca="1" si="12"/>
        <v>14.81</v>
      </c>
    </row>
    <row r="822" spans="1:5" x14ac:dyDescent="0.25">
      <c r="A822">
        <v>20</v>
      </c>
      <c r="B822">
        <v>17</v>
      </c>
      <c r="C822" t="s">
        <v>19</v>
      </c>
      <c r="D822" t="s">
        <v>16</v>
      </c>
      <c r="E822">
        <f t="shared" ca="1" si="12"/>
        <v>18.22</v>
      </c>
    </row>
    <row r="823" spans="1:5" x14ac:dyDescent="0.25">
      <c r="A823">
        <v>20</v>
      </c>
      <c r="B823">
        <v>18</v>
      </c>
      <c r="C823" t="s">
        <v>19</v>
      </c>
      <c r="D823" t="s">
        <v>17</v>
      </c>
      <c r="E823">
        <f t="shared" ca="1" si="12"/>
        <v>17.5</v>
      </c>
    </row>
    <row r="824" spans="1:5" x14ac:dyDescent="0.25">
      <c r="A824">
        <v>20</v>
      </c>
      <c r="B824">
        <v>19</v>
      </c>
      <c r="C824" t="s">
        <v>19</v>
      </c>
      <c r="D824" t="s">
        <v>18</v>
      </c>
      <c r="E824">
        <f t="shared" ca="1" si="12"/>
        <v>1.98</v>
      </c>
    </row>
    <row r="825" spans="1:5" x14ac:dyDescent="0.25">
      <c r="A825">
        <v>20</v>
      </c>
      <c r="B825">
        <v>20</v>
      </c>
      <c r="C825" t="s">
        <v>19</v>
      </c>
      <c r="D825" t="s">
        <v>19</v>
      </c>
      <c r="E825">
        <f t="shared" ca="1" si="12"/>
        <v>0</v>
      </c>
    </row>
    <row r="826" spans="1:5" x14ac:dyDescent="0.25">
      <c r="A826">
        <v>20</v>
      </c>
      <c r="B826">
        <v>21</v>
      </c>
      <c r="C826" t="s">
        <v>19</v>
      </c>
      <c r="D826" t="s">
        <v>20</v>
      </c>
      <c r="E826">
        <f t="shared" ca="1" si="12"/>
        <v>2.8</v>
      </c>
    </row>
    <row r="827" spans="1:5" x14ac:dyDescent="0.25">
      <c r="A827">
        <v>20</v>
      </c>
      <c r="B827">
        <v>22</v>
      </c>
      <c r="C827" t="s">
        <v>19</v>
      </c>
      <c r="D827" t="s">
        <v>21</v>
      </c>
      <c r="E827">
        <f t="shared" ca="1" si="12"/>
        <v>2.75</v>
      </c>
    </row>
    <row r="828" spans="1:5" x14ac:dyDescent="0.25">
      <c r="A828">
        <v>20</v>
      </c>
      <c r="B828">
        <v>23</v>
      </c>
      <c r="C828" t="s">
        <v>19</v>
      </c>
      <c r="D828" t="s">
        <v>22</v>
      </c>
      <c r="E828">
        <f t="shared" ca="1" si="12"/>
        <v>4.05</v>
      </c>
    </row>
    <row r="829" spans="1:5" x14ac:dyDescent="0.25">
      <c r="A829">
        <v>20</v>
      </c>
      <c r="B829">
        <v>24</v>
      </c>
      <c r="C829" t="s">
        <v>19</v>
      </c>
      <c r="D829" t="s">
        <v>23</v>
      </c>
      <c r="E829">
        <f t="shared" ca="1" si="12"/>
        <v>6.72</v>
      </c>
    </row>
    <row r="830" spans="1:5" x14ac:dyDescent="0.25">
      <c r="A830">
        <v>20</v>
      </c>
      <c r="B830">
        <v>25</v>
      </c>
      <c r="C830" t="s">
        <v>19</v>
      </c>
      <c r="D830" t="s">
        <v>24</v>
      </c>
      <c r="E830">
        <f t="shared" ca="1" si="12"/>
        <v>5.38</v>
      </c>
    </row>
    <row r="831" spans="1:5" x14ac:dyDescent="0.25">
      <c r="A831">
        <v>20</v>
      </c>
      <c r="B831">
        <v>26</v>
      </c>
      <c r="C831" t="s">
        <v>19</v>
      </c>
      <c r="D831" t="s">
        <v>25</v>
      </c>
      <c r="E831">
        <f t="shared" ca="1" si="12"/>
        <v>8.5</v>
      </c>
    </row>
    <row r="832" spans="1:5" x14ac:dyDescent="0.25">
      <c r="A832">
        <v>20</v>
      </c>
      <c r="B832">
        <v>27</v>
      </c>
      <c r="C832" t="s">
        <v>19</v>
      </c>
      <c r="D832" t="s">
        <v>145</v>
      </c>
      <c r="E832">
        <f t="shared" ca="1" si="12"/>
        <v>2.2799999999999998</v>
      </c>
    </row>
    <row r="833" spans="1:5" x14ac:dyDescent="0.25">
      <c r="A833">
        <v>20</v>
      </c>
      <c r="B833">
        <v>28</v>
      </c>
      <c r="C833" t="s">
        <v>19</v>
      </c>
      <c r="D833" t="s">
        <v>147</v>
      </c>
      <c r="E833">
        <f t="shared" ca="1" si="12"/>
        <v>2.3199999999999998</v>
      </c>
    </row>
    <row r="834" spans="1:5" x14ac:dyDescent="0.25">
      <c r="A834">
        <v>20</v>
      </c>
      <c r="B834">
        <v>29</v>
      </c>
      <c r="C834" t="s">
        <v>19</v>
      </c>
      <c r="D834" t="s">
        <v>146</v>
      </c>
      <c r="E834">
        <f t="shared" ca="1" si="12"/>
        <v>5.86</v>
      </c>
    </row>
    <row r="835" spans="1:5" x14ac:dyDescent="0.25">
      <c r="A835">
        <v>20</v>
      </c>
      <c r="B835">
        <v>30</v>
      </c>
      <c r="C835" t="s">
        <v>19</v>
      </c>
      <c r="D835" t="s">
        <v>30</v>
      </c>
      <c r="E835">
        <f t="shared" ca="1" si="12"/>
        <v>7.32</v>
      </c>
    </row>
    <row r="836" spans="1:5" x14ac:dyDescent="0.25">
      <c r="A836">
        <v>20</v>
      </c>
      <c r="B836">
        <v>31</v>
      </c>
      <c r="C836" t="s">
        <v>19</v>
      </c>
      <c r="D836" t="s">
        <v>31</v>
      </c>
      <c r="E836">
        <f t="shared" ca="1" si="12"/>
        <v>6.96</v>
      </c>
    </row>
    <row r="837" spans="1:5" x14ac:dyDescent="0.25">
      <c r="A837">
        <v>20</v>
      </c>
      <c r="B837">
        <v>32</v>
      </c>
      <c r="C837" t="s">
        <v>19</v>
      </c>
      <c r="D837" t="s">
        <v>32</v>
      </c>
      <c r="E837">
        <f t="shared" ca="1" si="12"/>
        <v>6.15</v>
      </c>
    </row>
    <row r="838" spans="1:5" x14ac:dyDescent="0.25">
      <c r="A838">
        <v>20</v>
      </c>
      <c r="B838">
        <v>33</v>
      </c>
      <c r="C838" t="s">
        <v>19</v>
      </c>
      <c r="D838" t="s">
        <v>33</v>
      </c>
      <c r="E838">
        <f t="shared" ca="1" si="12"/>
        <v>5.6</v>
      </c>
    </row>
    <row r="839" spans="1:5" x14ac:dyDescent="0.25">
      <c r="A839">
        <v>20</v>
      </c>
      <c r="B839">
        <v>34</v>
      </c>
      <c r="C839" t="s">
        <v>19</v>
      </c>
      <c r="D839" t="s">
        <v>34</v>
      </c>
      <c r="E839">
        <f t="shared" ca="1" si="12"/>
        <v>5.56</v>
      </c>
    </row>
    <row r="840" spans="1:5" x14ac:dyDescent="0.25">
      <c r="A840">
        <v>20</v>
      </c>
      <c r="B840">
        <v>35</v>
      </c>
      <c r="C840" t="s">
        <v>19</v>
      </c>
      <c r="D840" t="s">
        <v>35</v>
      </c>
      <c r="E840">
        <f t="shared" ca="1" si="12"/>
        <v>5.28</v>
      </c>
    </row>
    <row r="841" spans="1:5" x14ac:dyDescent="0.25">
      <c r="A841">
        <v>20</v>
      </c>
      <c r="B841">
        <v>36</v>
      </c>
      <c r="C841" t="s">
        <v>19</v>
      </c>
      <c r="D841" t="s">
        <v>36</v>
      </c>
      <c r="E841">
        <f t="shared" ca="1" si="12"/>
        <v>14.98</v>
      </c>
    </row>
    <row r="842" spans="1:5" x14ac:dyDescent="0.25">
      <c r="A842">
        <v>20</v>
      </c>
      <c r="B842">
        <v>37</v>
      </c>
      <c r="C842" t="s">
        <v>19</v>
      </c>
      <c r="D842" t="s">
        <v>37</v>
      </c>
      <c r="E842">
        <f t="shared" ca="1" si="12"/>
        <v>19.95</v>
      </c>
    </row>
    <row r="843" spans="1:5" x14ac:dyDescent="0.25">
      <c r="A843">
        <v>20</v>
      </c>
      <c r="B843">
        <v>38</v>
      </c>
      <c r="C843" t="s">
        <v>19</v>
      </c>
      <c r="D843" t="s">
        <v>38</v>
      </c>
      <c r="E843">
        <f t="shared" ca="1" si="12"/>
        <v>15.85</v>
      </c>
    </row>
    <row r="844" spans="1:5" x14ac:dyDescent="0.25">
      <c r="A844">
        <v>20</v>
      </c>
      <c r="B844">
        <v>39</v>
      </c>
      <c r="C844" t="s">
        <v>19</v>
      </c>
      <c r="D844" t="s">
        <v>39</v>
      </c>
      <c r="E844">
        <f t="shared" ca="1" si="12"/>
        <v>18</v>
      </c>
    </row>
    <row r="845" spans="1:5" x14ac:dyDescent="0.25">
      <c r="A845">
        <v>20</v>
      </c>
      <c r="B845">
        <v>40</v>
      </c>
      <c r="C845" t="s">
        <v>19</v>
      </c>
      <c r="D845" t="s">
        <v>40</v>
      </c>
      <c r="E845">
        <f t="shared" ca="1" si="12"/>
        <v>18.11</v>
      </c>
    </row>
    <row r="846" spans="1:5" x14ac:dyDescent="0.25">
      <c r="A846">
        <v>21</v>
      </c>
      <c r="B846">
        <v>1</v>
      </c>
      <c r="C846" t="s">
        <v>20</v>
      </c>
      <c r="D846" t="s">
        <v>0</v>
      </c>
      <c r="E846">
        <f t="shared" ca="1" si="12"/>
        <v>2.7</v>
      </c>
    </row>
    <row r="847" spans="1:5" x14ac:dyDescent="0.25">
      <c r="A847">
        <v>21</v>
      </c>
      <c r="B847">
        <v>2</v>
      </c>
      <c r="C847" t="s">
        <v>20</v>
      </c>
      <c r="D847" t="s">
        <v>1</v>
      </c>
      <c r="E847">
        <f t="shared" ca="1" si="12"/>
        <v>1.38</v>
      </c>
    </row>
    <row r="848" spans="1:5" x14ac:dyDescent="0.25">
      <c r="A848">
        <v>21</v>
      </c>
      <c r="B848">
        <v>3</v>
      </c>
      <c r="C848" t="s">
        <v>20</v>
      </c>
      <c r="D848" t="s">
        <v>2</v>
      </c>
      <c r="E848">
        <f t="shared" ca="1" si="12"/>
        <v>1.3</v>
      </c>
    </row>
    <row r="849" spans="1:5" x14ac:dyDescent="0.25">
      <c r="A849">
        <v>21</v>
      </c>
      <c r="B849">
        <v>4</v>
      </c>
      <c r="C849" t="s">
        <v>20</v>
      </c>
      <c r="D849" t="s">
        <v>3</v>
      </c>
      <c r="E849">
        <f t="shared" ca="1" si="12"/>
        <v>6.92</v>
      </c>
    </row>
    <row r="850" spans="1:5" x14ac:dyDescent="0.25">
      <c r="A850">
        <v>21</v>
      </c>
      <c r="B850">
        <v>5</v>
      </c>
      <c r="C850" t="s">
        <v>20</v>
      </c>
      <c r="D850" t="s">
        <v>4</v>
      </c>
      <c r="E850">
        <f t="shared" ca="1" si="12"/>
        <v>8.33</v>
      </c>
    </row>
    <row r="851" spans="1:5" x14ac:dyDescent="0.25">
      <c r="A851">
        <v>21</v>
      </c>
      <c r="B851">
        <v>6</v>
      </c>
      <c r="C851" t="s">
        <v>20</v>
      </c>
      <c r="D851" t="s">
        <v>5</v>
      </c>
      <c r="E851">
        <f t="shared" ca="1" si="12"/>
        <v>10.1</v>
      </c>
    </row>
    <row r="852" spans="1:5" x14ac:dyDescent="0.25">
      <c r="A852">
        <v>21</v>
      </c>
      <c r="B852">
        <v>7</v>
      </c>
      <c r="C852" t="s">
        <v>20</v>
      </c>
      <c r="D852" t="s">
        <v>6</v>
      </c>
      <c r="E852">
        <f t="shared" ca="1" si="12"/>
        <v>8.01</v>
      </c>
    </row>
    <row r="853" spans="1:5" x14ac:dyDescent="0.25">
      <c r="A853">
        <v>21</v>
      </c>
      <c r="B853">
        <v>8</v>
      </c>
      <c r="C853" t="s">
        <v>20</v>
      </c>
      <c r="D853" t="s">
        <v>7</v>
      </c>
      <c r="E853">
        <f t="shared" ca="1" si="12"/>
        <v>6.88</v>
      </c>
    </row>
    <row r="854" spans="1:5" x14ac:dyDescent="0.25">
      <c r="A854">
        <v>21</v>
      </c>
      <c r="B854">
        <v>9</v>
      </c>
      <c r="C854" t="s">
        <v>20</v>
      </c>
      <c r="D854" t="s">
        <v>148</v>
      </c>
      <c r="E854">
        <f t="shared" ca="1" si="12"/>
        <v>4.92</v>
      </c>
    </row>
    <row r="855" spans="1:5" x14ac:dyDescent="0.25">
      <c r="A855">
        <v>21</v>
      </c>
      <c r="B855">
        <v>10</v>
      </c>
      <c r="C855" t="s">
        <v>20</v>
      </c>
      <c r="D855" t="s">
        <v>9</v>
      </c>
      <c r="E855">
        <f t="shared" ca="1" si="12"/>
        <v>8.8000000000000007</v>
      </c>
    </row>
    <row r="856" spans="1:5" x14ac:dyDescent="0.25">
      <c r="A856">
        <v>21</v>
      </c>
      <c r="B856">
        <v>11</v>
      </c>
      <c r="C856" t="s">
        <v>20</v>
      </c>
      <c r="D856" t="s">
        <v>10</v>
      </c>
      <c r="E856">
        <f t="shared" ca="1" si="12"/>
        <v>17.23</v>
      </c>
    </row>
    <row r="857" spans="1:5" x14ac:dyDescent="0.25">
      <c r="A857">
        <v>21</v>
      </c>
      <c r="B857">
        <v>12</v>
      </c>
      <c r="C857" t="s">
        <v>20</v>
      </c>
      <c r="D857" t="s">
        <v>11</v>
      </c>
      <c r="E857">
        <f t="shared" ca="1" si="12"/>
        <v>14.15</v>
      </c>
    </row>
    <row r="858" spans="1:5" x14ac:dyDescent="0.25">
      <c r="A858">
        <v>21</v>
      </c>
      <c r="B858">
        <v>13</v>
      </c>
      <c r="C858" t="s">
        <v>20</v>
      </c>
      <c r="D858" t="s">
        <v>12</v>
      </c>
      <c r="E858">
        <f t="shared" ca="1" si="12"/>
        <v>13</v>
      </c>
    </row>
    <row r="859" spans="1:5" x14ac:dyDescent="0.25">
      <c r="A859">
        <v>21</v>
      </c>
      <c r="B859">
        <v>14</v>
      </c>
      <c r="C859" t="s">
        <v>20</v>
      </c>
      <c r="D859" t="s">
        <v>13</v>
      </c>
      <c r="E859">
        <f t="shared" ref="E859:E920" ca="1" si="13">OFFSET($B$3,A859,B859)</f>
        <v>11.28</v>
      </c>
    </row>
    <row r="860" spans="1:5" x14ac:dyDescent="0.25">
      <c r="A860">
        <v>21</v>
      </c>
      <c r="B860">
        <v>15</v>
      </c>
      <c r="C860" t="s">
        <v>20</v>
      </c>
      <c r="D860" t="s">
        <v>14</v>
      </c>
      <c r="E860">
        <f t="shared" ca="1" si="13"/>
        <v>12.63</v>
      </c>
    </row>
    <row r="861" spans="1:5" x14ac:dyDescent="0.25">
      <c r="A861">
        <v>21</v>
      </c>
      <c r="B861">
        <v>16</v>
      </c>
      <c r="C861" t="s">
        <v>20</v>
      </c>
      <c r="D861" t="s">
        <v>15</v>
      </c>
      <c r="E861">
        <f t="shared" ca="1" si="13"/>
        <v>15.92</v>
      </c>
    </row>
    <row r="862" spans="1:5" x14ac:dyDescent="0.25">
      <c r="A862">
        <v>21</v>
      </c>
      <c r="B862">
        <v>17</v>
      </c>
      <c r="C862" t="s">
        <v>20</v>
      </c>
      <c r="D862" t="s">
        <v>16</v>
      </c>
      <c r="E862">
        <f t="shared" ca="1" si="13"/>
        <v>19.43</v>
      </c>
    </row>
    <row r="863" spans="1:5" x14ac:dyDescent="0.25">
      <c r="A863">
        <v>21</v>
      </c>
      <c r="B863">
        <v>18</v>
      </c>
      <c r="C863" t="s">
        <v>20</v>
      </c>
      <c r="D863" t="s">
        <v>17</v>
      </c>
      <c r="E863">
        <f t="shared" ca="1" si="13"/>
        <v>18.46</v>
      </c>
    </row>
    <row r="864" spans="1:5" x14ac:dyDescent="0.25">
      <c r="A864">
        <v>21</v>
      </c>
      <c r="B864">
        <v>19</v>
      </c>
      <c r="C864" t="s">
        <v>20</v>
      </c>
      <c r="D864" t="s">
        <v>18</v>
      </c>
      <c r="E864">
        <f t="shared" ca="1" si="13"/>
        <v>4.42</v>
      </c>
    </row>
    <row r="865" spans="1:5" x14ac:dyDescent="0.25">
      <c r="A865">
        <v>21</v>
      </c>
      <c r="B865">
        <v>20</v>
      </c>
      <c r="C865" t="s">
        <v>20</v>
      </c>
      <c r="D865" t="s">
        <v>19</v>
      </c>
      <c r="E865">
        <f t="shared" ca="1" si="13"/>
        <v>2.8</v>
      </c>
    </row>
    <row r="866" spans="1:5" x14ac:dyDescent="0.25">
      <c r="A866">
        <v>21</v>
      </c>
      <c r="B866">
        <v>21</v>
      </c>
      <c r="C866" t="s">
        <v>20</v>
      </c>
      <c r="D866" t="s">
        <v>20</v>
      </c>
      <c r="E866">
        <f t="shared" ca="1" si="13"/>
        <v>0</v>
      </c>
    </row>
    <row r="867" spans="1:5" x14ac:dyDescent="0.25">
      <c r="A867">
        <v>21</v>
      </c>
      <c r="B867">
        <v>22</v>
      </c>
      <c r="C867" t="s">
        <v>20</v>
      </c>
      <c r="D867" t="s">
        <v>21</v>
      </c>
      <c r="E867">
        <f t="shared" ca="1" si="13"/>
        <v>4.95</v>
      </c>
    </row>
    <row r="868" spans="1:5" x14ac:dyDescent="0.25">
      <c r="A868">
        <v>21</v>
      </c>
      <c r="B868">
        <v>23</v>
      </c>
      <c r="C868" t="s">
        <v>20</v>
      </c>
      <c r="D868" t="s">
        <v>22</v>
      </c>
      <c r="E868">
        <f t="shared" ca="1" si="13"/>
        <v>5</v>
      </c>
    </row>
    <row r="869" spans="1:5" x14ac:dyDescent="0.25">
      <c r="A869">
        <v>21</v>
      </c>
      <c r="B869">
        <v>24</v>
      </c>
      <c r="C869" t="s">
        <v>20</v>
      </c>
      <c r="D869" t="s">
        <v>23</v>
      </c>
      <c r="E869">
        <f t="shared" ca="1" si="13"/>
        <v>8.4</v>
      </c>
    </row>
    <row r="870" spans="1:5" x14ac:dyDescent="0.25">
      <c r="A870">
        <v>21</v>
      </c>
      <c r="B870">
        <v>25</v>
      </c>
      <c r="C870" t="s">
        <v>20</v>
      </c>
      <c r="D870" t="s">
        <v>24</v>
      </c>
      <c r="E870">
        <f t="shared" ca="1" si="13"/>
        <v>7.03</v>
      </c>
    </row>
    <row r="871" spans="1:5" x14ac:dyDescent="0.25">
      <c r="A871">
        <v>21</v>
      </c>
      <c r="B871">
        <v>26</v>
      </c>
      <c r="C871" t="s">
        <v>20</v>
      </c>
      <c r="D871" t="s">
        <v>25</v>
      </c>
      <c r="E871">
        <f t="shared" ca="1" si="13"/>
        <v>9.5500000000000007</v>
      </c>
    </row>
    <row r="872" spans="1:5" x14ac:dyDescent="0.25">
      <c r="A872">
        <v>21</v>
      </c>
      <c r="B872">
        <v>27</v>
      </c>
      <c r="C872" t="s">
        <v>20</v>
      </c>
      <c r="D872" t="s">
        <v>145</v>
      </c>
      <c r="E872">
        <f t="shared" ca="1" si="13"/>
        <v>2.4300000000000002</v>
      </c>
    </row>
    <row r="873" spans="1:5" x14ac:dyDescent="0.25">
      <c r="A873">
        <v>21</v>
      </c>
      <c r="B873">
        <v>28</v>
      </c>
      <c r="C873" t="s">
        <v>20</v>
      </c>
      <c r="D873" t="s">
        <v>147</v>
      </c>
      <c r="E873">
        <f t="shared" ca="1" si="13"/>
        <v>4.5199999999999996</v>
      </c>
    </row>
    <row r="874" spans="1:5" x14ac:dyDescent="0.25">
      <c r="A874">
        <v>21</v>
      </c>
      <c r="B874">
        <v>29</v>
      </c>
      <c r="C874" t="s">
        <v>20</v>
      </c>
      <c r="D874" t="s">
        <v>146</v>
      </c>
      <c r="E874">
        <f t="shared" ca="1" si="13"/>
        <v>7.55</v>
      </c>
    </row>
    <row r="875" spans="1:5" x14ac:dyDescent="0.25">
      <c r="A875">
        <v>21</v>
      </c>
      <c r="B875">
        <v>30</v>
      </c>
      <c r="C875" t="s">
        <v>20</v>
      </c>
      <c r="D875" t="s">
        <v>30</v>
      </c>
      <c r="E875">
        <f t="shared" ca="1" si="13"/>
        <v>5.45</v>
      </c>
    </row>
    <row r="876" spans="1:5" x14ac:dyDescent="0.25">
      <c r="A876">
        <v>21</v>
      </c>
      <c r="B876">
        <v>31</v>
      </c>
      <c r="C876" t="s">
        <v>20</v>
      </c>
      <c r="D876" t="s">
        <v>31</v>
      </c>
      <c r="E876">
        <f t="shared" ca="1" si="13"/>
        <v>5.08</v>
      </c>
    </row>
    <row r="877" spans="1:5" x14ac:dyDescent="0.25">
      <c r="A877">
        <v>21</v>
      </c>
      <c r="B877">
        <v>32</v>
      </c>
      <c r="C877" t="s">
        <v>20</v>
      </c>
      <c r="D877" t="s">
        <v>32</v>
      </c>
      <c r="E877">
        <f t="shared" ca="1" si="13"/>
        <v>4.28</v>
      </c>
    </row>
    <row r="878" spans="1:5" x14ac:dyDescent="0.25">
      <c r="A878">
        <v>21</v>
      </c>
      <c r="B878">
        <v>33</v>
      </c>
      <c r="C878" t="s">
        <v>20</v>
      </c>
      <c r="D878" t="s">
        <v>33</v>
      </c>
      <c r="E878">
        <f t="shared" ca="1" si="13"/>
        <v>3.68</v>
      </c>
    </row>
    <row r="879" spans="1:5" x14ac:dyDescent="0.25">
      <c r="A879">
        <v>21</v>
      </c>
      <c r="B879">
        <v>34</v>
      </c>
      <c r="C879" t="s">
        <v>20</v>
      </c>
      <c r="D879" t="s">
        <v>34</v>
      </c>
      <c r="E879">
        <f t="shared" ca="1" si="13"/>
        <v>3.55</v>
      </c>
    </row>
    <row r="880" spans="1:5" x14ac:dyDescent="0.25">
      <c r="A880">
        <v>21</v>
      </c>
      <c r="B880">
        <v>35</v>
      </c>
      <c r="C880" t="s">
        <v>20</v>
      </c>
      <c r="D880" t="s">
        <v>35</v>
      </c>
      <c r="E880">
        <f t="shared" ca="1" si="13"/>
        <v>3.23</v>
      </c>
    </row>
    <row r="881" spans="1:5" x14ac:dyDescent="0.25">
      <c r="A881">
        <v>21</v>
      </c>
      <c r="B881">
        <v>36</v>
      </c>
      <c r="C881" t="s">
        <v>20</v>
      </c>
      <c r="D881" t="s">
        <v>36</v>
      </c>
      <c r="E881">
        <f t="shared" ca="1" si="13"/>
        <v>16.850000000000001</v>
      </c>
    </row>
    <row r="882" spans="1:5" x14ac:dyDescent="0.25">
      <c r="A882">
        <v>21</v>
      </c>
      <c r="B882">
        <v>37</v>
      </c>
      <c r="C882" t="s">
        <v>20</v>
      </c>
      <c r="D882" t="s">
        <v>37</v>
      </c>
      <c r="E882">
        <f t="shared" ca="1" si="13"/>
        <v>21.53</v>
      </c>
    </row>
    <row r="883" spans="1:5" x14ac:dyDescent="0.25">
      <c r="A883">
        <v>21</v>
      </c>
      <c r="B883">
        <v>38</v>
      </c>
      <c r="C883" t="s">
        <v>20</v>
      </c>
      <c r="D883" t="s">
        <v>38</v>
      </c>
      <c r="E883">
        <f t="shared" ca="1" si="13"/>
        <v>17.809999999999999</v>
      </c>
    </row>
    <row r="884" spans="1:5" x14ac:dyDescent="0.25">
      <c r="A884">
        <v>21</v>
      </c>
      <c r="B884">
        <v>39</v>
      </c>
      <c r="C884" t="s">
        <v>20</v>
      </c>
      <c r="D884" t="s">
        <v>39</v>
      </c>
      <c r="E884">
        <f t="shared" ca="1" si="13"/>
        <v>19.899999999999999</v>
      </c>
    </row>
    <row r="885" spans="1:5" x14ac:dyDescent="0.25">
      <c r="A885">
        <v>21</v>
      </c>
      <c r="B885">
        <v>40</v>
      </c>
      <c r="C885" t="s">
        <v>20</v>
      </c>
      <c r="D885" t="s">
        <v>40</v>
      </c>
      <c r="E885">
        <f t="shared" ca="1" si="13"/>
        <v>19.88</v>
      </c>
    </row>
    <row r="886" spans="1:5" x14ac:dyDescent="0.25">
      <c r="A886">
        <v>22</v>
      </c>
      <c r="B886">
        <v>1</v>
      </c>
      <c r="C886" t="s">
        <v>21</v>
      </c>
      <c r="D886" t="s">
        <v>0</v>
      </c>
      <c r="E886">
        <f t="shared" ca="1" si="13"/>
        <v>7.1</v>
      </c>
    </row>
    <row r="887" spans="1:5" x14ac:dyDescent="0.25">
      <c r="A887">
        <v>22</v>
      </c>
      <c r="B887">
        <v>2</v>
      </c>
      <c r="C887" t="s">
        <v>21</v>
      </c>
      <c r="D887" t="s">
        <v>1</v>
      </c>
      <c r="E887">
        <f t="shared" ca="1" si="13"/>
        <v>5.71</v>
      </c>
    </row>
    <row r="888" spans="1:5" x14ac:dyDescent="0.25">
      <c r="A888">
        <v>22</v>
      </c>
      <c r="B888">
        <v>3</v>
      </c>
      <c r="C888" t="s">
        <v>21</v>
      </c>
      <c r="D888" t="s">
        <v>2</v>
      </c>
      <c r="E888">
        <f t="shared" ca="1" si="13"/>
        <v>5.6</v>
      </c>
    </row>
    <row r="889" spans="1:5" x14ac:dyDescent="0.25">
      <c r="A889">
        <v>22</v>
      </c>
      <c r="B889">
        <v>4</v>
      </c>
      <c r="C889" t="s">
        <v>21</v>
      </c>
      <c r="D889" t="s">
        <v>3</v>
      </c>
      <c r="E889">
        <f t="shared" ca="1" si="13"/>
        <v>11.11</v>
      </c>
    </row>
    <row r="890" spans="1:5" x14ac:dyDescent="0.25">
      <c r="A890">
        <v>22</v>
      </c>
      <c r="B890">
        <v>5</v>
      </c>
      <c r="C890" t="s">
        <v>21</v>
      </c>
      <c r="D890" t="s">
        <v>4</v>
      </c>
      <c r="E890">
        <f t="shared" ca="1" si="13"/>
        <v>12.36</v>
      </c>
    </row>
    <row r="891" spans="1:5" x14ac:dyDescent="0.25">
      <c r="A891">
        <v>22</v>
      </c>
      <c r="B891">
        <v>6</v>
      </c>
      <c r="C891" t="s">
        <v>21</v>
      </c>
      <c r="D891" t="s">
        <v>5</v>
      </c>
      <c r="E891">
        <f t="shared" ca="1" si="13"/>
        <v>14.05</v>
      </c>
    </row>
    <row r="892" spans="1:5" x14ac:dyDescent="0.25">
      <c r="A892">
        <v>22</v>
      </c>
      <c r="B892">
        <v>7</v>
      </c>
      <c r="C892" t="s">
        <v>21</v>
      </c>
      <c r="D892" t="s">
        <v>6</v>
      </c>
      <c r="E892">
        <f t="shared" ca="1" si="13"/>
        <v>12</v>
      </c>
    </row>
    <row r="893" spans="1:5" x14ac:dyDescent="0.25">
      <c r="A893">
        <v>22</v>
      </c>
      <c r="B893">
        <v>8</v>
      </c>
      <c r="C893" t="s">
        <v>21</v>
      </c>
      <c r="D893" t="s">
        <v>7</v>
      </c>
      <c r="E893">
        <f t="shared" ca="1" si="13"/>
        <v>10.81</v>
      </c>
    </row>
    <row r="894" spans="1:5" x14ac:dyDescent="0.25">
      <c r="A894">
        <v>22</v>
      </c>
      <c r="B894">
        <v>9</v>
      </c>
      <c r="C894" t="s">
        <v>21</v>
      </c>
      <c r="D894" t="s">
        <v>148</v>
      </c>
      <c r="E894">
        <f t="shared" ca="1" si="13"/>
        <v>9.1300000000000008</v>
      </c>
    </row>
    <row r="895" spans="1:5" x14ac:dyDescent="0.25">
      <c r="A895">
        <v>22</v>
      </c>
      <c r="B895">
        <v>10</v>
      </c>
      <c r="C895" t="s">
        <v>21</v>
      </c>
      <c r="D895" t="s">
        <v>9</v>
      </c>
      <c r="E895">
        <f t="shared" ca="1" si="13"/>
        <v>13.03</v>
      </c>
    </row>
    <row r="896" spans="1:5" x14ac:dyDescent="0.25">
      <c r="A896">
        <v>22</v>
      </c>
      <c r="B896">
        <v>11</v>
      </c>
      <c r="C896" t="s">
        <v>21</v>
      </c>
      <c r="D896" t="s">
        <v>10</v>
      </c>
      <c r="E896">
        <f t="shared" ca="1" si="13"/>
        <v>13.33</v>
      </c>
    </row>
    <row r="897" spans="1:5" x14ac:dyDescent="0.25">
      <c r="A897">
        <v>22</v>
      </c>
      <c r="B897">
        <v>12</v>
      </c>
      <c r="C897" t="s">
        <v>21</v>
      </c>
      <c r="D897" t="s">
        <v>11</v>
      </c>
      <c r="E897">
        <f t="shared" ca="1" si="13"/>
        <v>10.45</v>
      </c>
    </row>
    <row r="898" spans="1:5" x14ac:dyDescent="0.25">
      <c r="A898">
        <v>22</v>
      </c>
      <c r="B898">
        <v>13</v>
      </c>
      <c r="C898" t="s">
        <v>21</v>
      </c>
      <c r="D898" t="s">
        <v>12</v>
      </c>
      <c r="E898">
        <f t="shared" ca="1" si="13"/>
        <v>9.33</v>
      </c>
    </row>
    <row r="899" spans="1:5" x14ac:dyDescent="0.25">
      <c r="A899">
        <v>22</v>
      </c>
      <c r="B899">
        <v>14</v>
      </c>
      <c r="C899" t="s">
        <v>21</v>
      </c>
      <c r="D899" t="s">
        <v>13</v>
      </c>
      <c r="E899">
        <f t="shared" ca="1" si="13"/>
        <v>7.73</v>
      </c>
    </row>
    <row r="900" spans="1:5" x14ac:dyDescent="0.25">
      <c r="A900">
        <v>22</v>
      </c>
      <c r="B900">
        <v>15</v>
      </c>
      <c r="C900" t="s">
        <v>21</v>
      </c>
      <c r="D900" t="s">
        <v>14</v>
      </c>
      <c r="E900">
        <f t="shared" ca="1" si="13"/>
        <v>10.15</v>
      </c>
    </row>
    <row r="901" spans="1:5" x14ac:dyDescent="0.25">
      <c r="A901">
        <v>22</v>
      </c>
      <c r="B901">
        <v>16</v>
      </c>
      <c r="C901" t="s">
        <v>21</v>
      </c>
      <c r="D901" t="s">
        <v>15</v>
      </c>
      <c r="E901">
        <f t="shared" ca="1" si="13"/>
        <v>12.26</v>
      </c>
    </row>
    <row r="902" spans="1:5" x14ac:dyDescent="0.25">
      <c r="A902">
        <v>22</v>
      </c>
      <c r="B902">
        <v>17</v>
      </c>
      <c r="C902" t="s">
        <v>21</v>
      </c>
      <c r="D902" t="s">
        <v>16</v>
      </c>
      <c r="E902">
        <f t="shared" ca="1" si="13"/>
        <v>15.46</v>
      </c>
    </row>
    <row r="903" spans="1:5" x14ac:dyDescent="0.25">
      <c r="A903">
        <v>22</v>
      </c>
      <c r="B903">
        <v>18</v>
      </c>
      <c r="C903" t="s">
        <v>21</v>
      </c>
      <c r="D903" t="s">
        <v>17</v>
      </c>
      <c r="E903">
        <f t="shared" ca="1" si="13"/>
        <v>14.78</v>
      </c>
    </row>
    <row r="904" spans="1:5" x14ac:dyDescent="0.25">
      <c r="A904">
        <v>22</v>
      </c>
      <c r="B904">
        <v>19</v>
      </c>
      <c r="C904" t="s">
        <v>21</v>
      </c>
      <c r="D904" t="s">
        <v>18</v>
      </c>
      <c r="E904">
        <f t="shared" ca="1" si="13"/>
        <v>2.0099999999999998</v>
      </c>
    </row>
    <row r="905" spans="1:5" x14ac:dyDescent="0.25">
      <c r="A905">
        <v>22</v>
      </c>
      <c r="B905">
        <v>20</v>
      </c>
      <c r="C905" t="s">
        <v>21</v>
      </c>
      <c r="D905" t="s">
        <v>19</v>
      </c>
      <c r="E905">
        <f t="shared" ca="1" si="13"/>
        <v>2.75</v>
      </c>
    </row>
    <row r="906" spans="1:5" x14ac:dyDescent="0.25">
      <c r="A906">
        <v>22</v>
      </c>
      <c r="B906">
        <v>21</v>
      </c>
      <c r="C906" t="s">
        <v>21</v>
      </c>
      <c r="D906" t="s">
        <v>20</v>
      </c>
      <c r="E906">
        <f t="shared" ca="1" si="13"/>
        <v>4.95</v>
      </c>
    </row>
    <row r="907" spans="1:5" x14ac:dyDescent="0.25">
      <c r="A907">
        <v>22</v>
      </c>
      <c r="B907">
        <v>22</v>
      </c>
      <c r="C907" t="s">
        <v>21</v>
      </c>
      <c r="D907" t="s">
        <v>21</v>
      </c>
      <c r="E907">
        <f t="shared" ca="1" si="13"/>
        <v>0</v>
      </c>
    </row>
    <row r="908" spans="1:5" x14ac:dyDescent="0.25">
      <c r="A908">
        <v>22</v>
      </c>
      <c r="B908">
        <v>23</v>
      </c>
      <c r="C908" t="s">
        <v>21</v>
      </c>
      <c r="D908" t="s">
        <v>22</v>
      </c>
      <c r="E908">
        <f t="shared" ca="1" si="13"/>
        <v>2.5499999999999998</v>
      </c>
    </row>
    <row r="909" spans="1:5" x14ac:dyDescent="0.25">
      <c r="A909">
        <v>22</v>
      </c>
      <c r="B909">
        <v>24</v>
      </c>
      <c r="C909" t="s">
        <v>21</v>
      </c>
      <c r="D909" t="s">
        <v>23</v>
      </c>
      <c r="E909">
        <f t="shared" ca="1" si="13"/>
        <v>4.5599999999999996</v>
      </c>
    </row>
    <row r="910" spans="1:5" x14ac:dyDescent="0.25">
      <c r="A910">
        <v>22</v>
      </c>
      <c r="B910">
        <v>25</v>
      </c>
      <c r="C910" t="s">
        <v>21</v>
      </c>
      <c r="D910" t="s">
        <v>24</v>
      </c>
      <c r="E910">
        <f t="shared" ca="1" si="13"/>
        <v>3.16</v>
      </c>
    </row>
    <row r="911" spans="1:5" x14ac:dyDescent="0.25">
      <c r="A911">
        <v>22</v>
      </c>
      <c r="B911">
        <v>26</v>
      </c>
      <c r="C911" t="s">
        <v>21</v>
      </c>
      <c r="D911" t="s">
        <v>25</v>
      </c>
      <c r="E911">
        <f t="shared" ca="1" si="13"/>
        <v>7.2</v>
      </c>
    </row>
    <row r="912" spans="1:5" x14ac:dyDescent="0.25">
      <c r="A912">
        <v>22</v>
      </c>
      <c r="B912">
        <v>27</v>
      </c>
      <c r="C912" t="s">
        <v>21</v>
      </c>
      <c r="D912" t="s">
        <v>145</v>
      </c>
      <c r="E912">
        <f t="shared" ca="1" si="13"/>
        <v>2.96</v>
      </c>
    </row>
    <row r="913" spans="1:5" x14ac:dyDescent="0.25">
      <c r="A913">
        <v>22</v>
      </c>
      <c r="B913">
        <v>28</v>
      </c>
      <c r="C913" t="s">
        <v>21</v>
      </c>
      <c r="D913" t="s">
        <v>147</v>
      </c>
      <c r="E913">
        <f t="shared" ca="1" si="13"/>
        <v>0.66</v>
      </c>
    </row>
    <row r="914" spans="1:5" x14ac:dyDescent="0.25">
      <c r="A914">
        <v>22</v>
      </c>
      <c r="B914">
        <v>29</v>
      </c>
      <c r="C914" t="s">
        <v>21</v>
      </c>
      <c r="D914" t="s">
        <v>146</v>
      </c>
      <c r="E914">
        <f t="shared" ca="1" si="13"/>
        <v>3.66</v>
      </c>
    </row>
    <row r="915" spans="1:5" x14ac:dyDescent="0.25">
      <c r="A915">
        <v>22</v>
      </c>
      <c r="B915">
        <v>30</v>
      </c>
      <c r="C915" t="s">
        <v>21</v>
      </c>
      <c r="D915" t="s">
        <v>30</v>
      </c>
      <c r="E915">
        <f t="shared" ca="1" si="13"/>
        <v>9.26</v>
      </c>
    </row>
    <row r="916" spans="1:5" x14ac:dyDescent="0.25">
      <c r="A916">
        <v>22</v>
      </c>
      <c r="B916">
        <v>31</v>
      </c>
      <c r="C916" t="s">
        <v>21</v>
      </c>
      <c r="D916" t="s">
        <v>31</v>
      </c>
      <c r="E916">
        <f t="shared" ca="1" si="13"/>
        <v>8.93</v>
      </c>
    </row>
    <row r="917" spans="1:5" x14ac:dyDescent="0.25">
      <c r="A917">
        <v>22</v>
      </c>
      <c r="B917">
        <v>32</v>
      </c>
      <c r="C917" t="s">
        <v>21</v>
      </c>
      <c r="D917" t="s">
        <v>32</v>
      </c>
      <c r="E917">
        <f t="shared" ca="1" si="13"/>
        <v>8.1300000000000008</v>
      </c>
    </row>
    <row r="918" spans="1:5" x14ac:dyDescent="0.25">
      <c r="A918">
        <v>22</v>
      </c>
      <c r="B918">
        <v>33</v>
      </c>
      <c r="C918" t="s">
        <v>21</v>
      </c>
      <c r="D918" t="s">
        <v>33</v>
      </c>
      <c r="E918">
        <f t="shared" ca="1" si="13"/>
        <v>7.58</v>
      </c>
    </row>
    <row r="919" spans="1:5" x14ac:dyDescent="0.25">
      <c r="A919">
        <v>22</v>
      </c>
      <c r="B919">
        <v>34</v>
      </c>
      <c r="C919" t="s">
        <v>21</v>
      </c>
      <c r="D919" t="s">
        <v>34</v>
      </c>
      <c r="E919">
        <f t="shared" ca="1" si="13"/>
        <v>7.55</v>
      </c>
    </row>
    <row r="920" spans="1:5" x14ac:dyDescent="0.25">
      <c r="A920">
        <v>22</v>
      </c>
      <c r="B920">
        <v>35</v>
      </c>
      <c r="C920" t="s">
        <v>21</v>
      </c>
      <c r="D920" t="s">
        <v>35</v>
      </c>
      <c r="E920">
        <f t="shared" ca="1" si="13"/>
        <v>7.25</v>
      </c>
    </row>
    <row r="921" spans="1:5" x14ac:dyDescent="0.25">
      <c r="A921">
        <v>22</v>
      </c>
      <c r="B921">
        <v>36</v>
      </c>
      <c r="C921" t="s">
        <v>21</v>
      </c>
      <c r="D921" t="s">
        <v>36</v>
      </c>
      <c r="E921">
        <f t="shared" ref="E921:E983" ca="1" si="14">OFFSET($B$3,A921,B921)</f>
        <v>12.8</v>
      </c>
    </row>
    <row r="922" spans="1:5" x14ac:dyDescent="0.25">
      <c r="A922">
        <v>22</v>
      </c>
      <c r="B922">
        <v>37</v>
      </c>
      <c r="C922" t="s">
        <v>21</v>
      </c>
      <c r="D922" t="s">
        <v>37</v>
      </c>
      <c r="E922">
        <f t="shared" ca="1" si="14"/>
        <v>17.760000000000002</v>
      </c>
    </row>
    <row r="923" spans="1:5" x14ac:dyDescent="0.25">
      <c r="A923">
        <v>22</v>
      </c>
      <c r="B923">
        <v>38</v>
      </c>
      <c r="C923" t="s">
        <v>21</v>
      </c>
      <c r="D923" t="s">
        <v>38</v>
      </c>
      <c r="E923">
        <f t="shared" ca="1" si="14"/>
        <v>13.72</v>
      </c>
    </row>
    <row r="924" spans="1:5" x14ac:dyDescent="0.25">
      <c r="A924">
        <v>22</v>
      </c>
      <c r="B924">
        <v>39</v>
      </c>
      <c r="C924" t="s">
        <v>21</v>
      </c>
      <c r="D924" t="s">
        <v>39</v>
      </c>
      <c r="E924">
        <f t="shared" ca="1" si="14"/>
        <v>15.81</v>
      </c>
    </row>
    <row r="925" spans="1:5" x14ac:dyDescent="0.25">
      <c r="A925">
        <v>22</v>
      </c>
      <c r="B925">
        <v>40</v>
      </c>
      <c r="C925" t="s">
        <v>21</v>
      </c>
      <c r="D925" t="s">
        <v>40</v>
      </c>
      <c r="E925">
        <f t="shared" ca="1" si="14"/>
        <v>15.95</v>
      </c>
    </row>
    <row r="926" spans="1:5" x14ac:dyDescent="0.25">
      <c r="A926">
        <v>23</v>
      </c>
      <c r="B926">
        <v>1</v>
      </c>
      <c r="C926" t="s">
        <v>22</v>
      </c>
      <c r="D926" t="s">
        <v>0</v>
      </c>
      <c r="E926">
        <f t="shared" ca="1" si="14"/>
        <v>7.13</v>
      </c>
    </row>
    <row r="927" spans="1:5" x14ac:dyDescent="0.25">
      <c r="A927">
        <v>23</v>
      </c>
      <c r="B927">
        <v>2</v>
      </c>
      <c r="C927" t="s">
        <v>22</v>
      </c>
      <c r="D927" t="s">
        <v>1</v>
      </c>
      <c r="E927">
        <f t="shared" ca="1" si="14"/>
        <v>5.76</v>
      </c>
    </row>
    <row r="928" spans="1:5" x14ac:dyDescent="0.25">
      <c r="A928">
        <v>23</v>
      </c>
      <c r="B928">
        <v>3</v>
      </c>
      <c r="C928" t="s">
        <v>22</v>
      </c>
      <c r="D928" t="s">
        <v>2</v>
      </c>
      <c r="E928">
        <f t="shared" ca="1" si="14"/>
        <v>5.65</v>
      </c>
    </row>
    <row r="929" spans="1:5" x14ac:dyDescent="0.25">
      <c r="A929">
        <v>23</v>
      </c>
      <c r="B929">
        <v>4</v>
      </c>
      <c r="C929" t="s">
        <v>22</v>
      </c>
      <c r="D929" t="s">
        <v>3</v>
      </c>
      <c r="E929">
        <f t="shared" ca="1" si="14"/>
        <v>11.16</v>
      </c>
    </row>
    <row r="930" spans="1:5" x14ac:dyDescent="0.25">
      <c r="A930">
        <v>23</v>
      </c>
      <c r="B930">
        <v>5</v>
      </c>
      <c r="C930" t="s">
        <v>22</v>
      </c>
      <c r="D930" t="s">
        <v>4</v>
      </c>
      <c r="E930">
        <f t="shared" ca="1" si="14"/>
        <v>12.5</v>
      </c>
    </row>
    <row r="931" spans="1:5" x14ac:dyDescent="0.25">
      <c r="A931">
        <v>23</v>
      </c>
      <c r="B931">
        <v>6</v>
      </c>
      <c r="C931" t="s">
        <v>22</v>
      </c>
      <c r="D931" t="s">
        <v>5</v>
      </c>
      <c r="E931">
        <f t="shared" ca="1" si="14"/>
        <v>14.05</v>
      </c>
    </row>
    <row r="932" spans="1:5" x14ac:dyDescent="0.25">
      <c r="A932">
        <v>23</v>
      </c>
      <c r="B932">
        <v>7</v>
      </c>
      <c r="C932" t="s">
        <v>22</v>
      </c>
      <c r="D932" t="s">
        <v>6</v>
      </c>
      <c r="E932">
        <f t="shared" ca="1" si="14"/>
        <v>12.06</v>
      </c>
    </row>
    <row r="933" spans="1:5" x14ac:dyDescent="0.25">
      <c r="A933">
        <v>23</v>
      </c>
      <c r="B933">
        <v>8</v>
      </c>
      <c r="C933" t="s">
        <v>22</v>
      </c>
      <c r="D933" t="s">
        <v>7</v>
      </c>
      <c r="E933">
        <f t="shared" ca="1" si="14"/>
        <v>10.93</v>
      </c>
    </row>
    <row r="934" spans="1:5" x14ac:dyDescent="0.25">
      <c r="A934">
        <v>23</v>
      </c>
      <c r="B934">
        <v>9</v>
      </c>
      <c r="C934" t="s">
        <v>22</v>
      </c>
      <c r="D934" t="s">
        <v>148</v>
      </c>
      <c r="E934">
        <f t="shared" ca="1" si="14"/>
        <v>9.23</v>
      </c>
    </row>
    <row r="935" spans="1:5" x14ac:dyDescent="0.25">
      <c r="A935">
        <v>23</v>
      </c>
      <c r="B935">
        <v>10</v>
      </c>
      <c r="C935" t="s">
        <v>22</v>
      </c>
      <c r="D935" t="s">
        <v>9</v>
      </c>
      <c r="E935">
        <f t="shared" ca="1" si="14"/>
        <v>13</v>
      </c>
    </row>
    <row r="936" spans="1:5" x14ac:dyDescent="0.25">
      <c r="A936">
        <v>23</v>
      </c>
      <c r="B936">
        <v>11</v>
      </c>
      <c r="C936" t="s">
        <v>22</v>
      </c>
      <c r="D936" t="s">
        <v>10</v>
      </c>
      <c r="E936">
        <f t="shared" ca="1" si="14"/>
        <v>13.35</v>
      </c>
    </row>
    <row r="937" spans="1:5" x14ac:dyDescent="0.25">
      <c r="A937">
        <v>23</v>
      </c>
      <c r="B937">
        <v>12</v>
      </c>
      <c r="C937" t="s">
        <v>22</v>
      </c>
      <c r="D937" t="s">
        <v>11</v>
      </c>
      <c r="E937">
        <f t="shared" ca="1" si="14"/>
        <v>10.36</v>
      </c>
    </row>
    <row r="938" spans="1:5" x14ac:dyDescent="0.25">
      <c r="A938">
        <v>23</v>
      </c>
      <c r="B938">
        <v>13</v>
      </c>
      <c r="C938" t="s">
        <v>22</v>
      </c>
      <c r="D938" t="s">
        <v>12</v>
      </c>
      <c r="E938">
        <f t="shared" ca="1" si="14"/>
        <v>9.32</v>
      </c>
    </row>
    <row r="939" spans="1:5" x14ac:dyDescent="0.25">
      <c r="A939">
        <v>23</v>
      </c>
      <c r="B939">
        <v>14</v>
      </c>
      <c r="C939" t="s">
        <v>22</v>
      </c>
      <c r="D939" t="s">
        <v>13</v>
      </c>
      <c r="E939">
        <f t="shared" ca="1" si="14"/>
        <v>7.66</v>
      </c>
    </row>
    <row r="940" spans="1:5" x14ac:dyDescent="0.25">
      <c r="A940">
        <v>23</v>
      </c>
      <c r="B940">
        <v>15</v>
      </c>
      <c r="C940" t="s">
        <v>22</v>
      </c>
      <c r="D940" t="s">
        <v>14</v>
      </c>
      <c r="E940">
        <f t="shared" ca="1" si="14"/>
        <v>8.1199999999999992</v>
      </c>
    </row>
    <row r="941" spans="1:5" x14ac:dyDescent="0.25">
      <c r="A941">
        <v>23</v>
      </c>
      <c r="B941">
        <v>16</v>
      </c>
      <c r="C941" t="s">
        <v>22</v>
      </c>
      <c r="D941" t="s">
        <v>15</v>
      </c>
      <c r="E941">
        <f t="shared" ca="1" si="14"/>
        <v>11.35</v>
      </c>
    </row>
    <row r="942" spans="1:5" x14ac:dyDescent="0.25">
      <c r="A942">
        <v>23</v>
      </c>
      <c r="B942">
        <v>17</v>
      </c>
      <c r="C942" t="s">
        <v>22</v>
      </c>
      <c r="D942" t="s">
        <v>16</v>
      </c>
      <c r="E942">
        <f t="shared" ca="1" si="14"/>
        <v>15.51</v>
      </c>
    </row>
    <row r="943" spans="1:5" x14ac:dyDescent="0.25">
      <c r="A943">
        <v>23</v>
      </c>
      <c r="B943">
        <v>18</v>
      </c>
      <c r="C943" t="s">
        <v>22</v>
      </c>
      <c r="D943" t="s">
        <v>17</v>
      </c>
      <c r="E943">
        <f t="shared" ca="1" si="14"/>
        <v>13.6</v>
      </c>
    </row>
    <row r="944" spans="1:5" x14ac:dyDescent="0.25">
      <c r="A944">
        <v>23</v>
      </c>
      <c r="B944">
        <v>19</v>
      </c>
      <c r="C944" t="s">
        <v>22</v>
      </c>
      <c r="D944" t="s">
        <v>18</v>
      </c>
      <c r="E944">
        <f t="shared" ca="1" si="14"/>
        <v>3.75</v>
      </c>
    </row>
    <row r="945" spans="1:5" x14ac:dyDescent="0.25">
      <c r="A945">
        <v>23</v>
      </c>
      <c r="B945">
        <v>20</v>
      </c>
      <c r="C945" t="s">
        <v>22</v>
      </c>
      <c r="D945" t="s">
        <v>19</v>
      </c>
      <c r="E945">
        <f t="shared" ca="1" si="14"/>
        <v>4.05</v>
      </c>
    </row>
    <row r="946" spans="1:5" x14ac:dyDescent="0.25">
      <c r="A946">
        <v>23</v>
      </c>
      <c r="B946">
        <v>21</v>
      </c>
      <c r="C946" t="s">
        <v>22</v>
      </c>
      <c r="D946" t="s">
        <v>20</v>
      </c>
      <c r="E946">
        <f t="shared" ca="1" si="14"/>
        <v>5</v>
      </c>
    </row>
    <row r="947" spans="1:5" x14ac:dyDescent="0.25">
      <c r="A947">
        <v>23</v>
      </c>
      <c r="B947">
        <v>22</v>
      </c>
      <c r="C947" t="s">
        <v>22</v>
      </c>
      <c r="D947" t="s">
        <v>21</v>
      </c>
      <c r="E947">
        <f t="shared" ca="1" si="14"/>
        <v>2.5499999999999998</v>
      </c>
    </row>
    <row r="948" spans="1:5" x14ac:dyDescent="0.25">
      <c r="A948">
        <v>23</v>
      </c>
      <c r="B948">
        <v>23</v>
      </c>
      <c r="C948" t="s">
        <v>22</v>
      </c>
      <c r="D948" t="s">
        <v>22</v>
      </c>
      <c r="E948">
        <f t="shared" ca="1" si="14"/>
        <v>0</v>
      </c>
    </row>
    <row r="949" spans="1:5" x14ac:dyDescent="0.25">
      <c r="A949">
        <v>23</v>
      </c>
      <c r="B949">
        <v>24</v>
      </c>
      <c r="C949" t="s">
        <v>22</v>
      </c>
      <c r="D949" t="s">
        <v>23</v>
      </c>
      <c r="E949">
        <f t="shared" ca="1" si="14"/>
        <v>4.28</v>
      </c>
    </row>
    <row r="950" spans="1:5" x14ac:dyDescent="0.25">
      <c r="A950">
        <v>23</v>
      </c>
      <c r="B950">
        <v>25</v>
      </c>
      <c r="C950" t="s">
        <v>22</v>
      </c>
      <c r="D950" t="s">
        <v>24</v>
      </c>
      <c r="E950">
        <f t="shared" ca="1" si="14"/>
        <v>3.13</v>
      </c>
    </row>
    <row r="951" spans="1:5" x14ac:dyDescent="0.25">
      <c r="A951">
        <v>23</v>
      </c>
      <c r="B951">
        <v>26</v>
      </c>
      <c r="C951" t="s">
        <v>22</v>
      </c>
      <c r="D951" t="s">
        <v>25</v>
      </c>
      <c r="E951">
        <f t="shared" ca="1" si="14"/>
        <v>5.41</v>
      </c>
    </row>
    <row r="952" spans="1:5" x14ac:dyDescent="0.25">
      <c r="A952">
        <v>23</v>
      </c>
      <c r="B952">
        <v>27</v>
      </c>
      <c r="C952" t="s">
        <v>22</v>
      </c>
      <c r="D952" t="s">
        <v>145</v>
      </c>
      <c r="E952">
        <f t="shared" ca="1" si="14"/>
        <v>2.93</v>
      </c>
    </row>
    <row r="953" spans="1:5" x14ac:dyDescent="0.25">
      <c r="A953">
        <v>23</v>
      </c>
      <c r="B953">
        <v>28</v>
      </c>
      <c r="C953" t="s">
        <v>22</v>
      </c>
      <c r="D953" t="s">
        <v>147</v>
      </c>
      <c r="E953">
        <f t="shared" ca="1" si="14"/>
        <v>2.46</v>
      </c>
    </row>
    <row r="954" spans="1:5" x14ac:dyDescent="0.25">
      <c r="A954">
        <v>23</v>
      </c>
      <c r="B954">
        <v>29</v>
      </c>
      <c r="C954" t="s">
        <v>22</v>
      </c>
      <c r="D954" t="s">
        <v>146</v>
      </c>
      <c r="E954">
        <f t="shared" ca="1" si="14"/>
        <v>3.6</v>
      </c>
    </row>
    <row r="955" spans="1:5" x14ac:dyDescent="0.25">
      <c r="A955">
        <v>23</v>
      </c>
      <c r="B955">
        <v>30</v>
      </c>
      <c r="C955" t="s">
        <v>22</v>
      </c>
      <c r="D955" t="s">
        <v>30</v>
      </c>
      <c r="E955">
        <f t="shared" ca="1" si="14"/>
        <v>9.68</v>
      </c>
    </row>
    <row r="956" spans="1:5" x14ac:dyDescent="0.25">
      <c r="A956">
        <v>23</v>
      </c>
      <c r="B956">
        <v>31</v>
      </c>
      <c r="C956" t="s">
        <v>22</v>
      </c>
      <c r="D956" t="s">
        <v>31</v>
      </c>
      <c r="E956">
        <f t="shared" ca="1" si="14"/>
        <v>9.23</v>
      </c>
    </row>
    <row r="957" spans="1:5" x14ac:dyDescent="0.25">
      <c r="A957">
        <v>23</v>
      </c>
      <c r="B957">
        <v>32</v>
      </c>
      <c r="C957" t="s">
        <v>22</v>
      </c>
      <c r="D957" t="s">
        <v>32</v>
      </c>
      <c r="E957">
        <f t="shared" ca="1" si="14"/>
        <v>8.4499999999999993</v>
      </c>
    </row>
    <row r="958" spans="1:5" x14ac:dyDescent="0.25">
      <c r="A958">
        <v>23</v>
      </c>
      <c r="B958">
        <v>33</v>
      </c>
      <c r="C958" t="s">
        <v>22</v>
      </c>
      <c r="D958" t="s">
        <v>33</v>
      </c>
      <c r="E958">
        <f t="shared" ca="1" si="14"/>
        <v>7.68</v>
      </c>
    </row>
    <row r="959" spans="1:5" x14ac:dyDescent="0.25">
      <c r="A959">
        <v>23</v>
      </c>
      <c r="B959">
        <v>34</v>
      </c>
      <c r="C959" t="s">
        <v>22</v>
      </c>
      <c r="D959" t="s">
        <v>34</v>
      </c>
      <c r="E959">
        <f t="shared" ca="1" si="14"/>
        <v>7.65</v>
      </c>
    </row>
    <row r="960" spans="1:5" x14ac:dyDescent="0.25">
      <c r="A960">
        <v>23</v>
      </c>
      <c r="B960">
        <v>35</v>
      </c>
      <c r="C960" t="s">
        <v>22</v>
      </c>
      <c r="D960" t="s">
        <v>35</v>
      </c>
      <c r="E960">
        <f t="shared" ca="1" si="14"/>
        <v>7.4</v>
      </c>
    </row>
    <row r="961" spans="1:5" x14ac:dyDescent="0.25">
      <c r="A961">
        <v>23</v>
      </c>
      <c r="B961">
        <v>36</v>
      </c>
      <c r="C961" t="s">
        <v>22</v>
      </c>
      <c r="D961" t="s">
        <v>36</v>
      </c>
      <c r="E961">
        <f t="shared" ca="1" si="14"/>
        <v>12.48</v>
      </c>
    </row>
    <row r="962" spans="1:5" x14ac:dyDescent="0.25">
      <c r="A962">
        <v>23</v>
      </c>
      <c r="B962">
        <v>37</v>
      </c>
      <c r="C962" t="s">
        <v>22</v>
      </c>
      <c r="D962" t="s">
        <v>37</v>
      </c>
      <c r="E962">
        <f t="shared" ca="1" si="14"/>
        <v>16.71</v>
      </c>
    </row>
    <row r="963" spans="1:5" x14ac:dyDescent="0.25">
      <c r="A963">
        <v>23</v>
      </c>
      <c r="B963">
        <v>38</v>
      </c>
      <c r="C963" t="s">
        <v>22</v>
      </c>
      <c r="D963" t="s">
        <v>38</v>
      </c>
      <c r="E963">
        <f t="shared" ca="1" si="14"/>
        <v>13.1</v>
      </c>
    </row>
    <row r="964" spans="1:5" x14ac:dyDescent="0.25">
      <c r="A964">
        <v>23</v>
      </c>
      <c r="B964">
        <v>39</v>
      </c>
      <c r="C964" t="s">
        <v>22</v>
      </c>
      <c r="D964" t="s">
        <v>39</v>
      </c>
      <c r="E964">
        <f t="shared" ca="1" si="14"/>
        <v>15.65</v>
      </c>
    </row>
    <row r="965" spans="1:5" x14ac:dyDescent="0.25">
      <c r="A965">
        <v>23</v>
      </c>
      <c r="B965">
        <v>40</v>
      </c>
      <c r="C965" t="s">
        <v>22</v>
      </c>
      <c r="D965" t="s">
        <v>40</v>
      </c>
      <c r="E965">
        <f t="shared" ca="1" si="14"/>
        <v>15.08</v>
      </c>
    </row>
    <row r="966" spans="1:5" x14ac:dyDescent="0.25">
      <c r="A966">
        <v>24</v>
      </c>
      <c r="B966">
        <v>1</v>
      </c>
      <c r="C966" t="s">
        <v>23</v>
      </c>
      <c r="D966" t="s">
        <v>0</v>
      </c>
      <c r="E966">
        <f t="shared" ca="1" si="14"/>
        <v>10.51</v>
      </c>
    </row>
    <row r="967" spans="1:5" x14ac:dyDescent="0.25">
      <c r="A967">
        <v>24</v>
      </c>
      <c r="B967">
        <v>2</v>
      </c>
      <c r="C967" t="s">
        <v>23</v>
      </c>
      <c r="D967" t="s">
        <v>1</v>
      </c>
      <c r="E967">
        <f t="shared" ca="1" si="14"/>
        <v>9.16</v>
      </c>
    </row>
    <row r="968" spans="1:5" x14ac:dyDescent="0.25">
      <c r="A968">
        <v>24</v>
      </c>
      <c r="B968">
        <v>3</v>
      </c>
      <c r="C968" t="s">
        <v>23</v>
      </c>
      <c r="D968" t="s">
        <v>2</v>
      </c>
      <c r="E968">
        <f t="shared" ca="1" si="14"/>
        <v>9.0299999999999994</v>
      </c>
    </row>
    <row r="969" spans="1:5" x14ac:dyDescent="0.25">
      <c r="A969">
        <v>24</v>
      </c>
      <c r="B969">
        <v>4</v>
      </c>
      <c r="C969" t="s">
        <v>23</v>
      </c>
      <c r="D969" t="s">
        <v>3</v>
      </c>
      <c r="E969">
        <f t="shared" ca="1" si="14"/>
        <v>14.46</v>
      </c>
    </row>
    <row r="970" spans="1:5" x14ac:dyDescent="0.25">
      <c r="A970">
        <v>24</v>
      </c>
      <c r="B970">
        <v>5</v>
      </c>
      <c r="C970" t="s">
        <v>23</v>
      </c>
      <c r="D970" t="s">
        <v>4</v>
      </c>
      <c r="E970">
        <f t="shared" ca="1" si="14"/>
        <v>16</v>
      </c>
    </row>
    <row r="971" spans="1:5" x14ac:dyDescent="0.25">
      <c r="A971">
        <v>24</v>
      </c>
      <c r="B971">
        <v>6</v>
      </c>
      <c r="C971" t="s">
        <v>23</v>
      </c>
      <c r="D971" t="s">
        <v>5</v>
      </c>
      <c r="E971">
        <f t="shared" ca="1" si="14"/>
        <v>17.75</v>
      </c>
    </row>
    <row r="972" spans="1:5" x14ac:dyDescent="0.25">
      <c r="A972">
        <v>24</v>
      </c>
      <c r="B972">
        <v>7</v>
      </c>
      <c r="C972" t="s">
        <v>23</v>
      </c>
      <c r="D972" t="s">
        <v>6</v>
      </c>
      <c r="E972">
        <f t="shared" ca="1" si="14"/>
        <v>15.62</v>
      </c>
    </row>
    <row r="973" spans="1:5" x14ac:dyDescent="0.25">
      <c r="A973">
        <v>24</v>
      </c>
      <c r="B973">
        <v>8</v>
      </c>
      <c r="C973" t="s">
        <v>23</v>
      </c>
      <c r="D973" t="s">
        <v>7</v>
      </c>
      <c r="E973">
        <f t="shared" ca="1" si="14"/>
        <v>14.43</v>
      </c>
    </row>
    <row r="974" spans="1:5" x14ac:dyDescent="0.25">
      <c r="A974">
        <v>24</v>
      </c>
      <c r="B974">
        <v>9</v>
      </c>
      <c r="C974" t="s">
        <v>23</v>
      </c>
      <c r="D974" t="s">
        <v>148</v>
      </c>
      <c r="E974">
        <f t="shared" ca="1" si="14"/>
        <v>12.55</v>
      </c>
    </row>
    <row r="975" spans="1:5" x14ac:dyDescent="0.25">
      <c r="A975">
        <v>24</v>
      </c>
      <c r="B975">
        <v>10</v>
      </c>
      <c r="C975" t="s">
        <v>23</v>
      </c>
      <c r="D975" t="s">
        <v>9</v>
      </c>
      <c r="E975">
        <f t="shared" ca="1" si="14"/>
        <v>16.600000000000001</v>
      </c>
    </row>
    <row r="976" spans="1:5" x14ac:dyDescent="0.25">
      <c r="A976">
        <v>24</v>
      </c>
      <c r="B976">
        <v>11</v>
      </c>
      <c r="C976" t="s">
        <v>23</v>
      </c>
      <c r="D976" t="s">
        <v>10</v>
      </c>
      <c r="E976">
        <f t="shared" ca="1" si="14"/>
        <v>14.55</v>
      </c>
    </row>
    <row r="977" spans="1:5" x14ac:dyDescent="0.25">
      <c r="A977">
        <v>24</v>
      </c>
      <c r="B977">
        <v>12</v>
      </c>
      <c r="C977" t="s">
        <v>23</v>
      </c>
      <c r="D977" t="s">
        <v>11</v>
      </c>
      <c r="E977">
        <f t="shared" ca="1" si="14"/>
        <v>6.62</v>
      </c>
    </row>
    <row r="978" spans="1:5" x14ac:dyDescent="0.25">
      <c r="A978">
        <v>24</v>
      </c>
      <c r="B978">
        <v>13</v>
      </c>
      <c r="C978" t="s">
        <v>23</v>
      </c>
      <c r="D978" t="s">
        <v>12</v>
      </c>
      <c r="E978">
        <f t="shared" ca="1" si="14"/>
        <v>5.42</v>
      </c>
    </row>
    <row r="979" spans="1:5" x14ac:dyDescent="0.25">
      <c r="A979">
        <v>24</v>
      </c>
      <c r="B979">
        <v>14</v>
      </c>
      <c r="C979" t="s">
        <v>23</v>
      </c>
      <c r="D979" t="s">
        <v>13</v>
      </c>
      <c r="E979">
        <f t="shared" ca="1" si="14"/>
        <v>3.93</v>
      </c>
    </row>
    <row r="980" spans="1:5" x14ac:dyDescent="0.25">
      <c r="A980">
        <v>24</v>
      </c>
      <c r="B980">
        <v>15</v>
      </c>
      <c r="C980" t="s">
        <v>23</v>
      </c>
      <c r="D980" t="s">
        <v>14</v>
      </c>
      <c r="E980">
        <f t="shared" ca="1" si="14"/>
        <v>6</v>
      </c>
    </row>
    <row r="981" spans="1:5" x14ac:dyDescent="0.25">
      <c r="A981">
        <v>24</v>
      </c>
      <c r="B981">
        <v>16</v>
      </c>
      <c r="C981" t="s">
        <v>23</v>
      </c>
      <c r="D981" t="s">
        <v>15</v>
      </c>
      <c r="E981">
        <f t="shared" ca="1" si="14"/>
        <v>8.08</v>
      </c>
    </row>
    <row r="982" spans="1:5" x14ac:dyDescent="0.25">
      <c r="A982">
        <v>24</v>
      </c>
      <c r="B982">
        <v>17</v>
      </c>
      <c r="C982" t="s">
        <v>23</v>
      </c>
      <c r="D982" t="s">
        <v>16</v>
      </c>
      <c r="E982">
        <f t="shared" ca="1" si="14"/>
        <v>11.5</v>
      </c>
    </row>
    <row r="983" spans="1:5" x14ac:dyDescent="0.25">
      <c r="A983">
        <v>24</v>
      </c>
      <c r="B983">
        <v>18</v>
      </c>
      <c r="C983" t="s">
        <v>23</v>
      </c>
      <c r="D983" t="s">
        <v>17</v>
      </c>
      <c r="E983">
        <f t="shared" ca="1" si="14"/>
        <v>10.48</v>
      </c>
    </row>
    <row r="984" spans="1:5" x14ac:dyDescent="0.25">
      <c r="A984">
        <v>24</v>
      </c>
      <c r="B984">
        <v>19</v>
      </c>
      <c r="C984" t="s">
        <v>23</v>
      </c>
      <c r="D984" t="s">
        <v>18</v>
      </c>
      <c r="E984">
        <f t="shared" ref="E984:E1045" ca="1" si="15">OFFSET($B$3,A984,B984)</f>
        <v>6</v>
      </c>
    </row>
    <row r="985" spans="1:5" x14ac:dyDescent="0.25">
      <c r="A985">
        <v>24</v>
      </c>
      <c r="B985">
        <v>20</v>
      </c>
      <c r="C985" t="s">
        <v>23</v>
      </c>
      <c r="D985" t="s">
        <v>19</v>
      </c>
      <c r="E985">
        <f t="shared" ca="1" si="15"/>
        <v>6.72</v>
      </c>
    </row>
    <row r="986" spans="1:5" x14ac:dyDescent="0.25">
      <c r="A986">
        <v>24</v>
      </c>
      <c r="B986">
        <v>21</v>
      </c>
      <c r="C986" t="s">
        <v>23</v>
      </c>
      <c r="D986" t="s">
        <v>20</v>
      </c>
      <c r="E986">
        <f t="shared" ca="1" si="15"/>
        <v>8.4</v>
      </c>
    </row>
    <row r="987" spans="1:5" x14ac:dyDescent="0.25">
      <c r="A987">
        <v>24</v>
      </c>
      <c r="B987">
        <v>22</v>
      </c>
      <c r="C987" t="s">
        <v>23</v>
      </c>
      <c r="D987" t="s">
        <v>21</v>
      </c>
      <c r="E987">
        <f t="shared" ca="1" si="15"/>
        <v>4.5599999999999996</v>
      </c>
    </row>
    <row r="988" spans="1:5" x14ac:dyDescent="0.25">
      <c r="A988">
        <v>24</v>
      </c>
      <c r="B988">
        <v>23</v>
      </c>
      <c r="C988" t="s">
        <v>23</v>
      </c>
      <c r="D988" t="s">
        <v>22</v>
      </c>
      <c r="E988">
        <f t="shared" ca="1" si="15"/>
        <v>4.28</v>
      </c>
    </row>
    <row r="989" spans="1:5" x14ac:dyDescent="0.25">
      <c r="A989">
        <v>24</v>
      </c>
      <c r="B989">
        <v>24</v>
      </c>
      <c r="C989" t="s">
        <v>23</v>
      </c>
      <c r="D989" t="s">
        <v>23</v>
      </c>
      <c r="E989">
        <f t="shared" ca="1" si="15"/>
        <v>0</v>
      </c>
    </row>
    <row r="990" spans="1:5" x14ac:dyDescent="0.25">
      <c r="A990">
        <v>24</v>
      </c>
      <c r="B990">
        <v>25</v>
      </c>
      <c r="C990" t="s">
        <v>23</v>
      </c>
      <c r="D990" t="s">
        <v>24</v>
      </c>
      <c r="E990">
        <f t="shared" ca="1" si="15"/>
        <v>2.36</v>
      </c>
    </row>
    <row r="991" spans="1:5" x14ac:dyDescent="0.25">
      <c r="A991">
        <v>24</v>
      </c>
      <c r="B991">
        <v>26</v>
      </c>
      <c r="C991" t="s">
        <v>23</v>
      </c>
      <c r="D991" t="s">
        <v>25</v>
      </c>
      <c r="E991">
        <f t="shared" ca="1" si="15"/>
        <v>4.5</v>
      </c>
    </row>
    <row r="992" spans="1:5" x14ac:dyDescent="0.25">
      <c r="A992">
        <v>24</v>
      </c>
      <c r="B992">
        <v>27</v>
      </c>
      <c r="C992" t="s">
        <v>23</v>
      </c>
      <c r="D992" t="s">
        <v>145</v>
      </c>
      <c r="E992">
        <f t="shared" ca="1" si="15"/>
        <v>6.45</v>
      </c>
    </row>
    <row r="993" spans="1:5" x14ac:dyDescent="0.25">
      <c r="A993">
        <v>24</v>
      </c>
      <c r="B993">
        <v>28</v>
      </c>
      <c r="C993" t="s">
        <v>23</v>
      </c>
      <c r="D993" t="s">
        <v>147</v>
      </c>
      <c r="E993">
        <f t="shared" ca="1" si="15"/>
        <v>4.88</v>
      </c>
    </row>
    <row r="994" spans="1:5" x14ac:dyDescent="0.25">
      <c r="A994">
        <v>24</v>
      </c>
      <c r="B994">
        <v>29</v>
      </c>
      <c r="C994" t="s">
        <v>23</v>
      </c>
      <c r="D994" t="s">
        <v>146</v>
      </c>
      <c r="E994">
        <f t="shared" ca="1" si="15"/>
        <v>1.3</v>
      </c>
    </row>
    <row r="995" spans="1:5" x14ac:dyDescent="0.25">
      <c r="A995">
        <v>24</v>
      </c>
      <c r="B995">
        <v>30</v>
      </c>
      <c r="C995" t="s">
        <v>23</v>
      </c>
      <c r="D995" t="s">
        <v>30</v>
      </c>
      <c r="E995">
        <f t="shared" ca="1" si="15"/>
        <v>13.08</v>
      </c>
    </row>
    <row r="996" spans="1:5" x14ac:dyDescent="0.25">
      <c r="A996">
        <v>24</v>
      </c>
      <c r="B996">
        <v>31</v>
      </c>
      <c r="C996" t="s">
        <v>23</v>
      </c>
      <c r="D996" t="s">
        <v>31</v>
      </c>
      <c r="E996">
        <f t="shared" ca="1" si="15"/>
        <v>12.7</v>
      </c>
    </row>
    <row r="997" spans="1:5" x14ac:dyDescent="0.25">
      <c r="A997">
        <v>24</v>
      </c>
      <c r="B997">
        <v>32</v>
      </c>
      <c r="C997" t="s">
        <v>23</v>
      </c>
      <c r="D997" t="s">
        <v>32</v>
      </c>
      <c r="E997">
        <f t="shared" ca="1" si="15"/>
        <v>11.93</v>
      </c>
    </row>
    <row r="998" spans="1:5" x14ac:dyDescent="0.25">
      <c r="A998">
        <v>24</v>
      </c>
      <c r="B998">
        <v>33</v>
      </c>
      <c r="C998" t="s">
        <v>23</v>
      </c>
      <c r="D998" t="s">
        <v>33</v>
      </c>
      <c r="E998">
        <f t="shared" ca="1" si="15"/>
        <v>11.35</v>
      </c>
    </row>
    <row r="999" spans="1:5" x14ac:dyDescent="0.25">
      <c r="A999">
        <v>24</v>
      </c>
      <c r="B999">
        <v>34</v>
      </c>
      <c r="C999" t="s">
        <v>23</v>
      </c>
      <c r="D999" t="s">
        <v>34</v>
      </c>
      <c r="E999">
        <f t="shared" ca="1" si="15"/>
        <v>11.31</v>
      </c>
    </row>
    <row r="1000" spans="1:5" x14ac:dyDescent="0.25">
      <c r="A1000">
        <v>24</v>
      </c>
      <c r="B1000">
        <v>35</v>
      </c>
      <c r="C1000" t="s">
        <v>23</v>
      </c>
      <c r="D1000" t="s">
        <v>35</v>
      </c>
      <c r="E1000">
        <f t="shared" ca="1" si="15"/>
        <v>11.1</v>
      </c>
    </row>
    <row r="1001" spans="1:5" x14ac:dyDescent="0.25">
      <c r="A1001">
        <v>24</v>
      </c>
      <c r="B1001">
        <v>36</v>
      </c>
      <c r="C1001" t="s">
        <v>23</v>
      </c>
      <c r="D1001" t="s">
        <v>36</v>
      </c>
      <c r="E1001">
        <f t="shared" ca="1" si="15"/>
        <v>9</v>
      </c>
    </row>
    <row r="1002" spans="1:5" x14ac:dyDescent="0.25">
      <c r="A1002">
        <v>24</v>
      </c>
      <c r="B1002">
        <v>37</v>
      </c>
      <c r="C1002" t="s">
        <v>23</v>
      </c>
      <c r="D1002" t="s">
        <v>37</v>
      </c>
      <c r="E1002">
        <f t="shared" ca="1" si="15"/>
        <v>13.25</v>
      </c>
    </row>
    <row r="1003" spans="1:5" x14ac:dyDescent="0.25">
      <c r="A1003">
        <v>24</v>
      </c>
      <c r="B1003">
        <v>38</v>
      </c>
      <c r="C1003" t="s">
        <v>23</v>
      </c>
      <c r="D1003" t="s">
        <v>38</v>
      </c>
      <c r="E1003">
        <f t="shared" ca="1" si="15"/>
        <v>9.66</v>
      </c>
    </row>
    <row r="1004" spans="1:5" x14ac:dyDescent="0.25">
      <c r="A1004">
        <v>24</v>
      </c>
      <c r="B1004">
        <v>39</v>
      </c>
      <c r="C1004" t="s">
        <v>23</v>
      </c>
      <c r="D1004" t="s">
        <v>39</v>
      </c>
      <c r="E1004">
        <f t="shared" ca="1" si="15"/>
        <v>11.63</v>
      </c>
    </row>
    <row r="1005" spans="1:5" x14ac:dyDescent="0.25">
      <c r="A1005">
        <v>24</v>
      </c>
      <c r="B1005">
        <v>40</v>
      </c>
      <c r="C1005" t="s">
        <v>23</v>
      </c>
      <c r="D1005" t="s">
        <v>40</v>
      </c>
      <c r="E1005">
        <f t="shared" ca="1" si="15"/>
        <v>11.68</v>
      </c>
    </row>
    <row r="1006" spans="1:5" x14ac:dyDescent="0.25">
      <c r="A1006">
        <v>25</v>
      </c>
      <c r="B1006">
        <v>1</v>
      </c>
      <c r="C1006" t="s">
        <v>24</v>
      </c>
      <c r="D1006" t="s">
        <v>0</v>
      </c>
      <c r="E1006">
        <f t="shared" ca="1" si="15"/>
        <v>9.1300000000000008</v>
      </c>
    </row>
    <row r="1007" spans="1:5" x14ac:dyDescent="0.25">
      <c r="A1007">
        <v>25</v>
      </c>
      <c r="B1007">
        <v>2</v>
      </c>
      <c r="C1007" t="s">
        <v>24</v>
      </c>
      <c r="D1007" t="s">
        <v>1</v>
      </c>
      <c r="E1007">
        <f t="shared" ca="1" si="15"/>
        <v>7.78</v>
      </c>
    </row>
    <row r="1008" spans="1:5" x14ac:dyDescent="0.25">
      <c r="A1008">
        <v>25</v>
      </c>
      <c r="B1008">
        <v>3</v>
      </c>
      <c r="C1008" t="s">
        <v>24</v>
      </c>
      <c r="D1008" t="s">
        <v>2</v>
      </c>
      <c r="E1008">
        <f t="shared" ca="1" si="15"/>
        <v>7.65</v>
      </c>
    </row>
    <row r="1009" spans="1:5" x14ac:dyDescent="0.25">
      <c r="A1009">
        <v>25</v>
      </c>
      <c r="B1009">
        <v>4</v>
      </c>
      <c r="C1009" t="s">
        <v>24</v>
      </c>
      <c r="D1009" t="s">
        <v>3</v>
      </c>
      <c r="E1009">
        <f t="shared" ca="1" si="15"/>
        <v>13.18</v>
      </c>
    </row>
    <row r="1010" spans="1:5" x14ac:dyDescent="0.25">
      <c r="A1010">
        <v>25</v>
      </c>
      <c r="B1010">
        <v>5</v>
      </c>
      <c r="C1010" t="s">
        <v>24</v>
      </c>
      <c r="D1010" t="s">
        <v>4</v>
      </c>
      <c r="E1010">
        <f t="shared" ca="1" si="15"/>
        <v>14.2</v>
      </c>
    </row>
    <row r="1011" spans="1:5" x14ac:dyDescent="0.25">
      <c r="A1011">
        <v>25</v>
      </c>
      <c r="B1011">
        <v>6</v>
      </c>
      <c r="C1011" t="s">
        <v>24</v>
      </c>
      <c r="D1011" t="s">
        <v>5</v>
      </c>
      <c r="E1011">
        <f t="shared" ca="1" si="15"/>
        <v>16.3</v>
      </c>
    </row>
    <row r="1012" spans="1:5" x14ac:dyDescent="0.25">
      <c r="A1012">
        <v>25</v>
      </c>
      <c r="B1012">
        <v>7</v>
      </c>
      <c r="C1012" t="s">
        <v>24</v>
      </c>
      <c r="D1012" t="s">
        <v>6</v>
      </c>
      <c r="E1012">
        <f t="shared" ca="1" si="15"/>
        <v>14.18</v>
      </c>
    </row>
    <row r="1013" spans="1:5" x14ac:dyDescent="0.25">
      <c r="A1013">
        <v>25</v>
      </c>
      <c r="B1013">
        <v>8</v>
      </c>
      <c r="C1013" t="s">
        <v>24</v>
      </c>
      <c r="D1013" t="s">
        <v>7</v>
      </c>
      <c r="E1013">
        <f t="shared" ca="1" si="15"/>
        <v>12.98</v>
      </c>
    </row>
    <row r="1014" spans="1:5" x14ac:dyDescent="0.25">
      <c r="A1014">
        <v>25</v>
      </c>
      <c r="B1014">
        <v>9</v>
      </c>
      <c r="C1014" t="s">
        <v>24</v>
      </c>
      <c r="D1014" t="s">
        <v>148</v>
      </c>
      <c r="E1014">
        <f t="shared" ca="1" si="15"/>
        <v>11.28</v>
      </c>
    </row>
    <row r="1015" spans="1:5" x14ac:dyDescent="0.25">
      <c r="A1015">
        <v>25</v>
      </c>
      <c r="B1015">
        <v>10</v>
      </c>
      <c r="C1015" t="s">
        <v>24</v>
      </c>
      <c r="D1015" t="s">
        <v>9</v>
      </c>
      <c r="E1015">
        <f t="shared" ca="1" si="15"/>
        <v>15.16</v>
      </c>
    </row>
    <row r="1016" spans="1:5" x14ac:dyDescent="0.25">
      <c r="A1016">
        <v>25</v>
      </c>
      <c r="B1016">
        <v>11</v>
      </c>
      <c r="C1016" t="s">
        <v>24</v>
      </c>
      <c r="D1016" t="s">
        <v>10</v>
      </c>
      <c r="E1016">
        <f t="shared" ca="1" si="15"/>
        <v>10.93</v>
      </c>
    </row>
    <row r="1017" spans="1:5" x14ac:dyDescent="0.25">
      <c r="A1017">
        <v>25</v>
      </c>
      <c r="B1017">
        <v>12</v>
      </c>
      <c r="C1017" t="s">
        <v>24</v>
      </c>
      <c r="D1017" t="s">
        <v>11</v>
      </c>
      <c r="E1017">
        <f t="shared" ca="1" si="15"/>
        <v>8.1300000000000008</v>
      </c>
    </row>
    <row r="1018" spans="1:5" x14ac:dyDescent="0.25">
      <c r="A1018">
        <v>25</v>
      </c>
      <c r="B1018">
        <v>13</v>
      </c>
      <c r="C1018" t="s">
        <v>24</v>
      </c>
      <c r="D1018" t="s">
        <v>12</v>
      </c>
      <c r="E1018">
        <f t="shared" ca="1" si="15"/>
        <v>7.06</v>
      </c>
    </row>
    <row r="1019" spans="1:5" x14ac:dyDescent="0.25">
      <c r="A1019">
        <v>25</v>
      </c>
      <c r="B1019">
        <v>14</v>
      </c>
      <c r="C1019" t="s">
        <v>24</v>
      </c>
      <c r="D1019" t="s">
        <v>13</v>
      </c>
      <c r="E1019">
        <f t="shared" ca="1" si="15"/>
        <v>5.46</v>
      </c>
    </row>
    <row r="1020" spans="1:5" x14ac:dyDescent="0.25">
      <c r="A1020">
        <v>25</v>
      </c>
      <c r="B1020">
        <v>15</v>
      </c>
      <c r="C1020" t="s">
        <v>24</v>
      </c>
      <c r="D1020" t="s">
        <v>14</v>
      </c>
      <c r="E1020">
        <f t="shared" ca="1" si="15"/>
        <v>7.83</v>
      </c>
    </row>
    <row r="1021" spans="1:5" x14ac:dyDescent="0.25">
      <c r="A1021">
        <v>25</v>
      </c>
      <c r="B1021">
        <v>16</v>
      </c>
      <c r="C1021" t="s">
        <v>24</v>
      </c>
      <c r="D1021" t="s">
        <v>15</v>
      </c>
      <c r="E1021">
        <f t="shared" ca="1" si="15"/>
        <v>9.86</v>
      </c>
    </row>
    <row r="1022" spans="1:5" x14ac:dyDescent="0.25">
      <c r="A1022">
        <v>25</v>
      </c>
      <c r="B1022">
        <v>17</v>
      </c>
      <c r="C1022" t="s">
        <v>24</v>
      </c>
      <c r="D1022" t="s">
        <v>16</v>
      </c>
      <c r="E1022">
        <f t="shared" ca="1" si="15"/>
        <v>13.08</v>
      </c>
    </row>
    <row r="1023" spans="1:5" x14ac:dyDescent="0.25">
      <c r="A1023">
        <v>25</v>
      </c>
      <c r="B1023">
        <v>18</v>
      </c>
      <c r="C1023" t="s">
        <v>24</v>
      </c>
      <c r="D1023" t="s">
        <v>17</v>
      </c>
      <c r="E1023">
        <f t="shared" ca="1" si="15"/>
        <v>12.36</v>
      </c>
    </row>
    <row r="1024" spans="1:5" x14ac:dyDescent="0.25">
      <c r="A1024">
        <v>25</v>
      </c>
      <c r="B1024">
        <v>19</v>
      </c>
      <c r="C1024" t="s">
        <v>24</v>
      </c>
      <c r="D1024" t="s">
        <v>18</v>
      </c>
      <c r="E1024">
        <f t="shared" ca="1" si="15"/>
        <v>4.6500000000000004</v>
      </c>
    </row>
    <row r="1025" spans="1:5" x14ac:dyDescent="0.25">
      <c r="A1025">
        <v>25</v>
      </c>
      <c r="B1025">
        <v>20</v>
      </c>
      <c r="C1025" t="s">
        <v>24</v>
      </c>
      <c r="D1025" t="s">
        <v>19</v>
      </c>
      <c r="E1025">
        <f t="shared" ca="1" si="15"/>
        <v>5.38</v>
      </c>
    </row>
    <row r="1026" spans="1:5" x14ac:dyDescent="0.25">
      <c r="A1026">
        <v>25</v>
      </c>
      <c r="B1026">
        <v>21</v>
      </c>
      <c r="C1026" t="s">
        <v>24</v>
      </c>
      <c r="D1026" t="s">
        <v>20</v>
      </c>
      <c r="E1026">
        <f t="shared" ca="1" si="15"/>
        <v>7.03</v>
      </c>
    </row>
    <row r="1027" spans="1:5" x14ac:dyDescent="0.25">
      <c r="A1027">
        <v>25</v>
      </c>
      <c r="B1027">
        <v>22</v>
      </c>
      <c r="C1027" t="s">
        <v>24</v>
      </c>
      <c r="D1027" t="s">
        <v>21</v>
      </c>
      <c r="E1027">
        <f t="shared" ca="1" si="15"/>
        <v>3.16</v>
      </c>
    </row>
    <row r="1028" spans="1:5" x14ac:dyDescent="0.25">
      <c r="A1028">
        <v>25</v>
      </c>
      <c r="B1028">
        <v>23</v>
      </c>
      <c r="C1028" t="s">
        <v>24</v>
      </c>
      <c r="D1028" t="s">
        <v>22</v>
      </c>
      <c r="E1028">
        <f t="shared" ca="1" si="15"/>
        <v>3.13</v>
      </c>
    </row>
    <row r="1029" spans="1:5" x14ac:dyDescent="0.25">
      <c r="A1029">
        <v>25</v>
      </c>
      <c r="B1029">
        <v>24</v>
      </c>
      <c r="C1029" t="s">
        <v>24</v>
      </c>
      <c r="D1029" t="s">
        <v>23</v>
      </c>
      <c r="E1029">
        <f t="shared" ca="1" si="15"/>
        <v>2.36</v>
      </c>
    </row>
    <row r="1030" spans="1:5" x14ac:dyDescent="0.25">
      <c r="A1030">
        <v>25</v>
      </c>
      <c r="B1030">
        <v>25</v>
      </c>
      <c r="C1030" t="s">
        <v>24</v>
      </c>
      <c r="D1030" t="s">
        <v>24</v>
      </c>
      <c r="E1030">
        <f t="shared" ca="1" si="15"/>
        <v>0</v>
      </c>
    </row>
    <row r="1031" spans="1:5" x14ac:dyDescent="0.25">
      <c r="A1031">
        <v>25</v>
      </c>
      <c r="B1031">
        <v>26</v>
      </c>
      <c r="C1031" t="s">
        <v>24</v>
      </c>
      <c r="D1031" t="s">
        <v>25</v>
      </c>
      <c r="E1031">
        <f t="shared" ca="1" si="15"/>
        <v>6.2</v>
      </c>
    </row>
    <row r="1032" spans="1:5" x14ac:dyDescent="0.25">
      <c r="A1032">
        <v>25</v>
      </c>
      <c r="B1032">
        <v>27</v>
      </c>
      <c r="C1032" t="s">
        <v>24</v>
      </c>
      <c r="D1032" t="s">
        <v>145</v>
      </c>
      <c r="E1032">
        <f t="shared" ca="1" si="15"/>
        <v>4.9000000000000004</v>
      </c>
    </row>
    <row r="1033" spans="1:5" x14ac:dyDescent="0.25">
      <c r="A1033">
        <v>25</v>
      </c>
      <c r="B1033">
        <v>28</v>
      </c>
      <c r="C1033" t="s">
        <v>24</v>
      </c>
      <c r="D1033" t="s">
        <v>147</v>
      </c>
      <c r="E1033">
        <f t="shared" ca="1" si="15"/>
        <v>3.33</v>
      </c>
    </row>
    <row r="1034" spans="1:5" x14ac:dyDescent="0.25">
      <c r="A1034">
        <v>25</v>
      </c>
      <c r="B1034">
        <v>29</v>
      </c>
      <c r="C1034" t="s">
        <v>24</v>
      </c>
      <c r="D1034" t="s">
        <v>146</v>
      </c>
      <c r="E1034">
        <f t="shared" ca="1" si="15"/>
        <v>1.26</v>
      </c>
    </row>
    <row r="1035" spans="1:5" x14ac:dyDescent="0.25">
      <c r="A1035">
        <v>25</v>
      </c>
      <c r="B1035">
        <v>30</v>
      </c>
      <c r="C1035" t="s">
        <v>24</v>
      </c>
      <c r="D1035" t="s">
        <v>30</v>
      </c>
      <c r="E1035">
        <f t="shared" ca="1" si="15"/>
        <v>11.66</v>
      </c>
    </row>
    <row r="1036" spans="1:5" x14ac:dyDescent="0.25">
      <c r="A1036">
        <v>25</v>
      </c>
      <c r="B1036">
        <v>31</v>
      </c>
      <c r="C1036" t="s">
        <v>24</v>
      </c>
      <c r="D1036" t="s">
        <v>31</v>
      </c>
      <c r="E1036">
        <f t="shared" ca="1" si="15"/>
        <v>12.92</v>
      </c>
    </row>
    <row r="1037" spans="1:5" x14ac:dyDescent="0.25">
      <c r="A1037">
        <v>25</v>
      </c>
      <c r="B1037">
        <v>32</v>
      </c>
      <c r="C1037" t="s">
        <v>24</v>
      </c>
      <c r="D1037" t="s">
        <v>32</v>
      </c>
      <c r="E1037">
        <f t="shared" ca="1" si="15"/>
        <v>10.5</v>
      </c>
    </row>
    <row r="1038" spans="1:5" x14ac:dyDescent="0.25">
      <c r="A1038">
        <v>25</v>
      </c>
      <c r="B1038">
        <v>33</v>
      </c>
      <c r="C1038" t="s">
        <v>24</v>
      </c>
      <c r="D1038" t="s">
        <v>33</v>
      </c>
      <c r="E1038">
        <f t="shared" ca="1" si="15"/>
        <v>9.9</v>
      </c>
    </row>
    <row r="1039" spans="1:5" x14ac:dyDescent="0.25">
      <c r="A1039">
        <v>25</v>
      </c>
      <c r="B1039">
        <v>34</v>
      </c>
      <c r="C1039" t="s">
        <v>24</v>
      </c>
      <c r="D1039" t="s">
        <v>34</v>
      </c>
      <c r="E1039">
        <f t="shared" ca="1" si="15"/>
        <v>9.85</v>
      </c>
    </row>
    <row r="1040" spans="1:5" x14ac:dyDescent="0.25">
      <c r="A1040">
        <v>25</v>
      </c>
      <c r="B1040">
        <v>35</v>
      </c>
      <c r="C1040" t="s">
        <v>24</v>
      </c>
      <c r="D1040" t="s">
        <v>35</v>
      </c>
      <c r="E1040">
        <f t="shared" ca="1" si="15"/>
        <v>9.5500000000000007</v>
      </c>
    </row>
    <row r="1041" spans="1:5" x14ac:dyDescent="0.25">
      <c r="A1041">
        <v>25</v>
      </c>
      <c r="B1041">
        <v>36</v>
      </c>
      <c r="C1041" t="s">
        <v>24</v>
      </c>
      <c r="D1041" t="s">
        <v>36</v>
      </c>
      <c r="E1041">
        <f t="shared" ca="1" si="15"/>
        <v>10.38</v>
      </c>
    </row>
    <row r="1042" spans="1:5" x14ac:dyDescent="0.25">
      <c r="A1042">
        <v>25</v>
      </c>
      <c r="B1042">
        <v>37</v>
      </c>
      <c r="C1042" t="s">
        <v>24</v>
      </c>
      <c r="D1042" t="s">
        <v>37</v>
      </c>
      <c r="E1042">
        <f t="shared" ca="1" si="15"/>
        <v>14.56</v>
      </c>
    </row>
    <row r="1043" spans="1:5" x14ac:dyDescent="0.25">
      <c r="A1043">
        <v>25</v>
      </c>
      <c r="B1043">
        <v>38</v>
      </c>
      <c r="C1043" t="s">
        <v>24</v>
      </c>
      <c r="D1043" t="s">
        <v>38</v>
      </c>
      <c r="E1043">
        <f t="shared" ca="1" si="15"/>
        <v>11</v>
      </c>
    </row>
    <row r="1044" spans="1:5" x14ac:dyDescent="0.25">
      <c r="A1044">
        <v>25</v>
      </c>
      <c r="B1044">
        <v>39</v>
      </c>
      <c r="C1044" t="s">
        <v>24</v>
      </c>
      <c r="D1044" t="s">
        <v>39</v>
      </c>
      <c r="E1044">
        <f t="shared" ca="1" si="15"/>
        <v>12.95</v>
      </c>
    </row>
    <row r="1045" spans="1:5" x14ac:dyDescent="0.25">
      <c r="A1045">
        <v>25</v>
      </c>
      <c r="B1045">
        <v>40</v>
      </c>
      <c r="C1045" t="s">
        <v>24</v>
      </c>
      <c r="D1045" t="s">
        <v>40</v>
      </c>
      <c r="E1045">
        <f t="shared" ca="1" si="15"/>
        <v>13</v>
      </c>
    </row>
    <row r="1046" spans="1:5" x14ac:dyDescent="0.25">
      <c r="A1046">
        <v>26</v>
      </c>
      <c r="B1046">
        <v>1</v>
      </c>
      <c r="C1046" t="s">
        <v>25</v>
      </c>
      <c r="D1046" t="s">
        <v>0</v>
      </c>
      <c r="E1046">
        <f t="shared" ref="E1046:E1108" ca="1" si="16">OFFSET($B$3,A1046,B1046)</f>
        <v>11.5</v>
      </c>
    </row>
    <row r="1047" spans="1:5" x14ac:dyDescent="0.25">
      <c r="A1047">
        <v>26</v>
      </c>
      <c r="B1047">
        <v>2</v>
      </c>
      <c r="C1047" t="s">
        <v>25</v>
      </c>
      <c r="D1047" t="s">
        <v>1</v>
      </c>
      <c r="E1047">
        <f t="shared" ca="1" si="16"/>
        <v>10.16</v>
      </c>
    </row>
    <row r="1048" spans="1:5" x14ac:dyDescent="0.25">
      <c r="A1048">
        <v>26</v>
      </c>
      <c r="B1048">
        <v>3</v>
      </c>
      <c r="C1048" t="s">
        <v>25</v>
      </c>
      <c r="D1048" t="s">
        <v>2</v>
      </c>
      <c r="E1048">
        <f t="shared" ca="1" si="16"/>
        <v>10.050000000000001</v>
      </c>
    </row>
    <row r="1049" spans="1:5" x14ac:dyDescent="0.25">
      <c r="A1049">
        <v>26</v>
      </c>
      <c r="B1049">
        <v>4</v>
      </c>
      <c r="C1049" t="s">
        <v>25</v>
      </c>
      <c r="D1049" t="s">
        <v>3</v>
      </c>
      <c r="E1049">
        <f t="shared" ca="1" si="16"/>
        <v>14.61</v>
      </c>
    </row>
    <row r="1050" spans="1:5" x14ac:dyDescent="0.25">
      <c r="A1050">
        <v>26</v>
      </c>
      <c r="B1050">
        <v>5</v>
      </c>
      <c r="C1050" t="s">
        <v>25</v>
      </c>
      <c r="D1050" t="s">
        <v>4</v>
      </c>
      <c r="E1050">
        <f t="shared" ca="1" si="16"/>
        <v>15.42</v>
      </c>
    </row>
    <row r="1051" spans="1:5" x14ac:dyDescent="0.25">
      <c r="A1051">
        <v>26</v>
      </c>
      <c r="B1051">
        <v>6</v>
      </c>
      <c r="C1051" t="s">
        <v>25</v>
      </c>
      <c r="D1051" t="s">
        <v>5</v>
      </c>
      <c r="E1051">
        <f t="shared" ca="1" si="16"/>
        <v>17.46</v>
      </c>
    </row>
    <row r="1052" spans="1:5" x14ac:dyDescent="0.25">
      <c r="A1052">
        <v>26</v>
      </c>
      <c r="B1052">
        <v>7</v>
      </c>
      <c r="C1052" t="s">
        <v>25</v>
      </c>
      <c r="D1052" t="s">
        <v>6</v>
      </c>
      <c r="E1052">
        <f t="shared" ca="1" si="16"/>
        <v>15.63</v>
      </c>
    </row>
    <row r="1053" spans="1:5" x14ac:dyDescent="0.25">
      <c r="A1053">
        <v>26</v>
      </c>
      <c r="B1053">
        <v>8</v>
      </c>
      <c r="C1053" t="s">
        <v>25</v>
      </c>
      <c r="D1053" t="s">
        <v>7</v>
      </c>
      <c r="E1053">
        <f t="shared" ca="1" si="16"/>
        <v>14.85</v>
      </c>
    </row>
    <row r="1054" spans="1:5" x14ac:dyDescent="0.25">
      <c r="A1054">
        <v>26</v>
      </c>
      <c r="B1054">
        <v>9</v>
      </c>
      <c r="C1054" t="s">
        <v>25</v>
      </c>
      <c r="D1054" t="s">
        <v>148</v>
      </c>
      <c r="E1054">
        <f t="shared" ca="1" si="16"/>
        <v>12.46</v>
      </c>
    </row>
    <row r="1055" spans="1:5" x14ac:dyDescent="0.25">
      <c r="A1055">
        <v>26</v>
      </c>
      <c r="B1055">
        <v>10</v>
      </c>
      <c r="C1055" t="s">
        <v>25</v>
      </c>
      <c r="D1055" t="s">
        <v>9</v>
      </c>
      <c r="E1055">
        <f t="shared" ca="1" si="16"/>
        <v>16.73</v>
      </c>
    </row>
    <row r="1056" spans="1:5" x14ac:dyDescent="0.25">
      <c r="A1056">
        <v>26</v>
      </c>
      <c r="B1056">
        <v>11</v>
      </c>
      <c r="C1056" t="s">
        <v>25</v>
      </c>
      <c r="D1056" t="s">
        <v>10</v>
      </c>
      <c r="E1056">
        <f t="shared" ca="1" si="16"/>
        <v>12.23</v>
      </c>
    </row>
    <row r="1057" spans="1:5" x14ac:dyDescent="0.25">
      <c r="A1057">
        <v>26</v>
      </c>
      <c r="B1057">
        <v>12</v>
      </c>
      <c r="C1057" t="s">
        <v>25</v>
      </c>
      <c r="D1057" t="s">
        <v>11</v>
      </c>
      <c r="E1057">
        <f t="shared" ca="1" si="16"/>
        <v>9.25</v>
      </c>
    </row>
    <row r="1058" spans="1:5" x14ac:dyDescent="0.25">
      <c r="A1058">
        <v>26</v>
      </c>
      <c r="B1058">
        <v>13</v>
      </c>
      <c r="C1058" t="s">
        <v>25</v>
      </c>
      <c r="D1058" t="s">
        <v>12</v>
      </c>
      <c r="E1058">
        <f t="shared" ca="1" si="16"/>
        <v>8.08</v>
      </c>
    </row>
    <row r="1059" spans="1:5" x14ac:dyDescent="0.25">
      <c r="A1059">
        <v>26</v>
      </c>
      <c r="B1059">
        <v>14</v>
      </c>
      <c r="C1059" t="s">
        <v>25</v>
      </c>
      <c r="D1059" t="s">
        <v>13</v>
      </c>
      <c r="E1059">
        <f t="shared" ca="1" si="16"/>
        <v>6.65</v>
      </c>
    </row>
    <row r="1060" spans="1:5" x14ac:dyDescent="0.25">
      <c r="A1060">
        <v>26</v>
      </c>
      <c r="B1060">
        <v>15</v>
      </c>
      <c r="C1060" t="s">
        <v>25</v>
      </c>
      <c r="D1060" t="s">
        <v>14</v>
      </c>
      <c r="E1060">
        <f t="shared" ca="1" si="16"/>
        <v>4.32</v>
      </c>
    </row>
    <row r="1061" spans="1:5" x14ac:dyDescent="0.25">
      <c r="A1061">
        <v>26</v>
      </c>
      <c r="B1061">
        <v>16</v>
      </c>
      <c r="C1061" t="s">
        <v>25</v>
      </c>
      <c r="D1061" t="s">
        <v>15</v>
      </c>
      <c r="E1061">
        <f t="shared" ca="1" si="16"/>
        <v>6.85</v>
      </c>
    </row>
    <row r="1062" spans="1:5" x14ac:dyDescent="0.25">
      <c r="A1062">
        <v>26</v>
      </c>
      <c r="B1062">
        <v>17</v>
      </c>
      <c r="C1062" t="s">
        <v>25</v>
      </c>
      <c r="D1062" t="s">
        <v>16</v>
      </c>
      <c r="E1062">
        <f t="shared" ca="1" si="16"/>
        <v>12.23</v>
      </c>
    </row>
    <row r="1063" spans="1:5" x14ac:dyDescent="0.25">
      <c r="A1063">
        <v>26</v>
      </c>
      <c r="B1063">
        <v>18</v>
      </c>
      <c r="C1063" t="s">
        <v>25</v>
      </c>
      <c r="D1063" t="s">
        <v>17</v>
      </c>
      <c r="E1063">
        <f t="shared" ca="1" si="16"/>
        <v>9.23</v>
      </c>
    </row>
    <row r="1064" spans="1:5" x14ac:dyDescent="0.25">
      <c r="A1064">
        <v>26</v>
      </c>
      <c r="B1064">
        <v>19</v>
      </c>
      <c r="C1064" t="s">
        <v>25</v>
      </c>
      <c r="D1064" t="s">
        <v>18</v>
      </c>
      <c r="E1064">
        <f t="shared" ca="1" si="16"/>
        <v>8.4499999999999993</v>
      </c>
    </row>
    <row r="1065" spans="1:5" x14ac:dyDescent="0.25">
      <c r="A1065">
        <v>26</v>
      </c>
      <c r="B1065">
        <v>20</v>
      </c>
      <c r="C1065" t="s">
        <v>25</v>
      </c>
      <c r="D1065" t="s">
        <v>19</v>
      </c>
      <c r="E1065">
        <f t="shared" ca="1" si="16"/>
        <v>8.5</v>
      </c>
    </row>
    <row r="1066" spans="1:5" x14ac:dyDescent="0.25">
      <c r="A1066">
        <v>26</v>
      </c>
      <c r="B1066">
        <v>21</v>
      </c>
      <c r="C1066" t="s">
        <v>25</v>
      </c>
      <c r="D1066" t="s">
        <v>20</v>
      </c>
      <c r="E1066">
        <f t="shared" ca="1" si="16"/>
        <v>9.5500000000000007</v>
      </c>
    </row>
    <row r="1067" spans="1:5" x14ac:dyDescent="0.25">
      <c r="A1067">
        <v>26</v>
      </c>
      <c r="B1067">
        <v>22</v>
      </c>
      <c r="C1067" t="s">
        <v>25</v>
      </c>
      <c r="D1067" t="s">
        <v>21</v>
      </c>
      <c r="E1067">
        <f t="shared" ca="1" si="16"/>
        <v>7.2</v>
      </c>
    </row>
    <row r="1068" spans="1:5" x14ac:dyDescent="0.25">
      <c r="A1068">
        <v>26</v>
      </c>
      <c r="B1068">
        <v>23</v>
      </c>
      <c r="C1068" t="s">
        <v>25</v>
      </c>
      <c r="D1068" t="s">
        <v>22</v>
      </c>
      <c r="E1068">
        <f t="shared" ca="1" si="16"/>
        <v>5.41</v>
      </c>
    </row>
    <row r="1069" spans="1:5" x14ac:dyDescent="0.25">
      <c r="A1069">
        <v>26</v>
      </c>
      <c r="B1069">
        <v>24</v>
      </c>
      <c r="C1069" t="s">
        <v>25</v>
      </c>
      <c r="D1069" t="s">
        <v>23</v>
      </c>
      <c r="E1069">
        <f t="shared" ca="1" si="16"/>
        <v>4.5</v>
      </c>
    </row>
    <row r="1070" spans="1:5" x14ac:dyDescent="0.25">
      <c r="A1070">
        <v>26</v>
      </c>
      <c r="B1070">
        <v>25</v>
      </c>
      <c r="C1070" t="s">
        <v>25</v>
      </c>
      <c r="D1070" t="s">
        <v>24</v>
      </c>
      <c r="E1070">
        <f t="shared" ca="1" si="16"/>
        <v>6.2</v>
      </c>
    </row>
    <row r="1071" spans="1:5" x14ac:dyDescent="0.25">
      <c r="A1071">
        <v>26</v>
      </c>
      <c r="B1071">
        <v>26</v>
      </c>
      <c r="C1071" t="s">
        <v>25</v>
      </c>
      <c r="D1071" t="s">
        <v>25</v>
      </c>
      <c r="E1071">
        <f t="shared" ca="1" si="16"/>
        <v>0</v>
      </c>
    </row>
    <row r="1072" spans="1:5" x14ac:dyDescent="0.25">
      <c r="A1072">
        <v>26</v>
      </c>
      <c r="B1072">
        <v>27</v>
      </c>
      <c r="C1072" t="s">
        <v>25</v>
      </c>
      <c r="D1072" t="s">
        <v>145</v>
      </c>
      <c r="E1072">
        <f t="shared" ca="1" si="16"/>
        <v>7.28</v>
      </c>
    </row>
    <row r="1073" spans="1:5" x14ac:dyDescent="0.25">
      <c r="A1073">
        <v>26</v>
      </c>
      <c r="B1073">
        <v>28</v>
      </c>
      <c r="C1073" t="s">
        <v>25</v>
      </c>
      <c r="D1073" t="s">
        <v>147</v>
      </c>
      <c r="E1073">
        <f t="shared" ca="1" si="16"/>
        <v>6.96</v>
      </c>
    </row>
    <row r="1074" spans="1:5" x14ac:dyDescent="0.25">
      <c r="A1074">
        <v>26</v>
      </c>
      <c r="B1074">
        <v>29</v>
      </c>
      <c r="C1074" t="s">
        <v>25</v>
      </c>
      <c r="D1074" t="s">
        <v>146</v>
      </c>
      <c r="E1074">
        <f t="shared" ca="1" si="16"/>
        <v>5.15</v>
      </c>
    </row>
    <row r="1075" spans="1:5" x14ac:dyDescent="0.25">
      <c r="A1075">
        <v>26</v>
      </c>
      <c r="B1075">
        <v>30</v>
      </c>
      <c r="C1075" t="s">
        <v>25</v>
      </c>
      <c r="D1075" t="s">
        <v>30</v>
      </c>
      <c r="E1075">
        <f t="shared" ca="1" si="16"/>
        <v>13.65</v>
      </c>
    </row>
    <row r="1076" spans="1:5" x14ac:dyDescent="0.25">
      <c r="A1076">
        <v>26</v>
      </c>
      <c r="B1076">
        <v>31</v>
      </c>
      <c r="C1076" t="s">
        <v>25</v>
      </c>
      <c r="D1076" t="s">
        <v>31</v>
      </c>
      <c r="E1076">
        <f t="shared" ca="1" si="16"/>
        <v>13.3</v>
      </c>
    </row>
    <row r="1077" spans="1:5" x14ac:dyDescent="0.25">
      <c r="A1077">
        <v>26</v>
      </c>
      <c r="B1077">
        <v>32</v>
      </c>
      <c r="C1077" t="s">
        <v>25</v>
      </c>
      <c r="D1077" t="s">
        <v>32</v>
      </c>
      <c r="E1077">
        <f t="shared" ca="1" si="16"/>
        <v>12.53</v>
      </c>
    </row>
    <row r="1078" spans="1:5" x14ac:dyDescent="0.25">
      <c r="A1078">
        <v>26</v>
      </c>
      <c r="B1078">
        <v>33</v>
      </c>
      <c r="C1078" t="s">
        <v>25</v>
      </c>
      <c r="D1078" t="s">
        <v>33</v>
      </c>
      <c r="E1078">
        <f t="shared" ca="1" si="16"/>
        <v>12</v>
      </c>
    </row>
    <row r="1079" spans="1:5" x14ac:dyDescent="0.25">
      <c r="A1079">
        <v>26</v>
      </c>
      <c r="B1079">
        <v>34</v>
      </c>
      <c r="C1079" t="s">
        <v>25</v>
      </c>
      <c r="D1079" t="s">
        <v>34</v>
      </c>
      <c r="E1079">
        <f t="shared" ca="1" si="16"/>
        <v>11.95</v>
      </c>
    </row>
    <row r="1080" spans="1:5" x14ac:dyDescent="0.25">
      <c r="A1080">
        <v>26</v>
      </c>
      <c r="B1080">
        <v>35</v>
      </c>
      <c r="C1080" t="s">
        <v>25</v>
      </c>
      <c r="D1080" t="s">
        <v>35</v>
      </c>
      <c r="E1080">
        <f t="shared" ca="1" si="16"/>
        <v>11.68</v>
      </c>
    </row>
    <row r="1081" spans="1:5" x14ac:dyDescent="0.25">
      <c r="A1081">
        <v>26</v>
      </c>
      <c r="B1081">
        <v>36</v>
      </c>
      <c r="C1081" t="s">
        <v>25</v>
      </c>
      <c r="D1081" t="s">
        <v>36</v>
      </c>
      <c r="E1081">
        <f t="shared" ca="1" si="16"/>
        <v>11.73</v>
      </c>
    </row>
    <row r="1082" spans="1:5" x14ac:dyDescent="0.25">
      <c r="A1082">
        <v>26</v>
      </c>
      <c r="B1082">
        <v>37</v>
      </c>
      <c r="C1082" t="s">
        <v>25</v>
      </c>
      <c r="D1082" t="s">
        <v>37</v>
      </c>
      <c r="E1082">
        <f t="shared" ca="1" si="16"/>
        <v>14.96</v>
      </c>
    </row>
    <row r="1083" spans="1:5" x14ac:dyDescent="0.25">
      <c r="A1083">
        <v>26</v>
      </c>
      <c r="B1083">
        <v>38</v>
      </c>
      <c r="C1083" t="s">
        <v>25</v>
      </c>
      <c r="D1083" t="s">
        <v>38</v>
      </c>
      <c r="E1083">
        <f t="shared" ca="1" si="16"/>
        <v>12.35</v>
      </c>
    </row>
    <row r="1084" spans="1:5" x14ac:dyDescent="0.25">
      <c r="A1084">
        <v>26</v>
      </c>
      <c r="B1084">
        <v>39</v>
      </c>
      <c r="C1084" t="s">
        <v>25</v>
      </c>
      <c r="D1084" t="s">
        <v>39</v>
      </c>
      <c r="E1084">
        <f t="shared" ca="1" si="16"/>
        <v>14.35</v>
      </c>
    </row>
    <row r="1085" spans="1:5" x14ac:dyDescent="0.25">
      <c r="A1085">
        <v>26</v>
      </c>
      <c r="B1085">
        <v>40</v>
      </c>
      <c r="C1085" t="s">
        <v>25</v>
      </c>
      <c r="D1085" t="s">
        <v>40</v>
      </c>
      <c r="E1085">
        <f t="shared" ca="1" si="16"/>
        <v>14.31</v>
      </c>
    </row>
    <row r="1086" spans="1:5" x14ac:dyDescent="0.25">
      <c r="A1086">
        <v>27</v>
      </c>
      <c r="B1086">
        <v>1</v>
      </c>
      <c r="C1086" t="s">
        <v>145</v>
      </c>
      <c r="D1086" t="s">
        <v>0</v>
      </c>
      <c r="E1086">
        <f t="shared" ca="1" si="16"/>
        <v>4.63</v>
      </c>
    </row>
    <row r="1087" spans="1:5" x14ac:dyDescent="0.25">
      <c r="A1087">
        <v>27</v>
      </c>
      <c r="B1087">
        <v>2</v>
      </c>
      <c r="C1087" t="s">
        <v>145</v>
      </c>
      <c r="D1087" t="s">
        <v>1</v>
      </c>
      <c r="E1087">
        <f t="shared" ca="1" si="16"/>
        <v>3.25</v>
      </c>
    </row>
    <row r="1088" spans="1:5" x14ac:dyDescent="0.25">
      <c r="A1088">
        <v>27</v>
      </c>
      <c r="B1088">
        <v>3</v>
      </c>
      <c r="C1088" t="s">
        <v>145</v>
      </c>
      <c r="D1088" t="s">
        <v>2</v>
      </c>
      <c r="E1088">
        <f t="shared" ca="1" si="16"/>
        <v>3.16</v>
      </c>
    </row>
    <row r="1089" spans="1:5" x14ac:dyDescent="0.25">
      <c r="A1089">
        <v>27</v>
      </c>
      <c r="B1089">
        <v>4</v>
      </c>
      <c r="C1089" t="s">
        <v>145</v>
      </c>
      <c r="D1089" t="s">
        <v>3</v>
      </c>
      <c r="E1089">
        <f t="shared" ca="1" si="16"/>
        <v>8.6300000000000008</v>
      </c>
    </row>
    <row r="1090" spans="1:5" x14ac:dyDescent="0.25">
      <c r="A1090">
        <v>27</v>
      </c>
      <c r="B1090">
        <v>5</v>
      </c>
      <c r="C1090" t="s">
        <v>145</v>
      </c>
      <c r="D1090" t="s">
        <v>4</v>
      </c>
      <c r="E1090">
        <f t="shared" ca="1" si="16"/>
        <v>9.92</v>
      </c>
    </row>
    <row r="1091" spans="1:5" x14ac:dyDescent="0.25">
      <c r="A1091">
        <v>27</v>
      </c>
      <c r="B1091">
        <v>6</v>
      </c>
      <c r="C1091" t="s">
        <v>145</v>
      </c>
      <c r="D1091" t="s">
        <v>5</v>
      </c>
      <c r="E1091">
        <f t="shared" ca="1" si="16"/>
        <v>11.55</v>
      </c>
    </row>
    <row r="1092" spans="1:5" x14ac:dyDescent="0.25">
      <c r="A1092">
        <v>27</v>
      </c>
      <c r="B1092">
        <v>7</v>
      </c>
      <c r="C1092" t="s">
        <v>145</v>
      </c>
      <c r="D1092" t="s">
        <v>6</v>
      </c>
      <c r="E1092">
        <f t="shared" ca="1" si="16"/>
        <v>9.6199999999999992</v>
      </c>
    </row>
    <row r="1093" spans="1:5" x14ac:dyDescent="0.25">
      <c r="A1093">
        <v>27</v>
      </c>
      <c r="B1093">
        <v>8</v>
      </c>
      <c r="C1093" t="s">
        <v>145</v>
      </c>
      <c r="D1093" t="s">
        <v>7</v>
      </c>
      <c r="E1093">
        <f t="shared" ca="1" si="16"/>
        <v>8.66</v>
      </c>
    </row>
    <row r="1094" spans="1:5" x14ac:dyDescent="0.25">
      <c r="A1094">
        <v>27</v>
      </c>
      <c r="B1094">
        <v>9</v>
      </c>
      <c r="C1094" t="s">
        <v>145</v>
      </c>
      <c r="D1094" t="s">
        <v>148</v>
      </c>
      <c r="E1094">
        <f t="shared" ca="1" si="16"/>
        <v>6.58</v>
      </c>
    </row>
    <row r="1095" spans="1:5" x14ac:dyDescent="0.25">
      <c r="A1095">
        <v>27</v>
      </c>
      <c r="B1095">
        <v>10</v>
      </c>
      <c r="C1095" t="s">
        <v>145</v>
      </c>
      <c r="D1095" t="s">
        <v>9</v>
      </c>
      <c r="E1095">
        <f t="shared" ca="1" si="16"/>
        <v>10.53</v>
      </c>
    </row>
    <row r="1096" spans="1:5" x14ac:dyDescent="0.25">
      <c r="A1096">
        <v>27</v>
      </c>
      <c r="B1096">
        <v>11</v>
      </c>
      <c r="C1096" t="s">
        <v>145</v>
      </c>
      <c r="D1096" t="s">
        <v>10</v>
      </c>
      <c r="E1096">
        <f t="shared" ca="1" si="16"/>
        <v>15.08</v>
      </c>
    </row>
    <row r="1097" spans="1:5" x14ac:dyDescent="0.25">
      <c r="A1097">
        <v>27</v>
      </c>
      <c r="B1097">
        <v>12</v>
      </c>
      <c r="C1097" t="s">
        <v>145</v>
      </c>
      <c r="D1097" t="s">
        <v>11</v>
      </c>
      <c r="E1097">
        <f t="shared" ca="1" si="16"/>
        <v>12.06</v>
      </c>
    </row>
    <row r="1098" spans="1:5" x14ac:dyDescent="0.25">
      <c r="A1098">
        <v>27</v>
      </c>
      <c r="B1098">
        <v>13</v>
      </c>
      <c r="C1098" t="s">
        <v>145</v>
      </c>
      <c r="D1098" t="s">
        <v>12</v>
      </c>
      <c r="E1098">
        <f t="shared" ca="1" si="16"/>
        <v>10.95</v>
      </c>
    </row>
    <row r="1099" spans="1:5" x14ac:dyDescent="0.25">
      <c r="A1099">
        <v>27</v>
      </c>
      <c r="B1099">
        <v>14</v>
      </c>
      <c r="C1099" t="s">
        <v>145</v>
      </c>
      <c r="D1099" t="s">
        <v>13</v>
      </c>
      <c r="E1099">
        <f t="shared" ca="1" si="16"/>
        <v>9.33</v>
      </c>
    </row>
    <row r="1100" spans="1:5" x14ac:dyDescent="0.25">
      <c r="A1100">
        <v>27</v>
      </c>
      <c r="B1100">
        <v>15</v>
      </c>
      <c r="C1100" t="s">
        <v>145</v>
      </c>
      <c r="D1100" t="s">
        <v>14</v>
      </c>
      <c r="E1100">
        <f t="shared" ca="1" si="16"/>
        <v>10.56</v>
      </c>
    </row>
    <row r="1101" spans="1:5" x14ac:dyDescent="0.25">
      <c r="A1101">
        <v>27</v>
      </c>
      <c r="B1101">
        <v>16</v>
      </c>
      <c r="C1101" t="s">
        <v>145</v>
      </c>
      <c r="D1101" t="s">
        <v>15</v>
      </c>
      <c r="E1101">
        <f t="shared" ca="1" si="16"/>
        <v>13.75</v>
      </c>
    </row>
    <row r="1102" spans="1:5" x14ac:dyDescent="0.25">
      <c r="A1102">
        <v>27</v>
      </c>
      <c r="B1102">
        <v>17</v>
      </c>
      <c r="C1102" t="s">
        <v>145</v>
      </c>
      <c r="D1102" t="s">
        <v>16</v>
      </c>
      <c r="E1102">
        <f t="shared" ca="1" si="16"/>
        <v>17.5</v>
      </c>
    </row>
    <row r="1103" spans="1:5" x14ac:dyDescent="0.25">
      <c r="A1103">
        <v>27</v>
      </c>
      <c r="B1103">
        <v>18</v>
      </c>
      <c r="C1103" t="s">
        <v>145</v>
      </c>
      <c r="D1103" t="s">
        <v>17</v>
      </c>
      <c r="E1103">
        <f t="shared" ca="1" si="16"/>
        <v>16.329999999999998</v>
      </c>
    </row>
    <row r="1104" spans="1:5" x14ac:dyDescent="0.25">
      <c r="A1104">
        <v>27</v>
      </c>
      <c r="B1104">
        <v>19</v>
      </c>
      <c r="C1104" t="s">
        <v>145</v>
      </c>
      <c r="D1104" t="s">
        <v>18</v>
      </c>
      <c r="E1104">
        <f t="shared" ca="1" si="16"/>
        <v>3.56</v>
      </c>
    </row>
    <row r="1105" spans="1:5" x14ac:dyDescent="0.25">
      <c r="A1105">
        <v>27</v>
      </c>
      <c r="B1105">
        <v>20</v>
      </c>
      <c r="C1105" t="s">
        <v>145</v>
      </c>
      <c r="D1105" t="s">
        <v>19</v>
      </c>
      <c r="E1105">
        <f t="shared" ca="1" si="16"/>
        <v>2.2799999999999998</v>
      </c>
    </row>
    <row r="1106" spans="1:5" x14ac:dyDescent="0.25">
      <c r="A1106">
        <v>27</v>
      </c>
      <c r="B1106">
        <v>21</v>
      </c>
      <c r="C1106" t="s">
        <v>145</v>
      </c>
      <c r="D1106" t="s">
        <v>20</v>
      </c>
      <c r="E1106">
        <f t="shared" ca="1" si="16"/>
        <v>2.4300000000000002</v>
      </c>
    </row>
    <row r="1107" spans="1:5" x14ac:dyDescent="0.25">
      <c r="A1107">
        <v>27</v>
      </c>
      <c r="B1107">
        <v>22</v>
      </c>
      <c r="C1107" t="s">
        <v>145</v>
      </c>
      <c r="D1107" t="s">
        <v>21</v>
      </c>
      <c r="E1107">
        <f t="shared" ca="1" si="16"/>
        <v>2.96</v>
      </c>
    </row>
    <row r="1108" spans="1:5" x14ac:dyDescent="0.25">
      <c r="A1108">
        <v>27</v>
      </c>
      <c r="B1108">
        <v>23</v>
      </c>
      <c r="C1108" t="s">
        <v>145</v>
      </c>
      <c r="D1108" t="s">
        <v>22</v>
      </c>
      <c r="E1108">
        <f t="shared" ca="1" si="16"/>
        <v>2.93</v>
      </c>
    </row>
    <row r="1109" spans="1:5" x14ac:dyDescent="0.25">
      <c r="A1109">
        <v>27</v>
      </c>
      <c r="B1109">
        <v>24</v>
      </c>
      <c r="C1109" t="s">
        <v>145</v>
      </c>
      <c r="D1109" t="s">
        <v>23</v>
      </c>
      <c r="E1109">
        <f t="shared" ref="E1109:E1130" ca="1" si="17">OFFSET($B$3,A1109,B1109)</f>
        <v>6.45</v>
      </c>
    </row>
    <row r="1110" spans="1:5" x14ac:dyDescent="0.25">
      <c r="A1110">
        <v>27</v>
      </c>
      <c r="B1110">
        <v>25</v>
      </c>
      <c r="C1110" t="s">
        <v>145</v>
      </c>
      <c r="D1110" t="s">
        <v>24</v>
      </c>
      <c r="E1110">
        <f t="shared" ca="1" si="17"/>
        <v>4.9000000000000004</v>
      </c>
    </row>
    <row r="1111" spans="1:5" x14ac:dyDescent="0.25">
      <c r="A1111">
        <v>27</v>
      </c>
      <c r="B1111">
        <v>26</v>
      </c>
      <c r="C1111" t="s">
        <v>145</v>
      </c>
      <c r="D1111" t="s">
        <v>25</v>
      </c>
      <c r="E1111">
        <f t="shared" ca="1" si="17"/>
        <v>7.28</v>
      </c>
    </row>
    <row r="1112" spans="1:5" x14ac:dyDescent="0.25">
      <c r="A1112">
        <v>27</v>
      </c>
      <c r="B1112">
        <v>27</v>
      </c>
      <c r="C1112" t="s">
        <v>145</v>
      </c>
      <c r="D1112" t="s">
        <v>145</v>
      </c>
      <c r="E1112">
        <f t="shared" ca="1" si="17"/>
        <v>0</v>
      </c>
    </row>
    <row r="1113" spans="1:5" x14ac:dyDescent="0.25">
      <c r="A1113">
        <v>27</v>
      </c>
      <c r="B1113">
        <v>28</v>
      </c>
      <c r="C1113" t="s">
        <v>145</v>
      </c>
      <c r="D1113" t="s">
        <v>147</v>
      </c>
      <c r="E1113">
        <f t="shared" ca="1" si="17"/>
        <v>2.4300000000000002</v>
      </c>
    </row>
    <row r="1114" spans="1:5" x14ac:dyDescent="0.25">
      <c r="A1114">
        <v>27</v>
      </c>
      <c r="B1114">
        <v>29</v>
      </c>
      <c r="C1114" t="s">
        <v>145</v>
      </c>
      <c r="D1114" t="s">
        <v>146</v>
      </c>
      <c r="E1114">
        <f t="shared" ca="1" si="17"/>
        <v>5.38</v>
      </c>
    </row>
    <row r="1115" spans="1:5" x14ac:dyDescent="0.25">
      <c r="A1115">
        <v>27</v>
      </c>
      <c r="B1115">
        <v>30</v>
      </c>
      <c r="C1115" t="s">
        <v>145</v>
      </c>
      <c r="D1115" t="s">
        <v>30</v>
      </c>
      <c r="E1115">
        <f t="shared" ca="1" si="17"/>
        <v>7.08</v>
      </c>
    </row>
    <row r="1116" spans="1:5" x14ac:dyDescent="0.25">
      <c r="A1116">
        <v>27</v>
      </c>
      <c r="B1116">
        <v>31</v>
      </c>
      <c r="C1116" t="s">
        <v>145</v>
      </c>
      <c r="D1116" t="s">
        <v>31</v>
      </c>
      <c r="E1116">
        <f t="shared" ca="1" si="17"/>
        <v>6.63</v>
      </c>
    </row>
    <row r="1117" spans="1:5" x14ac:dyDescent="0.25">
      <c r="A1117">
        <v>27</v>
      </c>
      <c r="B1117">
        <v>32</v>
      </c>
      <c r="C1117" t="s">
        <v>145</v>
      </c>
      <c r="D1117" t="s">
        <v>32</v>
      </c>
      <c r="E1117">
        <f t="shared" ca="1" si="17"/>
        <v>5.75</v>
      </c>
    </row>
    <row r="1118" spans="1:5" x14ac:dyDescent="0.25">
      <c r="A1118">
        <v>27</v>
      </c>
      <c r="B1118">
        <v>33</v>
      </c>
      <c r="C1118" t="s">
        <v>145</v>
      </c>
      <c r="D1118" t="s">
        <v>33</v>
      </c>
      <c r="E1118">
        <f t="shared" ca="1" si="17"/>
        <v>5.1100000000000003</v>
      </c>
    </row>
    <row r="1119" spans="1:5" x14ac:dyDescent="0.25">
      <c r="A1119">
        <v>27</v>
      </c>
      <c r="B1119">
        <v>34</v>
      </c>
      <c r="C1119" t="s">
        <v>145</v>
      </c>
      <c r="D1119" t="s">
        <v>34</v>
      </c>
      <c r="E1119">
        <f t="shared" ca="1" si="17"/>
        <v>5.13</v>
      </c>
    </row>
    <row r="1120" spans="1:5" x14ac:dyDescent="0.25">
      <c r="A1120">
        <v>27</v>
      </c>
      <c r="B1120">
        <v>35</v>
      </c>
      <c r="C1120" t="s">
        <v>145</v>
      </c>
      <c r="D1120" t="s">
        <v>35</v>
      </c>
      <c r="E1120">
        <f t="shared" ca="1" si="17"/>
        <v>4.82</v>
      </c>
    </row>
    <row r="1121" spans="1:5" x14ac:dyDescent="0.25">
      <c r="A1121">
        <v>27</v>
      </c>
      <c r="B1121">
        <v>36</v>
      </c>
      <c r="C1121" t="s">
        <v>145</v>
      </c>
      <c r="D1121" t="s">
        <v>36</v>
      </c>
      <c r="E1121">
        <f t="shared" ca="1" si="17"/>
        <v>14.23</v>
      </c>
    </row>
    <row r="1122" spans="1:5" x14ac:dyDescent="0.25">
      <c r="A1122">
        <v>27</v>
      </c>
      <c r="B1122">
        <v>37</v>
      </c>
      <c r="C1122" t="s">
        <v>145</v>
      </c>
      <c r="D1122" t="s">
        <v>37</v>
      </c>
      <c r="E1122">
        <f t="shared" ca="1" si="17"/>
        <v>18.93</v>
      </c>
    </row>
    <row r="1123" spans="1:5" x14ac:dyDescent="0.25">
      <c r="A1123">
        <v>27</v>
      </c>
      <c r="B1123">
        <v>38</v>
      </c>
      <c r="C1123" t="s">
        <v>145</v>
      </c>
      <c r="D1123" t="s">
        <v>38</v>
      </c>
      <c r="E1123">
        <f t="shared" ca="1" si="17"/>
        <v>15</v>
      </c>
    </row>
    <row r="1124" spans="1:5" x14ac:dyDescent="0.25">
      <c r="A1124">
        <v>27</v>
      </c>
      <c r="B1124">
        <v>39</v>
      </c>
      <c r="C1124" t="s">
        <v>145</v>
      </c>
      <c r="D1124" t="s">
        <v>39</v>
      </c>
      <c r="E1124">
        <f t="shared" ca="1" si="17"/>
        <v>17.059999999999999</v>
      </c>
    </row>
    <row r="1125" spans="1:5" x14ac:dyDescent="0.25">
      <c r="A1125">
        <v>27</v>
      </c>
      <c r="B1125">
        <v>40</v>
      </c>
      <c r="C1125" t="s">
        <v>145</v>
      </c>
      <c r="D1125" t="s">
        <v>40</v>
      </c>
      <c r="E1125">
        <f t="shared" ca="1" si="17"/>
        <v>17.2</v>
      </c>
    </row>
    <row r="1126" spans="1:5" x14ac:dyDescent="0.25">
      <c r="A1126">
        <v>28</v>
      </c>
      <c r="B1126">
        <v>1</v>
      </c>
      <c r="C1126" t="s">
        <v>147</v>
      </c>
      <c r="D1126" t="s">
        <v>0</v>
      </c>
      <c r="E1126">
        <f t="shared" ca="1" si="17"/>
        <v>6.63</v>
      </c>
    </row>
    <row r="1127" spans="1:5" x14ac:dyDescent="0.25">
      <c r="A1127">
        <v>28</v>
      </c>
      <c r="B1127">
        <v>2</v>
      </c>
      <c r="C1127" t="s">
        <v>147</v>
      </c>
      <c r="D1127" t="s">
        <v>1</v>
      </c>
      <c r="E1127">
        <f t="shared" ca="1" si="17"/>
        <v>5.28</v>
      </c>
    </row>
    <row r="1128" spans="1:5" x14ac:dyDescent="0.25">
      <c r="A1128">
        <v>28</v>
      </c>
      <c r="B1128">
        <v>3</v>
      </c>
      <c r="C1128" t="s">
        <v>147</v>
      </c>
      <c r="D1128" t="s">
        <v>2</v>
      </c>
      <c r="E1128">
        <f t="shared" ca="1" si="17"/>
        <v>5.15</v>
      </c>
    </row>
    <row r="1129" spans="1:5" x14ac:dyDescent="0.25">
      <c r="A1129">
        <v>28</v>
      </c>
      <c r="B1129">
        <v>4</v>
      </c>
      <c r="C1129" t="s">
        <v>147</v>
      </c>
      <c r="D1129" t="s">
        <v>3</v>
      </c>
      <c r="E1129">
        <f t="shared" ca="1" si="17"/>
        <v>10.7</v>
      </c>
    </row>
    <row r="1130" spans="1:5" x14ac:dyDescent="0.25">
      <c r="A1130">
        <v>28</v>
      </c>
      <c r="B1130">
        <v>5</v>
      </c>
      <c r="C1130" t="s">
        <v>147</v>
      </c>
      <c r="D1130" t="s">
        <v>4</v>
      </c>
      <c r="E1130">
        <f t="shared" ca="1" si="17"/>
        <v>11.86</v>
      </c>
    </row>
    <row r="1131" spans="1:5" x14ac:dyDescent="0.25">
      <c r="A1131">
        <v>28</v>
      </c>
      <c r="B1131">
        <v>6</v>
      </c>
      <c r="C1131" t="s">
        <v>147</v>
      </c>
      <c r="D1131" t="s">
        <v>5</v>
      </c>
      <c r="E1131">
        <f t="shared" ref="E1131:E1192" ca="1" si="18">OFFSET($B$3,A1131,B1131)</f>
        <v>13.56</v>
      </c>
    </row>
    <row r="1132" spans="1:5" x14ac:dyDescent="0.25">
      <c r="A1132">
        <v>28</v>
      </c>
      <c r="B1132">
        <v>7</v>
      </c>
      <c r="C1132" t="s">
        <v>147</v>
      </c>
      <c r="D1132" t="s">
        <v>6</v>
      </c>
      <c r="E1132">
        <f t="shared" ca="1" si="18"/>
        <v>11.56</v>
      </c>
    </row>
    <row r="1133" spans="1:5" x14ac:dyDescent="0.25">
      <c r="A1133">
        <v>28</v>
      </c>
      <c r="B1133">
        <v>8</v>
      </c>
      <c r="C1133" t="s">
        <v>147</v>
      </c>
      <c r="D1133" t="s">
        <v>7</v>
      </c>
      <c r="E1133">
        <f t="shared" ca="1" si="18"/>
        <v>10.36</v>
      </c>
    </row>
    <row r="1134" spans="1:5" x14ac:dyDescent="0.25">
      <c r="A1134">
        <v>28</v>
      </c>
      <c r="B1134">
        <v>9</v>
      </c>
      <c r="C1134" t="s">
        <v>147</v>
      </c>
      <c r="D1134" t="s">
        <v>148</v>
      </c>
      <c r="E1134">
        <f t="shared" ca="1" si="18"/>
        <v>8.7200000000000006</v>
      </c>
    </row>
    <row r="1135" spans="1:5" x14ac:dyDescent="0.25">
      <c r="A1135">
        <v>28</v>
      </c>
      <c r="B1135">
        <v>10</v>
      </c>
      <c r="C1135" t="s">
        <v>147</v>
      </c>
      <c r="D1135" t="s">
        <v>9</v>
      </c>
      <c r="E1135">
        <f t="shared" ca="1" si="18"/>
        <v>12.53</v>
      </c>
    </row>
    <row r="1136" spans="1:5" x14ac:dyDescent="0.25">
      <c r="A1136">
        <v>28</v>
      </c>
      <c r="B1136">
        <v>11</v>
      </c>
      <c r="C1136" t="s">
        <v>147</v>
      </c>
      <c r="D1136" t="s">
        <v>10</v>
      </c>
      <c r="E1136">
        <f t="shared" ca="1" si="18"/>
        <v>13.66</v>
      </c>
    </row>
    <row r="1137" spans="1:5" x14ac:dyDescent="0.25">
      <c r="A1137">
        <v>28</v>
      </c>
      <c r="B1137">
        <v>12</v>
      </c>
      <c r="C1137" t="s">
        <v>147</v>
      </c>
      <c r="D1137" t="s">
        <v>11</v>
      </c>
      <c r="E1137">
        <f t="shared" ca="1" si="18"/>
        <v>10.73</v>
      </c>
    </row>
    <row r="1138" spans="1:5" x14ac:dyDescent="0.25">
      <c r="A1138">
        <v>28</v>
      </c>
      <c r="B1138">
        <v>13</v>
      </c>
      <c r="C1138" t="s">
        <v>147</v>
      </c>
      <c r="D1138" t="s">
        <v>12</v>
      </c>
      <c r="E1138">
        <f t="shared" ca="1" si="18"/>
        <v>9.58</v>
      </c>
    </row>
    <row r="1139" spans="1:5" x14ac:dyDescent="0.25">
      <c r="A1139">
        <v>28</v>
      </c>
      <c r="B1139">
        <v>14</v>
      </c>
      <c r="C1139" t="s">
        <v>147</v>
      </c>
      <c r="D1139" t="s">
        <v>13</v>
      </c>
      <c r="E1139">
        <f t="shared" ca="1" si="18"/>
        <v>7.98</v>
      </c>
    </row>
    <row r="1140" spans="1:5" x14ac:dyDescent="0.25">
      <c r="A1140">
        <v>28</v>
      </c>
      <c r="B1140">
        <v>15</v>
      </c>
      <c r="C1140" t="s">
        <v>147</v>
      </c>
      <c r="D1140" t="s">
        <v>14</v>
      </c>
      <c r="E1140">
        <f t="shared" ca="1" si="18"/>
        <v>10.43</v>
      </c>
    </row>
    <row r="1141" spans="1:5" x14ac:dyDescent="0.25">
      <c r="A1141">
        <v>28</v>
      </c>
      <c r="B1141">
        <v>16</v>
      </c>
      <c r="C1141" t="s">
        <v>147</v>
      </c>
      <c r="D1141" t="s">
        <v>15</v>
      </c>
      <c r="E1141">
        <f t="shared" ca="1" si="18"/>
        <v>12.62</v>
      </c>
    </row>
    <row r="1142" spans="1:5" x14ac:dyDescent="0.25">
      <c r="A1142">
        <v>28</v>
      </c>
      <c r="B1142">
        <v>17</v>
      </c>
      <c r="C1142" t="s">
        <v>147</v>
      </c>
      <c r="D1142" t="s">
        <v>16</v>
      </c>
      <c r="E1142">
        <f t="shared" ca="1" si="18"/>
        <v>15.98</v>
      </c>
    </row>
    <row r="1143" spans="1:5" x14ac:dyDescent="0.25">
      <c r="A1143">
        <v>28</v>
      </c>
      <c r="B1143">
        <v>18</v>
      </c>
      <c r="C1143" t="s">
        <v>147</v>
      </c>
      <c r="D1143" t="s">
        <v>17</v>
      </c>
      <c r="E1143">
        <f t="shared" ca="1" si="18"/>
        <v>15.25</v>
      </c>
    </row>
    <row r="1144" spans="1:5" x14ac:dyDescent="0.25">
      <c r="A1144">
        <v>28</v>
      </c>
      <c r="B1144">
        <v>19</v>
      </c>
      <c r="C1144" t="s">
        <v>147</v>
      </c>
      <c r="D1144" t="s">
        <v>18</v>
      </c>
      <c r="E1144">
        <f t="shared" ca="1" si="18"/>
        <v>4.6500000000000004</v>
      </c>
    </row>
    <row r="1145" spans="1:5" x14ac:dyDescent="0.25">
      <c r="A1145">
        <v>28</v>
      </c>
      <c r="B1145">
        <v>20</v>
      </c>
      <c r="C1145" t="s">
        <v>147</v>
      </c>
      <c r="D1145" t="s">
        <v>19</v>
      </c>
      <c r="E1145">
        <f t="shared" ca="1" si="18"/>
        <v>2.3199999999999998</v>
      </c>
    </row>
    <row r="1146" spans="1:5" x14ac:dyDescent="0.25">
      <c r="A1146">
        <v>28</v>
      </c>
      <c r="B1146">
        <v>21</v>
      </c>
      <c r="C1146" t="s">
        <v>147</v>
      </c>
      <c r="D1146" t="s">
        <v>20</v>
      </c>
      <c r="E1146">
        <f t="shared" ca="1" si="18"/>
        <v>4.5199999999999996</v>
      </c>
    </row>
    <row r="1147" spans="1:5" x14ac:dyDescent="0.25">
      <c r="A1147">
        <v>28</v>
      </c>
      <c r="B1147">
        <v>22</v>
      </c>
      <c r="C1147" t="s">
        <v>147</v>
      </c>
      <c r="D1147" t="s">
        <v>21</v>
      </c>
      <c r="E1147">
        <f t="shared" ca="1" si="18"/>
        <v>0.66</v>
      </c>
    </row>
    <row r="1148" spans="1:5" x14ac:dyDescent="0.25">
      <c r="A1148">
        <v>28</v>
      </c>
      <c r="B1148">
        <v>23</v>
      </c>
      <c r="C1148" t="s">
        <v>147</v>
      </c>
      <c r="D1148" t="s">
        <v>22</v>
      </c>
      <c r="E1148">
        <f t="shared" ca="1" si="18"/>
        <v>2.46</v>
      </c>
    </row>
    <row r="1149" spans="1:5" x14ac:dyDescent="0.25">
      <c r="A1149">
        <v>28</v>
      </c>
      <c r="B1149">
        <v>24</v>
      </c>
      <c r="C1149" t="s">
        <v>147</v>
      </c>
      <c r="D1149" t="s">
        <v>23</v>
      </c>
      <c r="E1149">
        <f t="shared" ca="1" si="18"/>
        <v>4.88</v>
      </c>
    </row>
    <row r="1150" spans="1:5" x14ac:dyDescent="0.25">
      <c r="A1150">
        <v>28</v>
      </c>
      <c r="B1150">
        <v>25</v>
      </c>
      <c r="C1150" t="s">
        <v>147</v>
      </c>
      <c r="D1150" t="s">
        <v>24</v>
      </c>
      <c r="E1150">
        <f t="shared" ca="1" si="18"/>
        <v>3.33</v>
      </c>
    </row>
    <row r="1151" spans="1:5" x14ac:dyDescent="0.25">
      <c r="A1151">
        <v>28</v>
      </c>
      <c r="B1151">
        <v>26</v>
      </c>
      <c r="C1151" t="s">
        <v>147</v>
      </c>
      <c r="D1151" t="s">
        <v>25</v>
      </c>
      <c r="E1151">
        <f t="shared" ca="1" si="18"/>
        <v>6.96</v>
      </c>
    </row>
    <row r="1152" spans="1:5" x14ac:dyDescent="0.25">
      <c r="A1152">
        <v>28</v>
      </c>
      <c r="B1152">
        <v>27</v>
      </c>
      <c r="C1152" t="s">
        <v>147</v>
      </c>
      <c r="D1152" t="s">
        <v>145</v>
      </c>
      <c r="E1152">
        <f t="shared" ca="1" si="18"/>
        <v>2.4300000000000002</v>
      </c>
    </row>
    <row r="1153" spans="1:5" x14ac:dyDescent="0.25">
      <c r="A1153">
        <v>28</v>
      </c>
      <c r="B1153">
        <v>28</v>
      </c>
      <c r="C1153" t="s">
        <v>147</v>
      </c>
      <c r="D1153" t="s">
        <v>147</v>
      </c>
      <c r="E1153">
        <f t="shared" ca="1" si="18"/>
        <v>0</v>
      </c>
    </row>
    <row r="1154" spans="1:5" x14ac:dyDescent="0.25">
      <c r="A1154">
        <v>28</v>
      </c>
      <c r="B1154">
        <v>29</v>
      </c>
      <c r="C1154" t="s">
        <v>147</v>
      </c>
      <c r="D1154" t="s">
        <v>146</v>
      </c>
      <c r="E1154">
        <f t="shared" ca="1" si="18"/>
        <v>3.8</v>
      </c>
    </row>
    <row r="1155" spans="1:5" x14ac:dyDescent="0.25">
      <c r="A1155">
        <v>28</v>
      </c>
      <c r="B1155">
        <v>30</v>
      </c>
      <c r="C1155" t="s">
        <v>147</v>
      </c>
      <c r="D1155" t="s">
        <v>30</v>
      </c>
      <c r="E1155">
        <f t="shared" ca="1" si="18"/>
        <v>9.26</v>
      </c>
    </row>
    <row r="1156" spans="1:5" x14ac:dyDescent="0.25">
      <c r="A1156">
        <v>28</v>
      </c>
      <c r="B1156">
        <v>31</v>
      </c>
      <c r="C1156" t="s">
        <v>147</v>
      </c>
      <c r="D1156" t="s">
        <v>31</v>
      </c>
      <c r="E1156">
        <f t="shared" ca="1" si="18"/>
        <v>8.8800000000000008</v>
      </c>
    </row>
    <row r="1157" spans="1:5" x14ac:dyDescent="0.25">
      <c r="A1157">
        <v>28</v>
      </c>
      <c r="B1157">
        <v>32</v>
      </c>
      <c r="C1157" t="s">
        <v>147</v>
      </c>
      <c r="D1157" t="s">
        <v>32</v>
      </c>
      <c r="E1157">
        <f t="shared" ca="1" si="18"/>
        <v>8</v>
      </c>
    </row>
    <row r="1158" spans="1:5" x14ac:dyDescent="0.25">
      <c r="A1158">
        <v>28</v>
      </c>
      <c r="B1158">
        <v>33</v>
      </c>
      <c r="C1158" t="s">
        <v>147</v>
      </c>
      <c r="D1158" t="s">
        <v>33</v>
      </c>
      <c r="E1158">
        <f t="shared" ca="1" si="18"/>
        <v>7.31</v>
      </c>
    </row>
    <row r="1159" spans="1:5" x14ac:dyDescent="0.25">
      <c r="A1159">
        <v>28</v>
      </c>
      <c r="B1159">
        <v>34</v>
      </c>
      <c r="C1159" t="s">
        <v>147</v>
      </c>
      <c r="D1159" t="s">
        <v>34</v>
      </c>
      <c r="E1159">
        <f t="shared" ca="1" si="18"/>
        <v>7.33</v>
      </c>
    </row>
    <row r="1160" spans="1:5" x14ac:dyDescent="0.25">
      <c r="A1160">
        <v>28</v>
      </c>
      <c r="B1160">
        <v>35</v>
      </c>
      <c r="C1160" t="s">
        <v>147</v>
      </c>
      <c r="D1160" t="s">
        <v>35</v>
      </c>
      <c r="E1160">
        <f t="shared" ca="1" si="18"/>
        <v>6.92</v>
      </c>
    </row>
    <row r="1161" spans="1:5" x14ac:dyDescent="0.25">
      <c r="A1161">
        <v>28</v>
      </c>
      <c r="B1161">
        <v>36</v>
      </c>
      <c r="C1161" t="s">
        <v>147</v>
      </c>
      <c r="D1161" t="s">
        <v>36</v>
      </c>
      <c r="E1161">
        <f t="shared" ca="1" si="18"/>
        <v>13.72</v>
      </c>
    </row>
    <row r="1162" spans="1:5" x14ac:dyDescent="0.25">
      <c r="A1162">
        <v>28</v>
      </c>
      <c r="B1162">
        <v>37</v>
      </c>
      <c r="C1162" t="s">
        <v>147</v>
      </c>
      <c r="D1162" t="s">
        <v>37</v>
      </c>
      <c r="E1162">
        <f t="shared" ca="1" si="18"/>
        <v>17.28</v>
      </c>
    </row>
    <row r="1163" spans="1:5" x14ac:dyDescent="0.25">
      <c r="A1163">
        <v>28</v>
      </c>
      <c r="B1163">
        <v>38</v>
      </c>
      <c r="C1163" t="s">
        <v>147</v>
      </c>
      <c r="D1163" t="s">
        <v>38</v>
      </c>
      <c r="E1163">
        <f t="shared" ca="1" si="18"/>
        <v>13.41</v>
      </c>
    </row>
    <row r="1164" spans="1:5" x14ac:dyDescent="0.25">
      <c r="A1164">
        <v>28</v>
      </c>
      <c r="B1164">
        <v>39</v>
      </c>
      <c r="C1164" t="s">
        <v>147</v>
      </c>
      <c r="D1164" t="s">
        <v>39</v>
      </c>
      <c r="E1164">
        <f t="shared" ca="1" si="18"/>
        <v>15.33</v>
      </c>
    </row>
    <row r="1165" spans="1:5" x14ac:dyDescent="0.25">
      <c r="A1165">
        <v>28</v>
      </c>
      <c r="B1165">
        <v>40</v>
      </c>
      <c r="C1165" t="s">
        <v>147</v>
      </c>
      <c r="D1165" t="s">
        <v>40</v>
      </c>
      <c r="E1165">
        <f t="shared" ca="1" si="18"/>
        <v>15.5</v>
      </c>
    </row>
    <row r="1166" spans="1:5" x14ac:dyDescent="0.25">
      <c r="A1166">
        <v>29</v>
      </c>
      <c r="B1166">
        <v>1</v>
      </c>
      <c r="C1166" t="s">
        <v>146</v>
      </c>
      <c r="D1166" t="s">
        <v>0</v>
      </c>
      <c r="E1166">
        <f t="shared" ca="1" si="18"/>
        <v>9.6</v>
      </c>
    </row>
    <row r="1167" spans="1:5" x14ac:dyDescent="0.25">
      <c r="A1167">
        <v>29</v>
      </c>
      <c r="B1167">
        <v>2</v>
      </c>
      <c r="C1167" t="s">
        <v>146</v>
      </c>
      <c r="D1167" t="s">
        <v>1</v>
      </c>
      <c r="E1167">
        <f t="shared" ca="1" si="18"/>
        <v>8.26</v>
      </c>
    </row>
    <row r="1168" spans="1:5" x14ac:dyDescent="0.25">
      <c r="A1168">
        <v>29</v>
      </c>
      <c r="B1168">
        <v>3</v>
      </c>
      <c r="C1168" t="s">
        <v>146</v>
      </c>
      <c r="D1168" t="s">
        <v>2</v>
      </c>
      <c r="E1168">
        <f t="shared" ca="1" si="18"/>
        <v>8.1300000000000008</v>
      </c>
    </row>
    <row r="1169" spans="1:5" x14ac:dyDescent="0.25">
      <c r="A1169">
        <v>29</v>
      </c>
      <c r="B1169">
        <v>4</v>
      </c>
      <c r="C1169" t="s">
        <v>146</v>
      </c>
      <c r="D1169" t="s">
        <v>3</v>
      </c>
      <c r="E1169">
        <f t="shared" ca="1" si="18"/>
        <v>13.63</v>
      </c>
    </row>
    <row r="1170" spans="1:5" x14ac:dyDescent="0.25">
      <c r="A1170">
        <v>29</v>
      </c>
      <c r="B1170">
        <v>5</v>
      </c>
      <c r="C1170" t="s">
        <v>146</v>
      </c>
      <c r="D1170" t="s">
        <v>4</v>
      </c>
      <c r="E1170">
        <f t="shared" ca="1" si="18"/>
        <v>15</v>
      </c>
    </row>
    <row r="1171" spans="1:5" x14ac:dyDescent="0.25">
      <c r="A1171">
        <v>29</v>
      </c>
      <c r="B1171">
        <v>6</v>
      </c>
      <c r="C1171" t="s">
        <v>146</v>
      </c>
      <c r="D1171" t="s">
        <v>5</v>
      </c>
      <c r="E1171">
        <f t="shared" ca="1" si="18"/>
        <v>16.809999999999999</v>
      </c>
    </row>
    <row r="1172" spans="1:5" x14ac:dyDescent="0.25">
      <c r="A1172">
        <v>29</v>
      </c>
      <c r="B1172">
        <v>7</v>
      </c>
      <c r="C1172" t="s">
        <v>146</v>
      </c>
      <c r="D1172" t="s">
        <v>6</v>
      </c>
      <c r="E1172">
        <f t="shared" ca="1" si="18"/>
        <v>14.72</v>
      </c>
    </row>
    <row r="1173" spans="1:5" x14ac:dyDescent="0.25">
      <c r="A1173">
        <v>29</v>
      </c>
      <c r="B1173">
        <v>8</v>
      </c>
      <c r="C1173" t="s">
        <v>146</v>
      </c>
      <c r="D1173" t="s">
        <v>7</v>
      </c>
      <c r="E1173">
        <f t="shared" ca="1" si="18"/>
        <v>13.51</v>
      </c>
    </row>
    <row r="1174" spans="1:5" x14ac:dyDescent="0.25">
      <c r="A1174">
        <v>29</v>
      </c>
      <c r="B1174">
        <v>9</v>
      </c>
      <c r="C1174" t="s">
        <v>146</v>
      </c>
      <c r="D1174" t="s">
        <v>148</v>
      </c>
      <c r="E1174">
        <f t="shared" ca="1" si="18"/>
        <v>11.68</v>
      </c>
    </row>
    <row r="1175" spans="1:5" x14ac:dyDescent="0.25">
      <c r="A1175">
        <v>29</v>
      </c>
      <c r="B1175">
        <v>10</v>
      </c>
      <c r="C1175" t="s">
        <v>146</v>
      </c>
      <c r="D1175" t="s">
        <v>9</v>
      </c>
      <c r="E1175">
        <f t="shared" ca="1" si="18"/>
        <v>15.71</v>
      </c>
    </row>
    <row r="1176" spans="1:5" x14ac:dyDescent="0.25">
      <c r="A1176">
        <v>29</v>
      </c>
      <c r="B1176">
        <v>11</v>
      </c>
      <c r="C1176" t="s">
        <v>146</v>
      </c>
      <c r="D1176" t="s">
        <v>10</v>
      </c>
      <c r="E1176">
        <f t="shared" ca="1" si="18"/>
        <v>9.8800000000000008</v>
      </c>
    </row>
    <row r="1177" spans="1:5" x14ac:dyDescent="0.25">
      <c r="A1177">
        <v>29</v>
      </c>
      <c r="B1177">
        <v>12</v>
      </c>
      <c r="C1177" t="s">
        <v>146</v>
      </c>
      <c r="D1177" t="s">
        <v>11</v>
      </c>
      <c r="E1177">
        <f t="shared" ca="1" si="18"/>
        <v>7.12</v>
      </c>
    </row>
    <row r="1178" spans="1:5" x14ac:dyDescent="0.25">
      <c r="A1178">
        <v>29</v>
      </c>
      <c r="B1178">
        <v>13</v>
      </c>
      <c r="C1178" t="s">
        <v>146</v>
      </c>
      <c r="D1178" t="s">
        <v>12</v>
      </c>
      <c r="E1178">
        <f t="shared" ca="1" si="18"/>
        <v>6.03</v>
      </c>
    </row>
    <row r="1179" spans="1:5" x14ac:dyDescent="0.25">
      <c r="A1179">
        <v>29</v>
      </c>
      <c r="B1179">
        <v>14</v>
      </c>
      <c r="C1179" t="s">
        <v>146</v>
      </c>
      <c r="D1179" t="s">
        <v>13</v>
      </c>
      <c r="E1179">
        <f t="shared" ca="1" si="18"/>
        <v>4.45</v>
      </c>
    </row>
    <row r="1180" spans="1:5" x14ac:dyDescent="0.25">
      <c r="A1180">
        <v>29</v>
      </c>
      <c r="B1180">
        <v>15</v>
      </c>
      <c r="C1180" t="s">
        <v>146</v>
      </c>
      <c r="D1180" t="s">
        <v>14</v>
      </c>
      <c r="E1180">
        <f t="shared" ca="1" si="18"/>
        <v>6.8</v>
      </c>
    </row>
    <row r="1181" spans="1:5" x14ac:dyDescent="0.25">
      <c r="A1181">
        <v>29</v>
      </c>
      <c r="B1181">
        <v>16</v>
      </c>
      <c r="C1181" t="s">
        <v>146</v>
      </c>
      <c r="D1181" t="s">
        <v>15</v>
      </c>
      <c r="E1181">
        <f t="shared" ca="1" si="18"/>
        <v>8.8000000000000007</v>
      </c>
    </row>
    <row r="1182" spans="1:5" x14ac:dyDescent="0.25">
      <c r="A1182">
        <v>29</v>
      </c>
      <c r="B1182">
        <v>17</v>
      </c>
      <c r="C1182" t="s">
        <v>146</v>
      </c>
      <c r="D1182" t="s">
        <v>16</v>
      </c>
      <c r="E1182">
        <f t="shared" ca="1" si="18"/>
        <v>11.86</v>
      </c>
    </row>
    <row r="1183" spans="1:5" x14ac:dyDescent="0.25">
      <c r="A1183">
        <v>29</v>
      </c>
      <c r="B1183">
        <v>18</v>
      </c>
      <c r="C1183" t="s">
        <v>146</v>
      </c>
      <c r="D1183" t="s">
        <v>17</v>
      </c>
      <c r="E1183">
        <f t="shared" ca="1" si="18"/>
        <v>11.2</v>
      </c>
    </row>
    <row r="1184" spans="1:5" x14ac:dyDescent="0.25">
      <c r="A1184">
        <v>29</v>
      </c>
      <c r="B1184">
        <v>19</v>
      </c>
      <c r="C1184" t="s">
        <v>146</v>
      </c>
      <c r="D1184" t="s">
        <v>18</v>
      </c>
      <c r="E1184">
        <f t="shared" ca="1" si="18"/>
        <v>5.13</v>
      </c>
    </row>
    <row r="1185" spans="1:5" x14ac:dyDescent="0.25">
      <c r="A1185">
        <v>29</v>
      </c>
      <c r="B1185">
        <v>20</v>
      </c>
      <c r="C1185" t="s">
        <v>146</v>
      </c>
      <c r="D1185" t="s">
        <v>19</v>
      </c>
      <c r="E1185">
        <f t="shared" ca="1" si="18"/>
        <v>5.86</v>
      </c>
    </row>
    <row r="1186" spans="1:5" x14ac:dyDescent="0.25">
      <c r="A1186">
        <v>29</v>
      </c>
      <c r="B1186">
        <v>21</v>
      </c>
      <c r="C1186" t="s">
        <v>146</v>
      </c>
      <c r="D1186" t="s">
        <v>20</v>
      </c>
      <c r="E1186">
        <f t="shared" ca="1" si="18"/>
        <v>7.55</v>
      </c>
    </row>
    <row r="1187" spans="1:5" x14ac:dyDescent="0.25">
      <c r="A1187">
        <v>29</v>
      </c>
      <c r="B1187">
        <v>22</v>
      </c>
      <c r="C1187" t="s">
        <v>146</v>
      </c>
      <c r="D1187" t="s">
        <v>21</v>
      </c>
      <c r="E1187">
        <f t="shared" ca="1" si="18"/>
        <v>3.66</v>
      </c>
    </row>
    <row r="1188" spans="1:5" x14ac:dyDescent="0.25">
      <c r="A1188">
        <v>29</v>
      </c>
      <c r="B1188">
        <v>23</v>
      </c>
      <c r="C1188" t="s">
        <v>146</v>
      </c>
      <c r="D1188" t="s">
        <v>22</v>
      </c>
      <c r="E1188">
        <f t="shared" ca="1" si="18"/>
        <v>3.6</v>
      </c>
    </row>
    <row r="1189" spans="1:5" x14ac:dyDescent="0.25">
      <c r="A1189">
        <v>29</v>
      </c>
      <c r="B1189">
        <v>24</v>
      </c>
      <c r="C1189" t="s">
        <v>146</v>
      </c>
      <c r="D1189" t="s">
        <v>23</v>
      </c>
      <c r="E1189">
        <f t="shared" ca="1" si="18"/>
        <v>1.3</v>
      </c>
    </row>
    <row r="1190" spans="1:5" x14ac:dyDescent="0.25">
      <c r="A1190">
        <v>29</v>
      </c>
      <c r="B1190">
        <v>25</v>
      </c>
      <c r="C1190" t="s">
        <v>146</v>
      </c>
      <c r="D1190" t="s">
        <v>24</v>
      </c>
      <c r="E1190">
        <f t="shared" ca="1" si="18"/>
        <v>1.26</v>
      </c>
    </row>
    <row r="1191" spans="1:5" x14ac:dyDescent="0.25">
      <c r="A1191">
        <v>29</v>
      </c>
      <c r="B1191">
        <v>26</v>
      </c>
      <c r="C1191" t="s">
        <v>146</v>
      </c>
      <c r="D1191" t="s">
        <v>25</v>
      </c>
      <c r="E1191">
        <f t="shared" ca="1" si="18"/>
        <v>5.15</v>
      </c>
    </row>
    <row r="1192" spans="1:5" x14ac:dyDescent="0.25">
      <c r="A1192">
        <v>29</v>
      </c>
      <c r="B1192">
        <v>27</v>
      </c>
      <c r="C1192" t="s">
        <v>146</v>
      </c>
      <c r="D1192" t="s">
        <v>145</v>
      </c>
      <c r="E1192">
        <f t="shared" ca="1" si="18"/>
        <v>5.38</v>
      </c>
    </row>
    <row r="1193" spans="1:5" x14ac:dyDescent="0.25">
      <c r="A1193">
        <v>29</v>
      </c>
      <c r="B1193">
        <v>28</v>
      </c>
      <c r="C1193" t="s">
        <v>146</v>
      </c>
      <c r="D1193" t="s">
        <v>147</v>
      </c>
      <c r="E1193">
        <f t="shared" ref="E1193:E1255" ca="1" si="19">OFFSET($B$3,A1193,B1193)</f>
        <v>3.8</v>
      </c>
    </row>
    <row r="1194" spans="1:5" x14ac:dyDescent="0.25">
      <c r="A1194">
        <v>29</v>
      </c>
      <c r="B1194">
        <v>29</v>
      </c>
      <c r="C1194" t="s">
        <v>146</v>
      </c>
      <c r="D1194" t="s">
        <v>146</v>
      </c>
      <c r="E1194">
        <f t="shared" ca="1" si="19"/>
        <v>0</v>
      </c>
    </row>
    <row r="1195" spans="1:5" x14ac:dyDescent="0.25">
      <c r="A1195">
        <v>29</v>
      </c>
      <c r="B1195">
        <v>30</v>
      </c>
      <c r="C1195" t="s">
        <v>146</v>
      </c>
      <c r="D1195" t="s">
        <v>30</v>
      </c>
      <c r="E1195">
        <f t="shared" ca="1" si="19"/>
        <v>11.8</v>
      </c>
    </row>
    <row r="1196" spans="1:5" x14ac:dyDescent="0.25">
      <c r="A1196">
        <v>29</v>
      </c>
      <c r="B1196">
        <v>31</v>
      </c>
      <c r="C1196" t="s">
        <v>146</v>
      </c>
      <c r="D1196" t="s">
        <v>31</v>
      </c>
      <c r="E1196">
        <f t="shared" ca="1" si="19"/>
        <v>11.43</v>
      </c>
    </row>
    <row r="1197" spans="1:5" x14ac:dyDescent="0.25">
      <c r="A1197">
        <v>29</v>
      </c>
      <c r="B1197">
        <v>32</v>
      </c>
      <c r="C1197" t="s">
        <v>146</v>
      </c>
      <c r="D1197" t="s">
        <v>32</v>
      </c>
      <c r="E1197">
        <f t="shared" ca="1" si="19"/>
        <v>10.68</v>
      </c>
    </row>
    <row r="1198" spans="1:5" x14ac:dyDescent="0.25">
      <c r="A1198">
        <v>29</v>
      </c>
      <c r="B1198">
        <v>33</v>
      </c>
      <c r="C1198" t="s">
        <v>146</v>
      </c>
      <c r="D1198" t="s">
        <v>33</v>
      </c>
      <c r="E1198">
        <f t="shared" ca="1" si="19"/>
        <v>10.119999999999999</v>
      </c>
    </row>
    <row r="1199" spans="1:5" x14ac:dyDescent="0.25">
      <c r="A1199">
        <v>29</v>
      </c>
      <c r="B1199">
        <v>34</v>
      </c>
      <c r="C1199" t="s">
        <v>146</v>
      </c>
      <c r="D1199" t="s">
        <v>34</v>
      </c>
      <c r="E1199">
        <f t="shared" ca="1" si="19"/>
        <v>10.1</v>
      </c>
    </row>
    <row r="1200" spans="1:5" x14ac:dyDescent="0.25">
      <c r="A1200">
        <v>29</v>
      </c>
      <c r="B1200">
        <v>35</v>
      </c>
      <c r="C1200" t="s">
        <v>146</v>
      </c>
      <c r="D1200" t="s">
        <v>35</v>
      </c>
      <c r="E1200">
        <f t="shared" ca="1" si="19"/>
        <v>9.82</v>
      </c>
    </row>
    <row r="1201" spans="1:5" x14ac:dyDescent="0.25">
      <c r="A1201">
        <v>29</v>
      </c>
      <c r="B1201">
        <v>36</v>
      </c>
      <c r="C1201" t="s">
        <v>146</v>
      </c>
      <c r="D1201" t="s">
        <v>36</v>
      </c>
      <c r="E1201">
        <f t="shared" ca="1" si="19"/>
        <v>9.33</v>
      </c>
    </row>
    <row r="1202" spans="1:5" x14ac:dyDescent="0.25">
      <c r="A1202">
        <v>29</v>
      </c>
      <c r="B1202">
        <v>37</v>
      </c>
      <c r="C1202" t="s">
        <v>146</v>
      </c>
      <c r="D1202" t="s">
        <v>37</v>
      </c>
      <c r="E1202">
        <f t="shared" ca="1" si="19"/>
        <v>13.58</v>
      </c>
    </row>
    <row r="1203" spans="1:5" x14ac:dyDescent="0.25">
      <c r="A1203">
        <v>29</v>
      </c>
      <c r="B1203">
        <v>38</v>
      </c>
      <c r="C1203" t="s">
        <v>146</v>
      </c>
      <c r="D1203" t="s">
        <v>38</v>
      </c>
      <c r="E1203">
        <f t="shared" ca="1" si="19"/>
        <v>10</v>
      </c>
    </row>
    <row r="1204" spans="1:5" x14ac:dyDescent="0.25">
      <c r="A1204">
        <v>29</v>
      </c>
      <c r="B1204">
        <v>39</v>
      </c>
      <c r="C1204" t="s">
        <v>146</v>
      </c>
      <c r="D1204" t="s">
        <v>39</v>
      </c>
      <c r="E1204">
        <f t="shared" ca="1" si="19"/>
        <v>11.92</v>
      </c>
    </row>
    <row r="1205" spans="1:5" x14ac:dyDescent="0.25">
      <c r="A1205">
        <v>29</v>
      </c>
      <c r="B1205">
        <v>40</v>
      </c>
      <c r="C1205" t="s">
        <v>146</v>
      </c>
      <c r="D1205" t="s">
        <v>40</v>
      </c>
      <c r="E1205">
        <f t="shared" ca="1" si="19"/>
        <v>12</v>
      </c>
    </row>
    <row r="1206" spans="1:5" x14ac:dyDescent="0.25">
      <c r="A1206">
        <v>30</v>
      </c>
      <c r="B1206">
        <v>1</v>
      </c>
      <c r="C1206" t="s">
        <v>30</v>
      </c>
      <c r="D1206" t="s">
        <v>0</v>
      </c>
      <c r="E1206">
        <f t="shared" ca="1" si="19"/>
        <v>3.68</v>
      </c>
    </row>
    <row r="1207" spans="1:5" x14ac:dyDescent="0.25">
      <c r="A1207">
        <v>30</v>
      </c>
      <c r="B1207">
        <v>2</v>
      </c>
      <c r="C1207" t="s">
        <v>30</v>
      </c>
      <c r="D1207" t="s">
        <v>1</v>
      </c>
      <c r="E1207">
        <f t="shared" ca="1" si="19"/>
        <v>4.05</v>
      </c>
    </row>
    <row r="1208" spans="1:5" x14ac:dyDescent="0.25">
      <c r="A1208">
        <v>30</v>
      </c>
      <c r="B1208">
        <v>3</v>
      </c>
      <c r="C1208" t="s">
        <v>30</v>
      </c>
      <c r="D1208" t="s">
        <v>2</v>
      </c>
      <c r="E1208">
        <f t="shared" ca="1" si="19"/>
        <v>4.5999999999999996</v>
      </c>
    </row>
    <row r="1209" spans="1:5" x14ac:dyDescent="0.25">
      <c r="A1209">
        <v>30</v>
      </c>
      <c r="B1209">
        <v>4</v>
      </c>
      <c r="C1209" t="s">
        <v>30</v>
      </c>
      <c r="D1209" t="s">
        <v>3</v>
      </c>
      <c r="E1209">
        <f t="shared" ca="1" si="19"/>
        <v>2.0299999999999998</v>
      </c>
    </row>
    <row r="1210" spans="1:5" x14ac:dyDescent="0.25">
      <c r="A1210">
        <v>30</v>
      </c>
      <c r="B1210">
        <v>5</v>
      </c>
      <c r="C1210" t="s">
        <v>30</v>
      </c>
      <c r="D1210" t="s">
        <v>4</v>
      </c>
      <c r="E1210">
        <f t="shared" ca="1" si="19"/>
        <v>3.16</v>
      </c>
    </row>
    <row r="1211" spans="1:5" x14ac:dyDescent="0.25">
      <c r="A1211">
        <v>30</v>
      </c>
      <c r="B1211">
        <v>6</v>
      </c>
      <c r="C1211" t="s">
        <v>30</v>
      </c>
      <c r="D1211" t="s">
        <v>5</v>
      </c>
      <c r="E1211">
        <f t="shared" ca="1" si="19"/>
        <v>5.32</v>
      </c>
    </row>
    <row r="1212" spans="1:5" x14ac:dyDescent="0.25">
      <c r="A1212">
        <v>30</v>
      </c>
      <c r="B1212">
        <v>7</v>
      </c>
      <c r="C1212" t="s">
        <v>30</v>
      </c>
      <c r="D1212" t="s">
        <v>6</v>
      </c>
      <c r="E1212">
        <f t="shared" ca="1" si="19"/>
        <v>3.26</v>
      </c>
    </row>
    <row r="1213" spans="1:5" x14ac:dyDescent="0.25">
      <c r="A1213">
        <v>30</v>
      </c>
      <c r="B1213">
        <v>8</v>
      </c>
      <c r="C1213" t="s">
        <v>30</v>
      </c>
      <c r="D1213" t="s">
        <v>7</v>
      </c>
      <c r="E1213">
        <f t="shared" ca="1" si="19"/>
        <v>1.93</v>
      </c>
    </row>
    <row r="1214" spans="1:5" x14ac:dyDescent="0.25">
      <c r="A1214">
        <v>30</v>
      </c>
      <c r="B1214">
        <v>9</v>
      </c>
      <c r="C1214" t="s">
        <v>30</v>
      </c>
      <c r="D1214" t="s">
        <v>148</v>
      </c>
      <c r="E1214">
        <f t="shared" ca="1" si="19"/>
        <v>3.15</v>
      </c>
    </row>
    <row r="1215" spans="1:5" x14ac:dyDescent="0.25">
      <c r="A1215">
        <v>30</v>
      </c>
      <c r="B1215">
        <v>10</v>
      </c>
      <c r="C1215" t="s">
        <v>30</v>
      </c>
      <c r="D1215" t="s">
        <v>9</v>
      </c>
      <c r="E1215">
        <f t="shared" ca="1" si="19"/>
        <v>4.05</v>
      </c>
    </row>
    <row r="1216" spans="1:5" x14ac:dyDescent="0.25">
      <c r="A1216">
        <v>30</v>
      </c>
      <c r="B1216">
        <v>11</v>
      </c>
      <c r="C1216" t="s">
        <v>30</v>
      </c>
      <c r="D1216" t="s">
        <v>10</v>
      </c>
      <c r="E1216">
        <f t="shared" ca="1" si="19"/>
        <v>21.95</v>
      </c>
    </row>
    <row r="1217" spans="1:5" x14ac:dyDescent="0.25">
      <c r="A1217">
        <v>30</v>
      </c>
      <c r="B1217">
        <v>12</v>
      </c>
      <c r="C1217" t="s">
        <v>30</v>
      </c>
      <c r="D1217" t="s">
        <v>11</v>
      </c>
      <c r="E1217">
        <f t="shared" ca="1" si="19"/>
        <v>18.350000000000001</v>
      </c>
    </row>
    <row r="1218" spans="1:5" x14ac:dyDescent="0.25">
      <c r="A1218">
        <v>30</v>
      </c>
      <c r="B1218">
        <v>13</v>
      </c>
      <c r="C1218" t="s">
        <v>30</v>
      </c>
      <c r="D1218" t="s">
        <v>12</v>
      </c>
      <c r="E1218">
        <f t="shared" ca="1" si="19"/>
        <v>17.600000000000001</v>
      </c>
    </row>
    <row r="1219" spans="1:5" x14ac:dyDescent="0.25">
      <c r="A1219">
        <v>30</v>
      </c>
      <c r="B1219">
        <v>14</v>
      </c>
      <c r="C1219" t="s">
        <v>30</v>
      </c>
      <c r="D1219" t="s">
        <v>13</v>
      </c>
      <c r="E1219">
        <f t="shared" ca="1" si="19"/>
        <v>15.86</v>
      </c>
    </row>
    <row r="1220" spans="1:5" x14ac:dyDescent="0.25">
      <c r="A1220">
        <v>30</v>
      </c>
      <c r="B1220">
        <v>15</v>
      </c>
      <c r="C1220" t="s">
        <v>30</v>
      </c>
      <c r="D1220" t="s">
        <v>14</v>
      </c>
      <c r="E1220">
        <f t="shared" ca="1" si="19"/>
        <v>17.22</v>
      </c>
    </row>
    <row r="1221" spans="1:5" x14ac:dyDescent="0.25">
      <c r="A1221">
        <v>30</v>
      </c>
      <c r="B1221">
        <v>16</v>
      </c>
      <c r="C1221" t="s">
        <v>30</v>
      </c>
      <c r="D1221" t="s">
        <v>15</v>
      </c>
      <c r="E1221">
        <f t="shared" ca="1" si="19"/>
        <v>19.75</v>
      </c>
    </row>
    <row r="1222" spans="1:5" x14ac:dyDescent="0.25">
      <c r="A1222">
        <v>30</v>
      </c>
      <c r="B1222">
        <v>17</v>
      </c>
      <c r="C1222" t="s">
        <v>30</v>
      </c>
      <c r="D1222" t="s">
        <v>16</v>
      </c>
      <c r="E1222">
        <f t="shared" ca="1" si="19"/>
        <v>23.06</v>
      </c>
    </row>
    <row r="1223" spans="1:5" x14ac:dyDescent="0.25">
      <c r="A1223">
        <v>30</v>
      </c>
      <c r="B1223">
        <v>18</v>
      </c>
      <c r="C1223" t="s">
        <v>30</v>
      </c>
      <c r="D1223" t="s">
        <v>17</v>
      </c>
      <c r="E1223">
        <f t="shared" ca="1" si="19"/>
        <v>21.92</v>
      </c>
    </row>
    <row r="1224" spans="1:5" x14ac:dyDescent="0.25">
      <c r="A1224">
        <v>30</v>
      </c>
      <c r="B1224">
        <v>19</v>
      </c>
      <c r="C1224" t="s">
        <v>30</v>
      </c>
      <c r="D1224" t="s">
        <v>18</v>
      </c>
      <c r="E1224">
        <f t="shared" ca="1" si="19"/>
        <v>8.7200000000000006</v>
      </c>
    </row>
    <row r="1225" spans="1:5" x14ac:dyDescent="0.25">
      <c r="A1225">
        <v>30</v>
      </c>
      <c r="B1225">
        <v>20</v>
      </c>
      <c r="C1225" t="s">
        <v>30</v>
      </c>
      <c r="D1225" t="s">
        <v>19</v>
      </c>
      <c r="E1225">
        <f t="shared" ca="1" si="19"/>
        <v>7.32</v>
      </c>
    </row>
    <row r="1226" spans="1:5" x14ac:dyDescent="0.25">
      <c r="A1226">
        <v>30</v>
      </c>
      <c r="B1226">
        <v>21</v>
      </c>
      <c r="C1226" t="s">
        <v>30</v>
      </c>
      <c r="D1226" t="s">
        <v>20</v>
      </c>
      <c r="E1226">
        <f t="shared" ca="1" si="19"/>
        <v>5.45</v>
      </c>
    </row>
    <row r="1227" spans="1:5" x14ac:dyDescent="0.25">
      <c r="A1227">
        <v>30</v>
      </c>
      <c r="B1227">
        <v>22</v>
      </c>
      <c r="C1227" t="s">
        <v>30</v>
      </c>
      <c r="D1227" t="s">
        <v>21</v>
      </c>
      <c r="E1227">
        <f t="shared" ca="1" si="19"/>
        <v>9.26</v>
      </c>
    </row>
    <row r="1228" spans="1:5" x14ac:dyDescent="0.25">
      <c r="A1228">
        <v>30</v>
      </c>
      <c r="B1228">
        <v>23</v>
      </c>
      <c r="C1228" t="s">
        <v>30</v>
      </c>
      <c r="D1228" t="s">
        <v>22</v>
      </c>
      <c r="E1228">
        <f t="shared" ca="1" si="19"/>
        <v>9.68</v>
      </c>
    </row>
    <row r="1229" spans="1:5" x14ac:dyDescent="0.25">
      <c r="A1229">
        <v>30</v>
      </c>
      <c r="B1229">
        <v>24</v>
      </c>
      <c r="C1229" t="s">
        <v>30</v>
      </c>
      <c r="D1229" t="s">
        <v>23</v>
      </c>
      <c r="E1229">
        <f t="shared" ca="1" si="19"/>
        <v>13.08</v>
      </c>
    </row>
    <row r="1230" spans="1:5" x14ac:dyDescent="0.25">
      <c r="A1230">
        <v>30</v>
      </c>
      <c r="B1230">
        <v>25</v>
      </c>
      <c r="C1230" t="s">
        <v>30</v>
      </c>
      <c r="D1230" t="s">
        <v>24</v>
      </c>
      <c r="E1230">
        <f t="shared" ca="1" si="19"/>
        <v>11.66</v>
      </c>
    </row>
    <row r="1231" spans="1:5" x14ac:dyDescent="0.25">
      <c r="A1231">
        <v>30</v>
      </c>
      <c r="B1231">
        <v>26</v>
      </c>
      <c r="C1231" t="s">
        <v>30</v>
      </c>
      <c r="D1231" t="s">
        <v>25</v>
      </c>
      <c r="E1231">
        <f t="shared" ca="1" si="19"/>
        <v>13.65</v>
      </c>
    </row>
    <row r="1232" spans="1:5" x14ac:dyDescent="0.25">
      <c r="A1232">
        <v>30</v>
      </c>
      <c r="B1232">
        <v>27</v>
      </c>
      <c r="C1232" t="s">
        <v>30</v>
      </c>
      <c r="D1232" t="s">
        <v>145</v>
      </c>
      <c r="E1232">
        <f t="shared" ca="1" si="19"/>
        <v>7.08</v>
      </c>
    </row>
    <row r="1233" spans="1:5" x14ac:dyDescent="0.25">
      <c r="A1233">
        <v>30</v>
      </c>
      <c r="B1233">
        <v>28</v>
      </c>
      <c r="C1233" t="s">
        <v>30</v>
      </c>
      <c r="D1233" t="s">
        <v>147</v>
      </c>
      <c r="E1233">
        <f t="shared" ca="1" si="19"/>
        <v>9.26</v>
      </c>
    </row>
    <row r="1234" spans="1:5" x14ac:dyDescent="0.25">
      <c r="A1234">
        <v>30</v>
      </c>
      <c r="B1234">
        <v>29</v>
      </c>
      <c r="C1234" t="s">
        <v>30</v>
      </c>
      <c r="D1234" t="s">
        <v>146</v>
      </c>
      <c r="E1234">
        <f t="shared" ca="1" si="19"/>
        <v>11.8</v>
      </c>
    </row>
    <row r="1235" spans="1:5" x14ac:dyDescent="0.25">
      <c r="A1235">
        <v>30</v>
      </c>
      <c r="B1235">
        <v>30</v>
      </c>
      <c r="C1235" t="s">
        <v>30</v>
      </c>
      <c r="D1235" t="s">
        <v>30</v>
      </c>
      <c r="E1235">
        <f t="shared" ca="1" si="19"/>
        <v>0</v>
      </c>
    </row>
    <row r="1236" spans="1:5" x14ac:dyDescent="0.25">
      <c r="A1236">
        <v>30</v>
      </c>
      <c r="B1236">
        <v>31</v>
      </c>
      <c r="C1236" t="s">
        <v>30</v>
      </c>
      <c r="D1236" t="s">
        <v>31</v>
      </c>
      <c r="E1236">
        <f t="shared" ca="1" si="19"/>
        <v>0.8</v>
      </c>
    </row>
    <row r="1237" spans="1:5" x14ac:dyDescent="0.25">
      <c r="A1237">
        <v>30</v>
      </c>
      <c r="B1237">
        <v>32</v>
      </c>
      <c r="C1237" t="s">
        <v>30</v>
      </c>
      <c r="D1237" t="s">
        <v>32</v>
      </c>
      <c r="E1237">
        <f t="shared" ca="1" si="19"/>
        <v>2.12</v>
      </c>
    </row>
    <row r="1238" spans="1:5" x14ac:dyDescent="0.25">
      <c r="A1238">
        <v>30</v>
      </c>
      <c r="B1238">
        <v>33</v>
      </c>
      <c r="C1238" t="s">
        <v>30</v>
      </c>
      <c r="D1238" t="s">
        <v>33</v>
      </c>
      <c r="E1238">
        <f t="shared" ca="1" si="19"/>
        <v>2.63</v>
      </c>
    </row>
    <row r="1239" spans="1:5" x14ac:dyDescent="0.25">
      <c r="A1239">
        <v>30</v>
      </c>
      <c r="B1239">
        <v>34</v>
      </c>
      <c r="C1239" t="s">
        <v>30</v>
      </c>
      <c r="D1239" t="s">
        <v>34</v>
      </c>
      <c r="E1239">
        <f t="shared" ca="1" si="19"/>
        <v>2.48</v>
      </c>
    </row>
    <row r="1240" spans="1:5" x14ac:dyDescent="0.25">
      <c r="A1240">
        <v>30</v>
      </c>
      <c r="B1240">
        <v>35</v>
      </c>
      <c r="C1240" t="s">
        <v>30</v>
      </c>
      <c r="D1240" t="s">
        <v>35</v>
      </c>
      <c r="E1240">
        <f t="shared" ca="1" si="19"/>
        <v>3.08</v>
      </c>
    </row>
    <row r="1241" spans="1:5" x14ac:dyDescent="0.25">
      <c r="A1241">
        <v>30</v>
      </c>
      <c r="B1241">
        <v>36</v>
      </c>
      <c r="C1241" t="s">
        <v>30</v>
      </c>
      <c r="D1241" t="s">
        <v>36</v>
      </c>
      <c r="E1241">
        <f t="shared" ca="1" si="19"/>
        <v>21.93</v>
      </c>
    </row>
    <row r="1242" spans="1:5" x14ac:dyDescent="0.25">
      <c r="A1242">
        <v>30</v>
      </c>
      <c r="B1242">
        <v>37</v>
      </c>
      <c r="C1242" t="s">
        <v>30</v>
      </c>
      <c r="D1242" t="s">
        <v>37</v>
      </c>
      <c r="E1242">
        <f t="shared" ca="1" si="19"/>
        <v>25</v>
      </c>
    </row>
    <row r="1243" spans="1:5" x14ac:dyDescent="0.25">
      <c r="A1243">
        <v>30</v>
      </c>
      <c r="B1243">
        <v>38</v>
      </c>
      <c r="C1243" t="s">
        <v>30</v>
      </c>
      <c r="D1243" t="s">
        <v>38</v>
      </c>
      <c r="E1243">
        <f t="shared" ca="1" si="19"/>
        <v>22.68</v>
      </c>
    </row>
    <row r="1244" spans="1:5" x14ac:dyDescent="0.25">
      <c r="A1244">
        <v>30</v>
      </c>
      <c r="B1244">
        <v>39</v>
      </c>
      <c r="C1244" t="s">
        <v>30</v>
      </c>
      <c r="D1244" t="s">
        <v>39</v>
      </c>
      <c r="E1244">
        <f t="shared" ca="1" si="19"/>
        <v>23.18</v>
      </c>
    </row>
    <row r="1245" spans="1:5" x14ac:dyDescent="0.25">
      <c r="A1245">
        <v>30</v>
      </c>
      <c r="B1245">
        <v>40</v>
      </c>
      <c r="C1245" t="s">
        <v>30</v>
      </c>
      <c r="D1245" t="s">
        <v>40</v>
      </c>
      <c r="E1245">
        <f t="shared" ca="1" si="19"/>
        <v>25</v>
      </c>
    </row>
    <row r="1246" spans="1:5" x14ac:dyDescent="0.25">
      <c r="A1246">
        <v>31</v>
      </c>
      <c r="B1246">
        <v>1</v>
      </c>
      <c r="C1246" t="s">
        <v>31</v>
      </c>
      <c r="D1246" t="s">
        <v>0</v>
      </c>
      <c r="E1246">
        <f t="shared" ca="1" si="19"/>
        <v>3.25</v>
      </c>
    </row>
    <row r="1247" spans="1:5" x14ac:dyDescent="0.25">
      <c r="A1247">
        <v>31</v>
      </c>
      <c r="B1247">
        <v>2</v>
      </c>
      <c r="C1247" t="s">
        <v>31</v>
      </c>
      <c r="D1247" t="s">
        <v>1</v>
      </c>
      <c r="E1247">
        <f t="shared" ca="1" si="19"/>
        <v>3.61</v>
      </c>
    </row>
    <row r="1248" spans="1:5" x14ac:dyDescent="0.25">
      <c r="A1248">
        <v>31</v>
      </c>
      <c r="B1248">
        <v>3</v>
      </c>
      <c r="C1248" t="s">
        <v>31</v>
      </c>
      <c r="D1248" t="s">
        <v>2</v>
      </c>
      <c r="E1248">
        <f t="shared" ca="1" si="19"/>
        <v>4.16</v>
      </c>
    </row>
    <row r="1249" spans="1:5" x14ac:dyDescent="0.25">
      <c r="A1249">
        <v>31</v>
      </c>
      <c r="B1249">
        <v>4</v>
      </c>
      <c r="C1249" t="s">
        <v>31</v>
      </c>
      <c r="D1249" t="s">
        <v>3</v>
      </c>
      <c r="E1249">
        <f t="shared" ca="1" si="19"/>
        <v>2.72</v>
      </c>
    </row>
    <row r="1250" spans="1:5" x14ac:dyDescent="0.25">
      <c r="A1250">
        <v>31</v>
      </c>
      <c r="B1250">
        <v>5</v>
      </c>
      <c r="C1250" t="s">
        <v>31</v>
      </c>
      <c r="D1250" t="s">
        <v>4</v>
      </c>
      <c r="E1250">
        <f t="shared" ca="1" si="19"/>
        <v>2.2599999999999998</v>
      </c>
    </row>
    <row r="1251" spans="1:5" x14ac:dyDescent="0.25">
      <c r="A1251">
        <v>31</v>
      </c>
      <c r="B1251">
        <v>6</v>
      </c>
      <c r="C1251" t="s">
        <v>31</v>
      </c>
      <c r="D1251" t="s">
        <v>5</v>
      </c>
      <c r="E1251">
        <f t="shared" ca="1" si="19"/>
        <v>4.4000000000000004</v>
      </c>
    </row>
    <row r="1252" spans="1:5" x14ac:dyDescent="0.25">
      <c r="A1252">
        <v>31</v>
      </c>
      <c r="B1252">
        <v>7</v>
      </c>
      <c r="C1252" t="s">
        <v>31</v>
      </c>
      <c r="D1252" t="s">
        <v>6</v>
      </c>
      <c r="E1252">
        <f t="shared" ca="1" si="19"/>
        <v>2.36</v>
      </c>
    </row>
    <row r="1253" spans="1:5" x14ac:dyDescent="0.25">
      <c r="A1253">
        <v>31</v>
      </c>
      <c r="B1253">
        <v>8</v>
      </c>
      <c r="C1253" t="s">
        <v>31</v>
      </c>
      <c r="D1253" t="s">
        <v>7</v>
      </c>
      <c r="E1253">
        <f t="shared" ca="1" si="19"/>
        <v>1</v>
      </c>
    </row>
    <row r="1254" spans="1:5" x14ac:dyDescent="0.25">
      <c r="A1254">
        <v>31</v>
      </c>
      <c r="B1254">
        <v>9</v>
      </c>
      <c r="C1254" t="s">
        <v>31</v>
      </c>
      <c r="D1254" t="s">
        <v>148</v>
      </c>
      <c r="E1254">
        <f t="shared" ca="1" si="19"/>
        <v>3.36</v>
      </c>
    </row>
    <row r="1255" spans="1:5" x14ac:dyDescent="0.25">
      <c r="A1255">
        <v>31</v>
      </c>
      <c r="B1255">
        <v>10</v>
      </c>
      <c r="C1255" t="s">
        <v>31</v>
      </c>
      <c r="D1255" t="s">
        <v>9</v>
      </c>
      <c r="E1255">
        <f t="shared" ca="1" si="19"/>
        <v>3.15</v>
      </c>
    </row>
    <row r="1256" spans="1:5" x14ac:dyDescent="0.25">
      <c r="A1256">
        <v>31</v>
      </c>
      <c r="B1256">
        <v>11</v>
      </c>
      <c r="C1256" t="s">
        <v>31</v>
      </c>
      <c r="D1256" t="s">
        <v>10</v>
      </c>
      <c r="E1256">
        <f t="shared" ref="E1256:E1317" ca="1" si="20">OFFSET($B$3,A1256,B1256)</f>
        <v>21.53</v>
      </c>
    </row>
    <row r="1257" spans="1:5" x14ac:dyDescent="0.25">
      <c r="A1257">
        <v>31</v>
      </c>
      <c r="B1257">
        <v>12</v>
      </c>
      <c r="C1257" t="s">
        <v>31</v>
      </c>
      <c r="D1257" t="s">
        <v>11</v>
      </c>
      <c r="E1257">
        <f t="shared" ca="1" si="20"/>
        <v>18.38</v>
      </c>
    </row>
    <row r="1258" spans="1:5" x14ac:dyDescent="0.25">
      <c r="A1258">
        <v>31</v>
      </c>
      <c r="B1258">
        <v>13</v>
      </c>
      <c r="C1258" t="s">
        <v>31</v>
      </c>
      <c r="D1258" t="s">
        <v>12</v>
      </c>
      <c r="E1258">
        <f t="shared" ca="1" si="20"/>
        <v>17.23</v>
      </c>
    </row>
    <row r="1259" spans="1:5" x14ac:dyDescent="0.25">
      <c r="A1259">
        <v>31</v>
      </c>
      <c r="B1259">
        <v>14</v>
      </c>
      <c r="C1259" t="s">
        <v>31</v>
      </c>
      <c r="D1259" t="s">
        <v>13</v>
      </c>
      <c r="E1259">
        <f t="shared" ca="1" si="20"/>
        <v>15.46</v>
      </c>
    </row>
    <row r="1260" spans="1:5" x14ac:dyDescent="0.25">
      <c r="A1260">
        <v>31</v>
      </c>
      <c r="B1260">
        <v>15</v>
      </c>
      <c r="C1260" t="s">
        <v>31</v>
      </c>
      <c r="D1260" t="s">
        <v>14</v>
      </c>
      <c r="E1260">
        <f t="shared" ca="1" si="20"/>
        <v>16.5</v>
      </c>
    </row>
    <row r="1261" spans="1:5" x14ac:dyDescent="0.25">
      <c r="A1261">
        <v>31</v>
      </c>
      <c r="B1261">
        <v>16</v>
      </c>
      <c r="C1261" t="s">
        <v>31</v>
      </c>
      <c r="D1261" t="s">
        <v>15</v>
      </c>
      <c r="E1261">
        <f t="shared" ca="1" si="20"/>
        <v>20.13</v>
      </c>
    </row>
    <row r="1262" spans="1:5" x14ac:dyDescent="0.25">
      <c r="A1262">
        <v>31</v>
      </c>
      <c r="B1262">
        <v>17</v>
      </c>
      <c r="C1262" t="s">
        <v>31</v>
      </c>
      <c r="D1262" t="s">
        <v>16</v>
      </c>
      <c r="E1262">
        <f t="shared" ca="1" si="20"/>
        <v>22.66</v>
      </c>
    </row>
    <row r="1263" spans="1:5" x14ac:dyDescent="0.25">
      <c r="A1263">
        <v>31</v>
      </c>
      <c r="B1263">
        <v>18</v>
      </c>
      <c r="C1263" t="s">
        <v>31</v>
      </c>
      <c r="D1263" t="s">
        <v>17</v>
      </c>
      <c r="E1263">
        <f t="shared" ca="1" si="20"/>
        <v>21.52</v>
      </c>
    </row>
    <row r="1264" spans="1:5" x14ac:dyDescent="0.25">
      <c r="A1264">
        <v>31</v>
      </c>
      <c r="B1264">
        <v>19</v>
      </c>
      <c r="C1264" t="s">
        <v>31</v>
      </c>
      <c r="D1264" t="s">
        <v>18</v>
      </c>
      <c r="E1264">
        <f t="shared" ca="1" si="20"/>
        <v>8.3800000000000008</v>
      </c>
    </row>
    <row r="1265" spans="1:5" x14ac:dyDescent="0.25">
      <c r="A1265">
        <v>31</v>
      </c>
      <c r="B1265">
        <v>20</v>
      </c>
      <c r="C1265" t="s">
        <v>31</v>
      </c>
      <c r="D1265" t="s">
        <v>19</v>
      </c>
      <c r="E1265">
        <f t="shared" ca="1" si="20"/>
        <v>6.96</v>
      </c>
    </row>
    <row r="1266" spans="1:5" x14ac:dyDescent="0.25">
      <c r="A1266">
        <v>31</v>
      </c>
      <c r="B1266">
        <v>21</v>
      </c>
      <c r="C1266" t="s">
        <v>31</v>
      </c>
      <c r="D1266" t="s">
        <v>20</v>
      </c>
      <c r="E1266">
        <f t="shared" ca="1" si="20"/>
        <v>5.08</v>
      </c>
    </row>
    <row r="1267" spans="1:5" x14ac:dyDescent="0.25">
      <c r="A1267">
        <v>31</v>
      </c>
      <c r="B1267">
        <v>22</v>
      </c>
      <c r="C1267" t="s">
        <v>31</v>
      </c>
      <c r="D1267" t="s">
        <v>21</v>
      </c>
      <c r="E1267">
        <f t="shared" ca="1" si="20"/>
        <v>8.93</v>
      </c>
    </row>
    <row r="1268" spans="1:5" x14ac:dyDescent="0.25">
      <c r="A1268">
        <v>31</v>
      </c>
      <c r="B1268">
        <v>23</v>
      </c>
      <c r="C1268" t="s">
        <v>31</v>
      </c>
      <c r="D1268" t="s">
        <v>22</v>
      </c>
      <c r="E1268">
        <f t="shared" ca="1" si="20"/>
        <v>9.23</v>
      </c>
    </row>
    <row r="1269" spans="1:5" x14ac:dyDescent="0.25">
      <c r="A1269">
        <v>31</v>
      </c>
      <c r="B1269">
        <v>24</v>
      </c>
      <c r="C1269" t="s">
        <v>31</v>
      </c>
      <c r="D1269" t="s">
        <v>23</v>
      </c>
      <c r="E1269">
        <f t="shared" ca="1" si="20"/>
        <v>12.7</v>
      </c>
    </row>
    <row r="1270" spans="1:5" x14ac:dyDescent="0.25">
      <c r="A1270">
        <v>31</v>
      </c>
      <c r="B1270">
        <v>25</v>
      </c>
      <c r="C1270" t="s">
        <v>31</v>
      </c>
      <c r="D1270" t="s">
        <v>24</v>
      </c>
      <c r="E1270">
        <f t="shared" ca="1" si="20"/>
        <v>12.92</v>
      </c>
    </row>
    <row r="1271" spans="1:5" x14ac:dyDescent="0.25">
      <c r="A1271">
        <v>31</v>
      </c>
      <c r="B1271">
        <v>26</v>
      </c>
      <c r="C1271" t="s">
        <v>31</v>
      </c>
      <c r="D1271" t="s">
        <v>25</v>
      </c>
      <c r="E1271">
        <f t="shared" ca="1" si="20"/>
        <v>13.3</v>
      </c>
    </row>
    <row r="1272" spans="1:5" x14ac:dyDescent="0.25">
      <c r="A1272">
        <v>31</v>
      </c>
      <c r="B1272">
        <v>27</v>
      </c>
      <c r="C1272" t="s">
        <v>31</v>
      </c>
      <c r="D1272" t="s">
        <v>145</v>
      </c>
      <c r="E1272">
        <f t="shared" ca="1" si="20"/>
        <v>6.63</v>
      </c>
    </row>
    <row r="1273" spans="1:5" x14ac:dyDescent="0.25">
      <c r="A1273">
        <v>31</v>
      </c>
      <c r="B1273">
        <v>28</v>
      </c>
      <c r="C1273" t="s">
        <v>31</v>
      </c>
      <c r="D1273" t="s">
        <v>147</v>
      </c>
      <c r="E1273">
        <f t="shared" ca="1" si="20"/>
        <v>8.8800000000000008</v>
      </c>
    </row>
    <row r="1274" spans="1:5" x14ac:dyDescent="0.25">
      <c r="A1274">
        <v>31</v>
      </c>
      <c r="B1274">
        <v>29</v>
      </c>
      <c r="C1274" t="s">
        <v>31</v>
      </c>
      <c r="D1274" t="s">
        <v>146</v>
      </c>
      <c r="E1274">
        <f t="shared" ca="1" si="20"/>
        <v>11.43</v>
      </c>
    </row>
    <row r="1275" spans="1:5" x14ac:dyDescent="0.25">
      <c r="A1275">
        <v>31</v>
      </c>
      <c r="B1275">
        <v>30</v>
      </c>
      <c r="C1275" t="s">
        <v>31</v>
      </c>
      <c r="D1275" t="s">
        <v>30</v>
      </c>
      <c r="E1275">
        <f t="shared" ca="1" si="20"/>
        <v>0.8</v>
      </c>
    </row>
    <row r="1276" spans="1:5" x14ac:dyDescent="0.25">
      <c r="A1276">
        <v>31</v>
      </c>
      <c r="B1276">
        <v>31</v>
      </c>
      <c r="C1276" t="s">
        <v>31</v>
      </c>
      <c r="D1276" t="s">
        <v>31</v>
      </c>
      <c r="E1276">
        <f t="shared" ca="1" si="20"/>
        <v>0</v>
      </c>
    </row>
    <row r="1277" spans="1:5" x14ac:dyDescent="0.25">
      <c r="A1277">
        <v>31</v>
      </c>
      <c r="B1277">
        <v>32</v>
      </c>
      <c r="C1277" t="s">
        <v>31</v>
      </c>
      <c r="D1277" t="s">
        <v>32</v>
      </c>
      <c r="E1277">
        <f t="shared" ca="1" si="20"/>
        <v>1.62</v>
      </c>
    </row>
    <row r="1278" spans="1:5" x14ac:dyDescent="0.25">
      <c r="A1278">
        <v>31</v>
      </c>
      <c r="B1278">
        <v>33</v>
      </c>
      <c r="C1278" t="s">
        <v>31</v>
      </c>
      <c r="D1278" t="s">
        <v>33</v>
      </c>
      <c r="E1278">
        <f t="shared" ca="1" si="20"/>
        <v>2.1800000000000002</v>
      </c>
    </row>
    <row r="1279" spans="1:5" x14ac:dyDescent="0.25">
      <c r="A1279">
        <v>31</v>
      </c>
      <c r="B1279">
        <v>34</v>
      </c>
      <c r="C1279" t="s">
        <v>31</v>
      </c>
      <c r="D1279" t="s">
        <v>34</v>
      </c>
      <c r="E1279">
        <f t="shared" ca="1" si="20"/>
        <v>2.16</v>
      </c>
    </row>
    <row r="1280" spans="1:5" x14ac:dyDescent="0.25">
      <c r="A1280">
        <v>31</v>
      </c>
      <c r="B1280">
        <v>35</v>
      </c>
      <c r="C1280" t="s">
        <v>31</v>
      </c>
      <c r="D1280" t="s">
        <v>35</v>
      </c>
      <c r="E1280">
        <f t="shared" ca="1" si="20"/>
        <v>2.63</v>
      </c>
    </row>
    <row r="1281" spans="1:5" x14ac:dyDescent="0.25">
      <c r="A1281">
        <v>31</v>
      </c>
      <c r="B1281">
        <v>36</v>
      </c>
      <c r="C1281" t="s">
        <v>31</v>
      </c>
      <c r="D1281" t="s">
        <v>36</v>
      </c>
      <c r="E1281">
        <f t="shared" ca="1" si="20"/>
        <v>21.46</v>
      </c>
    </row>
    <row r="1282" spans="1:5" x14ac:dyDescent="0.25">
      <c r="A1282">
        <v>31</v>
      </c>
      <c r="B1282">
        <v>37</v>
      </c>
      <c r="C1282" t="s">
        <v>31</v>
      </c>
      <c r="D1282" t="s">
        <v>37</v>
      </c>
      <c r="E1282">
        <f t="shared" ca="1" si="20"/>
        <v>25</v>
      </c>
    </row>
    <row r="1283" spans="1:5" x14ac:dyDescent="0.25">
      <c r="A1283">
        <v>31</v>
      </c>
      <c r="B1283">
        <v>38</v>
      </c>
      <c r="C1283" t="s">
        <v>31</v>
      </c>
      <c r="D1283" t="s">
        <v>38</v>
      </c>
      <c r="E1283">
        <f t="shared" ca="1" si="20"/>
        <v>22.26</v>
      </c>
    </row>
    <row r="1284" spans="1:5" x14ac:dyDescent="0.25">
      <c r="A1284">
        <v>31</v>
      </c>
      <c r="B1284">
        <v>39</v>
      </c>
      <c r="C1284" t="s">
        <v>31</v>
      </c>
      <c r="D1284" t="s">
        <v>39</v>
      </c>
      <c r="E1284">
        <f t="shared" ca="1" si="20"/>
        <v>24</v>
      </c>
    </row>
    <row r="1285" spans="1:5" x14ac:dyDescent="0.25">
      <c r="A1285">
        <v>31</v>
      </c>
      <c r="B1285">
        <v>40</v>
      </c>
      <c r="C1285" t="s">
        <v>31</v>
      </c>
      <c r="D1285" t="s">
        <v>40</v>
      </c>
      <c r="E1285">
        <f t="shared" ca="1" si="20"/>
        <v>22.88</v>
      </c>
    </row>
    <row r="1286" spans="1:5" x14ac:dyDescent="0.25">
      <c r="A1286">
        <v>32</v>
      </c>
      <c r="B1286">
        <v>1</v>
      </c>
      <c r="C1286" t="s">
        <v>32</v>
      </c>
      <c r="D1286" t="s">
        <v>0</v>
      </c>
      <c r="E1286">
        <f t="shared" ca="1" si="20"/>
        <v>2.33</v>
      </c>
    </row>
    <row r="1287" spans="1:5" x14ac:dyDescent="0.25">
      <c r="A1287">
        <v>32</v>
      </c>
      <c r="B1287">
        <v>2</v>
      </c>
      <c r="C1287" t="s">
        <v>32</v>
      </c>
      <c r="D1287" t="s">
        <v>1</v>
      </c>
      <c r="E1287">
        <f t="shared" ca="1" si="20"/>
        <v>2.68</v>
      </c>
    </row>
    <row r="1288" spans="1:5" x14ac:dyDescent="0.25">
      <c r="A1288">
        <v>32</v>
      </c>
      <c r="B1288">
        <v>3</v>
      </c>
      <c r="C1288" t="s">
        <v>32</v>
      </c>
      <c r="D1288" t="s">
        <v>2</v>
      </c>
      <c r="E1288">
        <f t="shared" ca="1" si="20"/>
        <v>3.26</v>
      </c>
    </row>
    <row r="1289" spans="1:5" x14ac:dyDescent="0.25">
      <c r="A1289">
        <v>32</v>
      </c>
      <c r="B1289">
        <v>4</v>
      </c>
      <c r="C1289" t="s">
        <v>32</v>
      </c>
      <c r="D1289" t="s">
        <v>3</v>
      </c>
      <c r="E1289">
        <f t="shared" ca="1" si="20"/>
        <v>4.08</v>
      </c>
    </row>
    <row r="1290" spans="1:5" x14ac:dyDescent="0.25">
      <c r="A1290">
        <v>32</v>
      </c>
      <c r="B1290">
        <v>5</v>
      </c>
      <c r="C1290" t="s">
        <v>32</v>
      </c>
      <c r="D1290" t="s">
        <v>4</v>
      </c>
      <c r="E1290">
        <f t="shared" ca="1" si="20"/>
        <v>5.16</v>
      </c>
    </row>
    <row r="1291" spans="1:5" x14ac:dyDescent="0.25">
      <c r="A1291">
        <v>32</v>
      </c>
      <c r="B1291">
        <v>6</v>
      </c>
      <c r="C1291" t="s">
        <v>32</v>
      </c>
      <c r="D1291" t="s">
        <v>5</v>
      </c>
      <c r="E1291">
        <f t="shared" ca="1" si="20"/>
        <v>7.42</v>
      </c>
    </row>
    <row r="1292" spans="1:5" x14ac:dyDescent="0.25">
      <c r="A1292">
        <v>32</v>
      </c>
      <c r="B1292">
        <v>7</v>
      </c>
      <c r="C1292" t="s">
        <v>32</v>
      </c>
      <c r="D1292" t="s">
        <v>6</v>
      </c>
      <c r="E1292">
        <f t="shared" ca="1" si="20"/>
        <v>5.35</v>
      </c>
    </row>
    <row r="1293" spans="1:5" x14ac:dyDescent="0.25">
      <c r="A1293">
        <v>32</v>
      </c>
      <c r="B1293">
        <v>8</v>
      </c>
      <c r="C1293" t="s">
        <v>32</v>
      </c>
      <c r="D1293" t="s">
        <v>7</v>
      </c>
      <c r="E1293">
        <f t="shared" ca="1" si="20"/>
        <v>3.95</v>
      </c>
    </row>
    <row r="1294" spans="1:5" x14ac:dyDescent="0.25">
      <c r="A1294">
        <v>32</v>
      </c>
      <c r="B1294">
        <v>9</v>
      </c>
      <c r="C1294" t="s">
        <v>32</v>
      </c>
      <c r="D1294" t="s">
        <v>148</v>
      </c>
      <c r="E1294">
        <f t="shared" ca="1" si="20"/>
        <v>3.11</v>
      </c>
    </row>
    <row r="1295" spans="1:5" x14ac:dyDescent="0.25">
      <c r="A1295">
        <v>32</v>
      </c>
      <c r="B1295">
        <v>10</v>
      </c>
      <c r="C1295" t="s">
        <v>32</v>
      </c>
      <c r="D1295" t="s">
        <v>9</v>
      </c>
      <c r="E1295">
        <f t="shared" ca="1" si="20"/>
        <v>6.15</v>
      </c>
    </row>
    <row r="1296" spans="1:5" x14ac:dyDescent="0.25">
      <c r="A1296">
        <v>32</v>
      </c>
      <c r="B1296">
        <v>11</v>
      </c>
      <c r="C1296" t="s">
        <v>32</v>
      </c>
      <c r="D1296" t="s">
        <v>10</v>
      </c>
      <c r="E1296">
        <f t="shared" ca="1" si="20"/>
        <v>19.899999999999999</v>
      </c>
    </row>
    <row r="1297" spans="1:5" x14ac:dyDescent="0.25">
      <c r="A1297">
        <v>32</v>
      </c>
      <c r="B1297">
        <v>12</v>
      </c>
      <c r="C1297" t="s">
        <v>32</v>
      </c>
      <c r="D1297" t="s">
        <v>11</v>
      </c>
      <c r="E1297">
        <f t="shared" ca="1" si="20"/>
        <v>17.46</v>
      </c>
    </row>
    <row r="1298" spans="1:5" x14ac:dyDescent="0.25">
      <c r="A1298">
        <v>32</v>
      </c>
      <c r="B1298">
        <v>13</v>
      </c>
      <c r="C1298" t="s">
        <v>32</v>
      </c>
      <c r="D1298" t="s">
        <v>12</v>
      </c>
      <c r="E1298">
        <f t="shared" ca="1" si="20"/>
        <v>16.260000000000002</v>
      </c>
    </row>
    <row r="1299" spans="1:5" x14ac:dyDescent="0.25">
      <c r="A1299">
        <v>32</v>
      </c>
      <c r="B1299">
        <v>14</v>
      </c>
      <c r="C1299" t="s">
        <v>32</v>
      </c>
      <c r="D1299" t="s">
        <v>13</v>
      </c>
      <c r="E1299">
        <f t="shared" ca="1" si="20"/>
        <v>14.48</v>
      </c>
    </row>
    <row r="1300" spans="1:5" x14ac:dyDescent="0.25">
      <c r="A1300">
        <v>32</v>
      </c>
      <c r="B1300">
        <v>15</v>
      </c>
      <c r="C1300" t="s">
        <v>32</v>
      </c>
      <c r="D1300" t="s">
        <v>14</v>
      </c>
      <c r="E1300">
        <f t="shared" ca="1" si="20"/>
        <v>15.9</v>
      </c>
    </row>
    <row r="1301" spans="1:5" x14ac:dyDescent="0.25">
      <c r="A1301">
        <v>32</v>
      </c>
      <c r="B1301">
        <v>16</v>
      </c>
      <c r="C1301" t="s">
        <v>32</v>
      </c>
      <c r="D1301" t="s">
        <v>15</v>
      </c>
      <c r="E1301">
        <f t="shared" ca="1" si="20"/>
        <v>18.46</v>
      </c>
    </row>
    <row r="1302" spans="1:5" x14ac:dyDescent="0.25">
      <c r="A1302">
        <v>32</v>
      </c>
      <c r="B1302">
        <v>17</v>
      </c>
      <c r="C1302" t="s">
        <v>32</v>
      </c>
      <c r="D1302" t="s">
        <v>16</v>
      </c>
      <c r="E1302">
        <f t="shared" ca="1" si="20"/>
        <v>21.78</v>
      </c>
    </row>
    <row r="1303" spans="1:5" x14ac:dyDescent="0.25">
      <c r="A1303">
        <v>32</v>
      </c>
      <c r="B1303">
        <v>18</v>
      </c>
      <c r="C1303" t="s">
        <v>32</v>
      </c>
      <c r="D1303" t="s">
        <v>17</v>
      </c>
      <c r="E1303">
        <f t="shared" ca="1" si="20"/>
        <v>22.03</v>
      </c>
    </row>
    <row r="1304" spans="1:5" x14ac:dyDescent="0.25">
      <c r="A1304">
        <v>32</v>
      </c>
      <c r="B1304">
        <v>19</v>
      </c>
      <c r="C1304" t="s">
        <v>32</v>
      </c>
      <c r="D1304" t="s">
        <v>18</v>
      </c>
      <c r="E1304">
        <f t="shared" ca="1" si="20"/>
        <v>7.53</v>
      </c>
    </row>
    <row r="1305" spans="1:5" x14ac:dyDescent="0.25">
      <c r="A1305">
        <v>32</v>
      </c>
      <c r="B1305">
        <v>20</v>
      </c>
      <c r="C1305" t="s">
        <v>32</v>
      </c>
      <c r="D1305" t="s">
        <v>19</v>
      </c>
      <c r="E1305">
        <f t="shared" ca="1" si="20"/>
        <v>6.15</v>
      </c>
    </row>
    <row r="1306" spans="1:5" x14ac:dyDescent="0.25">
      <c r="A1306">
        <v>32</v>
      </c>
      <c r="B1306">
        <v>21</v>
      </c>
      <c r="C1306" t="s">
        <v>32</v>
      </c>
      <c r="D1306" t="s">
        <v>20</v>
      </c>
      <c r="E1306">
        <f t="shared" ca="1" si="20"/>
        <v>4.28</v>
      </c>
    </row>
    <row r="1307" spans="1:5" x14ac:dyDescent="0.25">
      <c r="A1307">
        <v>32</v>
      </c>
      <c r="B1307">
        <v>22</v>
      </c>
      <c r="C1307" t="s">
        <v>32</v>
      </c>
      <c r="D1307" t="s">
        <v>21</v>
      </c>
      <c r="E1307">
        <f t="shared" ca="1" si="20"/>
        <v>8.1300000000000008</v>
      </c>
    </row>
    <row r="1308" spans="1:5" x14ac:dyDescent="0.25">
      <c r="A1308">
        <v>32</v>
      </c>
      <c r="B1308">
        <v>23</v>
      </c>
      <c r="C1308" t="s">
        <v>32</v>
      </c>
      <c r="D1308" t="s">
        <v>22</v>
      </c>
      <c r="E1308">
        <f t="shared" ca="1" si="20"/>
        <v>8.4499999999999993</v>
      </c>
    </row>
    <row r="1309" spans="1:5" x14ac:dyDescent="0.25">
      <c r="A1309">
        <v>32</v>
      </c>
      <c r="B1309">
        <v>24</v>
      </c>
      <c r="C1309" t="s">
        <v>32</v>
      </c>
      <c r="D1309" t="s">
        <v>23</v>
      </c>
      <c r="E1309">
        <f t="shared" ca="1" si="20"/>
        <v>11.93</v>
      </c>
    </row>
    <row r="1310" spans="1:5" x14ac:dyDescent="0.25">
      <c r="A1310">
        <v>32</v>
      </c>
      <c r="B1310">
        <v>25</v>
      </c>
      <c r="C1310" t="s">
        <v>32</v>
      </c>
      <c r="D1310" t="s">
        <v>24</v>
      </c>
      <c r="E1310">
        <f t="shared" ca="1" si="20"/>
        <v>10.5</v>
      </c>
    </row>
    <row r="1311" spans="1:5" x14ac:dyDescent="0.25">
      <c r="A1311">
        <v>32</v>
      </c>
      <c r="B1311">
        <v>26</v>
      </c>
      <c r="C1311" t="s">
        <v>32</v>
      </c>
      <c r="D1311" t="s">
        <v>25</v>
      </c>
      <c r="E1311">
        <f t="shared" ca="1" si="20"/>
        <v>12.53</v>
      </c>
    </row>
    <row r="1312" spans="1:5" x14ac:dyDescent="0.25">
      <c r="A1312">
        <v>32</v>
      </c>
      <c r="B1312">
        <v>27</v>
      </c>
      <c r="C1312" t="s">
        <v>32</v>
      </c>
      <c r="D1312" t="s">
        <v>145</v>
      </c>
      <c r="E1312">
        <f t="shared" ca="1" si="20"/>
        <v>5.75</v>
      </c>
    </row>
    <row r="1313" spans="1:5" x14ac:dyDescent="0.25">
      <c r="A1313">
        <v>32</v>
      </c>
      <c r="B1313">
        <v>28</v>
      </c>
      <c r="C1313" t="s">
        <v>32</v>
      </c>
      <c r="D1313" t="s">
        <v>147</v>
      </c>
      <c r="E1313">
        <f t="shared" ca="1" si="20"/>
        <v>8</v>
      </c>
    </row>
    <row r="1314" spans="1:5" x14ac:dyDescent="0.25">
      <c r="A1314">
        <v>32</v>
      </c>
      <c r="B1314">
        <v>29</v>
      </c>
      <c r="C1314" t="s">
        <v>32</v>
      </c>
      <c r="D1314" t="s">
        <v>146</v>
      </c>
      <c r="E1314">
        <f t="shared" ca="1" si="20"/>
        <v>10.68</v>
      </c>
    </row>
    <row r="1315" spans="1:5" x14ac:dyDescent="0.25">
      <c r="A1315">
        <v>32</v>
      </c>
      <c r="B1315">
        <v>30</v>
      </c>
      <c r="C1315" t="s">
        <v>32</v>
      </c>
      <c r="D1315" t="s">
        <v>30</v>
      </c>
      <c r="E1315">
        <f t="shared" ca="1" si="20"/>
        <v>2.12</v>
      </c>
    </row>
    <row r="1316" spans="1:5" x14ac:dyDescent="0.25">
      <c r="A1316">
        <v>32</v>
      </c>
      <c r="B1316">
        <v>31</v>
      </c>
      <c r="C1316" t="s">
        <v>32</v>
      </c>
      <c r="D1316" t="s">
        <v>31</v>
      </c>
      <c r="E1316">
        <f t="shared" ca="1" si="20"/>
        <v>1.62</v>
      </c>
    </row>
    <row r="1317" spans="1:5" x14ac:dyDescent="0.25">
      <c r="A1317">
        <v>32</v>
      </c>
      <c r="B1317">
        <v>32</v>
      </c>
      <c r="C1317" t="s">
        <v>32</v>
      </c>
      <c r="D1317" t="s">
        <v>32</v>
      </c>
      <c r="E1317">
        <f t="shared" ca="1" si="20"/>
        <v>0</v>
      </c>
    </row>
    <row r="1318" spans="1:5" x14ac:dyDescent="0.25">
      <c r="A1318">
        <v>32</v>
      </c>
      <c r="B1318">
        <v>33</v>
      </c>
      <c r="C1318" t="s">
        <v>32</v>
      </c>
      <c r="D1318" t="s">
        <v>33</v>
      </c>
      <c r="E1318">
        <f t="shared" ref="E1318:E1380" ca="1" si="21">OFFSET($B$3,A1318,B1318)</f>
        <v>1</v>
      </c>
    </row>
    <row r="1319" spans="1:5" x14ac:dyDescent="0.25">
      <c r="A1319">
        <v>32</v>
      </c>
      <c r="B1319">
        <v>34</v>
      </c>
      <c r="C1319" t="s">
        <v>32</v>
      </c>
      <c r="D1319" t="s">
        <v>34</v>
      </c>
      <c r="E1319">
        <f t="shared" ca="1" si="21"/>
        <v>1.58</v>
      </c>
    </row>
    <row r="1320" spans="1:5" x14ac:dyDescent="0.25">
      <c r="A1320">
        <v>32</v>
      </c>
      <c r="B1320">
        <v>35</v>
      </c>
      <c r="C1320" t="s">
        <v>32</v>
      </c>
      <c r="D1320" t="s">
        <v>35</v>
      </c>
      <c r="E1320">
        <f t="shared" ca="1" si="21"/>
        <v>1.73</v>
      </c>
    </row>
    <row r="1321" spans="1:5" x14ac:dyDescent="0.25">
      <c r="A1321">
        <v>32</v>
      </c>
      <c r="B1321">
        <v>36</v>
      </c>
      <c r="C1321" t="s">
        <v>32</v>
      </c>
      <c r="D1321" t="s">
        <v>36</v>
      </c>
      <c r="E1321">
        <f t="shared" ca="1" si="21"/>
        <v>20.23</v>
      </c>
    </row>
    <row r="1322" spans="1:5" x14ac:dyDescent="0.25">
      <c r="A1322">
        <v>32</v>
      </c>
      <c r="B1322">
        <v>37</v>
      </c>
      <c r="C1322" t="s">
        <v>32</v>
      </c>
      <c r="D1322" t="s">
        <v>37</v>
      </c>
      <c r="E1322">
        <f t="shared" ca="1" si="21"/>
        <v>23.48</v>
      </c>
    </row>
    <row r="1323" spans="1:5" x14ac:dyDescent="0.25">
      <c r="A1323">
        <v>32</v>
      </c>
      <c r="B1323">
        <v>38</v>
      </c>
      <c r="C1323" t="s">
        <v>32</v>
      </c>
      <c r="D1323" t="s">
        <v>38</v>
      </c>
      <c r="E1323">
        <f t="shared" ca="1" si="21"/>
        <v>21.21</v>
      </c>
    </row>
    <row r="1324" spans="1:5" x14ac:dyDescent="0.25">
      <c r="A1324">
        <v>32</v>
      </c>
      <c r="B1324">
        <v>39</v>
      </c>
      <c r="C1324" t="s">
        <v>32</v>
      </c>
      <c r="D1324" t="s">
        <v>39</v>
      </c>
      <c r="E1324">
        <f t="shared" ca="1" si="21"/>
        <v>23.28</v>
      </c>
    </row>
    <row r="1325" spans="1:5" x14ac:dyDescent="0.25">
      <c r="A1325">
        <v>32</v>
      </c>
      <c r="B1325">
        <v>40</v>
      </c>
      <c r="C1325" t="s">
        <v>32</v>
      </c>
      <c r="D1325" t="s">
        <v>40</v>
      </c>
      <c r="E1325">
        <f t="shared" ca="1" si="21"/>
        <v>23.23</v>
      </c>
    </row>
    <row r="1326" spans="1:5" x14ac:dyDescent="0.25">
      <c r="A1326">
        <v>33</v>
      </c>
      <c r="B1326">
        <v>1</v>
      </c>
      <c r="C1326" t="s">
        <v>33</v>
      </c>
      <c r="D1326" t="s">
        <v>0</v>
      </c>
      <c r="E1326">
        <f t="shared" ca="1" si="21"/>
        <v>1.66</v>
      </c>
    </row>
    <row r="1327" spans="1:5" x14ac:dyDescent="0.25">
      <c r="A1327">
        <v>33</v>
      </c>
      <c r="B1327">
        <v>2</v>
      </c>
      <c r="C1327" t="s">
        <v>33</v>
      </c>
      <c r="D1327" t="s">
        <v>1</v>
      </c>
      <c r="E1327">
        <f t="shared" ca="1" si="21"/>
        <v>2.1</v>
      </c>
    </row>
    <row r="1328" spans="1:5" x14ac:dyDescent="0.25">
      <c r="A1328">
        <v>33</v>
      </c>
      <c r="B1328">
        <v>3</v>
      </c>
      <c r="C1328" t="s">
        <v>33</v>
      </c>
      <c r="D1328" t="s">
        <v>2</v>
      </c>
      <c r="E1328">
        <f t="shared" ca="1" si="21"/>
        <v>2.61</v>
      </c>
    </row>
    <row r="1329" spans="1:5" x14ac:dyDescent="0.25">
      <c r="A1329">
        <v>33</v>
      </c>
      <c r="B1329">
        <v>4</v>
      </c>
      <c r="C1329" t="s">
        <v>33</v>
      </c>
      <c r="D1329" t="s">
        <v>3</v>
      </c>
      <c r="E1329">
        <f t="shared" ca="1" si="21"/>
        <v>4.2</v>
      </c>
    </row>
    <row r="1330" spans="1:5" x14ac:dyDescent="0.25">
      <c r="A1330">
        <v>33</v>
      </c>
      <c r="B1330">
        <v>5</v>
      </c>
      <c r="C1330" t="s">
        <v>33</v>
      </c>
      <c r="D1330" t="s">
        <v>4</v>
      </c>
      <c r="E1330">
        <f t="shared" ca="1" si="21"/>
        <v>5.3</v>
      </c>
    </row>
    <row r="1331" spans="1:5" x14ac:dyDescent="0.25">
      <c r="A1331">
        <v>33</v>
      </c>
      <c r="B1331">
        <v>6</v>
      </c>
      <c r="C1331" t="s">
        <v>33</v>
      </c>
      <c r="D1331" t="s">
        <v>5</v>
      </c>
      <c r="E1331">
        <f t="shared" ca="1" si="21"/>
        <v>7.48</v>
      </c>
    </row>
    <row r="1332" spans="1:5" x14ac:dyDescent="0.25">
      <c r="A1332">
        <v>33</v>
      </c>
      <c r="B1332">
        <v>7</v>
      </c>
      <c r="C1332" t="s">
        <v>33</v>
      </c>
      <c r="D1332" t="s">
        <v>6</v>
      </c>
      <c r="E1332">
        <f t="shared" ca="1" si="21"/>
        <v>5.48</v>
      </c>
    </row>
    <row r="1333" spans="1:5" x14ac:dyDescent="0.25">
      <c r="A1333">
        <v>33</v>
      </c>
      <c r="B1333">
        <v>8</v>
      </c>
      <c r="C1333" t="s">
        <v>33</v>
      </c>
      <c r="D1333" t="s">
        <v>7</v>
      </c>
      <c r="E1333">
        <f t="shared" ca="1" si="21"/>
        <v>4.05</v>
      </c>
    </row>
    <row r="1334" spans="1:5" x14ac:dyDescent="0.25">
      <c r="A1334">
        <v>33</v>
      </c>
      <c r="B1334">
        <v>9</v>
      </c>
      <c r="C1334" t="s">
        <v>33</v>
      </c>
      <c r="D1334" t="s">
        <v>148</v>
      </c>
      <c r="E1334">
        <f t="shared" ca="1" si="21"/>
        <v>3</v>
      </c>
    </row>
    <row r="1335" spans="1:5" x14ac:dyDescent="0.25">
      <c r="A1335">
        <v>33</v>
      </c>
      <c r="B1335">
        <v>10</v>
      </c>
      <c r="C1335" t="s">
        <v>33</v>
      </c>
      <c r="D1335" t="s">
        <v>9</v>
      </c>
      <c r="E1335">
        <f t="shared" ca="1" si="21"/>
        <v>6.25</v>
      </c>
    </row>
    <row r="1336" spans="1:5" x14ac:dyDescent="0.25">
      <c r="A1336">
        <v>33</v>
      </c>
      <c r="B1336">
        <v>11</v>
      </c>
      <c r="C1336" t="s">
        <v>33</v>
      </c>
      <c r="D1336" t="s">
        <v>10</v>
      </c>
      <c r="E1336">
        <f t="shared" ca="1" si="21"/>
        <v>19.25</v>
      </c>
    </row>
    <row r="1337" spans="1:5" x14ac:dyDescent="0.25">
      <c r="A1337">
        <v>33</v>
      </c>
      <c r="B1337">
        <v>12</v>
      </c>
      <c r="C1337" t="s">
        <v>33</v>
      </c>
      <c r="D1337" t="s">
        <v>11</v>
      </c>
      <c r="E1337">
        <f t="shared" ca="1" si="21"/>
        <v>16.43</v>
      </c>
    </row>
    <row r="1338" spans="1:5" x14ac:dyDescent="0.25">
      <c r="A1338">
        <v>33</v>
      </c>
      <c r="B1338">
        <v>13</v>
      </c>
      <c r="C1338" t="s">
        <v>33</v>
      </c>
      <c r="D1338" t="s">
        <v>12</v>
      </c>
      <c r="E1338">
        <f t="shared" ca="1" si="21"/>
        <v>15.62</v>
      </c>
    </row>
    <row r="1339" spans="1:5" x14ac:dyDescent="0.25">
      <c r="A1339">
        <v>33</v>
      </c>
      <c r="B1339">
        <v>14</v>
      </c>
      <c r="C1339" t="s">
        <v>33</v>
      </c>
      <c r="D1339" t="s">
        <v>13</v>
      </c>
      <c r="E1339">
        <f t="shared" ca="1" si="21"/>
        <v>13.83</v>
      </c>
    </row>
    <row r="1340" spans="1:5" x14ac:dyDescent="0.25">
      <c r="A1340">
        <v>33</v>
      </c>
      <c r="B1340">
        <v>15</v>
      </c>
      <c r="C1340" t="s">
        <v>33</v>
      </c>
      <c r="D1340" t="s">
        <v>14</v>
      </c>
      <c r="E1340">
        <f t="shared" ca="1" si="21"/>
        <v>15.25</v>
      </c>
    </row>
    <row r="1341" spans="1:5" x14ac:dyDescent="0.25">
      <c r="A1341">
        <v>33</v>
      </c>
      <c r="B1341">
        <v>16</v>
      </c>
      <c r="C1341" t="s">
        <v>33</v>
      </c>
      <c r="D1341" t="s">
        <v>15</v>
      </c>
      <c r="E1341">
        <f t="shared" ca="1" si="21"/>
        <v>18.66</v>
      </c>
    </row>
    <row r="1342" spans="1:5" x14ac:dyDescent="0.25">
      <c r="A1342">
        <v>33</v>
      </c>
      <c r="B1342">
        <v>17</v>
      </c>
      <c r="C1342" t="s">
        <v>33</v>
      </c>
      <c r="D1342" t="s">
        <v>16</v>
      </c>
      <c r="E1342">
        <f t="shared" ca="1" si="21"/>
        <v>22.46</v>
      </c>
    </row>
    <row r="1343" spans="1:5" x14ac:dyDescent="0.25">
      <c r="A1343">
        <v>33</v>
      </c>
      <c r="B1343">
        <v>18</v>
      </c>
      <c r="C1343" t="s">
        <v>33</v>
      </c>
      <c r="D1343" t="s">
        <v>17</v>
      </c>
      <c r="E1343">
        <f t="shared" ca="1" si="21"/>
        <v>21.38</v>
      </c>
    </row>
    <row r="1344" spans="1:5" x14ac:dyDescent="0.25">
      <c r="A1344">
        <v>33</v>
      </c>
      <c r="B1344">
        <v>19</v>
      </c>
      <c r="C1344" t="s">
        <v>33</v>
      </c>
      <c r="D1344" t="s">
        <v>18</v>
      </c>
      <c r="E1344">
        <f t="shared" ca="1" si="21"/>
        <v>7</v>
      </c>
    </row>
    <row r="1345" spans="1:5" x14ac:dyDescent="0.25">
      <c r="A1345">
        <v>33</v>
      </c>
      <c r="B1345">
        <v>20</v>
      </c>
      <c r="C1345" t="s">
        <v>33</v>
      </c>
      <c r="D1345" t="s">
        <v>19</v>
      </c>
      <c r="E1345">
        <f t="shared" ca="1" si="21"/>
        <v>5.6</v>
      </c>
    </row>
    <row r="1346" spans="1:5" x14ac:dyDescent="0.25">
      <c r="A1346">
        <v>33</v>
      </c>
      <c r="B1346">
        <v>21</v>
      </c>
      <c r="C1346" t="s">
        <v>33</v>
      </c>
      <c r="D1346" t="s">
        <v>20</v>
      </c>
      <c r="E1346">
        <f t="shared" ca="1" si="21"/>
        <v>3.68</v>
      </c>
    </row>
    <row r="1347" spans="1:5" x14ac:dyDescent="0.25">
      <c r="A1347">
        <v>33</v>
      </c>
      <c r="B1347">
        <v>22</v>
      </c>
      <c r="C1347" t="s">
        <v>33</v>
      </c>
      <c r="D1347" t="s">
        <v>21</v>
      </c>
      <c r="E1347">
        <f t="shared" ca="1" si="21"/>
        <v>7.58</v>
      </c>
    </row>
    <row r="1348" spans="1:5" x14ac:dyDescent="0.25">
      <c r="A1348">
        <v>33</v>
      </c>
      <c r="B1348">
        <v>23</v>
      </c>
      <c r="C1348" t="s">
        <v>33</v>
      </c>
      <c r="D1348" t="s">
        <v>22</v>
      </c>
      <c r="E1348">
        <f t="shared" ca="1" si="21"/>
        <v>7.68</v>
      </c>
    </row>
    <row r="1349" spans="1:5" x14ac:dyDescent="0.25">
      <c r="A1349">
        <v>33</v>
      </c>
      <c r="B1349">
        <v>24</v>
      </c>
      <c r="C1349" t="s">
        <v>33</v>
      </c>
      <c r="D1349" t="s">
        <v>23</v>
      </c>
      <c r="E1349">
        <f t="shared" ca="1" si="21"/>
        <v>11.35</v>
      </c>
    </row>
    <row r="1350" spans="1:5" x14ac:dyDescent="0.25">
      <c r="A1350">
        <v>33</v>
      </c>
      <c r="B1350">
        <v>25</v>
      </c>
      <c r="C1350" t="s">
        <v>33</v>
      </c>
      <c r="D1350" t="s">
        <v>24</v>
      </c>
      <c r="E1350">
        <f t="shared" ca="1" si="21"/>
        <v>9.9</v>
      </c>
    </row>
    <row r="1351" spans="1:5" x14ac:dyDescent="0.25">
      <c r="A1351">
        <v>33</v>
      </c>
      <c r="B1351">
        <v>26</v>
      </c>
      <c r="C1351" t="s">
        <v>33</v>
      </c>
      <c r="D1351" t="s">
        <v>25</v>
      </c>
      <c r="E1351">
        <f t="shared" ca="1" si="21"/>
        <v>12</v>
      </c>
    </row>
    <row r="1352" spans="1:5" x14ac:dyDescent="0.25">
      <c r="A1352">
        <v>33</v>
      </c>
      <c r="B1352">
        <v>27</v>
      </c>
      <c r="C1352" t="s">
        <v>33</v>
      </c>
      <c r="D1352" t="s">
        <v>145</v>
      </c>
      <c r="E1352">
        <f t="shared" ca="1" si="21"/>
        <v>5.1100000000000003</v>
      </c>
    </row>
    <row r="1353" spans="1:5" x14ac:dyDescent="0.25">
      <c r="A1353">
        <v>33</v>
      </c>
      <c r="B1353">
        <v>28</v>
      </c>
      <c r="C1353" t="s">
        <v>33</v>
      </c>
      <c r="D1353" t="s">
        <v>147</v>
      </c>
      <c r="E1353">
        <f t="shared" ca="1" si="21"/>
        <v>7.31</v>
      </c>
    </row>
    <row r="1354" spans="1:5" x14ac:dyDescent="0.25">
      <c r="A1354">
        <v>33</v>
      </c>
      <c r="B1354">
        <v>29</v>
      </c>
      <c r="C1354" t="s">
        <v>33</v>
      </c>
      <c r="D1354" t="s">
        <v>146</v>
      </c>
      <c r="E1354">
        <f t="shared" ca="1" si="21"/>
        <v>10.119999999999999</v>
      </c>
    </row>
    <row r="1355" spans="1:5" x14ac:dyDescent="0.25">
      <c r="A1355">
        <v>33</v>
      </c>
      <c r="B1355">
        <v>30</v>
      </c>
      <c r="C1355" t="s">
        <v>33</v>
      </c>
      <c r="D1355" t="s">
        <v>30</v>
      </c>
      <c r="E1355">
        <f t="shared" ca="1" si="21"/>
        <v>2.63</v>
      </c>
    </row>
    <row r="1356" spans="1:5" x14ac:dyDescent="0.25">
      <c r="A1356">
        <v>33</v>
      </c>
      <c r="B1356">
        <v>31</v>
      </c>
      <c r="C1356" t="s">
        <v>33</v>
      </c>
      <c r="D1356" t="s">
        <v>31</v>
      </c>
      <c r="E1356">
        <f t="shared" ca="1" si="21"/>
        <v>2.1800000000000002</v>
      </c>
    </row>
    <row r="1357" spans="1:5" x14ac:dyDescent="0.25">
      <c r="A1357">
        <v>33</v>
      </c>
      <c r="B1357">
        <v>32</v>
      </c>
      <c r="C1357" t="s">
        <v>33</v>
      </c>
      <c r="D1357" t="s">
        <v>32</v>
      </c>
      <c r="E1357">
        <f t="shared" ca="1" si="21"/>
        <v>1</v>
      </c>
    </row>
    <row r="1358" spans="1:5" x14ac:dyDescent="0.25">
      <c r="A1358">
        <v>33</v>
      </c>
      <c r="B1358">
        <v>33</v>
      </c>
      <c r="C1358" t="s">
        <v>33</v>
      </c>
      <c r="D1358" t="s">
        <v>33</v>
      </c>
      <c r="E1358">
        <f t="shared" ca="1" si="21"/>
        <v>0</v>
      </c>
    </row>
    <row r="1359" spans="1:5" x14ac:dyDescent="0.25">
      <c r="A1359">
        <v>33</v>
      </c>
      <c r="B1359">
        <v>34</v>
      </c>
      <c r="C1359" t="s">
        <v>33</v>
      </c>
      <c r="D1359" t="s">
        <v>34</v>
      </c>
      <c r="E1359">
        <f t="shared" ca="1" si="21"/>
        <v>1.38</v>
      </c>
    </row>
    <row r="1360" spans="1:5" x14ac:dyDescent="0.25">
      <c r="A1360">
        <v>33</v>
      </c>
      <c r="B1360">
        <v>35</v>
      </c>
      <c r="C1360" t="s">
        <v>33</v>
      </c>
      <c r="D1360" t="s">
        <v>35</v>
      </c>
      <c r="E1360">
        <f t="shared" ca="1" si="21"/>
        <v>1.4</v>
      </c>
    </row>
    <row r="1361" spans="1:5" x14ac:dyDescent="0.25">
      <c r="A1361">
        <v>33</v>
      </c>
      <c r="B1361">
        <v>36</v>
      </c>
      <c r="C1361" t="s">
        <v>33</v>
      </c>
      <c r="D1361" t="s">
        <v>36</v>
      </c>
      <c r="E1361">
        <f t="shared" ca="1" si="21"/>
        <v>19.399999999999999</v>
      </c>
    </row>
    <row r="1362" spans="1:5" x14ac:dyDescent="0.25">
      <c r="A1362">
        <v>33</v>
      </c>
      <c r="B1362">
        <v>37</v>
      </c>
      <c r="C1362" t="s">
        <v>33</v>
      </c>
      <c r="D1362" t="s">
        <v>37</v>
      </c>
      <c r="E1362">
        <f t="shared" ca="1" si="21"/>
        <v>24</v>
      </c>
    </row>
    <row r="1363" spans="1:5" x14ac:dyDescent="0.25">
      <c r="A1363">
        <v>33</v>
      </c>
      <c r="B1363">
        <v>38</v>
      </c>
      <c r="C1363" t="s">
        <v>33</v>
      </c>
      <c r="D1363" t="s">
        <v>38</v>
      </c>
      <c r="E1363">
        <f t="shared" ca="1" si="21"/>
        <v>20.05</v>
      </c>
    </row>
    <row r="1364" spans="1:5" x14ac:dyDescent="0.25">
      <c r="A1364">
        <v>33</v>
      </c>
      <c r="B1364">
        <v>39</v>
      </c>
      <c r="C1364" t="s">
        <v>33</v>
      </c>
      <c r="D1364" t="s">
        <v>39</v>
      </c>
      <c r="E1364">
        <f t="shared" ca="1" si="21"/>
        <v>22.33</v>
      </c>
    </row>
    <row r="1365" spans="1:5" x14ac:dyDescent="0.25">
      <c r="A1365">
        <v>33</v>
      </c>
      <c r="B1365">
        <v>40</v>
      </c>
      <c r="C1365" t="s">
        <v>33</v>
      </c>
      <c r="D1365" t="s">
        <v>40</v>
      </c>
      <c r="E1365">
        <f t="shared" ca="1" si="21"/>
        <v>22.35</v>
      </c>
    </row>
    <row r="1366" spans="1:5" x14ac:dyDescent="0.25">
      <c r="A1366">
        <v>34</v>
      </c>
      <c r="B1366">
        <v>1</v>
      </c>
      <c r="C1366" t="s">
        <v>34</v>
      </c>
      <c r="D1366" t="s">
        <v>0</v>
      </c>
      <c r="E1366">
        <f t="shared" ca="1" si="21"/>
        <v>1.38</v>
      </c>
    </row>
    <row r="1367" spans="1:5" x14ac:dyDescent="0.25">
      <c r="A1367">
        <v>34</v>
      </c>
      <c r="B1367">
        <v>2</v>
      </c>
      <c r="C1367" t="s">
        <v>34</v>
      </c>
      <c r="D1367" t="s">
        <v>1</v>
      </c>
      <c r="E1367">
        <f t="shared" ca="1" si="21"/>
        <v>1.98</v>
      </c>
    </row>
    <row r="1368" spans="1:5" x14ac:dyDescent="0.25">
      <c r="A1368">
        <v>34</v>
      </c>
      <c r="B1368">
        <v>3</v>
      </c>
      <c r="C1368" t="s">
        <v>34</v>
      </c>
      <c r="D1368" t="s">
        <v>2</v>
      </c>
      <c r="E1368">
        <f t="shared" ca="1" si="21"/>
        <v>2.6</v>
      </c>
    </row>
    <row r="1369" spans="1:5" x14ac:dyDescent="0.25">
      <c r="A1369">
        <v>34</v>
      </c>
      <c r="B1369">
        <v>4</v>
      </c>
      <c r="C1369" t="s">
        <v>34</v>
      </c>
      <c r="D1369" t="s">
        <v>3</v>
      </c>
      <c r="E1369">
        <f t="shared" ca="1" si="21"/>
        <v>3.72</v>
      </c>
    </row>
    <row r="1370" spans="1:5" x14ac:dyDescent="0.25">
      <c r="A1370">
        <v>34</v>
      </c>
      <c r="B1370">
        <v>5</v>
      </c>
      <c r="C1370" t="s">
        <v>34</v>
      </c>
      <c r="D1370" t="s">
        <v>4</v>
      </c>
      <c r="E1370">
        <f t="shared" ca="1" si="21"/>
        <v>4.83</v>
      </c>
    </row>
    <row r="1371" spans="1:5" x14ac:dyDescent="0.25">
      <c r="A1371">
        <v>34</v>
      </c>
      <c r="B1371">
        <v>6</v>
      </c>
      <c r="C1371" t="s">
        <v>34</v>
      </c>
      <c r="D1371" t="s">
        <v>5</v>
      </c>
      <c r="E1371">
        <f t="shared" ca="1" si="21"/>
        <v>7.08</v>
      </c>
    </row>
    <row r="1372" spans="1:5" x14ac:dyDescent="0.25">
      <c r="A1372">
        <v>34</v>
      </c>
      <c r="B1372">
        <v>7</v>
      </c>
      <c r="C1372" t="s">
        <v>34</v>
      </c>
      <c r="D1372" t="s">
        <v>6</v>
      </c>
      <c r="E1372">
        <f t="shared" ca="1" si="21"/>
        <v>4.96</v>
      </c>
    </row>
    <row r="1373" spans="1:5" x14ac:dyDescent="0.25">
      <c r="A1373">
        <v>34</v>
      </c>
      <c r="B1373">
        <v>8</v>
      </c>
      <c r="C1373" t="s">
        <v>34</v>
      </c>
      <c r="D1373" t="s">
        <v>7</v>
      </c>
      <c r="E1373">
        <f t="shared" ca="1" si="21"/>
        <v>3.58</v>
      </c>
    </row>
    <row r="1374" spans="1:5" x14ac:dyDescent="0.25">
      <c r="A1374">
        <v>34</v>
      </c>
      <c r="B1374">
        <v>9</v>
      </c>
      <c r="C1374" t="s">
        <v>34</v>
      </c>
      <c r="D1374" t="s">
        <v>148</v>
      </c>
      <c r="E1374">
        <f t="shared" ca="1" si="21"/>
        <v>2.11</v>
      </c>
    </row>
    <row r="1375" spans="1:5" x14ac:dyDescent="0.25">
      <c r="A1375">
        <v>34</v>
      </c>
      <c r="B1375">
        <v>10</v>
      </c>
      <c r="C1375" t="s">
        <v>34</v>
      </c>
      <c r="D1375" t="s">
        <v>9</v>
      </c>
      <c r="E1375">
        <f t="shared" ca="1" si="21"/>
        <v>5.75</v>
      </c>
    </row>
    <row r="1376" spans="1:5" x14ac:dyDescent="0.25">
      <c r="A1376">
        <v>34</v>
      </c>
      <c r="B1376">
        <v>11</v>
      </c>
      <c r="C1376" t="s">
        <v>34</v>
      </c>
      <c r="D1376" t="s">
        <v>10</v>
      </c>
      <c r="E1376">
        <f t="shared" ca="1" si="21"/>
        <v>19.95</v>
      </c>
    </row>
    <row r="1377" spans="1:5" x14ac:dyDescent="0.25">
      <c r="A1377">
        <v>34</v>
      </c>
      <c r="B1377">
        <v>12</v>
      </c>
      <c r="C1377" t="s">
        <v>34</v>
      </c>
      <c r="D1377" t="s">
        <v>11</v>
      </c>
      <c r="E1377">
        <f t="shared" ca="1" si="21"/>
        <v>16.82</v>
      </c>
    </row>
    <row r="1378" spans="1:5" x14ac:dyDescent="0.25">
      <c r="A1378">
        <v>34</v>
      </c>
      <c r="B1378">
        <v>13</v>
      </c>
      <c r="C1378" t="s">
        <v>34</v>
      </c>
      <c r="D1378" t="s">
        <v>12</v>
      </c>
      <c r="E1378">
        <f t="shared" ca="1" si="21"/>
        <v>15.62</v>
      </c>
    </row>
    <row r="1379" spans="1:5" x14ac:dyDescent="0.25">
      <c r="A1379">
        <v>34</v>
      </c>
      <c r="B1379">
        <v>14</v>
      </c>
      <c r="C1379" t="s">
        <v>34</v>
      </c>
      <c r="D1379" t="s">
        <v>13</v>
      </c>
      <c r="E1379">
        <f t="shared" ca="1" si="21"/>
        <v>13.85</v>
      </c>
    </row>
    <row r="1380" spans="1:5" x14ac:dyDescent="0.25">
      <c r="A1380">
        <v>34</v>
      </c>
      <c r="B1380">
        <v>15</v>
      </c>
      <c r="C1380" t="s">
        <v>34</v>
      </c>
      <c r="D1380" t="s">
        <v>14</v>
      </c>
      <c r="E1380">
        <f t="shared" ca="1" si="21"/>
        <v>15.35</v>
      </c>
    </row>
    <row r="1381" spans="1:5" x14ac:dyDescent="0.25">
      <c r="A1381">
        <v>34</v>
      </c>
      <c r="B1381">
        <v>16</v>
      </c>
      <c r="C1381" t="s">
        <v>34</v>
      </c>
      <c r="D1381" t="s">
        <v>15</v>
      </c>
      <c r="E1381">
        <f t="shared" ref="E1381:E1442" ca="1" si="22">OFFSET($B$3,A1381,B1381)</f>
        <v>18.399999999999999</v>
      </c>
    </row>
    <row r="1382" spans="1:5" x14ac:dyDescent="0.25">
      <c r="A1382">
        <v>34</v>
      </c>
      <c r="B1382">
        <v>17</v>
      </c>
      <c r="C1382" t="s">
        <v>34</v>
      </c>
      <c r="D1382" t="s">
        <v>16</v>
      </c>
      <c r="E1382">
        <f t="shared" ca="1" si="22"/>
        <v>21.15</v>
      </c>
    </row>
    <row r="1383" spans="1:5" x14ac:dyDescent="0.25">
      <c r="A1383">
        <v>34</v>
      </c>
      <c r="B1383">
        <v>18</v>
      </c>
      <c r="C1383" t="s">
        <v>34</v>
      </c>
      <c r="D1383" t="s">
        <v>17</v>
      </c>
      <c r="E1383">
        <f t="shared" ca="1" si="22"/>
        <v>21.21</v>
      </c>
    </row>
    <row r="1384" spans="1:5" x14ac:dyDescent="0.25">
      <c r="A1384">
        <v>34</v>
      </c>
      <c r="B1384">
        <v>19</v>
      </c>
      <c r="C1384" t="s">
        <v>34</v>
      </c>
      <c r="D1384" t="s">
        <v>18</v>
      </c>
      <c r="E1384">
        <f t="shared" ca="1" si="22"/>
        <v>6.95</v>
      </c>
    </row>
    <row r="1385" spans="1:5" x14ac:dyDescent="0.25">
      <c r="A1385">
        <v>34</v>
      </c>
      <c r="B1385">
        <v>20</v>
      </c>
      <c r="C1385" t="s">
        <v>34</v>
      </c>
      <c r="D1385" t="s">
        <v>19</v>
      </c>
      <c r="E1385">
        <f t="shared" ca="1" si="22"/>
        <v>5.56</v>
      </c>
    </row>
    <row r="1386" spans="1:5" x14ac:dyDescent="0.25">
      <c r="A1386">
        <v>34</v>
      </c>
      <c r="B1386">
        <v>21</v>
      </c>
      <c r="C1386" t="s">
        <v>34</v>
      </c>
      <c r="D1386" t="s">
        <v>20</v>
      </c>
      <c r="E1386">
        <f t="shared" ca="1" si="22"/>
        <v>3.55</v>
      </c>
    </row>
    <row r="1387" spans="1:5" x14ac:dyDescent="0.25">
      <c r="A1387">
        <v>34</v>
      </c>
      <c r="B1387">
        <v>22</v>
      </c>
      <c r="C1387" t="s">
        <v>34</v>
      </c>
      <c r="D1387" t="s">
        <v>21</v>
      </c>
      <c r="E1387">
        <f t="shared" ca="1" si="22"/>
        <v>7.55</v>
      </c>
    </row>
    <row r="1388" spans="1:5" x14ac:dyDescent="0.25">
      <c r="A1388">
        <v>34</v>
      </c>
      <c r="B1388">
        <v>23</v>
      </c>
      <c r="C1388" t="s">
        <v>34</v>
      </c>
      <c r="D1388" t="s">
        <v>22</v>
      </c>
      <c r="E1388">
        <f t="shared" ca="1" si="22"/>
        <v>7.65</v>
      </c>
    </row>
    <row r="1389" spans="1:5" x14ac:dyDescent="0.25">
      <c r="A1389">
        <v>34</v>
      </c>
      <c r="B1389">
        <v>24</v>
      </c>
      <c r="C1389" t="s">
        <v>34</v>
      </c>
      <c r="D1389" t="s">
        <v>23</v>
      </c>
      <c r="E1389">
        <f t="shared" ca="1" si="22"/>
        <v>11.31</v>
      </c>
    </row>
    <row r="1390" spans="1:5" x14ac:dyDescent="0.25">
      <c r="A1390">
        <v>34</v>
      </c>
      <c r="B1390">
        <v>25</v>
      </c>
      <c r="C1390" t="s">
        <v>34</v>
      </c>
      <c r="D1390" t="s">
        <v>24</v>
      </c>
      <c r="E1390">
        <f t="shared" ca="1" si="22"/>
        <v>9.85</v>
      </c>
    </row>
    <row r="1391" spans="1:5" x14ac:dyDescent="0.25">
      <c r="A1391">
        <v>34</v>
      </c>
      <c r="B1391">
        <v>26</v>
      </c>
      <c r="C1391" t="s">
        <v>34</v>
      </c>
      <c r="D1391" t="s">
        <v>25</v>
      </c>
      <c r="E1391">
        <f t="shared" ca="1" si="22"/>
        <v>11.95</v>
      </c>
    </row>
    <row r="1392" spans="1:5" x14ac:dyDescent="0.25">
      <c r="A1392">
        <v>34</v>
      </c>
      <c r="B1392">
        <v>27</v>
      </c>
      <c r="C1392" t="s">
        <v>34</v>
      </c>
      <c r="D1392" t="s">
        <v>145</v>
      </c>
      <c r="E1392">
        <f t="shared" ca="1" si="22"/>
        <v>5.13</v>
      </c>
    </row>
    <row r="1393" spans="1:5" x14ac:dyDescent="0.25">
      <c r="A1393">
        <v>34</v>
      </c>
      <c r="B1393">
        <v>28</v>
      </c>
      <c r="C1393" t="s">
        <v>34</v>
      </c>
      <c r="D1393" t="s">
        <v>147</v>
      </c>
      <c r="E1393">
        <f t="shared" ca="1" si="22"/>
        <v>7.33</v>
      </c>
    </row>
    <row r="1394" spans="1:5" x14ac:dyDescent="0.25">
      <c r="A1394">
        <v>34</v>
      </c>
      <c r="B1394">
        <v>29</v>
      </c>
      <c r="C1394" t="s">
        <v>34</v>
      </c>
      <c r="D1394" t="s">
        <v>146</v>
      </c>
      <c r="E1394">
        <f t="shared" ca="1" si="22"/>
        <v>10.1</v>
      </c>
    </row>
    <row r="1395" spans="1:5" x14ac:dyDescent="0.25">
      <c r="A1395">
        <v>34</v>
      </c>
      <c r="B1395">
        <v>30</v>
      </c>
      <c r="C1395" t="s">
        <v>34</v>
      </c>
      <c r="D1395" t="s">
        <v>30</v>
      </c>
      <c r="E1395">
        <f t="shared" ca="1" si="22"/>
        <v>2.48</v>
      </c>
    </row>
    <row r="1396" spans="1:5" x14ac:dyDescent="0.25">
      <c r="A1396">
        <v>34</v>
      </c>
      <c r="B1396">
        <v>31</v>
      </c>
      <c r="C1396" t="s">
        <v>34</v>
      </c>
      <c r="D1396" t="s">
        <v>31</v>
      </c>
      <c r="E1396">
        <f t="shared" ca="1" si="22"/>
        <v>2.16</v>
      </c>
    </row>
    <row r="1397" spans="1:5" x14ac:dyDescent="0.25">
      <c r="A1397">
        <v>34</v>
      </c>
      <c r="B1397">
        <v>32</v>
      </c>
      <c r="C1397" t="s">
        <v>34</v>
      </c>
      <c r="D1397" t="s">
        <v>32</v>
      </c>
      <c r="E1397">
        <f t="shared" ca="1" si="22"/>
        <v>1.58</v>
      </c>
    </row>
    <row r="1398" spans="1:5" x14ac:dyDescent="0.25">
      <c r="A1398">
        <v>34</v>
      </c>
      <c r="B1398">
        <v>33</v>
      </c>
      <c r="C1398" t="s">
        <v>34</v>
      </c>
      <c r="D1398" t="s">
        <v>33</v>
      </c>
      <c r="E1398">
        <f t="shared" ca="1" si="22"/>
        <v>1.38</v>
      </c>
    </row>
    <row r="1399" spans="1:5" x14ac:dyDescent="0.25">
      <c r="A1399">
        <v>34</v>
      </c>
      <c r="B1399">
        <v>34</v>
      </c>
      <c r="C1399" t="s">
        <v>34</v>
      </c>
      <c r="D1399" t="s">
        <v>34</v>
      </c>
      <c r="E1399">
        <f t="shared" ca="1" si="22"/>
        <v>0</v>
      </c>
    </row>
    <row r="1400" spans="1:5" x14ac:dyDescent="0.25">
      <c r="A1400">
        <v>34</v>
      </c>
      <c r="B1400">
        <v>35</v>
      </c>
      <c r="C1400" t="s">
        <v>34</v>
      </c>
      <c r="D1400" t="s">
        <v>35</v>
      </c>
      <c r="E1400">
        <f t="shared" ca="1" si="22"/>
        <v>0.7</v>
      </c>
    </row>
    <row r="1401" spans="1:5" x14ac:dyDescent="0.25">
      <c r="A1401">
        <v>34</v>
      </c>
      <c r="B1401">
        <v>36</v>
      </c>
      <c r="C1401" t="s">
        <v>34</v>
      </c>
      <c r="D1401" t="s">
        <v>36</v>
      </c>
      <c r="E1401">
        <f t="shared" ca="1" si="22"/>
        <v>19.53</v>
      </c>
    </row>
    <row r="1402" spans="1:5" x14ac:dyDescent="0.25">
      <c r="A1402">
        <v>34</v>
      </c>
      <c r="B1402">
        <v>37</v>
      </c>
      <c r="C1402" t="s">
        <v>34</v>
      </c>
      <c r="D1402" t="s">
        <v>37</v>
      </c>
      <c r="E1402">
        <f t="shared" ca="1" si="22"/>
        <v>24</v>
      </c>
    </row>
    <row r="1403" spans="1:5" x14ac:dyDescent="0.25">
      <c r="A1403">
        <v>34</v>
      </c>
      <c r="B1403">
        <v>38</v>
      </c>
      <c r="C1403" t="s">
        <v>34</v>
      </c>
      <c r="D1403" t="s">
        <v>38</v>
      </c>
      <c r="E1403">
        <f t="shared" ca="1" si="22"/>
        <v>20.18</v>
      </c>
    </row>
    <row r="1404" spans="1:5" x14ac:dyDescent="0.25">
      <c r="A1404">
        <v>34</v>
      </c>
      <c r="B1404">
        <v>39</v>
      </c>
      <c r="C1404" t="s">
        <v>34</v>
      </c>
      <c r="D1404" t="s">
        <v>39</v>
      </c>
      <c r="E1404">
        <f t="shared" ca="1" si="22"/>
        <v>22.42</v>
      </c>
    </row>
    <row r="1405" spans="1:5" x14ac:dyDescent="0.25">
      <c r="A1405">
        <v>34</v>
      </c>
      <c r="B1405">
        <v>40</v>
      </c>
      <c r="C1405" t="s">
        <v>34</v>
      </c>
      <c r="D1405" t="s">
        <v>40</v>
      </c>
      <c r="E1405">
        <f t="shared" ca="1" si="22"/>
        <v>22.5</v>
      </c>
    </row>
    <row r="1406" spans="1:5" x14ac:dyDescent="0.25">
      <c r="A1406">
        <v>35</v>
      </c>
      <c r="B1406">
        <v>1</v>
      </c>
      <c r="C1406" t="s">
        <v>35</v>
      </c>
      <c r="D1406" t="s">
        <v>0</v>
      </c>
      <c r="E1406">
        <f t="shared" ca="1" si="22"/>
        <v>1.08</v>
      </c>
    </row>
    <row r="1407" spans="1:5" x14ac:dyDescent="0.25">
      <c r="A1407">
        <v>35</v>
      </c>
      <c r="B1407">
        <v>2</v>
      </c>
      <c r="C1407" t="s">
        <v>35</v>
      </c>
      <c r="D1407" t="s">
        <v>1</v>
      </c>
      <c r="E1407">
        <f t="shared" ca="1" si="22"/>
        <v>1.65</v>
      </c>
    </row>
    <row r="1408" spans="1:5" x14ac:dyDescent="0.25">
      <c r="A1408">
        <v>35</v>
      </c>
      <c r="B1408">
        <v>3</v>
      </c>
      <c r="C1408" t="s">
        <v>35</v>
      </c>
      <c r="D1408" t="s">
        <v>2</v>
      </c>
      <c r="E1408">
        <f t="shared" ca="1" si="22"/>
        <v>2.2999999999999998</v>
      </c>
    </row>
    <row r="1409" spans="1:5" x14ac:dyDescent="0.25">
      <c r="A1409">
        <v>35</v>
      </c>
      <c r="B1409">
        <v>4</v>
      </c>
      <c r="C1409" t="s">
        <v>35</v>
      </c>
      <c r="D1409" t="s">
        <v>3</v>
      </c>
      <c r="E1409">
        <f t="shared" ca="1" si="22"/>
        <v>4.2300000000000004</v>
      </c>
    </row>
    <row r="1410" spans="1:5" x14ac:dyDescent="0.25">
      <c r="A1410">
        <v>35</v>
      </c>
      <c r="B1410">
        <v>5</v>
      </c>
      <c r="C1410" t="s">
        <v>35</v>
      </c>
      <c r="D1410" t="s">
        <v>4</v>
      </c>
      <c r="E1410">
        <f t="shared" ca="1" si="22"/>
        <v>5.23</v>
      </c>
    </row>
    <row r="1411" spans="1:5" x14ac:dyDescent="0.25">
      <c r="A1411">
        <v>35</v>
      </c>
      <c r="B1411">
        <v>6</v>
      </c>
      <c r="C1411" t="s">
        <v>35</v>
      </c>
      <c r="D1411" t="s">
        <v>5</v>
      </c>
      <c r="E1411">
        <f t="shared" ca="1" si="22"/>
        <v>7.5</v>
      </c>
    </row>
    <row r="1412" spans="1:5" x14ac:dyDescent="0.25">
      <c r="A1412">
        <v>35</v>
      </c>
      <c r="B1412">
        <v>7</v>
      </c>
      <c r="C1412" t="s">
        <v>35</v>
      </c>
      <c r="D1412" t="s">
        <v>6</v>
      </c>
      <c r="E1412">
        <f t="shared" ca="1" si="22"/>
        <v>5.45</v>
      </c>
    </row>
    <row r="1413" spans="1:5" x14ac:dyDescent="0.25">
      <c r="A1413">
        <v>35</v>
      </c>
      <c r="B1413">
        <v>8</v>
      </c>
      <c r="C1413" t="s">
        <v>35</v>
      </c>
      <c r="D1413" t="s">
        <v>7</v>
      </c>
      <c r="E1413">
        <f t="shared" ca="1" si="22"/>
        <v>4.08</v>
      </c>
    </row>
    <row r="1414" spans="1:5" x14ac:dyDescent="0.25">
      <c r="A1414">
        <v>35</v>
      </c>
      <c r="B1414">
        <v>9</v>
      </c>
      <c r="C1414" t="s">
        <v>35</v>
      </c>
      <c r="D1414" t="s">
        <v>148</v>
      </c>
      <c r="E1414">
        <f t="shared" ca="1" si="22"/>
        <v>2.4300000000000002</v>
      </c>
    </row>
    <row r="1415" spans="1:5" x14ac:dyDescent="0.25">
      <c r="A1415">
        <v>35</v>
      </c>
      <c r="B1415">
        <v>10</v>
      </c>
      <c r="C1415" t="s">
        <v>35</v>
      </c>
      <c r="D1415" t="s">
        <v>9</v>
      </c>
      <c r="E1415">
        <f t="shared" ca="1" si="22"/>
        <v>6.25</v>
      </c>
    </row>
    <row r="1416" spans="1:5" x14ac:dyDescent="0.25">
      <c r="A1416">
        <v>35</v>
      </c>
      <c r="B1416">
        <v>11</v>
      </c>
      <c r="C1416" t="s">
        <v>35</v>
      </c>
      <c r="D1416" t="s">
        <v>10</v>
      </c>
      <c r="E1416">
        <f t="shared" ca="1" si="22"/>
        <v>18.93</v>
      </c>
    </row>
    <row r="1417" spans="1:5" x14ac:dyDescent="0.25">
      <c r="A1417">
        <v>35</v>
      </c>
      <c r="B1417">
        <v>12</v>
      </c>
      <c r="C1417" t="s">
        <v>35</v>
      </c>
      <c r="D1417" t="s">
        <v>11</v>
      </c>
      <c r="E1417">
        <f t="shared" ca="1" si="22"/>
        <v>16.510000000000002</v>
      </c>
    </row>
    <row r="1418" spans="1:5" x14ac:dyDescent="0.25">
      <c r="A1418">
        <v>35</v>
      </c>
      <c r="B1418">
        <v>13</v>
      </c>
      <c r="C1418" t="s">
        <v>35</v>
      </c>
      <c r="D1418" t="s">
        <v>12</v>
      </c>
      <c r="E1418">
        <f t="shared" ca="1" si="22"/>
        <v>15.28</v>
      </c>
    </row>
    <row r="1419" spans="1:5" x14ac:dyDescent="0.25">
      <c r="A1419">
        <v>35</v>
      </c>
      <c r="B1419">
        <v>14</v>
      </c>
      <c r="C1419" t="s">
        <v>35</v>
      </c>
      <c r="D1419" t="s">
        <v>13</v>
      </c>
      <c r="E1419">
        <f t="shared" ca="1" si="22"/>
        <v>13.52</v>
      </c>
    </row>
    <row r="1420" spans="1:5" x14ac:dyDescent="0.25">
      <c r="A1420">
        <v>35</v>
      </c>
      <c r="B1420">
        <v>15</v>
      </c>
      <c r="C1420" t="s">
        <v>35</v>
      </c>
      <c r="D1420" t="s">
        <v>14</v>
      </c>
      <c r="E1420">
        <f t="shared" ca="1" si="22"/>
        <v>14.93</v>
      </c>
    </row>
    <row r="1421" spans="1:5" x14ac:dyDescent="0.25">
      <c r="A1421">
        <v>35</v>
      </c>
      <c r="B1421">
        <v>16</v>
      </c>
      <c r="C1421" t="s">
        <v>35</v>
      </c>
      <c r="D1421" t="s">
        <v>15</v>
      </c>
      <c r="E1421">
        <f t="shared" ca="1" si="22"/>
        <v>18.2</v>
      </c>
    </row>
    <row r="1422" spans="1:5" x14ac:dyDescent="0.25">
      <c r="A1422">
        <v>35</v>
      </c>
      <c r="B1422">
        <v>17</v>
      </c>
      <c r="C1422" t="s">
        <v>35</v>
      </c>
      <c r="D1422" t="s">
        <v>16</v>
      </c>
      <c r="E1422">
        <f t="shared" ca="1" si="22"/>
        <v>20.83</v>
      </c>
    </row>
    <row r="1423" spans="1:5" x14ac:dyDescent="0.25">
      <c r="A1423">
        <v>35</v>
      </c>
      <c r="B1423">
        <v>18</v>
      </c>
      <c r="C1423" t="s">
        <v>35</v>
      </c>
      <c r="D1423" t="s">
        <v>17</v>
      </c>
      <c r="E1423">
        <f t="shared" ca="1" si="22"/>
        <v>19.63</v>
      </c>
    </row>
    <row r="1424" spans="1:5" x14ac:dyDescent="0.25">
      <c r="A1424">
        <v>35</v>
      </c>
      <c r="B1424">
        <v>19</v>
      </c>
      <c r="C1424" t="s">
        <v>35</v>
      </c>
      <c r="D1424" t="s">
        <v>18</v>
      </c>
      <c r="E1424">
        <f t="shared" ca="1" si="22"/>
        <v>6.66</v>
      </c>
    </row>
    <row r="1425" spans="1:5" x14ac:dyDescent="0.25">
      <c r="A1425">
        <v>35</v>
      </c>
      <c r="B1425">
        <v>20</v>
      </c>
      <c r="C1425" t="s">
        <v>35</v>
      </c>
      <c r="D1425" t="s">
        <v>19</v>
      </c>
      <c r="E1425">
        <f t="shared" ca="1" si="22"/>
        <v>5.28</v>
      </c>
    </row>
    <row r="1426" spans="1:5" x14ac:dyDescent="0.25">
      <c r="A1426">
        <v>35</v>
      </c>
      <c r="B1426">
        <v>21</v>
      </c>
      <c r="C1426" t="s">
        <v>35</v>
      </c>
      <c r="D1426" t="s">
        <v>20</v>
      </c>
      <c r="E1426">
        <f t="shared" ca="1" si="22"/>
        <v>3.23</v>
      </c>
    </row>
    <row r="1427" spans="1:5" x14ac:dyDescent="0.25">
      <c r="A1427">
        <v>35</v>
      </c>
      <c r="B1427">
        <v>22</v>
      </c>
      <c r="C1427" t="s">
        <v>35</v>
      </c>
      <c r="D1427" t="s">
        <v>21</v>
      </c>
      <c r="E1427">
        <f t="shared" ca="1" si="22"/>
        <v>7.25</v>
      </c>
    </row>
    <row r="1428" spans="1:5" x14ac:dyDescent="0.25">
      <c r="A1428">
        <v>35</v>
      </c>
      <c r="B1428">
        <v>23</v>
      </c>
      <c r="C1428" t="s">
        <v>35</v>
      </c>
      <c r="D1428" t="s">
        <v>22</v>
      </c>
      <c r="E1428">
        <f t="shared" ca="1" si="22"/>
        <v>7.4</v>
      </c>
    </row>
    <row r="1429" spans="1:5" x14ac:dyDescent="0.25">
      <c r="A1429">
        <v>35</v>
      </c>
      <c r="B1429">
        <v>24</v>
      </c>
      <c r="C1429" t="s">
        <v>35</v>
      </c>
      <c r="D1429" t="s">
        <v>23</v>
      </c>
      <c r="E1429">
        <f t="shared" ca="1" si="22"/>
        <v>11.1</v>
      </c>
    </row>
    <row r="1430" spans="1:5" x14ac:dyDescent="0.25">
      <c r="A1430">
        <v>35</v>
      </c>
      <c r="B1430">
        <v>25</v>
      </c>
      <c r="C1430" t="s">
        <v>35</v>
      </c>
      <c r="D1430" t="s">
        <v>24</v>
      </c>
      <c r="E1430">
        <f t="shared" ca="1" si="22"/>
        <v>9.5500000000000007</v>
      </c>
    </row>
    <row r="1431" spans="1:5" x14ac:dyDescent="0.25">
      <c r="A1431">
        <v>35</v>
      </c>
      <c r="B1431">
        <v>26</v>
      </c>
      <c r="C1431" t="s">
        <v>35</v>
      </c>
      <c r="D1431" t="s">
        <v>25</v>
      </c>
      <c r="E1431">
        <f t="shared" ca="1" si="22"/>
        <v>11.68</v>
      </c>
    </row>
    <row r="1432" spans="1:5" x14ac:dyDescent="0.25">
      <c r="A1432">
        <v>35</v>
      </c>
      <c r="B1432">
        <v>27</v>
      </c>
      <c r="C1432" t="s">
        <v>35</v>
      </c>
      <c r="D1432" t="s">
        <v>145</v>
      </c>
      <c r="E1432">
        <f t="shared" ca="1" si="22"/>
        <v>4.82</v>
      </c>
    </row>
    <row r="1433" spans="1:5" x14ac:dyDescent="0.25">
      <c r="A1433">
        <v>35</v>
      </c>
      <c r="B1433">
        <v>28</v>
      </c>
      <c r="C1433" t="s">
        <v>35</v>
      </c>
      <c r="D1433" t="s">
        <v>147</v>
      </c>
      <c r="E1433">
        <f t="shared" ca="1" si="22"/>
        <v>6.92</v>
      </c>
    </row>
    <row r="1434" spans="1:5" x14ac:dyDescent="0.25">
      <c r="A1434">
        <v>35</v>
      </c>
      <c r="B1434">
        <v>29</v>
      </c>
      <c r="C1434" t="s">
        <v>35</v>
      </c>
      <c r="D1434" t="s">
        <v>146</v>
      </c>
      <c r="E1434">
        <f t="shared" ca="1" si="22"/>
        <v>9.82</v>
      </c>
    </row>
    <row r="1435" spans="1:5" x14ac:dyDescent="0.25">
      <c r="A1435">
        <v>35</v>
      </c>
      <c r="B1435">
        <v>30</v>
      </c>
      <c r="C1435" t="s">
        <v>35</v>
      </c>
      <c r="D1435" t="s">
        <v>30</v>
      </c>
      <c r="E1435">
        <f t="shared" ca="1" si="22"/>
        <v>3.08</v>
      </c>
    </row>
    <row r="1436" spans="1:5" x14ac:dyDescent="0.25">
      <c r="A1436">
        <v>35</v>
      </c>
      <c r="B1436">
        <v>31</v>
      </c>
      <c r="C1436" t="s">
        <v>35</v>
      </c>
      <c r="D1436" t="s">
        <v>31</v>
      </c>
      <c r="E1436">
        <f t="shared" ca="1" si="22"/>
        <v>2.63</v>
      </c>
    </row>
    <row r="1437" spans="1:5" x14ac:dyDescent="0.25">
      <c r="A1437">
        <v>35</v>
      </c>
      <c r="B1437">
        <v>32</v>
      </c>
      <c r="C1437" t="s">
        <v>35</v>
      </c>
      <c r="D1437" t="s">
        <v>32</v>
      </c>
      <c r="E1437">
        <f t="shared" ca="1" si="22"/>
        <v>1.73</v>
      </c>
    </row>
    <row r="1438" spans="1:5" x14ac:dyDescent="0.25">
      <c r="A1438">
        <v>35</v>
      </c>
      <c r="B1438">
        <v>33</v>
      </c>
      <c r="C1438" t="s">
        <v>35</v>
      </c>
      <c r="D1438" t="s">
        <v>33</v>
      </c>
      <c r="E1438">
        <f t="shared" ca="1" si="22"/>
        <v>1.4</v>
      </c>
    </row>
    <row r="1439" spans="1:5" x14ac:dyDescent="0.25">
      <c r="A1439">
        <v>35</v>
      </c>
      <c r="B1439">
        <v>34</v>
      </c>
      <c r="C1439" t="s">
        <v>35</v>
      </c>
      <c r="D1439" t="s">
        <v>34</v>
      </c>
      <c r="E1439">
        <f t="shared" ca="1" si="22"/>
        <v>0.7</v>
      </c>
    </row>
    <row r="1440" spans="1:5" x14ac:dyDescent="0.25">
      <c r="A1440">
        <v>35</v>
      </c>
      <c r="B1440">
        <v>35</v>
      </c>
      <c r="C1440" t="s">
        <v>35</v>
      </c>
      <c r="D1440" t="s">
        <v>35</v>
      </c>
      <c r="E1440">
        <f t="shared" ca="1" si="22"/>
        <v>0</v>
      </c>
    </row>
    <row r="1441" spans="1:5" x14ac:dyDescent="0.25">
      <c r="A1441">
        <v>35</v>
      </c>
      <c r="B1441">
        <v>36</v>
      </c>
      <c r="C1441" t="s">
        <v>35</v>
      </c>
      <c r="D1441" t="s">
        <v>36</v>
      </c>
      <c r="E1441">
        <f t="shared" ca="1" si="22"/>
        <v>18.82</v>
      </c>
    </row>
    <row r="1442" spans="1:5" x14ac:dyDescent="0.25">
      <c r="A1442">
        <v>35</v>
      </c>
      <c r="B1442">
        <v>37</v>
      </c>
      <c r="C1442" t="s">
        <v>35</v>
      </c>
      <c r="D1442" t="s">
        <v>37</v>
      </c>
      <c r="E1442">
        <f t="shared" ca="1" si="22"/>
        <v>23.56</v>
      </c>
    </row>
    <row r="1443" spans="1:5" x14ac:dyDescent="0.25">
      <c r="A1443">
        <v>35</v>
      </c>
      <c r="B1443">
        <v>38</v>
      </c>
      <c r="C1443" t="s">
        <v>35</v>
      </c>
      <c r="D1443" t="s">
        <v>38</v>
      </c>
      <c r="E1443">
        <f t="shared" ref="E1443:E1505" ca="1" si="23">OFFSET($B$3,A1443,B1443)</f>
        <v>19.53</v>
      </c>
    </row>
    <row r="1444" spans="1:5" x14ac:dyDescent="0.25">
      <c r="A1444">
        <v>35</v>
      </c>
      <c r="B1444">
        <v>39</v>
      </c>
      <c r="C1444" t="s">
        <v>35</v>
      </c>
      <c r="D1444" t="s">
        <v>39</v>
      </c>
      <c r="E1444">
        <f t="shared" ca="1" si="23"/>
        <v>21.76</v>
      </c>
    </row>
    <row r="1445" spans="1:5" x14ac:dyDescent="0.25">
      <c r="A1445">
        <v>35</v>
      </c>
      <c r="B1445">
        <v>40</v>
      </c>
      <c r="C1445" t="s">
        <v>35</v>
      </c>
      <c r="D1445" t="s">
        <v>40</v>
      </c>
      <c r="E1445">
        <f t="shared" ca="1" si="23"/>
        <v>21.92</v>
      </c>
    </row>
    <row r="1446" spans="1:5" x14ac:dyDescent="0.25">
      <c r="A1446">
        <v>36</v>
      </c>
      <c r="B1446">
        <v>1</v>
      </c>
      <c r="C1446" t="s">
        <v>36</v>
      </c>
      <c r="D1446" t="s">
        <v>0</v>
      </c>
      <c r="E1446">
        <f t="shared" ca="1" si="23"/>
        <v>18.78</v>
      </c>
    </row>
    <row r="1447" spans="1:5" x14ac:dyDescent="0.25">
      <c r="A1447">
        <v>36</v>
      </c>
      <c r="B1447">
        <v>2</v>
      </c>
      <c r="C1447" t="s">
        <v>36</v>
      </c>
      <c r="D1447" t="s">
        <v>1</v>
      </c>
      <c r="E1447">
        <f t="shared" ca="1" si="23"/>
        <v>17.260000000000002</v>
      </c>
    </row>
    <row r="1448" spans="1:5" x14ac:dyDescent="0.25">
      <c r="A1448">
        <v>36</v>
      </c>
      <c r="B1448">
        <v>3</v>
      </c>
      <c r="C1448" t="s">
        <v>36</v>
      </c>
      <c r="D1448" t="s">
        <v>2</v>
      </c>
      <c r="E1448">
        <f t="shared" ca="1" si="23"/>
        <v>17.11</v>
      </c>
    </row>
    <row r="1449" spans="1:5" x14ac:dyDescent="0.25">
      <c r="A1449">
        <v>36</v>
      </c>
      <c r="B1449">
        <v>4</v>
      </c>
      <c r="C1449" t="s">
        <v>36</v>
      </c>
      <c r="D1449" t="s">
        <v>3</v>
      </c>
      <c r="E1449">
        <f t="shared" ca="1" si="23"/>
        <v>23.22</v>
      </c>
    </row>
    <row r="1450" spans="1:5" x14ac:dyDescent="0.25">
      <c r="A1450">
        <v>36</v>
      </c>
      <c r="B1450">
        <v>5</v>
      </c>
      <c r="C1450" t="s">
        <v>36</v>
      </c>
      <c r="D1450" t="s">
        <v>4</v>
      </c>
      <c r="E1450">
        <f t="shared" ca="1" si="23"/>
        <v>25</v>
      </c>
    </row>
    <row r="1451" spans="1:5" x14ac:dyDescent="0.25">
      <c r="A1451">
        <v>36</v>
      </c>
      <c r="B1451">
        <v>6</v>
      </c>
      <c r="C1451" t="s">
        <v>36</v>
      </c>
      <c r="D1451" t="s">
        <v>5</v>
      </c>
      <c r="E1451">
        <f t="shared" ca="1" si="23"/>
        <v>25</v>
      </c>
    </row>
    <row r="1452" spans="1:5" x14ac:dyDescent="0.25">
      <c r="A1452">
        <v>36</v>
      </c>
      <c r="B1452">
        <v>7</v>
      </c>
      <c r="C1452" t="s">
        <v>36</v>
      </c>
      <c r="D1452" t="s">
        <v>6</v>
      </c>
      <c r="E1452">
        <f t="shared" ca="1" si="23"/>
        <v>22.98</v>
      </c>
    </row>
    <row r="1453" spans="1:5" x14ac:dyDescent="0.25">
      <c r="A1453">
        <v>36</v>
      </c>
      <c r="B1453">
        <v>8</v>
      </c>
      <c r="C1453" t="s">
        <v>36</v>
      </c>
      <c r="D1453" t="s">
        <v>7</v>
      </c>
      <c r="E1453">
        <f t="shared" ca="1" si="23"/>
        <v>23.31</v>
      </c>
    </row>
    <row r="1454" spans="1:5" x14ac:dyDescent="0.25">
      <c r="A1454">
        <v>36</v>
      </c>
      <c r="B1454">
        <v>9</v>
      </c>
      <c r="C1454" t="s">
        <v>36</v>
      </c>
      <c r="D1454" t="s">
        <v>148</v>
      </c>
      <c r="E1454">
        <f t="shared" ca="1" si="23"/>
        <v>19.899999999999999</v>
      </c>
    </row>
    <row r="1455" spans="1:5" x14ac:dyDescent="0.25">
      <c r="A1455">
        <v>36</v>
      </c>
      <c r="B1455">
        <v>10</v>
      </c>
      <c r="C1455" t="s">
        <v>36</v>
      </c>
      <c r="D1455" t="s">
        <v>9</v>
      </c>
      <c r="E1455">
        <f t="shared" ca="1" si="23"/>
        <v>23.86</v>
      </c>
    </row>
    <row r="1456" spans="1:5" x14ac:dyDescent="0.25">
      <c r="A1456">
        <v>36</v>
      </c>
      <c r="B1456">
        <v>11</v>
      </c>
      <c r="C1456" t="s">
        <v>36</v>
      </c>
      <c r="D1456" t="s">
        <v>10</v>
      </c>
      <c r="E1456">
        <f t="shared" ca="1" si="23"/>
        <v>2.4300000000000002</v>
      </c>
    </row>
    <row r="1457" spans="1:5" x14ac:dyDescent="0.25">
      <c r="A1457">
        <v>36</v>
      </c>
      <c r="B1457">
        <v>12</v>
      </c>
      <c r="C1457" t="s">
        <v>36</v>
      </c>
      <c r="D1457" t="s">
        <v>11</v>
      </c>
      <c r="E1457">
        <f t="shared" ca="1" si="23"/>
        <v>4.26</v>
      </c>
    </row>
    <row r="1458" spans="1:5" x14ac:dyDescent="0.25">
      <c r="A1458">
        <v>36</v>
      </c>
      <c r="B1458">
        <v>13</v>
      </c>
      <c r="C1458" t="s">
        <v>36</v>
      </c>
      <c r="D1458" t="s">
        <v>12</v>
      </c>
      <c r="E1458">
        <f t="shared" ca="1" si="23"/>
        <v>5.0999999999999996</v>
      </c>
    </row>
    <row r="1459" spans="1:5" x14ac:dyDescent="0.25">
      <c r="A1459">
        <v>36</v>
      </c>
      <c r="B1459">
        <v>14</v>
      </c>
      <c r="C1459" t="s">
        <v>36</v>
      </c>
      <c r="D1459" t="s">
        <v>13</v>
      </c>
      <c r="E1459">
        <f t="shared" ca="1" si="23"/>
        <v>5.58</v>
      </c>
    </row>
    <row r="1460" spans="1:5" x14ac:dyDescent="0.25">
      <c r="A1460">
        <v>36</v>
      </c>
      <c r="B1460">
        <v>15</v>
      </c>
      <c r="C1460" t="s">
        <v>36</v>
      </c>
      <c r="D1460" t="s">
        <v>14</v>
      </c>
      <c r="E1460">
        <f t="shared" ca="1" si="23"/>
        <v>9.5299999999999994</v>
      </c>
    </row>
    <row r="1461" spans="1:5" x14ac:dyDescent="0.25">
      <c r="A1461">
        <v>36</v>
      </c>
      <c r="B1461">
        <v>16</v>
      </c>
      <c r="C1461" t="s">
        <v>36</v>
      </c>
      <c r="D1461" t="s">
        <v>15</v>
      </c>
      <c r="E1461">
        <f t="shared" ca="1" si="23"/>
        <v>8.08</v>
      </c>
    </row>
    <row r="1462" spans="1:5" x14ac:dyDescent="0.25">
      <c r="A1462">
        <v>36</v>
      </c>
      <c r="B1462">
        <v>17</v>
      </c>
      <c r="C1462" t="s">
        <v>36</v>
      </c>
      <c r="D1462" t="s">
        <v>16</v>
      </c>
      <c r="E1462">
        <f t="shared" ca="1" si="23"/>
        <v>8.0500000000000007</v>
      </c>
    </row>
    <row r="1463" spans="1:5" x14ac:dyDescent="0.25">
      <c r="A1463">
        <v>36</v>
      </c>
      <c r="B1463">
        <v>18</v>
      </c>
      <c r="C1463" t="s">
        <v>36</v>
      </c>
      <c r="D1463" t="s">
        <v>17</v>
      </c>
      <c r="E1463">
        <f t="shared" ca="1" si="23"/>
        <v>8.15</v>
      </c>
    </row>
    <row r="1464" spans="1:5" x14ac:dyDescent="0.25">
      <c r="A1464">
        <v>36</v>
      </c>
      <c r="B1464">
        <v>19</v>
      </c>
      <c r="C1464" t="s">
        <v>36</v>
      </c>
      <c r="D1464" t="s">
        <v>18</v>
      </c>
      <c r="E1464">
        <f t="shared" ca="1" si="23"/>
        <v>14.21</v>
      </c>
    </row>
    <row r="1465" spans="1:5" x14ac:dyDescent="0.25">
      <c r="A1465">
        <v>36</v>
      </c>
      <c r="B1465">
        <v>20</v>
      </c>
      <c r="C1465" t="s">
        <v>36</v>
      </c>
      <c r="D1465" t="s">
        <v>19</v>
      </c>
      <c r="E1465">
        <f t="shared" ca="1" si="23"/>
        <v>14.98</v>
      </c>
    </row>
    <row r="1466" spans="1:5" x14ac:dyDescent="0.25">
      <c r="A1466">
        <v>36</v>
      </c>
      <c r="B1466">
        <v>21</v>
      </c>
      <c r="C1466" t="s">
        <v>36</v>
      </c>
      <c r="D1466" t="s">
        <v>20</v>
      </c>
      <c r="E1466">
        <f t="shared" ca="1" si="23"/>
        <v>16.850000000000001</v>
      </c>
    </row>
    <row r="1467" spans="1:5" x14ac:dyDescent="0.25">
      <c r="A1467">
        <v>36</v>
      </c>
      <c r="B1467">
        <v>22</v>
      </c>
      <c r="C1467" t="s">
        <v>36</v>
      </c>
      <c r="D1467" t="s">
        <v>21</v>
      </c>
      <c r="E1467">
        <f t="shared" ca="1" si="23"/>
        <v>12.8</v>
      </c>
    </row>
    <row r="1468" spans="1:5" x14ac:dyDescent="0.25">
      <c r="A1468">
        <v>36</v>
      </c>
      <c r="B1468">
        <v>23</v>
      </c>
      <c r="C1468" t="s">
        <v>36</v>
      </c>
      <c r="D1468" t="s">
        <v>22</v>
      </c>
      <c r="E1468">
        <f t="shared" ca="1" si="23"/>
        <v>12.48</v>
      </c>
    </row>
    <row r="1469" spans="1:5" x14ac:dyDescent="0.25">
      <c r="A1469">
        <v>36</v>
      </c>
      <c r="B1469">
        <v>24</v>
      </c>
      <c r="C1469" t="s">
        <v>36</v>
      </c>
      <c r="D1469" t="s">
        <v>23</v>
      </c>
      <c r="E1469">
        <f t="shared" ca="1" si="23"/>
        <v>9</v>
      </c>
    </row>
    <row r="1470" spans="1:5" x14ac:dyDescent="0.25">
      <c r="A1470">
        <v>36</v>
      </c>
      <c r="B1470">
        <v>25</v>
      </c>
      <c r="C1470" t="s">
        <v>36</v>
      </c>
      <c r="D1470" t="s">
        <v>24</v>
      </c>
      <c r="E1470">
        <f t="shared" ca="1" si="23"/>
        <v>10.38</v>
      </c>
    </row>
    <row r="1471" spans="1:5" x14ac:dyDescent="0.25">
      <c r="A1471">
        <v>36</v>
      </c>
      <c r="B1471">
        <v>26</v>
      </c>
      <c r="C1471" t="s">
        <v>36</v>
      </c>
      <c r="D1471" t="s">
        <v>25</v>
      </c>
      <c r="E1471">
        <f t="shared" ca="1" si="23"/>
        <v>11.73</v>
      </c>
    </row>
    <row r="1472" spans="1:5" x14ac:dyDescent="0.25">
      <c r="A1472">
        <v>36</v>
      </c>
      <c r="B1472">
        <v>27</v>
      </c>
      <c r="C1472" t="s">
        <v>36</v>
      </c>
      <c r="D1472" t="s">
        <v>145</v>
      </c>
      <c r="E1472">
        <f t="shared" ca="1" si="23"/>
        <v>14.23</v>
      </c>
    </row>
    <row r="1473" spans="1:5" x14ac:dyDescent="0.25">
      <c r="A1473">
        <v>36</v>
      </c>
      <c r="B1473">
        <v>28</v>
      </c>
      <c r="C1473" t="s">
        <v>36</v>
      </c>
      <c r="D1473" t="s">
        <v>147</v>
      </c>
      <c r="E1473">
        <f t="shared" ca="1" si="23"/>
        <v>13.72</v>
      </c>
    </row>
    <row r="1474" spans="1:5" x14ac:dyDescent="0.25">
      <c r="A1474">
        <v>36</v>
      </c>
      <c r="B1474">
        <v>29</v>
      </c>
      <c r="C1474" t="s">
        <v>36</v>
      </c>
      <c r="D1474" t="s">
        <v>146</v>
      </c>
      <c r="E1474">
        <f t="shared" ca="1" si="23"/>
        <v>9.33</v>
      </c>
    </row>
    <row r="1475" spans="1:5" x14ac:dyDescent="0.25">
      <c r="A1475">
        <v>36</v>
      </c>
      <c r="B1475">
        <v>30</v>
      </c>
      <c r="C1475" t="s">
        <v>36</v>
      </c>
      <c r="D1475" t="s">
        <v>30</v>
      </c>
      <c r="E1475">
        <f t="shared" ca="1" si="23"/>
        <v>21.93</v>
      </c>
    </row>
    <row r="1476" spans="1:5" x14ac:dyDescent="0.25">
      <c r="A1476">
        <v>36</v>
      </c>
      <c r="B1476">
        <v>31</v>
      </c>
      <c r="C1476" t="s">
        <v>36</v>
      </c>
      <c r="D1476" t="s">
        <v>31</v>
      </c>
      <c r="E1476">
        <f t="shared" ca="1" si="23"/>
        <v>21.46</v>
      </c>
    </row>
    <row r="1477" spans="1:5" x14ac:dyDescent="0.25">
      <c r="A1477">
        <v>36</v>
      </c>
      <c r="B1477">
        <v>32</v>
      </c>
      <c r="C1477" t="s">
        <v>36</v>
      </c>
      <c r="D1477" t="s">
        <v>32</v>
      </c>
      <c r="E1477">
        <f t="shared" ca="1" si="23"/>
        <v>20.23</v>
      </c>
    </row>
    <row r="1478" spans="1:5" x14ac:dyDescent="0.25">
      <c r="A1478">
        <v>36</v>
      </c>
      <c r="B1478">
        <v>33</v>
      </c>
      <c r="C1478" t="s">
        <v>36</v>
      </c>
      <c r="D1478" t="s">
        <v>33</v>
      </c>
      <c r="E1478">
        <f t="shared" ca="1" si="23"/>
        <v>19.399999999999999</v>
      </c>
    </row>
    <row r="1479" spans="1:5" x14ac:dyDescent="0.25">
      <c r="A1479">
        <v>36</v>
      </c>
      <c r="B1479">
        <v>34</v>
      </c>
      <c r="C1479" t="s">
        <v>36</v>
      </c>
      <c r="D1479" t="s">
        <v>34</v>
      </c>
      <c r="E1479">
        <f t="shared" ca="1" si="23"/>
        <v>19.53</v>
      </c>
    </row>
    <row r="1480" spans="1:5" x14ac:dyDescent="0.25">
      <c r="A1480">
        <v>36</v>
      </c>
      <c r="B1480">
        <v>35</v>
      </c>
      <c r="C1480" t="s">
        <v>36</v>
      </c>
      <c r="D1480" t="s">
        <v>35</v>
      </c>
      <c r="E1480">
        <f t="shared" ca="1" si="23"/>
        <v>18.82</v>
      </c>
    </row>
    <row r="1481" spans="1:5" x14ac:dyDescent="0.25">
      <c r="A1481">
        <v>36</v>
      </c>
      <c r="B1481">
        <v>36</v>
      </c>
      <c r="C1481" t="s">
        <v>36</v>
      </c>
      <c r="D1481" t="s">
        <v>36</v>
      </c>
      <c r="E1481">
        <f t="shared" ca="1" si="23"/>
        <v>0</v>
      </c>
    </row>
    <row r="1482" spans="1:5" x14ac:dyDescent="0.25">
      <c r="A1482">
        <v>36</v>
      </c>
      <c r="B1482">
        <v>37</v>
      </c>
      <c r="C1482" t="s">
        <v>36</v>
      </c>
      <c r="D1482" t="s">
        <v>37</v>
      </c>
      <c r="E1482">
        <f t="shared" ca="1" si="23"/>
        <v>6.13</v>
      </c>
    </row>
    <row r="1483" spans="1:5" x14ac:dyDescent="0.25">
      <c r="A1483">
        <v>36</v>
      </c>
      <c r="B1483">
        <v>38</v>
      </c>
      <c r="C1483" t="s">
        <v>36</v>
      </c>
      <c r="D1483" t="s">
        <v>38</v>
      </c>
      <c r="E1483">
        <f t="shared" ca="1" si="23"/>
        <v>1.5</v>
      </c>
    </row>
    <row r="1484" spans="1:5" x14ac:dyDescent="0.25">
      <c r="A1484">
        <v>36</v>
      </c>
      <c r="B1484">
        <v>39</v>
      </c>
      <c r="C1484" t="s">
        <v>36</v>
      </c>
      <c r="D1484" t="s">
        <v>39</v>
      </c>
      <c r="E1484">
        <f t="shared" ca="1" si="23"/>
        <v>4.16</v>
      </c>
    </row>
    <row r="1485" spans="1:5" x14ac:dyDescent="0.25">
      <c r="A1485">
        <v>36</v>
      </c>
      <c r="B1485">
        <v>40</v>
      </c>
      <c r="C1485" t="s">
        <v>36</v>
      </c>
      <c r="D1485" t="s">
        <v>40</v>
      </c>
      <c r="E1485">
        <f t="shared" ca="1" si="23"/>
        <v>5.45</v>
      </c>
    </row>
    <row r="1486" spans="1:5" x14ac:dyDescent="0.25">
      <c r="A1486">
        <v>37</v>
      </c>
      <c r="B1486">
        <v>1</v>
      </c>
      <c r="C1486" t="s">
        <v>37</v>
      </c>
      <c r="D1486" t="s">
        <v>0</v>
      </c>
      <c r="E1486">
        <f t="shared" ca="1" si="23"/>
        <v>23.48</v>
      </c>
    </row>
    <row r="1487" spans="1:5" x14ac:dyDescent="0.25">
      <c r="A1487">
        <v>37</v>
      </c>
      <c r="B1487">
        <v>2</v>
      </c>
      <c r="C1487" t="s">
        <v>37</v>
      </c>
      <c r="D1487" t="s">
        <v>1</v>
      </c>
      <c r="E1487">
        <f t="shared" ca="1" si="23"/>
        <v>21.13</v>
      </c>
    </row>
    <row r="1488" spans="1:5" x14ac:dyDescent="0.25">
      <c r="A1488">
        <v>37</v>
      </c>
      <c r="B1488">
        <v>3</v>
      </c>
      <c r="C1488" t="s">
        <v>37</v>
      </c>
      <c r="D1488" t="s">
        <v>2</v>
      </c>
      <c r="E1488">
        <f t="shared" ca="1" si="23"/>
        <v>21.03</v>
      </c>
    </row>
    <row r="1489" spans="1:5" x14ac:dyDescent="0.25">
      <c r="A1489">
        <v>37</v>
      </c>
      <c r="B1489">
        <v>4</v>
      </c>
      <c r="C1489" t="s">
        <v>37</v>
      </c>
      <c r="D1489" t="s">
        <v>3</v>
      </c>
      <c r="E1489">
        <f t="shared" ca="1" si="23"/>
        <v>26</v>
      </c>
    </row>
    <row r="1490" spans="1:5" x14ac:dyDescent="0.25">
      <c r="A1490">
        <v>37</v>
      </c>
      <c r="B1490">
        <v>5</v>
      </c>
      <c r="C1490" t="s">
        <v>37</v>
      </c>
      <c r="D1490" t="s">
        <v>4</v>
      </c>
      <c r="E1490">
        <f t="shared" ca="1" si="23"/>
        <v>27</v>
      </c>
    </row>
    <row r="1491" spans="1:5" x14ac:dyDescent="0.25">
      <c r="A1491">
        <v>37</v>
      </c>
      <c r="B1491">
        <v>6</v>
      </c>
      <c r="C1491" t="s">
        <v>37</v>
      </c>
      <c r="D1491" t="s">
        <v>5</v>
      </c>
      <c r="E1491">
        <f t="shared" ca="1" si="23"/>
        <v>29</v>
      </c>
    </row>
    <row r="1492" spans="1:5" x14ac:dyDescent="0.25">
      <c r="A1492">
        <v>37</v>
      </c>
      <c r="B1492">
        <v>7</v>
      </c>
      <c r="C1492" t="s">
        <v>37</v>
      </c>
      <c r="D1492" t="s">
        <v>6</v>
      </c>
      <c r="E1492">
        <f t="shared" ca="1" si="23"/>
        <v>27</v>
      </c>
    </row>
    <row r="1493" spans="1:5" x14ac:dyDescent="0.25">
      <c r="A1493">
        <v>37</v>
      </c>
      <c r="B1493">
        <v>8</v>
      </c>
      <c r="C1493" t="s">
        <v>37</v>
      </c>
      <c r="D1493" t="s">
        <v>7</v>
      </c>
      <c r="E1493">
        <f t="shared" ca="1" si="23"/>
        <v>26</v>
      </c>
    </row>
    <row r="1494" spans="1:5" x14ac:dyDescent="0.25">
      <c r="A1494">
        <v>37</v>
      </c>
      <c r="B1494">
        <v>9</v>
      </c>
      <c r="C1494" t="s">
        <v>37</v>
      </c>
      <c r="D1494" t="s">
        <v>148</v>
      </c>
      <c r="E1494">
        <f t="shared" ca="1" si="23"/>
        <v>24</v>
      </c>
    </row>
    <row r="1495" spans="1:5" x14ac:dyDescent="0.25">
      <c r="A1495">
        <v>37</v>
      </c>
      <c r="B1495">
        <v>10</v>
      </c>
      <c r="C1495" t="s">
        <v>37</v>
      </c>
      <c r="D1495" t="s">
        <v>9</v>
      </c>
      <c r="E1495">
        <f t="shared" ca="1" si="23"/>
        <v>28</v>
      </c>
    </row>
    <row r="1496" spans="1:5" x14ac:dyDescent="0.25">
      <c r="A1496">
        <v>37</v>
      </c>
      <c r="B1496">
        <v>11</v>
      </c>
      <c r="C1496" t="s">
        <v>37</v>
      </c>
      <c r="D1496" t="s">
        <v>10</v>
      </c>
      <c r="E1496">
        <f t="shared" ca="1" si="23"/>
        <v>7.72</v>
      </c>
    </row>
    <row r="1497" spans="1:5" x14ac:dyDescent="0.25">
      <c r="A1497">
        <v>37</v>
      </c>
      <c r="B1497">
        <v>12</v>
      </c>
      <c r="C1497" t="s">
        <v>37</v>
      </c>
      <c r="D1497" t="s">
        <v>11</v>
      </c>
      <c r="E1497">
        <f t="shared" ca="1" si="23"/>
        <v>9.2799999999999994</v>
      </c>
    </row>
    <row r="1498" spans="1:5" x14ac:dyDescent="0.25">
      <c r="A1498">
        <v>37</v>
      </c>
      <c r="B1498">
        <v>13</v>
      </c>
      <c r="C1498" t="s">
        <v>37</v>
      </c>
      <c r="D1498" t="s">
        <v>12</v>
      </c>
      <c r="E1498">
        <f t="shared" ca="1" si="23"/>
        <v>9.5</v>
      </c>
    </row>
    <row r="1499" spans="1:5" x14ac:dyDescent="0.25">
      <c r="A1499">
        <v>37</v>
      </c>
      <c r="B1499">
        <v>14</v>
      </c>
      <c r="C1499" t="s">
        <v>37</v>
      </c>
      <c r="D1499" t="s">
        <v>13</v>
      </c>
      <c r="E1499">
        <f t="shared" ca="1" si="23"/>
        <v>9.85</v>
      </c>
    </row>
    <row r="1500" spans="1:5" x14ac:dyDescent="0.25">
      <c r="A1500">
        <v>37</v>
      </c>
      <c r="B1500">
        <v>15</v>
      </c>
      <c r="C1500" t="s">
        <v>37</v>
      </c>
      <c r="D1500" t="s">
        <v>14</v>
      </c>
      <c r="E1500">
        <f t="shared" ca="1" si="23"/>
        <v>12.08</v>
      </c>
    </row>
    <row r="1501" spans="1:5" x14ac:dyDescent="0.25">
      <c r="A1501">
        <v>37</v>
      </c>
      <c r="B1501">
        <v>16</v>
      </c>
      <c r="C1501" t="s">
        <v>37</v>
      </c>
      <c r="D1501" t="s">
        <v>15</v>
      </c>
      <c r="E1501">
        <f t="shared" ca="1" si="23"/>
        <v>8.58</v>
      </c>
    </row>
    <row r="1502" spans="1:5" x14ac:dyDescent="0.25">
      <c r="A1502">
        <v>37</v>
      </c>
      <c r="B1502">
        <v>17</v>
      </c>
      <c r="C1502" t="s">
        <v>37</v>
      </c>
      <c r="D1502" t="s">
        <v>16</v>
      </c>
      <c r="E1502">
        <f t="shared" ca="1" si="23"/>
        <v>3.53</v>
      </c>
    </row>
    <row r="1503" spans="1:5" x14ac:dyDescent="0.25">
      <c r="A1503">
        <v>37</v>
      </c>
      <c r="B1503">
        <v>18</v>
      </c>
      <c r="C1503" t="s">
        <v>37</v>
      </c>
      <c r="D1503" t="s">
        <v>17</v>
      </c>
      <c r="E1503">
        <f t="shared" ca="1" si="23"/>
        <v>7.32</v>
      </c>
    </row>
    <row r="1504" spans="1:5" x14ac:dyDescent="0.25">
      <c r="A1504">
        <v>37</v>
      </c>
      <c r="B1504">
        <v>19</v>
      </c>
      <c r="C1504" t="s">
        <v>37</v>
      </c>
      <c r="D1504" t="s">
        <v>18</v>
      </c>
      <c r="E1504">
        <f t="shared" ca="1" si="23"/>
        <v>19.16</v>
      </c>
    </row>
    <row r="1505" spans="1:5" x14ac:dyDescent="0.25">
      <c r="A1505">
        <v>37</v>
      </c>
      <c r="B1505">
        <v>20</v>
      </c>
      <c r="C1505" t="s">
        <v>37</v>
      </c>
      <c r="D1505" t="s">
        <v>19</v>
      </c>
      <c r="E1505">
        <f t="shared" ca="1" si="23"/>
        <v>19.95</v>
      </c>
    </row>
    <row r="1506" spans="1:5" x14ac:dyDescent="0.25">
      <c r="A1506">
        <v>37</v>
      </c>
      <c r="B1506">
        <v>21</v>
      </c>
      <c r="C1506" t="s">
        <v>37</v>
      </c>
      <c r="D1506" t="s">
        <v>20</v>
      </c>
      <c r="E1506">
        <f t="shared" ref="E1506:E1567" ca="1" si="24">OFFSET($B$3,A1506,B1506)</f>
        <v>21.53</v>
      </c>
    </row>
    <row r="1507" spans="1:5" x14ac:dyDescent="0.25">
      <c r="A1507">
        <v>37</v>
      </c>
      <c r="B1507">
        <v>22</v>
      </c>
      <c r="C1507" t="s">
        <v>37</v>
      </c>
      <c r="D1507" t="s">
        <v>21</v>
      </c>
      <c r="E1507">
        <f t="shared" ca="1" si="24"/>
        <v>17.760000000000002</v>
      </c>
    </row>
    <row r="1508" spans="1:5" x14ac:dyDescent="0.25">
      <c r="A1508">
        <v>37</v>
      </c>
      <c r="B1508">
        <v>23</v>
      </c>
      <c r="C1508" t="s">
        <v>37</v>
      </c>
      <c r="D1508" t="s">
        <v>22</v>
      </c>
      <c r="E1508">
        <f t="shared" ca="1" si="24"/>
        <v>16.71</v>
      </c>
    </row>
    <row r="1509" spans="1:5" x14ac:dyDescent="0.25">
      <c r="A1509">
        <v>37</v>
      </c>
      <c r="B1509">
        <v>24</v>
      </c>
      <c r="C1509" t="s">
        <v>37</v>
      </c>
      <c r="D1509" t="s">
        <v>23</v>
      </c>
      <c r="E1509">
        <f t="shared" ca="1" si="24"/>
        <v>13.25</v>
      </c>
    </row>
    <row r="1510" spans="1:5" x14ac:dyDescent="0.25">
      <c r="A1510">
        <v>37</v>
      </c>
      <c r="B1510">
        <v>25</v>
      </c>
      <c r="C1510" t="s">
        <v>37</v>
      </c>
      <c r="D1510" t="s">
        <v>24</v>
      </c>
      <c r="E1510">
        <f t="shared" ca="1" si="24"/>
        <v>14.56</v>
      </c>
    </row>
    <row r="1511" spans="1:5" x14ac:dyDescent="0.25">
      <c r="A1511">
        <v>37</v>
      </c>
      <c r="B1511">
        <v>26</v>
      </c>
      <c r="C1511" t="s">
        <v>37</v>
      </c>
      <c r="D1511" t="s">
        <v>25</v>
      </c>
      <c r="E1511">
        <f t="shared" ca="1" si="24"/>
        <v>14.96</v>
      </c>
    </row>
    <row r="1512" spans="1:5" x14ac:dyDescent="0.25">
      <c r="A1512">
        <v>37</v>
      </c>
      <c r="B1512">
        <v>27</v>
      </c>
      <c r="C1512" t="s">
        <v>37</v>
      </c>
      <c r="D1512" t="s">
        <v>145</v>
      </c>
      <c r="E1512">
        <f t="shared" ca="1" si="24"/>
        <v>18.93</v>
      </c>
    </row>
    <row r="1513" spans="1:5" x14ac:dyDescent="0.25">
      <c r="A1513">
        <v>37</v>
      </c>
      <c r="B1513">
        <v>28</v>
      </c>
      <c r="C1513" t="s">
        <v>37</v>
      </c>
      <c r="D1513" t="s">
        <v>147</v>
      </c>
      <c r="E1513">
        <f t="shared" ca="1" si="24"/>
        <v>17.28</v>
      </c>
    </row>
    <row r="1514" spans="1:5" x14ac:dyDescent="0.25">
      <c r="A1514">
        <v>37</v>
      </c>
      <c r="B1514">
        <v>29</v>
      </c>
      <c r="C1514" t="s">
        <v>37</v>
      </c>
      <c r="D1514" t="s">
        <v>146</v>
      </c>
      <c r="E1514">
        <f t="shared" ca="1" si="24"/>
        <v>13.58</v>
      </c>
    </row>
    <row r="1515" spans="1:5" x14ac:dyDescent="0.25">
      <c r="A1515">
        <v>37</v>
      </c>
      <c r="B1515">
        <v>30</v>
      </c>
      <c r="C1515" t="s">
        <v>37</v>
      </c>
      <c r="D1515" t="s">
        <v>30</v>
      </c>
      <c r="E1515">
        <f t="shared" ca="1" si="24"/>
        <v>25</v>
      </c>
    </row>
    <row r="1516" spans="1:5" x14ac:dyDescent="0.25">
      <c r="A1516">
        <v>37</v>
      </c>
      <c r="B1516">
        <v>31</v>
      </c>
      <c r="C1516" t="s">
        <v>37</v>
      </c>
      <c r="D1516" t="s">
        <v>31</v>
      </c>
      <c r="E1516">
        <f t="shared" ca="1" si="24"/>
        <v>25</v>
      </c>
    </row>
    <row r="1517" spans="1:5" x14ac:dyDescent="0.25">
      <c r="A1517">
        <v>37</v>
      </c>
      <c r="B1517">
        <v>32</v>
      </c>
      <c r="C1517" t="s">
        <v>37</v>
      </c>
      <c r="D1517" t="s">
        <v>32</v>
      </c>
      <c r="E1517">
        <f t="shared" ca="1" si="24"/>
        <v>23.48</v>
      </c>
    </row>
    <row r="1518" spans="1:5" x14ac:dyDescent="0.25">
      <c r="A1518">
        <v>37</v>
      </c>
      <c r="B1518">
        <v>33</v>
      </c>
      <c r="C1518" t="s">
        <v>37</v>
      </c>
      <c r="D1518" t="s">
        <v>33</v>
      </c>
      <c r="E1518">
        <f t="shared" ca="1" si="24"/>
        <v>24</v>
      </c>
    </row>
    <row r="1519" spans="1:5" x14ac:dyDescent="0.25">
      <c r="A1519">
        <v>37</v>
      </c>
      <c r="B1519">
        <v>34</v>
      </c>
      <c r="C1519" t="s">
        <v>37</v>
      </c>
      <c r="D1519" t="s">
        <v>34</v>
      </c>
      <c r="E1519">
        <f t="shared" ca="1" si="24"/>
        <v>24</v>
      </c>
    </row>
    <row r="1520" spans="1:5" x14ac:dyDescent="0.25">
      <c r="A1520">
        <v>37</v>
      </c>
      <c r="B1520">
        <v>35</v>
      </c>
      <c r="C1520" t="s">
        <v>37</v>
      </c>
      <c r="D1520" t="s">
        <v>35</v>
      </c>
      <c r="E1520">
        <f t="shared" ca="1" si="24"/>
        <v>23.56</v>
      </c>
    </row>
    <row r="1521" spans="1:5" x14ac:dyDescent="0.25">
      <c r="A1521">
        <v>37</v>
      </c>
      <c r="B1521">
        <v>36</v>
      </c>
      <c r="C1521" t="s">
        <v>37</v>
      </c>
      <c r="D1521" t="s">
        <v>36</v>
      </c>
      <c r="E1521">
        <f t="shared" ca="1" si="24"/>
        <v>6.13</v>
      </c>
    </row>
    <row r="1522" spans="1:5" x14ac:dyDescent="0.25">
      <c r="A1522">
        <v>37</v>
      </c>
      <c r="B1522">
        <v>37</v>
      </c>
      <c r="C1522" t="s">
        <v>37</v>
      </c>
      <c r="D1522" t="s">
        <v>37</v>
      </c>
      <c r="E1522">
        <f t="shared" ca="1" si="24"/>
        <v>0</v>
      </c>
    </row>
    <row r="1523" spans="1:5" x14ac:dyDescent="0.25">
      <c r="A1523">
        <v>37</v>
      </c>
      <c r="B1523">
        <v>38</v>
      </c>
      <c r="C1523" t="s">
        <v>37</v>
      </c>
      <c r="D1523" t="s">
        <v>38</v>
      </c>
      <c r="E1523">
        <f t="shared" ca="1" si="24"/>
        <v>4.92</v>
      </c>
    </row>
    <row r="1524" spans="1:5" x14ac:dyDescent="0.25">
      <c r="A1524">
        <v>37</v>
      </c>
      <c r="B1524">
        <v>39</v>
      </c>
      <c r="C1524" t="s">
        <v>37</v>
      </c>
      <c r="D1524" t="s">
        <v>39</v>
      </c>
      <c r="E1524">
        <f t="shared" ca="1" si="24"/>
        <v>2.68</v>
      </c>
    </row>
    <row r="1525" spans="1:5" x14ac:dyDescent="0.25">
      <c r="A1525">
        <v>37</v>
      </c>
      <c r="B1525">
        <v>40</v>
      </c>
      <c r="C1525" t="s">
        <v>37</v>
      </c>
      <c r="D1525" t="s">
        <v>40</v>
      </c>
      <c r="E1525">
        <f t="shared" ca="1" si="24"/>
        <v>1.85</v>
      </c>
    </row>
    <row r="1526" spans="1:5" x14ac:dyDescent="0.25">
      <c r="A1526">
        <v>37</v>
      </c>
      <c r="B1526">
        <v>1</v>
      </c>
      <c r="C1526" t="s">
        <v>38</v>
      </c>
      <c r="D1526" t="s">
        <v>0</v>
      </c>
      <c r="E1526">
        <f t="shared" ca="1" si="24"/>
        <v>23.48</v>
      </c>
    </row>
    <row r="1527" spans="1:5" x14ac:dyDescent="0.25">
      <c r="A1527">
        <v>37</v>
      </c>
      <c r="B1527">
        <v>2</v>
      </c>
      <c r="C1527" t="s">
        <v>38</v>
      </c>
      <c r="D1527" t="s">
        <v>1</v>
      </c>
      <c r="E1527">
        <f t="shared" ca="1" si="24"/>
        <v>21.13</v>
      </c>
    </row>
    <row r="1528" spans="1:5" x14ac:dyDescent="0.25">
      <c r="A1528">
        <v>37</v>
      </c>
      <c r="B1528">
        <v>3</v>
      </c>
      <c r="C1528" t="s">
        <v>38</v>
      </c>
      <c r="D1528" t="s">
        <v>2</v>
      </c>
      <c r="E1528">
        <f t="shared" ca="1" si="24"/>
        <v>21.03</v>
      </c>
    </row>
    <row r="1529" spans="1:5" x14ac:dyDescent="0.25">
      <c r="A1529">
        <v>37</v>
      </c>
      <c r="B1529">
        <v>4</v>
      </c>
      <c r="C1529" t="s">
        <v>38</v>
      </c>
      <c r="D1529" t="s">
        <v>3</v>
      </c>
      <c r="E1529">
        <f t="shared" ca="1" si="24"/>
        <v>26</v>
      </c>
    </row>
    <row r="1530" spans="1:5" x14ac:dyDescent="0.25">
      <c r="A1530">
        <v>37</v>
      </c>
      <c r="B1530">
        <v>5</v>
      </c>
      <c r="C1530" t="s">
        <v>38</v>
      </c>
      <c r="D1530" t="s">
        <v>4</v>
      </c>
      <c r="E1530">
        <f t="shared" ca="1" si="24"/>
        <v>27</v>
      </c>
    </row>
    <row r="1531" spans="1:5" x14ac:dyDescent="0.25">
      <c r="A1531">
        <v>37</v>
      </c>
      <c r="B1531">
        <v>6</v>
      </c>
      <c r="C1531" t="s">
        <v>38</v>
      </c>
      <c r="D1531" t="s">
        <v>5</v>
      </c>
      <c r="E1531">
        <f t="shared" ca="1" si="24"/>
        <v>29</v>
      </c>
    </row>
    <row r="1532" spans="1:5" x14ac:dyDescent="0.25">
      <c r="A1532">
        <v>37</v>
      </c>
      <c r="B1532">
        <v>7</v>
      </c>
      <c r="C1532" t="s">
        <v>38</v>
      </c>
      <c r="D1532" t="s">
        <v>6</v>
      </c>
      <c r="E1532">
        <f t="shared" ca="1" si="24"/>
        <v>27</v>
      </c>
    </row>
    <row r="1533" spans="1:5" x14ac:dyDescent="0.25">
      <c r="A1533">
        <v>37</v>
      </c>
      <c r="B1533">
        <v>8</v>
      </c>
      <c r="C1533" t="s">
        <v>38</v>
      </c>
      <c r="D1533" t="s">
        <v>7</v>
      </c>
      <c r="E1533">
        <f t="shared" ca="1" si="24"/>
        <v>26</v>
      </c>
    </row>
    <row r="1534" spans="1:5" x14ac:dyDescent="0.25">
      <c r="A1534">
        <v>37</v>
      </c>
      <c r="B1534">
        <v>9</v>
      </c>
      <c r="C1534" t="s">
        <v>38</v>
      </c>
      <c r="D1534" t="s">
        <v>148</v>
      </c>
      <c r="E1534">
        <f t="shared" ca="1" si="24"/>
        <v>24</v>
      </c>
    </row>
    <row r="1535" spans="1:5" x14ac:dyDescent="0.25">
      <c r="A1535">
        <v>37</v>
      </c>
      <c r="B1535">
        <v>10</v>
      </c>
      <c r="C1535" t="s">
        <v>38</v>
      </c>
      <c r="D1535" t="s">
        <v>9</v>
      </c>
      <c r="E1535">
        <f t="shared" ca="1" si="24"/>
        <v>28</v>
      </c>
    </row>
    <row r="1536" spans="1:5" x14ac:dyDescent="0.25">
      <c r="A1536">
        <v>37</v>
      </c>
      <c r="B1536">
        <v>11</v>
      </c>
      <c r="C1536" t="s">
        <v>38</v>
      </c>
      <c r="D1536" t="s">
        <v>10</v>
      </c>
      <c r="E1536">
        <f t="shared" ca="1" si="24"/>
        <v>7.72</v>
      </c>
    </row>
    <row r="1537" spans="1:5" x14ac:dyDescent="0.25">
      <c r="A1537">
        <v>37</v>
      </c>
      <c r="B1537">
        <v>12</v>
      </c>
      <c r="C1537" t="s">
        <v>38</v>
      </c>
      <c r="D1537" t="s">
        <v>11</v>
      </c>
      <c r="E1537">
        <f t="shared" ca="1" si="24"/>
        <v>9.2799999999999994</v>
      </c>
    </row>
    <row r="1538" spans="1:5" x14ac:dyDescent="0.25">
      <c r="A1538">
        <v>37</v>
      </c>
      <c r="B1538">
        <v>13</v>
      </c>
      <c r="C1538" t="s">
        <v>38</v>
      </c>
      <c r="D1538" t="s">
        <v>12</v>
      </c>
      <c r="E1538">
        <f t="shared" ca="1" si="24"/>
        <v>9.5</v>
      </c>
    </row>
    <row r="1539" spans="1:5" x14ac:dyDescent="0.25">
      <c r="A1539">
        <v>37</v>
      </c>
      <c r="B1539">
        <v>14</v>
      </c>
      <c r="C1539" t="s">
        <v>38</v>
      </c>
      <c r="D1539" t="s">
        <v>13</v>
      </c>
      <c r="E1539">
        <f t="shared" ca="1" si="24"/>
        <v>9.85</v>
      </c>
    </row>
    <row r="1540" spans="1:5" x14ac:dyDescent="0.25">
      <c r="A1540">
        <v>37</v>
      </c>
      <c r="B1540">
        <v>15</v>
      </c>
      <c r="C1540" t="s">
        <v>38</v>
      </c>
      <c r="D1540" t="s">
        <v>14</v>
      </c>
      <c r="E1540">
        <f t="shared" ca="1" si="24"/>
        <v>12.08</v>
      </c>
    </row>
    <row r="1541" spans="1:5" x14ac:dyDescent="0.25">
      <c r="A1541">
        <v>37</v>
      </c>
      <c r="B1541">
        <v>16</v>
      </c>
      <c r="C1541" t="s">
        <v>38</v>
      </c>
      <c r="D1541" t="s">
        <v>15</v>
      </c>
      <c r="E1541">
        <f t="shared" ca="1" si="24"/>
        <v>8.58</v>
      </c>
    </row>
    <row r="1542" spans="1:5" x14ac:dyDescent="0.25">
      <c r="A1542">
        <v>37</v>
      </c>
      <c r="B1542">
        <v>17</v>
      </c>
      <c r="C1542" t="s">
        <v>38</v>
      </c>
      <c r="D1542" t="s">
        <v>16</v>
      </c>
      <c r="E1542">
        <f t="shared" ca="1" si="24"/>
        <v>3.53</v>
      </c>
    </row>
    <row r="1543" spans="1:5" x14ac:dyDescent="0.25">
      <c r="A1543">
        <v>37</v>
      </c>
      <c r="B1543">
        <v>18</v>
      </c>
      <c r="C1543" t="s">
        <v>38</v>
      </c>
      <c r="D1543" t="s">
        <v>17</v>
      </c>
      <c r="E1543">
        <f t="shared" ca="1" si="24"/>
        <v>7.32</v>
      </c>
    </row>
    <row r="1544" spans="1:5" x14ac:dyDescent="0.25">
      <c r="A1544">
        <v>37</v>
      </c>
      <c r="B1544">
        <v>19</v>
      </c>
      <c r="C1544" t="s">
        <v>38</v>
      </c>
      <c r="D1544" t="s">
        <v>18</v>
      </c>
      <c r="E1544">
        <f t="shared" ca="1" si="24"/>
        <v>19.16</v>
      </c>
    </row>
    <row r="1545" spans="1:5" x14ac:dyDescent="0.25">
      <c r="A1545">
        <v>37</v>
      </c>
      <c r="B1545">
        <v>20</v>
      </c>
      <c r="C1545" t="s">
        <v>38</v>
      </c>
      <c r="D1545" t="s">
        <v>19</v>
      </c>
      <c r="E1545">
        <f t="shared" ca="1" si="24"/>
        <v>19.95</v>
      </c>
    </row>
    <row r="1546" spans="1:5" x14ac:dyDescent="0.25">
      <c r="A1546">
        <v>37</v>
      </c>
      <c r="B1546">
        <v>21</v>
      </c>
      <c r="C1546" t="s">
        <v>38</v>
      </c>
      <c r="D1546" t="s">
        <v>20</v>
      </c>
      <c r="E1546">
        <f t="shared" ca="1" si="24"/>
        <v>21.53</v>
      </c>
    </row>
    <row r="1547" spans="1:5" x14ac:dyDescent="0.25">
      <c r="A1547">
        <v>37</v>
      </c>
      <c r="B1547">
        <v>22</v>
      </c>
      <c r="C1547" t="s">
        <v>38</v>
      </c>
      <c r="D1547" t="s">
        <v>21</v>
      </c>
      <c r="E1547">
        <f t="shared" ca="1" si="24"/>
        <v>17.760000000000002</v>
      </c>
    </row>
    <row r="1548" spans="1:5" x14ac:dyDescent="0.25">
      <c r="A1548">
        <v>37</v>
      </c>
      <c r="B1548">
        <v>23</v>
      </c>
      <c r="C1548" t="s">
        <v>38</v>
      </c>
      <c r="D1548" t="s">
        <v>22</v>
      </c>
      <c r="E1548">
        <f t="shared" ca="1" si="24"/>
        <v>16.71</v>
      </c>
    </row>
    <row r="1549" spans="1:5" x14ac:dyDescent="0.25">
      <c r="A1549">
        <v>37</v>
      </c>
      <c r="B1549">
        <v>24</v>
      </c>
      <c r="C1549" t="s">
        <v>38</v>
      </c>
      <c r="D1549" t="s">
        <v>23</v>
      </c>
      <c r="E1549">
        <f t="shared" ca="1" si="24"/>
        <v>13.25</v>
      </c>
    </row>
    <row r="1550" spans="1:5" x14ac:dyDescent="0.25">
      <c r="A1550">
        <v>37</v>
      </c>
      <c r="B1550">
        <v>25</v>
      </c>
      <c r="C1550" t="s">
        <v>38</v>
      </c>
      <c r="D1550" t="s">
        <v>24</v>
      </c>
      <c r="E1550">
        <f t="shared" ca="1" si="24"/>
        <v>14.56</v>
      </c>
    </row>
    <row r="1551" spans="1:5" x14ac:dyDescent="0.25">
      <c r="A1551">
        <v>37</v>
      </c>
      <c r="B1551">
        <v>26</v>
      </c>
      <c r="C1551" t="s">
        <v>38</v>
      </c>
      <c r="D1551" t="s">
        <v>25</v>
      </c>
      <c r="E1551">
        <f t="shared" ca="1" si="24"/>
        <v>14.96</v>
      </c>
    </row>
    <row r="1552" spans="1:5" x14ac:dyDescent="0.25">
      <c r="A1552">
        <v>37</v>
      </c>
      <c r="B1552">
        <v>27</v>
      </c>
      <c r="C1552" t="s">
        <v>38</v>
      </c>
      <c r="D1552" t="s">
        <v>145</v>
      </c>
      <c r="E1552">
        <f t="shared" ca="1" si="24"/>
        <v>18.93</v>
      </c>
    </row>
    <row r="1553" spans="1:5" x14ac:dyDescent="0.25">
      <c r="A1553">
        <v>37</v>
      </c>
      <c r="B1553">
        <v>28</v>
      </c>
      <c r="C1553" t="s">
        <v>38</v>
      </c>
      <c r="D1553" t="s">
        <v>147</v>
      </c>
      <c r="E1553">
        <f t="shared" ca="1" si="24"/>
        <v>17.28</v>
      </c>
    </row>
    <row r="1554" spans="1:5" x14ac:dyDescent="0.25">
      <c r="A1554">
        <v>37</v>
      </c>
      <c r="B1554">
        <v>29</v>
      </c>
      <c r="C1554" t="s">
        <v>38</v>
      </c>
      <c r="D1554" t="s">
        <v>146</v>
      </c>
      <c r="E1554">
        <f t="shared" ca="1" si="24"/>
        <v>13.58</v>
      </c>
    </row>
    <row r="1555" spans="1:5" x14ac:dyDescent="0.25">
      <c r="A1555">
        <v>37</v>
      </c>
      <c r="B1555">
        <v>30</v>
      </c>
      <c r="C1555" t="s">
        <v>38</v>
      </c>
      <c r="D1555" t="s">
        <v>30</v>
      </c>
      <c r="E1555">
        <f t="shared" ca="1" si="24"/>
        <v>25</v>
      </c>
    </row>
    <row r="1556" spans="1:5" x14ac:dyDescent="0.25">
      <c r="A1556">
        <v>37</v>
      </c>
      <c r="B1556">
        <v>31</v>
      </c>
      <c r="C1556" t="s">
        <v>38</v>
      </c>
      <c r="D1556" t="s">
        <v>31</v>
      </c>
      <c r="E1556">
        <f t="shared" ca="1" si="24"/>
        <v>25</v>
      </c>
    </row>
    <row r="1557" spans="1:5" x14ac:dyDescent="0.25">
      <c r="A1557">
        <v>37</v>
      </c>
      <c r="B1557">
        <v>32</v>
      </c>
      <c r="C1557" t="s">
        <v>38</v>
      </c>
      <c r="D1557" t="s">
        <v>32</v>
      </c>
      <c r="E1557">
        <f t="shared" ca="1" si="24"/>
        <v>23.48</v>
      </c>
    </row>
    <row r="1558" spans="1:5" x14ac:dyDescent="0.25">
      <c r="A1558">
        <v>37</v>
      </c>
      <c r="B1558">
        <v>33</v>
      </c>
      <c r="C1558" t="s">
        <v>38</v>
      </c>
      <c r="D1558" t="s">
        <v>33</v>
      </c>
      <c r="E1558">
        <f t="shared" ca="1" si="24"/>
        <v>24</v>
      </c>
    </row>
    <row r="1559" spans="1:5" x14ac:dyDescent="0.25">
      <c r="A1559">
        <v>37</v>
      </c>
      <c r="B1559">
        <v>34</v>
      </c>
      <c r="C1559" t="s">
        <v>38</v>
      </c>
      <c r="D1559" t="s">
        <v>34</v>
      </c>
      <c r="E1559">
        <f t="shared" ca="1" si="24"/>
        <v>24</v>
      </c>
    </row>
    <row r="1560" spans="1:5" x14ac:dyDescent="0.25">
      <c r="A1560">
        <v>37</v>
      </c>
      <c r="B1560">
        <v>35</v>
      </c>
      <c r="C1560" t="s">
        <v>38</v>
      </c>
      <c r="D1560" t="s">
        <v>35</v>
      </c>
      <c r="E1560">
        <f t="shared" ca="1" si="24"/>
        <v>23.56</v>
      </c>
    </row>
    <row r="1561" spans="1:5" x14ac:dyDescent="0.25">
      <c r="A1561">
        <v>37</v>
      </c>
      <c r="B1561">
        <v>36</v>
      </c>
      <c r="C1561" t="s">
        <v>38</v>
      </c>
      <c r="D1561" t="s">
        <v>36</v>
      </c>
      <c r="E1561">
        <f t="shared" ca="1" si="24"/>
        <v>6.13</v>
      </c>
    </row>
    <row r="1562" spans="1:5" x14ac:dyDescent="0.25">
      <c r="A1562">
        <v>37</v>
      </c>
      <c r="B1562">
        <v>37</v>
      </c>
      <c r="C1562" t="s">
        <v>38</v>
      </c>
      <c r="D1562" t="s">
        <v>37</v>
      </c>
      <c r="E1562">
        <f t="shared" ca="1" si="24"/>
        <v>0</v>
      </c>
    </row>
    <row r="1563" spans="1:5" x14ac:dyDescent="0.25">
      <c r="A1563">
        <v>37</v>
      </c>
      <c r="B1563">
        <v>38</v>
      </c>
      <c r="C1563" t="s">
        <v>38</v>
      </c>
      <c r="D1563" t="s">
        <v>38</v>
      </c>
      <c r="E1563">
        <f t="shared" ca="1" si="24"/>
        <v>4.92</v>
      </c>
    </row>
    <row r="1564" spans="1:5" x14ac:dyDescent="0.25">
      <c r="A1564">
        <v>37</v>
      </c>
      <c r="B1564">
        <v>39</v>
      </c>
      <c r="C1564" t="s">
        <v>38</v>
      </c>
      <c r="D1564" t="s">
        <v>39</v>
      </c>
      <c r="E1564">
        <f t="shared" ca="1" si="24"/>
        <v>2.68</v>
      </c>
    </row>
    <row r="1565" spans="1:5" x14ac:dyDescent="0.25">
      <c r="A1565">
        <v>37</v>
      </c>
      <c r="B1565">
        <v>40</v>
      </c>
      <c r="C1565" t="s">
        <v>38</v>
      </c>
      <c r="D1565" t="s">
        <v>40</v>
      </c>
      <c r="E1565">
        <f t="shared" ca="1" si="24"/>
        <v>1.85</v>
      </c>
    </row>
    <row r="1566" spans="1:5" x14ac:dyDescent="0.25">
      <c r="A1566">
        <v>38</v>
      </c>
      <c r="B1566">
        <v>1</v>
      </c>
      <c r="C1566" t="s">
        <v>39</v>
      </c>
      <c r="D1566" t="s">
        <v>0</v>
      </c>
      <c r="E1566">
        <f t="shared" ca="1" si="24"/>
        <v>19.46</v>
      </c>
    </row>
    <row r="1567" spans="1:5" x14ac:dyDescent="0.25">
      <c r="A1567">
        <v>38</v>
      </c>
      <c r="B1567">
        <v>2</v>
      </c>
      <c r="C1567" t="s">
        <v>39</v>
      </c>
      <c r="D1567" t="s">
        <v>1</v>
      </c>
      <c r="E1567">
        <f t="shared" ca="1" si="24"/>
        <v>18.03</v>
      </c>
    </row>
    <row r="1568" spans="1:5" x14ac:dyDescent="0.25">
      <c r="A1568">
        <v>38</v>
      </c>
      <c r="B1568">
        <v>3</v>
      </c>
      <c r="C1568" t="s">
        <v>39</v>
      </c>
      <c r="D1568" t="s">
        <v>2</v>
      </c>
      <c r="E1568">
        <f t="shared" ref="E1568:E1630" ca="1" si="25">OFFSET($B$3,A1568,B1568)</f>
        <v>17.899999999999999</v>
      </c>
    </row>
    <row r="1569" spans="1:5" x14ac:dyDescent="0.25">
      <c r="A1569">
        <v>38</v>
      </c>
      <c r="B1569">
        <v>4</v>
      </c>
      <c r="C1569" t="s">
        <v>39</v>
      </c>
      <c r="D1569" t="s">
        <v>3</v>
      </c>
      <c r="E1569">
        <f t="shared" ca="1" si="25"/>
        <v>22.73</v>
      </c>
    </row>
    <row r="1570" spans="1:5" x14ac:dyDescent="0.25">
      <c r="A1570">
        <v>38</v>
      </c>
      <c r="B1570">
        <v>5</v>
      </c>
      <c r="C1570" t="s">
        <v>39</v>
      </c>
      <c r="D1570" t="s">
        <v>4</v>
      </c>
      <c r="E1570">
        <f t="shared" ca="1" si="25"/>
        <v>23.76</v>
      </c>
    </row>
    <row r="1571" spans="1:5" x14ac:dyDescent="0.25">
      <c r="A1571">
        <v>38</v>
      </c>
      <c r="B1571">
        <v>6</v>
      </c>
      <c r="C1571" t="s">
        <v>39</v>
      </c>
      <c r="D1571" t="s">
        <v>5</v>
      </c>
      <c r="E1571">
        <f t="shared" ca="1" si="25"/>
        <v>26</v>
      </c>
    </row>
    <row r="1572" spans="1:5" x14ac:dyDescent="0.25">
      <c r="A1572">
        <v>38</v>
      </c>
      <c r="B1572">
        <v>7</v>
      </c>
      <c r="C1572" t="s">
        <v>39</v>
      </c>
      <c r="D1572" t="s">
        <v>6</v>
      </c>
      <c r="E1572">
        <f t="shared" ca="1" si="25"/>
        <v>23.65</v>
      </c>
    </row>
    <row r="1573" spans="1:5" x14ac:dyDescent="0.25">
      <c r="A1573">
        <v>38</v>
      </c>
      <c r="B1573">
        <v>8</v>
      </c>
      <c r="C1573" t="s">
        <v>39</v>
      </c>
      <c r="D1573" t="s">
        <v>7</v>
      </c>
      <c r="E1573">
        <f t="shared" ca="1" si="25"/>
        <v>22.46</v>
      </c>
    </row>
    <row r="1574" spans="1:5" x14ac:dyDescent="0.25">
      <c r="A1574">
        <v>38</v>
      </c>
      <c r="B1574">
        <v>9</v>
      </c>
      <c r="C1574" t="s">
        <v>39</v>
      </c>
      <c r="D1574" t="s">
        <v>148</v>
      </c>
      <c r="E1574">
        <f t="shared" ca="1" si="25"/>
        <v>22.1</v>
      </c>
    </row>
    <row r="1575" spans="1:5" x14ac:dyDescent="0.25">
      <c r="A1575">
        <v>38</v>
      </c>
      <c r="B1575">
        <v>10</v>
      </c>
      <c r="C1575" t="s">
        <v>39</v>
      </c>
      <c r="D1575" t="s">
        <v>9</v>
      </c>
      <c r="E1575">
        <f t="shared" ca="1" si="25"/>
        <v>25</v>
      </c>
    </row>
    <row r="1576" spans="1:5" x14ac:dyDescent="0.25">
      <c r="A1576">
        <v>38</v>
      </c>
      <c r="B1576">
        <v>11</v>
      </c>
      <c r="C1576" t="s">
        <v>39</v>
      </c>
      <c r="D1576" t="s">
        <v>10</v>
      </c>
      <c r="E1576">
        <f t="shared" ca="1" si="25"/>
        <v>3.2</v>
      </c>
    </row>
    <row r="1577" spans="1:5" x14ac:dyDescent="0.25">
      <c r="A1577">
        <v>38</v>
      </c>
      <c r="B1577">
        <v>12</v>
      </c>
      <c r="C1577" t="s">
        <v>39</v>
      </c>
      <c r="D1577" t="s">
        <v>11</v>
      </c>
      <c r="E1577">
        <f t="shared" ca="1" si="25"/>
        <v>5.16</v>
      </c>
    </row>
    <row r="1578" spans="1:5" x14ac:dyDescent="0.25">
      <c r="A1578">
        <v>38</v>
      </c>
      <c r="B1578">
        <v>13</v>
      </c>
      <c r="C1578" t="s">
        <v>39</v>
      </c>
      <c r="D1578" t="s">
        <v>12</v>
      </c>
      <c r="E1578">
        <f t="shared" ca="1" si="25"/>
        <v>5.8</v>
      </c>
    </row>
    <row r="1579" spans="1:5" x14ac:dyDescent="0.25">
      <c r="A1579">
        <v>38</v>
      </c>
      <c r="B1579">
        <v>14</v>
      </c>
      <c r="C1579" t="s">
        <v>39</v>
      </c>
      <c r="D1579" t="s">
        <v>13</v>
      </c>
      <c r="E1579">
        <f t="shared" ca="1" si="25"/>
        <v>6.2</v>
      </c>
    </row>
    <row r="1580" spans="1:5" x14ac:dyDescent="0.25">
      <c r="A1580">
        <v>38</v>
      </c>
      <c r="B1580">
        <v>15</v>
      </c>
      <c r="C1580" t="s">
        <v>39</v>
      </c>
      <c r="D1580" t="s">
        <v>14</v>
      </c>
      <c r="E1580">
        <f t="shared" ca="1" si="25"/>
        <v>10.15</v>
      </c>
    </row>
    <row r="1581" spans="1:5" x14ac:dyDescent="0.25">
      <c r="A1581">
        <v>38</v>
      </c>
      <c r="B1581">
        <v>16</v>
      </c>
      <c r="C1581" t="s">
        <v>39</v>
      </c>
      <c r="D1581" t="s">
        <v>15</v>
      </c>
      <c r="E1581">
        <f t="shared" ca="1" si="25"/>
        <v>8.18</v>
      </c>
    </row>
    <row r="1582" spans="1:5" x14ac:dyDescent="0.25">
      <c r="A1582">
        <v>38</v>
      </c>
      <c r="B1582">
        <v>17</v>
      </c>
      <c r="C1582" t="s">
        <v>39</v>
      </c>
      <c r="D1582" t="s">
        <v>16</v>
      </c>
      <c r="E1582">
        <f t="shared" ca="1" si="25"/>
        <v>7.46</v>
      </c>
    </row>
    <row r="1583" spans="1:5" x14ac:dyDescent="0.25">
      <c r="A1583">
        <v>38</v>
      </c>
      <c r="B1583">
        <v>18</v>
      </c>
      <c r="C1583" t="s">
        <v>39</v>
      </c>
      <c r="D1583" t="s">
        <v>17</v>
      </c>
      <c r="E1583">
        <f t="shared" ca="1" si="25"/>
        <v>8.26</v>
      </c>
    </row>
    <row r="1584" spans="1:5" x14ac:dyDescent="0.25">
      <c r="A1584">
        <v>38</v>
      </c>
      <c r="B1584">
        <v>19</v>
      </c>
      <c r="C1584" t="s">
        <v>39</v>
      </c>
      <c r="D1584" t="s">
        <v>18</v>
      </c>
      <c r="E1584">
        <f t="shared" ca="1" si="25"/>
        <v>15.13</v>
      </c>
    </row>
    <row r="1585" spans="1:5" x14ac:dyDescent="0.25">
      <c r="A1585">
        <v>38</v>
      </c>
      <c r="B1585">
        <v>20</v>
      </c>
      <c r="C1585" t="s">
        <v>39</v>
      </c>
      <c r="D1585" t="s">
        <v>19</v>
      </c>
      <c r="E1585">
        <f t="shared" ca="1" si="25"/>
        <v>15.85</v>
      </c>
    </row>
    <row r="1586" spans="1:5" x14ac:dyDescent="0.25">
      <c r="A1586">
        <v>38</v>
      </c>
      <c r="B1586">
        <v>21</v>
      </c>
      <c r="C1586" t="s">
        <v>39</v>
      </c>
      <c r="D1586" t="s">
        <v>20</v>
      </c>
      <c r="E1586">
        <f t="shared" ca="1" si="25"/>
        <v>17.809999999999999</v>
      </c>
    </row>
    <row r="1587" spans="1:5" x14ac:dyDescent="0.25">
      <c r="A1587">
        <v>38</v>
      </c>
      <c r="B1587">
        <v>22</v>
      </c>
      <c r="C1587" t="s">
        <v>39</v>
      </c>
      <c r="D1587" t="s">
        <v>21</v>
      </c>
      <c r="E1587">
        <f t="shared" ca="1" si="25"/>
        <v>13.72</v>
      </c>
    </row>
    <row r="1588" spans="1:5" x14ac:dyDescent="0.25">
      <c r="A1588">
        <v>38</v>
      </c>
      <c r="B1588">
        <v>23</v>
      </c>
      <c r="C1588" t="s">
        <v>39</v>
      </c>
      <c r="D1588" t="s">
        <v>22</v>
      </c>
      <c r="E1588">
        <f t="shared" ca="1" si="25"/>
        <v>13.1</v>
      </c>
    </row>
    <row r="1589" spans="1:5" x14ac:dyDescent="0.25">
      <c r="A1589">
        <v>38</v>
      </c>
      <c r="B1589">
        <v>24</v>
      </c>
      <c r="C1589" t="s">
        <v>39</v>
      </c>
      <c r="D1589" t="s">
        <v>23</v>
      </c>
      <c r="E1589">
        <f t="shared" ca="1" si="25"/>
        <v>9.66</v>
      </c>
    </row>
    <row r="1590" spans="1:5" x14ac:dyDescent="0.25">
      <c r="A1590">
        <v>38</v>
      </c>
      <c r="B1590">
        <v>25</v>
      </c>
      <c r="C1590" t="s">
        <v>39</v>
      </c>
      <c r="D1590" t="s">
        <v>24</v>
      </c>
      <c r="E1590">
        <f t="shared" ca="1" si="25"/>
        <v>11</v>
      </c>
    </row>
    <row r="1591" spans="1:5" x14ac:dyDescent="0.25">
      <c r="A1591">
        <v>38</v>
      </c>
      <c r="B1591">
        <v>26</v>
      </c>
      <c r="C1591" t="s">
        <v>39</v>
      </c>
      <c r="D1591" t="s">
        <v>25</v>
      </c>
      <c r="E1591">
        <f t="shared" ca="1" si="25"/>
        <v>12.35</v>
      </c>
    </row>
    <row r="1592" spans="1:5" x14ac:dyDescent="0.25">
      <c r="A1592">
        <v>38</v>
      </c>
      <c r="B1592">
        <v>27</v>
      </c>
      <c r="C1592" t="s">
        <v>39</v>
      </c>
      <c r="D1592" t="s">
        <v>145</v>
      </c>
      <c r="E1592">
        <f t="shared" ca="1" si="25"/>
        <v>15</v>
      </c>
    </row>
    <row r="1593" spans="1:5" x14ac:dyDescent="0.25">
      <c r="A1593">
        <v>38</v>
      </c>
      <c r="B1593">
        <v>28</v>
      </c>
      <c r="C1593" t="s">
        <v>39</v>
      </c>
      <c r="D1593" t="s">
        <v>147</v>
      </c>
      <c r="E1593">
        <f t="shared" ca="1" si="25"/>
        <v>13.41</v>
      </c>
    </row>
    <row r="1594" spans="1:5" x14ac:dyDescent="0.25">
      <c r="A1594">
        <v>38</v>
      </c>
      <c r="B1594">
        <v>29</v>
      </c>
      <c r="C1594" t="s">
        <v>39</v>
      </c>
      <c r="D1594" t="s">
        <v>146</v>
      </c>
      <c r="E1594">
        <f t="shared" ca="1" si="25"/>
        <v>10</v>
      </c>
    </row>
    <row r="1595" spans="1:5" x14ac:dyDescent="0.25">
      <c r="A1595">
        <v>38</v>
      </c>
      <c r="B1595">
        <v>30</v>
      </c>
      <c r="C1595" t="s">
        <v>39</v>
      </c>
      <c r="D1595" t="s">
        <v>30</v>
      </c>
      <c r="E1595">
        <f t="shared" ca="1" si="25"/>
        <v>22.68</v>
      </c>
    </row>
    <row r="1596" spans="1:5" x14ac:dyDescent="0.25">
      <c r="A1596">
        <v>38</v>
      </c>
      <c r="B1596">
        <v>31</v>
      </c>
      <c r="C1596" t="s">
        <v>39</v>
      </c>
      <c r="D1596" t="s">
        <v>31</v>
      </c>
      <c r="E1596">
        <f t="shared" ca="1" si="25"/>
        <v>22.26</v>
      </c>
    </row>
    <row r="1597" spans="1:5" x14ac:dyDescent="0.25">
      <c r="A1597">
        <v>38</v>
      </c>
      <c r="B1597">
        <v>32</v>
      </c>
      <c r="C1597" t="s">
        <v>39</v>
      </c>
      <c r="D1597" t="s">
        <v>32</v>
      </c>
      <c r="E1597">
        <f t="shared" ca="1" si="25"/>
        <v>21.21</v>
      </c>
    </row>
    <row r="1598" spans="1:5" x14ac:dyDescent="0.25">
      <c r="A1598">
        <v>38</v>
      </c>
      <c r="B1598">
        <v>33</v>
      </c>
      <c r="C1598" t="s">
        <v>39</v>
      </c>
      <c r="D1598" t="s">
        <v>33</v>
      </c>
      <c r="E1598">
        <f t="shared" ca="1" si="25"/>
        <v>20.05</v>
      </c>
    </row>
    <row r="1599" spans="1:5" x14ac:dyDescent="0.25">
      <c r="A1599">
        <v>38</v>
      </c>
      <c r="B1599">
        <v>34</v>
      </c>
      <c r="C1599" t="s">
        <v>39</v>
      </c>
      <c r="D1599" t="s">
        <v>34</v>
      </c>
      <c r="E1599">
        <f t="shared" ca="1" si="25"/>
        <v>20.18</v>
      </c>
    </row>
    <row r="1600" spans="1:5" x14ac:dyDescent="0.25">
      <c r="A1600">
        <v>38</v>
      </c>
      <c r="B1600">
        <v>35</v>
      </c>
      <c r="C1600" t="s">
        <v>39</v>
      </c>
      <c r="D1600" t="s">
        <v>35</v>
      </c>
      <c r="E1600">
        <f t="shared" ca="1" si="25"/>
        <v>19.53</v>
      </c>
    </row>
    <row r="1601" spans="1:5" x14ac:dyDescent="0.25">
      <c r="A1601">
        <v>38</v>
      </c>
      <c r="B1601">
        <v>36</v>
      </c>
      <c r="C1601" t="s">
        <v>39</v>
      </c>
      <c r="D1601" t="s">
        <v>36</v>
      </c>
      <c r="E1601">
        <f t="shared" ca="1" si="25"/>
        <v>1.5</v>
      </c>
    </row>
    <row r="1602" spans="1:5" x14ac:dyDescent="0.25">
      <c r="A1602">
        <v>38</v>
      </c>
      <c r="B1602">
        <v>37</v>
      </c>
      <c r="C1602" t="s">
        <v>39</v>
      </c>
      <c r="D1602" t="s">
        <v>37</v>
      </c>
      <c r="E1602">
        <f t="shared" ca="1" si="25"/>
        <v>4.92</v>
      </c>
    </row>
    <row r="1603" spans="1:5" x14ac:dyDescent="0.25">
      <c r="A1603">
        <v>38</v>
      </c>
      <c r="B1603">
        <v>38</v>
      </c>
      <c r="C1603" t="s">
        <v>39</v>
      </c>
      <c r="D1603" t="s">
        <v>38</v>
      </c>
      <c r="E1603">
        <f t="shared" ca="1" si="25"/>
        <v>0</v>
      </c>
    </row>
    <row r="1604" spans="1:5" x14ac:dyDescent="0.25">
      <c r="A1604">
        <v>38</v>
      </c>
      <c r="B1604">
        <v>39</v>
      </c>
      <c r="C1604" t="s">
        <v>39</v>
      </c>
      <c r="D1604" t="s">
        <v>39</v>
      </c>
      <c r="E1604">
        <f t="shared" ca="1" si="25"/>
        <v>2.96</v>
      </c>
    </row>
    <row r="1605" spans="1:5" x14ac:dyDescent="0.25">
      <c r="A1605">
        <v>38</v>
      </c>
      <c r="B1605">
        <v>40</v>
      </c>
      <c r="C1605" t="s">
        <v>39</v>
      </c>
      <c r="D1605" t="s">
        <v>40</v>
      </c>
      <c r="E1605">
        <f t="shared" ca="1" si="25"/>
        <v>4.26</v>
      </c>
    </row>
    <row r="1606" spans="1:5" x14ac:dyDescent="0.25">
      <c r="A1606">
        <v>39</v>
      </c>
      <c r="B1606">
        <v>1</v>
      </c>
      <c r="C1606" t="s">
        <v>40</v>
      </c>
      <c r="D1606" t="s">
        <v>0</v>
      </c>
      <c r="E1606">
        <f t="shared" ca="1" si="25"/>
        <v>21.53</v>
      </c>
    </row>
    <row r="1607" spans="1:5" x14ac:dyDescent="0.25">
      <c r="A1607">
        <v>39</v>
      </c>
      <c r="B1607">
        <v>2</v>
      </c>
      <c r="C1607" t="s">
        <v>40</v>
      </c>
      <c r="D1607" t="s">
        <v>1</v>
      </c>
      <c r="E1607">
        <f t="shared" ca="1" si="25"/>
        <v>20.13</v>
      </c>
    </row>
    <row r="1608" spans="1:5" x14ac:dyDescent="0.25">
      <c r="A1608">
        <v>39</v>
      </c>
      <c r="B1608">
        <v>3</v>
      </c>
      <c r="C1608" t="s">
        <v>40</v>
      </c>
      <c r="D1608" t="s">
        <v>2</v>
      </c>
      <c r="E1608">
        <f t="shared" ca="1" si="25"/>
        <v>19.98</v>
      </c>
    </row>
    <row r="1609" spans="1:5" x14ac:dyDescent="0.25">
      <c r="A1609">
        <v>39</v>
      </c>
      <c r="B1609">
        <v>4</v>
      </c>
      <c r="C1609" t="s">
        <v>40</v>
      </c>
      <c r="D1609" t="s">
        <v>3</v>
      </c>
      <c r="E1609">
        <f t="shared" ca="1" si="25"/>
        <v>25</v>
      </c>
    </row>
    <row r="1610" spans="1:5" x14ac:dyDescent="0.25">
      <c r="A1610">
        <v>39</v>
      </c>
      <c r="B1610">
        <v>5</v>
      </c>
      <c r="C1610" t="s">
        <v>40</v>
      </c>
      <c r="D1610" t="s">
        <v>4</v>
      </c>
      <c r="E1610">
        <f t="shared" ca="1" si="25"/>
        <v>26</v>
      </c>
    </row>
    <row r="1611" spans="1:5" x14ac:dyDescent="0.25">
      <c r="A1611">
        <v>39</v>
      </c>
      <c r="B1611">
        <v>6</v>
      </c>
      <c r="C1611" t="s">
        <v>40</v>
      </c>
      <c r="D1611" t="s">
        <v>5</v>
      </c>
      <c r="E1611">
        <f t="shared" ca="1" si="25"/>
        <v>28</v>
      </c>
    </row>
    <row r="1612" spans="1:5" x14ac:dyDescent="0.25">
      <c r="A1612">
        <v>39</v>
      </c>
      <c r="B1612">
        <v>7</v>
      </c>
      <c r="C1612" t="s">
        <v>40</v>
      </c>
      <c r="D1612" t="s">
        <v>6</v>
      </c>
      <c r="E1612">
        <f t="shared" ca="1" si="25"/>
        <v>26</v>
      </c>
    </row>
    <row r="1613" spans="1:5" x14ac:dyDescent="0.25">
      <c r="A1613">
        <v>39</v>
      </c>
      <c r="B1613">
        <v>8</v>
      </c>
      <c r="C1613" t="s">
        <v>40</v>
      </c>
      <c r="D1613" t="s">
        <v>7</v>
      </c>
      <c r="E1613">
        <f t="shared" ca="1" si="25"/>
        <v>24</v>
      </c>
    </row>
    <row r="1614" spans="1:5" x14ac:dyDescent="0.25">
      <c r="A1614">
        <v>39</v>
      </c>
      <c r="B1614">
        <v>9</v>
      </c>
      <c r="C1614" t="s">
        <v>40</v>
      </c>
      <c r="D1614" t="s">
        <v>148</v>
      </c>
      <c r="E1614">
        <f t="shared" ca="1" si="25"/>
        <v>22.48</v>
      </c>
    </row>
    <row r="1615" spans="1:5" x14ac:dyDescent="0.25">
      <c r="A1615">
        <v>39</v>
      </c>
      <c r="B1615">
        <v>10</v>
      </c>
      <c r="C1615" t="s">
        <v>40</v>
      </c>
      <c r="D1615" t="s">
        <v>9</v>
      </c>
      <c r="E1615">
        <f t="shared" ca="1" si="25"/>
        <v>26</v>
      </c>
    </row>
    <row r="1616" spans="1:5" x14ac:dyDescent="0.25">
      <c r="A1616">
        <v>39</v>
      </c>
      <c r="B1616">
        <v>11</v>
      </c>
      <c r="C1616" t="s">
        <v>40</v>
      </c>
      <c r="D1616" t="s">
        <v>10</v>
      </c>
      <c r="E1616">
        <f t="shared" ca="1" si="25"/>
        <v>5.58</v>
      </c>
    </row>
    <row r="1617" spans="1:5" x14ac:dyDescent="0.25">
      <c r="A1617">
        <v>39</v>
      </c>
      <c r="B1617">
        <v>12</v>
      </c>
      <c r="C1617" t="s">
        <v>40</v>
      </c>
      <c r="D1617" t="s">
        <v>11</v>
      </c>
      <c r="E1617">
        <f t="shared" ca="1" si="25"/>
        <v>7.56</v>
      </c>
    </row>
    <row r="1618" spans="1:5" x14ac:dyDescent="0.25">
      <c r="A1618">
        <v>39</v>
      </c>
      <c r="B1618">
        <v>13</v>
      </c>
      <c r="C1618" t="s">
        <v>40</v>
      </c>
      <c r="D1618" t="s">
        <v>12</v>
      </c>
      <c r="E1618">
        <f t="shared" ca="1" si="25"/>
        <v>7.75</v>
      </c>
    </row>
    <row r="1619" spans="1:5" x14ac:dyDescent="0.25">
      <c r="A1619">
        <v>39</v>
      </c>
      <c r="B1619">
        <v>14</v>
      </c>
      <c r="C1619" t="s">
        <v>40</v>
      </c>
      <c r="D1619" t="s">
        <v>13</v>
      </c>
      <c r="E1619">
        <f t="shared" ca="1" si="25"/>
        <v>8.1300000000000008</v>
      </c>
    </row>
    <row r="1620" spans="1:5" x14ac:dyDescent="0.25">
      <c r="A1620">
        <v>39</v>
      </c>
      <c r="B1620">
        <v>15</v>
      </c>
      <c r="C1620" t="s">
        <v>40</v>
      </c>
      <c r="D1620" t="s">
        <v>14</v>
      </c>
      <c r="E1620">
        <f t="shared" ca="1" si="25"/>
        <v>11.5</v>
      </c>
    </row>
    <row r="1621" spans="1:5" x14ac:dyDescent="0.25">
      <c r="A1621">
        <v>39</v>
      </c>
      <c r="B1621">
        <v>16</v>
      </c>
      <c r="C1621" t="s">
        <v>40</v>
      </c>
      <c r="D1621" t="s">
        <v>15</v>
      </c>
      <c r="E1621">
        <f t="shared" ca="1" si="25"/>
        <v>9.1199999999999992</v>
      </c>
    </row>
    <row r="1622" spans="1:5" x14ac:dyDescent="0.25">
      <c r="A1622">
        <v>39</v>
      </c>
      <c r="B1622">
        <v>17</v>
      </c>
      <c r="C1622" t="s">
        <v>40</v>
      </c>
      <c r="D1622" t="s">
        <v>16</v>
      </c>
      <c r="E1622">
        <f t="shared" ca="1" si="25"/>
        <v>5.75</v>
      </c>
    </row>
    <row r="1623" spans="1:5" x14ac:dyDescent="0.25">
      <c r="A1623">
        <v>39</v>
      </c>
      <c r="B1623">
        <v>18</v>
      </c>
      <c r="C1623" t="s">
        <v>40</v>
      </c>
      <c r="D1623" t="s">
        <v>17</v>
      </c>
      <c r="E1623">
        <f t="shared" ca="1" si="25"/>
        <v>9.0500000000000007</v>
      </c>
    </row>
    <row r="1624" spans="1:5" x14ac:dyDescent="0.25">
      <c r="A1624">
        <v>39</v>
      </c>
      <c r="B1624">
        <v>19</v>
      </c>
      <c r="C1624" t="s">
        <v>40</v>
      </c>
      <c r="D1624" t="s">
        <v>18</v>
      </c>
      <c r="E1624">
        <f t="shared" ca="1" si="25"/>
        <v>17.28</v>
      </c>
    </row>
    <row r="1625" spans="1:5" x14ac:dyDescent="0.25">
      <c r="A1625">
        <v>39</v>
      </c>
      <c r="B1625">
        <v>20</v>
      </c>
      <c r="C1625" t="s">
        <v>40</v>
      </c>
      <c r="D1625" t="s">
        <v>19</v>
      </c>
      <c r="E1625">
        <f t="shared" ca="1" si="25"/>
        <v>18</v>
      </c>
    </row>
    <row r="1626" spans="1:5" x14ac:dyDescent="0.25">
      <c r="A1626">
        <v>39</v>
      </c>
      <c r="B1626">
        <v>21</v>
      </c>
      <c r="C1626" t="s">
        <v>40</v>
      </c>
      <c r="D1626" t="s">
        <v>20</v>
      </c>
      <c r="E1626">
        <f t="shared" ca="1" si="25"/>
        <v>19.899999999999999</v>
      </c>
    </row>
    <row r="1627" spans="1:5" x14ac:dyDescent="0.25">
      <c r="A1627">
        <v>39</v>
      </c>
      <c r="B1627">
        <v>22</v>
      </c>
      <c r="C1627" t="s">
        <v>40</v>
      </c>
      <c r="D1627" t="s">
        <v>21</v>
      </c>
      <c r="E1627">
        <f t="shared" ca="1" si="25"/>
        <v>15.81</v>
      </c>
    </row>
    <row r="1628" spans="1:5" x14ac:dyDescent="0.25">
      <c r="A1628">
        <v>39</v>
      </c>
      <c r="B1628">
        <v>23</v>
      </c>
      <c r="C1628" t="s">
        <v>40</v>
      </c>
      <c r="D1628" t="s">
        <v>22</v>
      </c>
      <c r="E1628">
        <f t="shared" ca="1" si="25"/>
        <v>15.65</v>
      </c>
    </row>
    <row r="1629" spans="1:5" x14ac:dyDescent="0.25">
      <c r="A1629">
        <v>39</v>
      </c>
      <c r="B1629">
        <v>24</v>
      </c>
      <c r="C1629" t="s">
        <v>40</v>
      </c>
      <c r="D1629" t="s">
        <v>23</v>
      </c>
      <c r="E1629">
        <f t="shared" ca="1" si="25"/>
        <v>11.63</v>
      </c>
    </row>
    <row r="1630" spans="1:5" x14ac:dyDescent="0.25">
      <c r="A1630">
        <v>39</v>
      </c>
      <c r="B1630">
        <v>25</v>
      </c>
      <c r="C1630" t="s">
        <v>40</v>
      </c>
      <c r="D1630" t="s">
        <v>24</v>
      </c>
      <c r="E1630">
        <f t="shared" ca="1" si="25"/>
        <v>12.95</v>
      </c>
    </row>
    <row r="1631" spans="1:5" x14ac:dyDescent="0.25">
      <c r="A1631">
        <v>39</v>
      </c>
      <c r="B1631">
        <v>26</v>
      </c>
      <c r="C1631" t="s">
        <v>40</v>
      </c>
      <c r="D1631" t="s">
        <v>25</v>
      </c>
      <c r="E1631">
        <f t="shared" ref="E1631:E1645" ca="1" si="26">OFFSET($B$3,A1631,B1631)</f>
        <v>14.35</v>
      </c>
    </row>
    <row r="1632" spans="1:5" x14ac:dyDescent="0.25">
      <c r="A1632">
        <v>39</v>
      </c>
      <c r="B1632">
        <v>27</v>
      </c>
      <c r="C1632" t="s">
        <v>40</v>
      </c>
      <c r="D1632" t="s">
        <v>145</v>
      </c>
      <c r="E1632">
        <f t="shared" ca="1" si="26"/>
        <v>17.059999999999999</v>
      </c>
    </row>
    <row r="1633" spans="1:5" x14ac:dyDescent="0.25">
      <c r="A1633">
        <v>39</v>
      </c>
      <c r="B1633">
        <v>28</v>
      </c>
      <c r="C1633" t="s">
        <v>40</v>
      </c>
      <c r="D1633" t="s">
        <v>147</v>
      </c>
      <c r="E1633">
        <f t="shared" ca="1" si="26"/>
        <v>15.33</v>
      </c>
    </row>
    <row r="1634" spans="1:5" x14ac:dyDescent="0.25">
      <c r="A1634">
        <v>39</v>
      </c>
      <c r="B1634">
        <v>29</v>
      </c>
      <c r="C1634" t="s">
        <v>40</v>
      </c>
      <c r="D1634" t="s">
        <v>146</v>
      </c>
      <c r="E1634">
        <f t="shared" ca="1" si="26"/>
        <v>11.92</v>
      </c>
    </row>
    <row r="1635" spans="1:5" x14ac:dyDescent="0.25">
      <c r="A1635">
        <v>39</v>
      </c>
      <c r="B1635">
        <v>30</v>
      </c>
      <c r="C1635" t="s">
        <v>40</v>
      </c>
      <c r="D1635" t="s">
        <v>30</v>
      </c>
      <c r="E1635">
        <f t="shared" ca="1" si="26"/>
        <v>23.18</v>
      </c>
    </row>
    <row r="1636" spans="1:5" x14ac:dyDescent="0.25">
      <c r="A1636">
        <v>39</v>
      </c>
      <c r="B1636">
        <v>31</v>
      </c>
      <c r="C1636" t="s">
        <v>40</v>
      </c>
      <c r="D1636" t="s">
        <v>31</v>
      </c>
      <c r="E1636">
        <f t="shared" ca="1" si="26"/>
        <v>24</v>
      </c>
    </row>
    <row r="1637" spans="1:5" x14ac:dyDescent="0.25">
      <c r="A1637">
        <v>39</v>
      </c>
      <c r="B1637">
        <v>32</v>
      </c>
      <c r="C1637" t="s">
        <v>40</v>
      </c>
      <c r="D1637" t="s">
        <v>32</v>
      </c>
      <c r="E1637">
        <f t="shared" ca="1" si="26"/>
        <v>23.28</v>
      </c>
    </row>
    <row r="1638" spans="1:5" x14ac:dyDescent="0.25">
      <c r="A1638">
        <v>39</v>
      </c>
      <c r="B1638">
        <v>33</v>
      </c>
      <c r="C1638" t="s">
        <v>40</v>
      </c>
      <c r="D1638" t="s">
        <v>33</v>
      </c>
      <c r="E1638">
        <f t="shared" ca="1" si="26"/>
        <v>22.33</v>
      </c>
    </row>
    <row r="1639" spans="1:5" x14ac:dyDescent="0.25">
      <c r="A1639">
        <v>39</v>
      </c>
      <c r="B1639">
        <v>34</v>
      </c>
      <c r="C1639" t="s">
        <v>40</v>
      </c>
      <c r="D1639" t="s">
        <v>34</v>
      </c>
      <c r="E1639">
        <f t="shared" ca="1" si="26"/>
        <v>22.42</v>
      </c>
    </row>
    <row r="1640" spans="1:5" x14ac:dyDescent="0.25">
      <c r="A1640">
        <v>39</v>
      </c>
      <c r="B1640">
        <v>35</v>
      </c>
      <c r="C1640" t="s">
        <v>40</v>
      </c>
      <c r="D1640" t="s">
        <v>35</v>
      </c>
      <c r="E1640">
        <f t="shared" ca="1" si="26"/>
        <v>21.76</v>
      </c>
    </row>
    <row r="1641" spans="1:5" x14ac:dyDescent="0.25">
      <c r="A1641">
        <v>39</v>
      </c>
      <c r="B1641">
        <v>36</v>
      </c>
      <c r="C1641" t="s">
        <v>40</v>
      </c>
      <c r="D1641" t="s">
        <v>36</v>
      </c>
      <c r="E1641">
        <f t="shared" ca="1" si="26"/>
        <v>4.16</v>
      </c>
    </row>
    <row r="1642" spans="1:5" x14ac:dyDescent="0.25">
      <c r="A1642">
        <v>39</v>
      </c>
      <c r="B1642">
        <v>37</v>
      </c>
      <c r="C1642" t="s">
        <v>40</v>
      </c>
      <c r="D1642" t="s">
        <v>37</v>
      </c>
      <c r="E1642">
        <f t="shared" ca="1" si="26"/>
        <v>2.68</v>
      </c>
    </row>
    <row r="1643" spans="1:5" x14ac:dyDescent="0.25">
      <c r="A1643">
        <v>39</v>
      </c>
      <c r="B1643">
        <v>38</v>
      </c>
      <c r="C1643" t="s">
        <v>40</v>
      </c>
      <c r="D1643" t="s">
        <v>38</v>
      </c>
      <c r="E1643">
        <f t="shared" ca="1" si="26"/>
        <v>2.96</v>
      </c>
    </row>
    <row r="1644" spans="1:5" x14ac:dyDescent="0.25">
      <c r="A1644">
        <v>39</v>
      </c>
      <c r="B1644">
        <v>39</v>
      </c>
      <c r="C1644" t="s">
        <v>40</v>
      </c>
      <c r="D1644" t="s">
        <v>39</v>
      </c>
      <c r="E1644">
        <f t="shared" ca="1" si="26"/>
        <v>0</v>
      </c>
    </row>
    <row r="1645" spans="1:5" x14ac:dyDescent="0.25">
      <c r="A1645">
        <v>39</v>
      </c>
      <c r="B1645">
        <v>40</v>
      </c>
      <c r="C1645" t="s">
        <v>40</v>
      </c>
      <c r="D1645" t="s">
        <v>40</v>
      </c>
      <c r="E1645">
        <f t="shared" ca="1" si="26"/>
        <v>2.11</v>
      </c>
    </row>
  </sheetData>
  <autoFilter ref="A45:E1645" xr:uid="{10C28C65-F347-4147-B204-68D2053F074D}"/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11</vt:i4>
      </vt:variant>
    </vt:vector>
  </HeadingPairs>
  <TitlesOfParts>
    <vt:vector size="11" baseType="lpstr">
      <vt:lpstr>Info</vt:lpstr>
      <vt:lpstr>Nomenclatura</vt:lpstr>
      <vt:lpstr>Tabla_v3</vt:lpstr>
      <vt:lpstr>OD flujo mercancia carretera</vt:lpstr>
      <vt:lpstr>OD flujo mercancia multimodal</vt:lpstr>
      <vt:lpstr>TABLA</vt:lpstr>
      <vt:lpstr>Coste Carretera</vt:lpstr>
      <vt:lpstr>Coste multimodal</vt:lpstr>
      <vt:lpstr>Coste entre puertos</vt:lpstr>
      <vt:lpstr>Tiempos intermodal (horas)</vt:lpstr>
      <vt:lpstr>Tiempos carretera (horas)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Alicia Munín Doce</dc:creator>
  <cp:lastModifiedBy>Alicia Munín Doce</cp:lastModifiedBy>
  <dcterms:created xsi:type="dcterms:W3CDTF">2022-04-06T09:00:18Z</dcterms:created>
  <dcterms:modified xsi:type="dcterms:W3CDTF">2022-10-13T08:51:56Z</dcterms:modified>
</cp:coreProperties>
</file>